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81FB9B82-87AF-B347-B11C-FA02AA66F58D}" xr6:coauthVersionLast="47" xr6:coauthVersionMax="47" xr10:uidLastSave="{00000000-0000-0000-0000-000000000000}"/>
  <bookViews>
    <workbookView xWindow="29400" yWindow="-6400" windowWidth="28800" windowHeight="17500" xr2:uid="{AC82ADC5-E628-F847-8939-89BAF5623AE6}"/>
  </bookViews>
  <sheets>
    <sheet name="Sheet2" sheetId="2" r:id="rId1"/>
    <sheet name="vendas" sheetId="1" r:id="rId2"/>
    <sheet name="charge" sheetId="4" r:id="rId3"/>
    <sheet name="painel" sheetId="5" r:id="rId4"/>
    <sheet name="VENDA CAFÉ" sheetId="6" r:id="rId5"/>
    <sheet name="CashFlow_Edson_Luiz" sheetId="3" state="hidden" r:id="rId6"/>
  </sheets>
  <definedNames>
    <definedName name="_xlnm._FilterDatabase" localSheetId="2" hidden="1">charge!$B$2:$M$3</definedName>
    <definedName name="_xlnm._FilterDatabase" localSheetId="3" hidden="1">painel!$B$3:$Y$66</definedName>
    <definedName name="_xlnm._FilterDatabase" localSheetId="4" hidden="1">'VENDA CAFÉ'!$A$3:$Z$52</definedName>
    <definedName name="LITRAGEM">#REF!</definedName>
    <definedName name="_xlnm.Print_Area" localSheetId="4">'VENDA CAFÉ'!$A$1:$S$54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N24" i="2"/>
  <c r="N25" i="2"/>
  <c r="N26" i="2"/>
  <c r="N27" i="2"/>
  <c r="N28" i="2"/>
  <c r="N29" i="2"/>
  <c r="N30" i="2"/>
  <c r="N31" i="2"/>
  <c r="N32" i="2"/>
  <c r="N22" i="2"/>
  <c r="K23" i="2"/>
  <c r="K24" i="2"/>
  <c r="K25" i="2"/>
  <c r="K26" i="2"/>
  <c r="K27" i="2"/>
  <c r="K28" i="2"/>
  <c r="K29" i="2"/>
  <c r="K30" i="2"/>
  <c r="K31" i="2"/>
  <c r="K32" i="2"/>
  <c r="K22" i="2"/>
  <c r="D29" i="2"/>
  <c r="E29" i="2"/>
  <c r="F29" i="2"/>
  <c r="G29" i="2"/>
  <c r="H29" i="2"/>
  <c r="I29" i="2"/>
  <c r="J29" i="2"/>
  <c r="L29" i="2"/>
  <c r="M29" i="2"/>
  <c r="O29" i="2"/>
  <c r="P29" i="2"/>
  <c r="Q29" i="2"/>
  <c r="R29" i="2"/>
  <c r="S29" i="2"/>
  <c r="T29" i="2"/>
  <c r="U29" i="2"/>
  <c r="V29" i="2"/>
  <c r="W29" i="2"/>
  <c r="X29" i="2"/>
  <c r="D30" i="2"/>
  <c r="E30" i="2"/>
  <c r="F30" i="2"/>
  <c r="G30" i="2"/>
  <c r="H30" i="2"/>
  <c r="I30" i="2"/>
  <c r="J30" i="2"/>
  <c r="L30" i="2"/>
  <c r="M30" i="2"/>
  <c r="O30" i="2"/>
  <c r="P30" i="2"/>
  <c r="Q30" i="2"/>
  <c r="R30" i="2"/>
  <c r="S30" i="2"/>
  <c r="T30" i="2"/>
  <c r="U30" i="2"/>
  <c r="V30" i="2"/>
  <c r="W30" i="2"/>
  <c r="X30" i="2"/>
  <c r="D31" i="2"/>
  <c r="E31" i="2"/>
  <c r="F31" i="2"/>
  <c r="G31" i="2"/>
  <c r="H31" i="2"/>
  <c r="I31" i="2"/>
  <c r="J31" i="2"/>
  <c r="L31" i="2"/>
  <c r="M31" i="2"/>
  <c r="O31" i="2"/>
  <c r="P31" i="2"/>
  <c r="Q31" i="2"/>
  <c r="R31" i="2"/>
  <c r="S31" i="2"/>
  <c r="T31" i="2"/>
  <c r="U31" i="2"/>
  <c r="V31" i="2"/>
  <c r="W31" i="2"/>
  <c r="X31" i="2"/>
  <c r="D32" i="2"/>
  <c r="E32" i="2"/>
  <c r="F32" i="2"/>
  <c r="G32" i="2"/>
  <c r="H32" i="2"/>
  <c r="I32" i="2"/>
  <c r="J32" i="2"/>
  <c r="L32" i="2"/>
  <c r="M32" i="2"/>
  <c r="O32" i="2"/>
  <c r="P32" i="2"/>
  <c r="Q32" i="2"/>
  <c r="R32" i="2"/>
  <c r="S32" i="2"/>
  <c r="T32" i="2"/>
  <c r="U32" i="2"/>
  <c r="V32" i="2"/>
  <c r="W32" i="2"/>
  <c r="X32" i="2"/>
  <c r="C30" i="2"/>
  <c r="C31" i="2"/>
  <c r="C32" i="2"/>
  <c r="C29" i="2"/>
  <c r="V61" i="5"/>
  <c r="V60" i="5"/>
  <c r="E28" i="1"/>
  <c r="C41" i="1"/>
  <c r="C40" i="1"/>
  <c r="Z102" i="1"/>
  <c r="AA102" i="1" s="1"/>
  <c r="Z101" i="1"/>
  <c r="AA101" i="1" s="1"/>
  <c r="T27" i="1"/>
  <c r="K27" i="1"/>
  <c r="C27" i="1"/>
  <c r="I27" i="1"/>
  <c r="D103" i="1"/>
  <c r="W103" i="1"/>
  <c r="V103" i="1"/>
  <c r="S27" i="1" s="1"/>
  <c r="U103" i="1"/>
  <c r="R27" i="1" s="1"/>
  <c r="T103" i="1"/>
  <c r="Q27" i="1" s="1"/>
  <c r="R103" i="1"/>
  <c r="O27" i="1" s="1"/>
  <c r="Q103" i="1"/>
  <c r="N27" i="1" s="1"/>
  <c r="P103" i="1"/>
  <c r="M27" i="1" s="1"/>
  <c r="O103" i="1"/>
  <c r="L27" i="1" s="1"/>
  <c r="N103" i="1"/>
  <c r="J100" i="1"/>
  <c r="M100" i="1" s="1"/>
  <c r="S100" i="1" s="1"/>
  <c r="J99" i="1"/>
  <c r="M99" i="1" s="1"/>
  <c r="S99" i="1" s="1"/>
  <c r="K102" i="1"/>
  <c r="J102" i="1"/>
  <c r="M102" i="1" s="1"/>
  <c r="S102" i="1" s="1"/>
  <c r="J101" i="1"/>
  <c r="M101" i="1" s="1"/>
  <c r="S101" i="1" s="1"/>
  <c r="S103" i="1" l="1"/>
  <c r="P27" i="1" s="1"/>
  <c r="Z99" i="1"/>
  <c r="AA99" i="1" s="1"/>
  <c r="Z100" i="1"/>
  <c r="AA100" i="1" s="1"/>
  <c r="D27" i="1"/>
  <c r="D28" i="1" s="1"/>
  <c r="J27" i="1"/>
  <c r="M103" i="1"/>
  <c r="G66" i="6"/>
  <c r="O54" i="6"/>
  <c r="N54" i="6"/>
  <c r="L54" i="6"/>
  <c r="K54" i="6"/>
  <c r="T51" i="6"/>
  <c r="M50" i="6"/>
  <c r="P50" i="6" s="1"/>
  <c r="H50" i="6"/>
  <c r="J49" i="6"/>
  <c r="M49" i="6" s="1"/>
  <c r="H49" i="6"/>
  <c r="M48" i="6"/>
  <c r="Q48" i="6" s="1"/>
  <c r="H48" i="6"/>
  <c r="Q47" i="6"/>
  <c r="M47" i="6"/>
  <c r="P47" i="6" s="1"/>
  <c r="H47" i="6"/>
  <c r="M46" i="6"/>
  <c r="Q46" i="6" s="1"/>
  <c r="H46" i="6"/>
  <c r="Q45" i="6"/>
  <c r="M45" i="6"/>
  <c r="P45" i="6" s="1"/>
  <c r="H45" i="6"/>
  <c r="M44" i="6"/>
  <c r="Q44" i="6" s="1"/>
  <c r="H44" i="6"/>
  <c r="Q43" i="6"/>
  <c r="M43" i="6"/>
  <c r="P43" i="6" s="1"/>
  <c r="H43" i="6"/>
  <c r="M42" i="6"/>
  <c r="Q42" i="6" s="1"/>
  <c r="H42" i="6"/>
  <c r="Q41" i="6"/>
  <c r="M41" i="6"/>
  <c r="P41" i="6" s="1"/>
  <c r="I41" i="6"/>
  <c r="H41" i="6"/>
  <c r="Q40" i="6"/>
  <c r="M40" i="6"/>
  <c r="P40" i="6" s="1"/>
  <c r="I40" i="6"/>
  <c r="H40" i="6" s="1"/>
  <c r="I39" i="6"/>
  <c r="M39" i="6" s="1"/>
  <c r="H39" i="6"/>
  <c r="J38" i="6"/>
  <c r="I38" i="6"/>
  <c r="M38" i="6" s="1"/>
  <c r="G38" i="6"/>
  <c r="H38" i="6" s="1"/>
  <c r="Q37" i="6"/>
  <c r="P37" i="6"/>
  <c r="M37" i="6"/>
  <c r="H37" i="6"/>
  <c r="J36" i="6"/>
  <c r="M36" i="6" s="1"/>
  <c r="H36" i="6"/>
  <c r="Q35" i="6"/>
  <c r="P35" i="6"/>
  <c r="M35" i="6"/>
  <c r="H35" i="6"/>
  <c r="M34" i="6"/>
  <c r="P34" i="6" s="1"/>
  <c r="G34" i="6"/>
  <c r="H34" i="6" s="1"/>
  <c r="Q33" i="6"/>
  <c r="M33" i="6"/>
  <c r="P33" i="6" s="1"/>
  <c r="I33" i="6"/>
  <c r="H33" i="6"/>
  <c r="M32" i="6"/>
  <c r="Q32" i="6" s="1"/>
  <c r="H32" i="6"/>
  <c r="P31" i="6"/>
  <c r="M31" i="6"/>
  <c r="U51" i="6" s="1"/>
  <c r="V51" i="6" s="1"/>
  <c r="H31" i="6"/>
  <c r="M30" i="6"/>
  <c r="P30" i="6" s="1"/>
  <c r="I30" i="6"/>
  <c r="H30" i="6" s="1"/>
  <c r="I29" i="6"/>
  <c r="M29" i="6" s="1"/>
  <c r="H29" i="6"/>
  <c r="Q28" i="6"/>
  <c r="P28" i="6"/>
  <c r="M28" i="6"/>
  <c r="H28" i="6"/>
  <c r="M27" i="6"/>
  <c r="Q27" i="6" s="1"/>
  <c r="G27" i="6"/>
  <c r="H27" i="6" s="1"/>
  <c r="Q26" i="6"/>
  <c r="M26" i="6"/>
  <c r="P26" i="6" s="1"/>
  <c r="I26" i="6"/>
  <c r="G26" i="6"/>
  <c r="H26" i="6" s="1"/>
  <c r="Q25" i="6"/>
  <c r="P25" i="6"/>
  <c r="M25" i="6"/>
  <c r="G25" i="6"/>
  <c r="H25" i="6" s="1"/>
  <c r="I24" i="6"/>
  <c r="M24" i="6" s="1"/>
  <c r="Q23" i="6"/>
  <c r="P23" i="6"/>
  <c r="M23" i="6"/>
  <c r="I22" i="6"/>
  <c r="J22" i="6" s="1"/>
  <c r="Q21" i="6"/>
  <c r="P21" i="6"/>
  <c r="M21" i="6"/>
  <c r="H21" i="6"/>
  <c r="M20" i="6"/>
  <c r="Q20" i="6" s="1"/>
  <c r="Q19" i="6"/>
  <c r="P19" i="6"/>
  <c r="M19" i="6"/>
  <c r="I19" i="6"/>
  <c r="I18" i="6"/>
  <c r="J17" i="6"/>
  <c r="I17" i="6"/>
  <c r="M17" i="6" s="1"/>
  <c r="J16" i="6"/>
  <c r="M16" i="6" s="1"/>
  <c r="I16" i="6"/>
  <c r="I15" i="6"/>
  <c r="H14" i="6"/>
  <c r="G14" i="6"/>
  <c r="I14" i="6" s="1"/>
  <c r="H13" i="6"/>
  <c r="G13" i="6"/>
  <c r="I13" i="6" s="1"/>
  <c r="I12" i="6"/>
  <c r="M12" i="6" s="1"/>
  <c r="I11" i="6"/>
  <c r="M10" i="6"/>
  <c r="J10" i="6"/>
  <c r="I10" i="6"/>
  <c r="I9" i="6"/>
  <c r="M9" i="6" s="1"/>
  <c r="Q8" i="6"/>
  <c r="P8" i="6"/>
  <c r="M8" i="6"/>
  <c r="I8" i="6"/>
  <c r="I7" i="6"/>
  <c r="M7" i="6" s="1"/>
  <c r="Q6" i="6"/>
  <c r="P6" i="6"/>
  <c r="M6" i="6"/>
  <c r="I6" i="6"/>
  <c r="I5" i="6"/>
  <c r="M5" i="6" s="1"/>
  <c r="Q4" i="6"/>
  <c r="P4" i="6"/>
  <c r="M4" i="6"/>
  <c r="I4" i="6"/>
  <c r="D34" i="1" l="1"/>
  <c r="AA103" i="1"/>
  <c r="F27" i="1" s="1"/>
  <c r="E27" i="1"/>
  <c r="Q24" i="6"/>
  <c r="P24" i="6"/>
  <c r="Q5" i="6"/>
  <c r="P5" i="6"/>
  <c r="Q36" i="6"/>
  <c r="P36" i="6"/>
  <c r="Q16" i="6"/>
  <c r="P16" i="6"/>
  <c r="Q17" i="6"/>
  <c r="P17" i="6"/>
  <c r="Q38" i="6"/>
  <c r="P38" i="6"/>
  <c r="J14" i="6"/>
  <c r="M14" i="6"/>
  <c r="M11" i="6"/>
  <c r="P12" i="6"/>
  <c r="Q12" i="6"/>
  <c r="Q29" i="6"/>
  <c r="P29" i="6"/>
  <c r="J13" i="6"/>
  <c r="M13" i="6" s="1"/>
  <c r="M18" i="6"/>
  <c r="Q9" i="6"/>
  <c r="P9" i="6"/>
  <c r="Q39" i="6"/>
  <c r="P39" i="6"/>
  <c r="M15" i="6"/>
  <c r="Q7" i="6"/>
  <c r="P7" i="6"/>
  <c r="P49" i="6"/>
  <c r="Q49" i="6"/>
  <c r="P10" i="6"/>
  <c r="P32" i="6"/>
  <c r="Q10" i="6"/>
  <c r="Q30" i="6"/>
  <c r="P42" i="6"/>
  <c r="P44" i="6"/>
  <c r="P46" i="6"/>
  <c r="J15" i="6"/>
  <c r="P20" i="6"/>
  <c r="P27" i="6"/>
  <c r="P48" i="6"/>
  <c r="M22" i="6"/>
  <c r="J11" i="6"/>
  <c r="J54" i="6" s="1"/>
  <c r="Q34" i="6"/>
  <c r="Q50" i="6"/>
  <c r="T52" i="6"/>
  <c r="G54" i="6"/>
  <c r="I54" i="6"/>
  <c r="H54" i="6" s="1"/>
  <c r="J18" i="6"/>
  <c r="Q31" i="6"/>
  <c r="G27" i="1" l="1"/>
  <c r="F28" i="1"/>
  <c r="F34" i="1" s="1"/>
  <c r="Q13" i="6"/>
  <c r="P13" i="6"/>
  <c r="M54" i="6"/>
  <c r="Q14" i="6"/>
  <c r="P14" i="6"/>
  <c r="Q15" i="6"/>
  <c r="P15" i="6"/>
  <c r="P11" i="6"/>
  <c r="P54" i="6" s="1"/>
  <c r="Q11" i="6"/>
  <c r="Q18" i="6"/>
  <c r="P18" i="6"/>
  <c r="Q22" i="6"/>
  <c r="P22" i="6"/>
  <c r="Q54" i="6"/>
  <c r="G68" i="6"/>
  <c r="G56" i="6"/>
  <c r="X39" i="5" l="1"/>
  <c r="W32" i="5"/>
  <c r="X32" i="5" s="1"/>
  <c r="W3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3" i="5"/>
  <c r="X34" i="5"/>
  <c r="X35" i="5"/>
  <c r="X36" i="5"/>
  <c r="X37" i="5"/>
  <c r="X38" i="5"/>
  <c r="W11" i="5" l="1"/>
  <c r="X11" i="5" s="1"/>
  <c r="W10" i="5"/>
  <c r="X10" i="5" s="1"/>
  <c r="W9" i="5"/>
  <c r="X9" i="5" s="1"/>
  <c r="W8" i="5"/>
  <c r="X8" i="5" s="1"/>
  <c r="W7" i="5"/>
  <c r="X7" i="5" s="1"/>
  <c r="W6" i="5"/>
  <c r="X6" i="5" s="1"/>
  <c r="W5" i="5"/>
  <c r="X5" i="5" s="1"/>
  <c r="W4" i="5"/>
  <c r="X4" i="5" s="1"/>
  <c r="O2" i="5"/>
  <c r="R39" i="5" s="1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5" i="5"/>
  <c r="P66" i="5"/>
  <c r="N40" i="5"/>
  <c r="N41" i="5"/>
  <c r="N42" i="5"/>
  <c r="Q44" i="5" s="1"/>
  <c r="N43" i="5"/>
  <c r="N46" i="5"/>
  <c r="N47" i="5"/>
  <c r="N48" i="5"/>
  <c r="N49" i="5"/>
  <c r="N50" i="5"/>
  <c r="Q52" i="5" s="1"/>
  <c r="N51" i="5"/>
  <c r="N52" i="5"/>
  <c r="Q54" i="5" s="1"/>
  <c r="N53" i="5"/>
  <c r="Q55" i="5" s="1"/>
  <c r="N54" i="5"/>
  <c r="Q56" i="5" s="1"/>
  <c r="N55" i="5"/>
  <c r="N56" i="5"/>
  <c r="N57" i="5"/>
  <c r="N58" i="5"/>
  <c r="N60" i="5"/>
  <c r="Q62" i="5" s="1"/>
  <c r="N61" i="5"/>
  <c r="Q63" i="5" s="1"/>
  <c r="N62" i="5"/>
  <c r="Q64" i="5" s="1"/>
  <c r="N63" i="5"/>
  <c r="Q65" i="5" s="1"/>
  <c r="D41" i="5"/>
  <c r="E41" i="5"/>
  <c r="F41" i="5"/>
  <c r="G41" i="5"/>
  <c r="H41" i="5"/>
  <c r="I41" i="5"/>
  <c r="J41" i="5"/>
  <c r="K41" i="5"/>
  <c r="L41" i="5"/>
  <c r="M41" i="5"/>
  <c r="D42" i="5"/>
  <c r="E42" i="5"/>
  <c r="F42" i="5"/>
  <c r="G42" i="5"/>
  <c r="H42" i="5"/>
  <c r="I42" i="5"/>
  <c r="J42" i="5"/>
  <c r="K42" i="5"/>
  <c r="L42" i="5"/>
  <c r="M42" i="5"/>
  <c r="D43" i="5"/>
  <c r="E43" i="5"/>
  <c r="F43" i="5"/>
  <c r="G43" i="5"/>
  <c r="H43" i="5"/>
  <c r="I43" i="5"/>
  <c r="J43" i="5"/>
  <c r="K43" i="5"/>
  <c r="L43" i="5"/>
  <c r="M43" i="5"/>
  <c r="D44" i="5"/>
  <c r="E44" i="5"/>
  <c r="F44" i="5"/>
  <c r="G44" i="5"/>
  <c r="H44" i="5"/>
  <c r="I44" i="5"/>
  <c r="J44" i="5"/>
  <c r="K44" i="5"/>
  <c r="L44" i="5"/>
  <c r="M44" i="5"/>
  <c r="D45" i="5"/>
  <c r="E45" i="5"/>
  <c r="F45" i="5"/>
  <c r="G45" i="5"/>
  <c r="H45" i="5"/>
  <c r="I45" i="5"/>
  <c r="J45" i="5"/>
  <c r="K45" i="5"/>
  <c r="L45" i="5"/>
  <c r="M45" i="5"/>
  <c r="D46" i="5"/>
  <c r="E46" i="5"/>
  <c r="F46" i="5"/>
  <c r="G46" i="5"/>
  <c r="H46" i="5"/>
  <c r="I46" i="5"/>
  <c r="J46" i="5"/>
  <c r="K46" i="5"/>
  <c r="L46" i="5"/>
  <c r="M46" i="5"/>
  <c r="D47" i="5"/>
  <c r="E47" i="5"/>
  <c r="F47" i="5"/>
  <c r="G47" i="5"/>
  <c r="H47" i="5"/>
  <c r="I47" i="5"/>
  <c r="J47" i="5"/>
  <c r="K47" i="5"/>
  <c r="L47" i="5"/>
  <c r="M47" i="5"/>
  <c r="D48" i="5"/>
  <c r="E48" i="5"/>
  <c r="F48" i="5"/>
  <c r="G48" i="5"/>
  <c r="H48" i="5"/>
  <c r="I48" i="5"/>
  <c r="J48" i="5"/>
  <c r="K48" i="5"/>
  <c r="L48" i="5"/>
  <c r="M48" i="5"/>
  <c r="D49" i="5"/>
  <c r="E49" i="5"/>
  <c r="F49" i="5"/>
  <c r="G49" i="5"/>
  <c r="H49" i="5"/>
  <c r="I49" i="5"/>
  <c r="J49" i="5"/>
  <c r="K49" i="5"/>
  <c r="L49" i="5"/>
  <c r="M49" i="5"/>
  <c r="D50" i="5"/>
  <c r="E50" i="5"/>
  <c r="F50" i="5"/>
  <c r="G50" i="5"/>
  <c r="H50" i="5"/>
  <c r="I50" i="5"/>
  <c r="J50" i="5"/>
  <c r="K50" i="5"/>
  <c r="L50" i="5"/>
  <c r="M50" i="5"/>
  <c r="D51" i="5"/>
  <c r="E51" i="5"/>
  <c r="F51" i="5"/>
  <c r="G51" i="5"/>
  <c r="H51" i="5"/>
  <c r="I51" i="5"/>
  <c r="J51" i="5"/>
  <c r="K51" i="5"/>
  <c r="L51" i="5"/>
  <c r="M51" i="5"/>
  <c r="D52" i="5"/>
  <c r="E52" i="5"/>
  <c r="F52" i="5"/>
  <c r="G52" i="5"/>
  <c r="H52" i="5"/>
  <c r="I52" i="5"/>
  <c r="J52" i="5"/>
  <c r="K52" i="5"/>
  <c r="L52" i="5"/>
  <c r="M52" i="5"/>
  <c r="D53" i="5"/>
  <c r="E53" i="5"/>
  <c r="F53" i="5"/>
  <c r="G53" i="5"/>
  <c r="H53" i="5"/>
  <c r="I53" i="5"/>
  <c r="J53" i="5"/>
  <c r="K53" i="5"/>
  <c r="L53" i="5"/>
  <c r="M53" i="5"/>
  <c r="D54" i="5"/>
  <c r="E54" i="5"/>
  <c r="F54" i="5"/>
  <c r="G54" i="5"/>
  <c r="H54" i="5"/>
  <c r="I54" i="5"/>
  <c r="J54" i="5"/>
  <c r="K54" i="5"/>
  <c r="L54" i="5"/>
  <c r="M54" i="5"/>
  <c r="D55" i="5"/>
  <c r="E55" i="5"/>
  <c r="F55" i="5"/>
  <c r="G55" i="5"/>
  <c r="H55" i="5"/>
  <c r="I55" i="5"/>
  <c r="J55" i="5"/>
  <c r="K55" i="5"/>
  <c r="L55" i="5"/>
  <c r="M55" i="5"/>
  <c r="D56" i="5"/>
  <c r="E56" i="5"/>
  <c r="F56" i="5"/>
  <c r="G56" i="5"/>
  <c r="H56" i="5"/>
  <c r="I56" i="5"/>
  <c r="J56" i="5"/>
  <c r="K56" i="5"/>
  <c r="L56" i="5"/>
  <c r="M56" i="5"/>
  <c r="D57" i="5"/>
  <c r="E57" i="5"/>
  <c r="F57" i="5"/>
  <c r="G57" i="5"/>
  <c r="H57" i="5"/>
  <c r="I57" i="5"/>
  <c r="J57" i="5"/>
  <c r="K57" i="5"/>
  <c r="L57" i="5"/>
  <c r="M57" i="5"/>
  <c r="D58" i="5"/>
  <c r="E58" i="5"/>
  <c r="F58" i="5"/>
  <c r="G58" i="5"/>
  <c r="H58" i="5"/>
  <c r="I58" i="5"/>
  <c r="J58" i="5"/>
  <c r="K58" i="5"/>
  <c r="L58" i="5"/>
  <c r="M58" i="5"/>
  <c r="D59" i="5"/>
  <c r="E59" i="5"/>
  <c r="F59" i="5"/>
  <c r="G59" i="5"/>
  <c r="H59" i="5"/>
  <c r="I59" i="5"/>
  <c r="J59" i="5"/>
  <c r="K59" i="5"/>
  <c r="L59" i="5"/>
  <c r="M59" i="5"/>
  <c r="D60" i="5"/>
  <c r="E60" i="5"/>
  <c r="F60" i="5"/>
  <c r="G60" i="5"/>
  <c r="H60" i="5"/>
  <c r="I60" i="5"/>
  <c r="J60" i="5"/>
  <c r="K60" i="5"/>
  <c r="L60" i="5"/>
  <c r="M60" i="5"/>
  <c r="D61" i="5"/>
  <c r="E61" i="5"/>
  <c r="F61" i="5"/>
  <c r="G61" i="5"/>
  <c r="H61" i="5"/>
  <c r="I61" i="5"/>
  <c r="J61" i="5"/>
  <c r="K61" i="5"/>
  <c r="L61" i="5"/>
  <c r="M61" i="5"/>
  <c r="D62" i="5"/>
  <c r="E62" i="5"/>
  <c r="F62" i="5"/>
  <c r="G62" i="5"/>
  <c r="H62" i="5"/>
  <c r="I62" i="5"/>
  <c r="J62" i="5"/>
  <c r="K62" i="5"/>
  <c r="L62" i="5"/>
  <c r="M62" i="5"/>
  <c r="D63" i="5"/>
  <c r="E63" i="5"/>
  <c r="F63" i="5"/>
  <c r="G63" i="5"/>
  <c r="H63" i="5"/>
  <c r="I63" i="5"/>
  <c r="J63" i="5"/>
  <c r="K63" i="5"/>
  <c r="L63" i="5"/>
  <c r="M63" i="5"/>
  <c r="D64" i="5"/>
  <c r="E64" i="5"/>
  <c r="F64" i="5"/>
  <c r="G64" i="5"/>
  <c r="H64" i="5"/>
  <c r="I64" i="5"/>
  <c r="J64" i="5"/>
  <c r="K64" i="5"/>
  <c r="L64" i="5"/>
  <c r="M64" i="5"/>
  <c r="D65" i="5"/>
  <c r="E65" i="5"/>
  <c r="F65" i="5"/>
  <c r="G65" i="5"/>
  <c r="H65" i="5"/>
  <c r="I65" i="5"/>
  <c r="J65" i="5"/>
  <c r="K65" i="5"/>
  <c r="L65" i="5"/>
  <c r="M65" i="5"/>
  <c r="D66" i="5"/>
  <c r="E66" i="5"/>
  <c r="F66" i="5"/>
  <c r="G66" i="5"/>
  <c r="H66" i="5"/>
  <c r="I66" i="5"/>
  <c r="J66" i="5"/>
  <c r="K66" i="5"/>
  <c r="L66" i="5"/>
  <c r="M66" i="5"/>
  <c r="E40" i="5"/>
  <c r="F40" i="5"/>
  <c r="G40" i="5"/>
  <c r="H40" i="5"/>
  <c r="I40" i="5"/>
  <c r="J40" i="5"/>
  <c r="K40" i="5"/>
  <c r="L40" i="5"/>
  <c r="M40" i="5"/>
  <c r="D40" i="5"/>
  <c r="L34" i="4"/>
  <c r="M34" i="4" s="1"/>
  <c r="J34" i="4"/>
  <c r="G34" i="4"/>
  <c r="L31" i="4"/>
  <c r="M31" i="4" s="1"/>
  <c r="L32" i="4"/>
  <c r="M32" i="4" s="1"/>
  <c r="L33" i="4"/>
  <c r="M33" i="4" s="1"/>
  <c r="J31" i="4"/>
  <c r="J32" i="4"/>
  <c r="J33" i="4"/>
  <c r="G32" i="4"/>
  <c r="G33" i="4"/>
  <c r="G31" i="4"/>
  <c r="L30" i="4"/>
  <c r="M30" i="4" s="1"/>
  <c r="J30" i="4"/>
  <c r="L29" i="4"/>
  <c r="M29" i="4" s="1"/>
  <c r="J29" i="4"/>
  <c r="G29" i="4"/>
  <c r="G28" i="4"/>
  <c r="J28" i="4" s="1"/>
  <c r="J27" i="4"/>
  <c r="G27" i="4"/>
  <c r="J26" i="4"/>
  <c r="J25" i="4"/>
  <c r="J24" i="4"/>
  <c r="J23" i="4"/>
  <c r="G24" i="4"/>
  <c r="G25" i="4"/>
  <c r="G23" i="4"/>
  <c r="J22" i="4"/>
  <c r="J21" i="4"/>
  <c r="J20" i="4"/>
  <c r="G21" i="4"/>
  <c r="G22" i="4"/>
  <c r="G20" i="4"/>
  <c r="J19" i="4"/>
  <c r="J18" i="4"/>
  <c r="G19" i="4"/>
  <c r="G18" i="4"/>
  <c r="J17" i="4"/>
  <c r="G16" i="4"/>
  <c r="J16" i="4" s="1"/>
  <c r="G15" i="4"/>
  <c r="G14" i="4"/>
  <c r="J14" i="4" s="1"/>
  <c r="G13" i="4"/>
  <c r="J13" i="4" s="1"/>
  <c r="G12" i="4"/>
  <c r="J12" i="4" s="1"/>
  <c r="G11" i="4"/>
  <c r="J11" i="4" s="1"/>
  <c r="J15" i="4"/>
  <c r="H10" i="4"/>
  <c r="E10" i="4"/>
  <c r="F10" i="4"/>
  <c r="G9" i="4"/>
  <c r="G10" i="4" s="1"/>
  <c r="J10" i="4" s="1"/>
  <c r="J8" i="4"/>
  <c r="J7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4" i="4"/>
  <c r="L5" i="4"/>
  <c r="L6" i="4"/>
  <c r="J4" i="4"/>
  <c r="J5" i="4"/>
  <c r="J6" i="4"/>
  <c r="L3" i="4"/>
  <c r="J3" i="4"/>
  <c r="Q57" i="5" l="1"/>
  <c r="Q49" i="5"/>
  <c r="R49" i="5" s="1"/>
  <c r="Q48" i="5"/>
  <c r="R48" i="5" s="1"/>
  <c r="R56" i="5"/>
  <c r="R55" i="5"/>
  <c r="R44" i="5"/>
  <c r="R64" i="5"/>
  <c r="R52" i="5"/>
  <c r="R65" i="5"/>
  <c r="R57" i="5"/>
  <c r="Q58" i="5"/>
  <c r="R58" i="5" s="1"/>
  <c r="Q50" i="5"/>
  <c r="R50" i="5" s="1"/>
  <c r="Q59" i="5"/>
  <c r="R59" i="5" s="1"/>
  <c r="O64" i="5"/>
  <c r="O59" i="5"/>
  <c r="O51" i="5"/>
  <c r="O55" i="5"/>
  <c r="O58" i="5"/>
  <c r="O50" i="5"/>
  <c r="O48" i="5"/>
  <c r="O53" i="5"/>
  <c r="O52" i="5"/>
  <c r="O65" i="5"/>
  <c r="O57" i="5"/>
  <c r="O49" i="5"/>
  <c r="Q53" i="5"/>
  <c r="R53" i="5" s="1"/>
  <c r="Q45" i="5"/>
  <c r="R45" i="5" s="1"/>
  <c r="Q51" i="5"/>
  <c r="R51" i="5" s="1"/>
  <c r="Q43" i="5"/>
  <c r="R43" i="5" s="1"/>
  <c r="M28" i="4"/>
  <c r="M27" i="4"/>
  <c r="M25" i="4"/>
  <c r="M24" i="4"/>
  <c r="M23" i="4"/>
  <c r="M20" i="4"/>
  <c r="M19" i="4"/>
  <c r="M4" i="4"/>
  <c r="J9" i="4"/>
  <c r="M7" i="4"/>
  <c r="M3" i="4"/>
  <c r="M11" i="4"/>
  <c r="M15" i="4"/>
  <c r="M16" i="4"/>
  <c r="M21" i="4"/>
  <c r="M26" i="4"/>
  <c r="M18" i="4"/>
  <c r="M17" i="4"/>
  <c r="M10" i="4"/>
  <c r="M9" i="4"/>
  <c r="M12" i="4"/>
  <c r="M13" i="4"/>
  <c r="M22" i="4"/>
  <c r="M14" i="4"/>
  <c r="M8" i="4"/>
  <c r="M6" i="4"/>
  <c r="M5" i="4"/>
  <c r="D33" i="2"/>
  <c r="E33" i="2"/>
  <c r="F33" i="2"/>
  <c r="G33" i="2"/>
  <c r="H33" i="2"/>
  <c r="J33" i="2"/>
  <c r="L33" i="2"/>
  <c r="M33" i="2"/>
  <c r="O33" i="2"/>
  <c r="P33" i="2"/>
  <c r="Q33" i="2"/>
  <c r="R33" i="2"/>
  <c r="S33" i="2"/>
  <c r="U33" i="2"/>
  <c r="V33" i="2"/>
  <c r="W33" i="2"/>
  <c r="X33" i="2"/>
  <c r="D34" i="2"/>
  <c r="E34" i="2"/>
  <c r="F34" i="2"/>
  <c r="G34" i="2"/>
  <c r="H34" i="2"/>
  <c r="J34" i="2"/>
  <c r="L34" i="2"/>
  <c r="M34" i="2"/>
  <c r="O34" i="2"/>
  <c r="P34" i="2"/>
  <c r="Q34" i="2"/>
  <c r="R34" i="2"/>
  <c r="S34" i="2"/>
  <c r="U34" i="2"/>
  <c r="V34" i="2"/>
  <c r="W34" i="2"/>
  <c r="X34" i="2"/>
  <c r="D35" i="2"/>
  <c r="E35" i="2"/>
  <c r="F35" i="2"/>
  <c r="G35" i="2"/>
  <c r="H35" i="2"/>
  <c r="J35" i="2"/>
  <c r="L35" i="2"/>
  <c r="M35" i="2"/>
  <c r="O35" i="2"/>
  <c r="P35" i="2"/>
  <c r="Q35" i="2"/>
  <c r="R35" i="2"/>
  <c r="S35" i="2"/>
  <c r="U35" i="2"/>
  <c r="V35" i="2"/>
  <c r="W35" i="2"/>
  <c r="X35" i="2"/>
  <c r="D36" i="2"/>
  <c r="F36" i="2"/>
  <c r="G36" i="2"/>
  <c r="H36" i="2"/>
  <c r="J36" i="2"/>
  <c r="L36" i="2"/>
  <c r="M36" i="2"/>
  <c r="O36" i="2"/>
  <c r="P36" i="2"/>
  <c r="Q36" i="2"/>
  <c r="R36" i="2"/>
  <c r="S36" i="2"/>
  <c r="U36" i="2"/>
  <c r="V36" i="2"/>
  <c r="W36" i="2"/>
  <c r="X36" i="2"/>
  <c r="C33" i="2"/>
  <c r="C34" i="2"/>
  <c r="C35" i="2"/>
  <c r="C36" i="2"/>
  <c r="D24" i="2"/>
  <c r="E24" i="2"/>
  <c r="F24" i="2"/>
  <c r="G24" i="2"/>
  <c r="H24" i="2"/>
  <c r="I24" i="2"/>
  <c r="J24" i="2"/>
  <c r="L24" i="2"/>
  <c r="M24" i="2"/>
  <c r="O24" i="2"/>
  <c r="P24" i="2"/>
  <c r="Q24" i="2"/>
  <c r="S24" i="2"/>
  <c r="T24" i="2"/>
  <c r="U24" i="2"/>
  <c r="V24" i="2"/>
  <c r="W24" i="2"/>
  <c r="X24" i="2"/>
  <c r="D25" i="2"/>
  <c r="E25" i="2"/>
  <c r="F25" i="2"/>
  <c r="G25" i="2"/>
  <c r="H25" i="2"/>
  <c r="I25" i="2"/>
  <c r="J25" i="2"/>
  <c r="L25" i="2"/>
  <c r="M25" i="2"/>
  <c r="O25" i="2"/>
  <c r="P25" i="2"/>
  <c r="Q25" i="2"/>
  <c r="W25" i="2"/>
  <c r="X25" i="2"/>
  <c r="D26" i="2"/>
  <c r="E26" i="2"/>
  <c r="F26" i="2"/>
  <c r="G26" i="2"/>
  <c r="H26" i="2"/>
  <c r="I26" i="2"/>
  <c r="J26" i="2"/>
  <c r="L26" i="2"/>
  <c r="M26" i="2"/>
  <c r="O26" i="2"/>
  <c r="P26" i="2"/>
  <c r="Q26" i="2"/>
  <c r="R26" i="2"/>
  <c r="S26" i="2"/>
  <c r="U26" i="2"/>
  <c r="V26" i="2"/>
  <c r="W26" i="2"/>
  <c r="X26" i="2"/>
  <c r="D27" i="2"/>
  <c r="E27" i="2"/>
  <c r="F27" i="2"/>
  <c r="G27" i="2"/>
  <c r="H27" i="2"/>
  <c r="I27" i="2"/>
  <c r="J27" i="2"/>
  <c r="L27" i="2"/>
  <c r="M27" i="2"/>
  <c r="O27" i="2"/>
  <c r="P27" i="2"/>
  <c r="Q27" i="2"/>
  <c r="R27" i="2"/>
  <c r="D28" i="2"/>
  <c r="E28" i="2"/>
  <c r="F28" i="2"/>
  <c r="G28" i="2"/>
  <c r="H28" i="2"/>
  <c r="I28" i="2"/>
  <c r="J28" i="2"/>
  <c r="M28" i="2"/>
  <c r="O28" i="2"/>
  <c r="P28" i="2"/>
  <c r="Q28" i="2"/>
  <c r="R28" i="2"/>
  <c r="C28" i="2"/>
  <c r="C27" i="2"/>
  <c r="C26" i="2"/>
  <c r="C25" i="2"/>
  <c r="C24" i="2"/>
  <c r="D22" i="2"/>
  <c r="E22" i="2"/>
  <c r="F22" i="2"/>
  <c r="G22" i="2"/>
  <c r="H22" i="2"/>
  <c r="I22" i="2"/>
  <c r="J22" i="2"/>
  <c r="L22" i="2"/>
  <c r="M22" i="2"/>
  <c r="O22" i="2"/>
  <c r="P22" i="2"/>
  <c r="Q22" i="2"/>
  <c r="V22" i="2"/>
  <c r="W22" i="2"/>
  <c r="X22" i="2"/>
  <c r="D23" i="2"/>
  <c r="E23" i="2"/>
  <c r="F23" i="2"/>
  <c r="G23" i="2"/>
  <c r="H23" i="2"/>
  <c r="I23" i="2"/>
  <c r="J23" i="2"/>
  <c r="M23" i="2"/>
  <c r="O23" i="2"/>
  <c r="P23" i="2"/>
  <c r="Q23" i="2"/>
  <c r="V23" i="2"/>
  <c r="W23" i="2"/>
  <c r="X23" i="2"/>
  <c r="C23" i="2"/>
  <c r="C22" i="2"/>
  <c r="D16" i="2"/>
  <c r="E16" i="2"/>
  <c r="F16" i="2"/>
  <c r="G16" i="2"/>
  <c r="H16" i="2"/>
  <c r="I16" i="2"/>
  <c r="J16" i="2"/>
  <c r="K16" i="2"/>
  <c r="L16" i="2"/>
  <c r="M16" i="2"/>
  <c r="O16" i="2"/>
  <c r="P16" i="2"/>
  <c r="Q16" i="2"/>
  <c r="R16" i="2"/>
  <c r="W16" i="2"/>
  <c r="X16" i="2"/>
  <c r="D17" i="2"/>
  <c r="E17" i="2"/>
  <c r="F17" i="2"/>
  <c r="G17" i="2"/>
  <c r="H17" i="2"/>
  <c r="I17" i="2"/>
  <c r="J17" i="2"/>
  <c r="K17" i="2"/>
  <c r="L17" i="2"/>
  <c r="M17" i="2"/>
  <c r="O17" i="2"/>
  <c r="P17" i="2"/>
  <c r="Q17" i="2"/>
  <c r="R17" i="2"/>
  <c r="S17" i="2"/>
  <c r="X17" i="2"/>
  <c r="D18" i="2"/>
  <c r="E18" i="2"/>
  <c r="F18" i="2"/>
  <c r="G18" i="2"/>
  <c r="H18" i="2"/>
  <c r="I18" i="2"/>
  <c r="L18" i="2"/>
  <c r="M18" i="2"/>
  <c r="O18" i="2"/>
  <c r="P18" i="2"/>
  <c r="Q18" i="2"/>
  <c r="R18" i="2"/>
  <c r="T18" i="2"/>
  <c r="U18" i="2"/>
  <c r="V18" i="2"/>
  <c r="W18" i="2"/>
  <c r="X18" i="2"/>
  <c r="D19" i="2"/>
  <c r="E19" i="2"/>
  <c r="F19" i="2"/>
  <c r="G19" i="2"/>
  <c r="H19" i="2"/>
  <c r="I19" i="2"/>
  <c r="J19" i="2"/>
  <c r="K19" i="2"/>
  <c r="L19" i="2"/>
  <c r="M19" i="2"/>
  <c r="O19" i="2"/>
  <c r="P19" i="2"/>
  <c r="Q19" i="2"/>
  <c r="R19" i="2"/>
  <c r="S19" i="2"/>
  <c r="T19" i="2"/>
  <c r="V19" i="2"/>
  <c r="W19" i="2"/>
  <c r="X19" i="2"/>
  <c r="D20" i="2"/>
  <c r="E20" i="2"/>
  <c r="F20" i="2"/>
  <c r="G20" i="2"/>
  <c r="H20" i="2"/>
  <c r="I20" i="2"/>
  <c r="J20" i="2"/>
  <c r="K20" i="2"/>
  <c r="L20" i="2"/>
  <c r="M20" i="2"/>
  <c r="O20" i="2"/>
  <c r="P20" i="2"/>
  <c r="Q20" i="2"/>
  <c r="R20" i="2"/>
  <c r="S20" i="2"/>
  <c r="T20" i="2"/>
  <c r="V20" i="2"/>
  <c r="W20" i="2"/>
  <c r="X20" i="2"/>
  <c r="D21" i="2"/>
  <c r="E21" i="2"/>
  <c r="F21" i="2"/>
  <c r="G21" i="2"/>
  <c r="H21" i="2"/>
  <c r="I21" i="2"/>
  <c r="J21" i="2"/>
  <c r="K21" i="2"/>
  <c r="L21" i="2"/>
  <c r="M21" i="2"/>
  <c r="O21" i="2"/>
  <c r="P21" i="2"/>
  <c r="Q21" i="2"/>
  <c r="R21" i="2"/>
  <c r="S21" i="2"/>
  <c r="T21" i="2"/>
  <c r="V21" i="2"/>
  <c r="W21" i="2"/>
  <c r="X21" i="2"/>
  <c r="C20" i="2"/>
  <c r="C21" i="2"/>
  <c r="C19" i="2"/>
  <c r="C18" i="2"/>
  <c r="C17" i="2"/>
  <c r="C16" i="2"/>
  <c r="D3" i="2"/>
  <c r="E3" i="2"/>
  <c r="F3" i="2"/>
  <c r="G3" i="2"/>
  <c r="H3" i="2"/>
  <c r="I3" i="2"/>
  <c r="J3" i="2"/>
  <c r="L3" i="2"/>
  <c r="M3" i="2"/>
  <c r="O3" i="2"/>
  <c r="P3" i="2"/>
  <c r="Q3" i="2"/>
  <c r="S3" i="2"/>
  <c r="T3" i="2"/>
  <c r="U3" i="2"/>
  <c r="V3" i="2"/>
  <c r="W3" i="2"/>
  <c r="X3" i="2"/>
  <c r="D4" i="2"/>
  <c r="E4" i="2"/>
  <c r="F4" i="2"/>
  <c r="G4" i="2"/>
  <c r="H4" i="2"/>
  <c r="I4" i="2"/>
  <c r="J4" i="2"/>
  <c r="L4" i="2"/>
  <c r="M4" i="2"/>
  <c r="O4" i="2"/>
  <c r="P4" i="2"/>
  <c r="Q4" i="2"/>
  <c r="S4" i="2"/>
  <c r="T4" i="2"/>
  <c r="U4" i="2"/>
  <c r="V4" i="2"/>
  <c r="W4" i="2"/>
  <c r="X4" i="2"/>
  <c r="D5" i="2"/>
  <c r="E5" i="2"/>
  <c r="F5" i="2"/>
  <c r="G5" i="2"/>
  <c r="H5" i="2"/>
  <c r="I5" i="2"/>
  <c r="J5" i="2"/>
  <c r="L5" i="2"/>
  <c r="M5" i="2"/>
  <c r="O5" i="2"/>
  <c r="P5" i="2"/>
  <c r="Q5" i="2"/>
  <c r="R5" i="2"/>
  <c r="S5" i="2"/>
  <c r="U5" i="2"/>
  <c r="V5" i="2"/>
  <c r="W5" i="2"/>
  <c r="X5" i="2"/>
  <c r="D6" i="2"/>
  <c r="E6" i="2"/>
  <c r="F6" i="2"/>
  <c r="G6" i="2"/>
  <c r="H6" i="2"/>
  <c r="I6" i="2"/>
  <c r="J6" i="2"/>
  <c r="L6" i="2"/>
  <c r="M6" i="2"/>
  <c r="O6" i="2"/>
  <c r="P6" i="2"/>
  <c r="Q6" i="2"/>
  <c r="R6" i="2"/>
  <c r="T6" i="2"/>
  <c r="U6" i="2"/>
  <c r="V6" i="2"/>
  <c r="W6" i="2"/>
  <c r="X6" i="2"/>
  <c r="D7" i="2"/>
  <c r="E7" i="2"/>
  <c r="F7" i="2"/>
  <c r="G7" i="2"/>
  <c r="H7" i="2"/>
  <c r="I7" i="2"/>
  <c r="J7" i="2"/>
  <c r="L7" i="2"/>
  <c r="M7" i="2"/>
  <c r="O7" i="2"/>
  <c r="P7" i="2"/>
  <c r="Q7" i="2"/>
  <c r="R7" i="2"/>
  <c r="S7" i="2"/>
  <c r="U7" i="2"/>
  <c r="V7" i="2"/>
  <c r="W7" i="2"/>
  <c r="X7" i="2"/>
  <c r="D8" i="2"/>
  <c r="E8" i="2"/>
  <c r="F8" i="2"/>
  <c r="G8" i="2"/>
  <c r="H8" i="2"/>
  <c r="I8" i="2"/>
  <c r="J8" i="2"/>
  <c r="M8" i="2"/>
  <c r="O8" i="2"/>
  <c r="P8" i="2"/>
  <c r="Q8" i="2"/>
  <c r="R8" i="2"/>
  <c r="S8" i="2"/>
  <c r="T8" i="2"/>
  <c r="V8" i="2"/>
  <c r="W8" i="2"/>
  <c r="X8" i="2"/>
  <c r="D9" i="2"/>
  <c r="E9" i="2"/>
  <c r="F9" i="2"/>
  <c r="G9" i="2"/>
  <c r="H9" i="2"/>
  <c r="I9" i="2"/>
  <c r="J9" i="2"/>
  <c r="M9" i="2"/>
  <c r="O9" i="2"/>
  <c r="P9" i="2"/>
  <c r="Q9" i="2"/>
  <c r="R9" i="2"/>
  <c r="S9" i="2"/>
  <c r="T9" i="2"/>
  <c r="V9" i="2"/>
  <c r="W9" i="2"/>
  <c r="X9" i="2"/>
  <c r="D10" i="2"/>
  <c r="E10" i="2"/>
  <c r="F10" i="2"/>
  <c r="G10" i="2"/>
  <c r="H10" i="2"/>
  <c r="L10" i="2"/>
  <c r="M10" i="2"/>
  <c r="O10" i="2"/>
  <c r="P10" i="2"/>
  <c r="Q10" i="2"/>
  <c r="R10" i="2"/>
  <c r="S10" i="2"/>
  <c r="T10" i="2"/>
  <c r="U10" i="2"/>
  <c r="W10" i="2"/>
  <c r="X10" i="2"/>
  <c r="D11" i="2"/>
  <c r="E11" i="2"/>
  <c r="F11" i="2"/>
  <c r="G11" i="2"/>
  <c r="H11" i="2"/>
  <c r="L11" i="2"/>
  <c r="M11" i="2"/>
  <c r="O11" i="2"/>
  <c r="P11" i="2"/>
  <c r="Q11" i="2"/>
  <c r="R11" i="2"/>
  <c r="S11" i="2"/>
  <c r="T11" i="2"/>
  <c r="V11" i="2"/>
  <c r="W11" i="2"/>
  <c r="X11" i="2"/>
  <c r="D12" i="2"/>
  <c r="E12" i="2"/>
  <c r="F12" i="2"/>
  <c r="G12" i="2"/>
  <c r="H12" i="2"/>
  <c r="J12" i="2"/>
  <c r="L12" i="2"/>
  <c r="M12" i="2"/>
  <c r="O12" i="2"/>
  <c r="P12" i="2"/>
  <c r="Q12" i="2"/>
  <c r="R12" i="2"/>
  <c r="S12" i="2"/>
  <c r="T12" i="2"/>
  <c r="V12" i="2"/>
  <c r="W12" i="2"/>
  <c r="X12" i="2"/>
  <c r="D13" i="2"/>
  <c r="E13" i="2"/>
  <c r="F13" i="2"/>
  <c r="G13" i="2"/>
  <c r="H13" i="2"/>
  <c r="J13" i="2"/>
  <c r="L13" i="2"/>
  <c r="M13" i="2"/>
  <c r="O13" i="2"/>
  <c r="P13" i="2"/>
  <c r="Q13" i="2"/>
  <c r="R13" i="2"/>
  <c r="S13" i="2"/>
  <c r="T13" i="2"/>
  <c r="V13" i="2"/>
  <c r="W13" i="2"/>
  <c r="X13" i="2"/>
  <c r="D14" i="2"/>
  <c r="E14" i="2"/>
  <c r="F14" i="2"/>
  <c r="G14" i="2"/>
  <c r="H14" i="2"/>
  <c r="J14" i="2"/>
  <c r="L14" i="2"/>
  <c r="M14" i="2"/>
  <c r="O14" i="2"/>
  <c r="P14" i="2"/>
  <c r="Q14" i="2"/>
  <c r="R14" i="2"/>
  <c r="S14" i="2"/>
  <c r="T14" i="2"/>
  <c r="U14" i="2"/>
  <c r="W14" i="2"/>
  <c r="X14" i="2"/>
  <c r="D15" i="2"/>
  <c r="E15" i="2"/>
  <c r="F15" i="2"/>
  <c r="G15" i="2"/>
  <c r="H15" i="2"/>
  <c r="J15" i="2"/>
  <c r="L15" i="2"/>
  <c r="M15" i="2"/>
  <c r="O15" i="2"/>
  <c r="P15" i="2"/>
  <c r="Q15" i="2"/>
  <c r="R15" i="2"/>
  <c r="S15" i="2"/>
  <c r="T15" i="2"/>
  <c r="U15" i="2"/>
  <c r="V15" i="2"/>
  <c r="X1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D2" i="2"/>
  <c r="E2" i="2"/>
  <c r="F2" i="2"/>
  <c r="G2" i="2"/>
  <c r="H2" i="2"/>
  <c r="I2" i="2"/>
  <c r="J2" i="2"/>
  <c r="L2" i="2"/>
  <c r="M2" i="2"/>
  <c r="O2" i="2"/>
  <c r="P2" i="2"/>
  <c r="Q2" i="2"/>
  <c r="S2" i="2"/>
  <c r="T2" i="2"/>
  <c r="U2" i="2"/>
  <c r="V2" i="2"/>
  <c r="W2" i="2"/>
  <c r="X2" i="2"/>
  <c r="C2" i="2"/>
  <c r="H106" i="1"/>
  <c r="K139" i="1" l="1"/>
  <c r="K140" i="1"/>
  <c r="K141" i="1"/>
  <c r="K142" i="1"/>
  <c r="K138" i="1"/>
  <c r="W76" i="1"/>
  <c r="T16" i="1" s="1"/>
  <c r="V76" i="1"/>
  <c r="S16" i="1" s="1"/>
  <c r="U76" i="1"/>
  <c r="R16" i="1" s="1"/>
  <c r="S76" i="1"/>
  <c r="P16" i="1" s="1"/>
  <c r="R76" i="1"/>
  <c r="O16" i="1" s="1"/>
  <c r="Q76" i="1"/>
  <c r="N16" i="1" s="1"/>
  <c r="P76" i="1"/>
  <c r="M16" i="1" s="1"/>
  <c r="O76" i="1"/>
  <c r="L16" i="1" s="1"/>
  <c r="N76" i="1"/>
  <c r="K16" i="1" s="1"/>
  <c r="J33" i="1"/>
  <c r="O96" i="1"/>
  <c r="L26" i="1" s="1"/>
  <c r="P96" i="1"/>
  <c r="M26" i="1" s="1"/>
  <c r="Q96" i="1"/>
  <c r="N96" i="1"/>
  <c r="K26" i="1" s="1"/>
  <c r="O92" i="1"/>
  <c r="P92" i="1"/>
  <c r="Q92" i="1"/>
  <c r="R92" i="1"/>
  <c r="T92" i="1"/>
  <c r="U92" i="1"/>
  <c r="V92" i="1"/>
  <c r="W92" i="1"/>
  <c r="N92" i="1"/>
  <c r="O89" i="1"/>
  <c r="P89" i="1"/>
  <c r="V89" i="1"/>
  <c r="W89" i="1"/>
  <c r="N89" i="1"/>
  <c r="O86" i="1"/>
  <c r="P86" i="1"/>
  <c r="R86" i="1"/>
  <c r="S86" i="1"/>
  <c r="T86" i="1"/>
  <c r="U86" i="1"/>
  <c r="V86" i="1"/>
  <c r="W86" i="1"/>
  <c r="N86" i="1"/>
  <c r="O83" i="1"/>
  <c r="L22" i="1" s="1"/>
  <c r="P83" i="1"/>
  <c r="M22" i="1" s="1"/>
  <c r="U83" i="1"/>
  <c r="R22" i="1" s="1"/>
  <c r="V83" i="1"/>
  <c r="S22" i="1" s="1"/>
  <c r="W83" i="1"/>
  <c r="T22" i="1" s="1"/>
  <c r="N83" i="1"/>
  <c r="K22" i="1" s="1"/>
  <c r="J95" i="1"/>
  <c r="J94" i="1"/>
  <c r="J91" i="1"/>
  <c r="J88" i="1"/>
  <c r="J85" i="1"/>
  <c r="J82" i="1"/>
  <c r="J81" i="1"/>
  <c r="I21" i="1"/>
  <c r="J20" i="1"/>
  <c r="E36" i="2"/>
  <c r="I14" i="1"/>
  <c r="I15" i="1"/>
  <c r="I22" i="1"/>
  <c r="I23" i="1"/>
  <c r="I24" i="1"/>
  <c r="I25" i="1"/>
  <c r="I16" i="1"/>
  <c r="I26" i="1"/>
  <c r="I13" i="1"/>
  <c r="C26" i="1"/>
  <c r="C16" i="1"/>
  <c r="D76" i="1"/>
  <c r="D96" i="1"/>
  <c r="K95" i="1"/>
  <c r="Z75" i="1"/>
  <c r="AA75" i="1" s="1"/>
  <c r="M75" i="1"/>
  <c r="Z74" i="1"/>
  <c r="AA74" i="1" s="1"/>
  <c r="M74" i="1"/>
  <c r="I139" i="1"/>
  <c r="I138" i="1"/>
  <c r="J11" i="1"/>
  <c r="O143" i="1"/>
  <c r="P143" i="1"/>
  <c r="Q143" i="1"/>
  <c r="R143" i="1"/>
  <c r="T143" i="1"/>
  <c r="V143" i="1"/>
  <c r="N143" i="1"/>
  <c r="N134" i="1"/>
  <c r="Z73" i="1"/>
  <c r="AA73" i="1" s="1"/>
  <c r="H58" i="1"/>
  <c r="I10" i="2" s="1"/>
  <c r="H59" i="1"/>
  <c r="I11" i="2" s="1"/>
  <c r="H60" i="1"/>
  <c r="I12" i="2" s="1"/>
  <c r="H61" i="1"/>
  <c r="I13" i="2" s="1"/>
  <c r="H62" i="1"/>
  <c r="I14" i="2" s="1"/>
  <c r="H63" i="1"/>
  <c r="I15" i="2" s="1"/>
  <c r="I59" i="1"/>
  <c r="J11" i="2" s="1"/>
  <c r="I58" i="1"/>
  <c r="J10" i="2" s="1"/>
  <c r="O134" i="1"/>
  <c r="G138" i="1"/>
  <c r="Z81" i="1" l="1"/>
  <c r="AA81" i="1" s="1"/>
  <c r="T74" i="1"/>
  <c r="U20" i="2" s="1"/>
  <c r="N20" i="2"/>
  <c r="Z82" i="1"/>
  <c r="AA82" i="1" s="1"/>
  <c r="M85" i="1"/>
  <c r="M88" i="1"/>
  <c r="T75" i="1"/>
  <c r="U21" i="2" s="1"/>
  <c r="N21" i="2"/>
  <c r="M91" i="1"/>
  <c r="M94" i="1"/>
  <c r="N64" i="5"/>
  <c r="L28" i="2"/>
  <c r="M95" i="1"/>
  <c r="T95" i="1" s="1"/>
  <c r="U28" i="2" s="1"/>
  <c r="AA76" i="1"/>
  <c r="F16" i="1" s="1"/>
  <c r="M81" i="1"/>
  <c r="Z95" i="1"/>
  <c r="AA95" i="1" s="1"/>
  <c r="Z94" i="1"/>
  <c r="G132" i="1"/>
  <c r="J48" i="1"/>
  <c r="J106" i="1" s="1"/>
  <c r="D123" i="1"/>
  <c r="D133" i="1" s="1"/>
  <c r="W134" i="1"/>
  <c r="V134" i="1"/>
  <c r="U134" i="1"/>
  <c r="T134" i="1"/>
  <c r="S134" i="1"/>
  <c r="R134" i="1"/>
  <c r="M42" i="3"/>
  <c r="L42" i="3"/>
  <c r="K42" i="3"/>
  <c r="J42" i="3"/>
  <c r="I42" i="3"/>
  <c r="H42" i="3"/>
  <c r="I47" i="3" s="1"/>
  <c r="J47" i="3" s="1"/>
  <c r="G42" i="3"/>
  <c r="R94" i="1" l="1"/>
  <c r="S27" i="2" s="1"/>
  <c r="S95" i="1"/>
  <c r="T28" i="2" s="1"/>
  <c r="T94" i="1"/>
  <c r="M96" i="1"/>
  <c r="V94" i="1"/>
  <c r="W27" i="2" s="1"/>
  <c r="W94" i="1"/>
  <c r="X27" i="2" s="1"/>
  <c r="V95" i="1"/>
  <c r="W28" i="2" s="1"/>
  <c r="R95" i="1"/>
  <c r="S28" i="2" s="1"/>
  <c r="U95" i="1"/>
  <c r="V28" i="2" s="1"/>
  <c r="U94" i="1"/>
  <c r="V27" i="2" s="1"/>
  <c r="S94" i="1"/>
  <c r="W95" i="1"/>
  <c r="X28" i="2" s="1"/>
  <c r="Q66" i="5"/>
  <c r="R66" i="5" s="1"/>
  <c r="O66" i="5"/>
  <c r="M106" i="1"/>
  <c r="R96" i="1"/>
  <c r="AA94" i="1"/>
  <c r="N26" i="1"/>
  <c r="AA83" i="1"/>
  <c r="F22" i="1" s="1"/>
  <c r="J62" i="1"/>
  <c r="K14" i="2" s="1"/>
  <c r="J61" i="1"/>
  <c r="K13" i="2" s="1"/>
  <c r="J53" i="1"/>
  <c r="K5" i="2" s="1"/>
  <c r="Z66" i="1"/>
  <c r="AB66" i="1" s="1"/>
  <c r="J51" i="1"/>
  <c r="K3" i="2" s="1"/>
  <c r="J54" i="1"/>
  <c r="K6" i="2" s="1"/>
  <c r="J63" i="1"/>
  <c r="K15" i="2" s="1"/>
  <c r="Z63" i="1"/>
  <c r="AB63" i="1" s="1"/>
  <c r="J50" i="1"/>
  <c r="K2" i="2" s="1"/>
  <c r="Z56" i="1"/>
  <c r="AB56" i="1" s="1"/>
  <c r="J57" i="1"/>
  <c r="Z67" i="1"/>
  <c r="AB67" i="1" s="1"/>
  <c r="Z51" i="1"/>
  <c r="AB51" i="1" s="1"/>
  <c r="J52" i="1"/>
  <c r="K4" i="2" s="1"/>
  <c r="Z53" i="1"/>
  <c r="AB53" i="1" s="1"/>
  <c r="Z62" i="1"/>
  <c r="AB62" i="1" s="1"/>
  <c r="J55" i="1"/>
  <c r="Z50" i="1"/>
  <c r="AB50" i="1" s="1"/>
  <c r="Z52" i="1"/>
  <c r="AB52" i="1" s="1"/>
  <c r="Z60" i="1"/>
  <c r="AB60" i="1" s="1"/>
  <c r="Z61" i="1"/>
  <c r="AB61" i="1" s="1"/>
  <c r="Z54" i="1"/>
  <c r="AB54" i="1" s="1"/>
  <c r="Z55" i="1"/>
  <c r="AB55" i="1" s="1"/>
  <c r="J56" i="1"/>
  <c r="Z57" i="1"/>
  <c r="AB57" i="1" s="1"/>
  <c r="J70" i="1"/>
  <c r="K18" i="2" s="1"/>
  <c r="J58" i="1"/>
  <c r="K10" i="2" s="1"/>
  <c r="Z58" i="1"/>
  <c r="AB58" i="1" s="1"/>
  <c r="Z59" i="1"/>
  <c r="AB59" i="1" s="1"/>
  <c r="J60" i="1"/>
  <c r="K12" i="2" s="1"/>
  <c r="J59" i="1"/>
  <c r="K11" i="2" s="1"/>
  <c r="M133" i="1"/>
  <c r="Q133" i="1" s="1"/>
  <c r="D132" i="1"/>
  <c r="M132" i="1" s="1"/>
  <c r="Q132" i="1" s="1"/>
  <c r="N13" i="1"/>
  <c r="I70" i="1"/>
  <c r="J18" i="2" s="1"/>
  <c r="W96" i="1" l="1"/>
  <c r="T26" i="1" s="1"/>
  <c r="U96" i="1"/>
  <c r="R26" i="1" s="1"/>
  <c r="M56" i="1"/>
  <c r="N8" i="2" s="1"/>
  <c r="K8" i="2"/>
  <c r="S96" i="1"/>
  <c r="T27" i="2"/>
  <c r="T96" i="1"/>
  <c r="U27" i="2"/>
  <c r="M57" i="1"/>
  <c r="N9" i="2" s="1"/>
  <c r="K9" i="2"/>
  <c r="V96" i="1"/>
  <c r="S26" i="1" s="1"/>
  <c r="M55" i="1"/>
  <c r="K7" i="2"/>
  <c r="AA96" i="1"/>
  <c r="F26" i="1" s="1"/>
  <c r="G26" i="1" s="1"/>
  <c r="O26" i="1"/>
  <c r="AA66" i="1"/>
  <c r="Z70" i="1"/>
  <c r="AA70" i="1" s="1"/>
  <c r="AA67" i="1"/>
  <c r="H107" i="1"/>
  <c r="S55" i="1" l="1"/>
  <c r="T7" i="2" s="1"/>
  <c r="N7" i="2"/>
  <c r="J107" i="1"/>
  <c r="C35" i="1"/>
  <c r="Q26" i="1"/>
  <c r="J26" i="1" s="1"/>
  <c r="P26" i="1"/>
  <c r="AB70" i="1"/>
  <c r="AA68" i="1"/>
  <c r="F14" i="1" s="1"/>
  <c r="AA71" i="1"/>
  <c r="F15" i="1" s="1"/>
  <c r="H108" i="1"/>
  <c r="M107" i="1"/>
  <c r="D118" i="1"/>
  <c r="K56" i="1"/>
  <c r="F6" i="1"/>
  <c r="G6" i="1"/>
  <c r="E6" i="1"/>
  <c r="C6" i="1"/>
  <c r="D6" i="1"/>
  <c r="M73" i="1"/>
  <c r="K57" i="1" l="1"/>
  <c r="N44" i="5"/>
  <c r="Q46" i="5" s="1"/>
  <c r="R46" i="5" s="1"/>
  <c r="L8" i="2"/>
  <c r="M76" i="1"/>
  <c r="N19" i="2"/>
  <c r="J108" i="1"/>
  <c r="D26" i="1"/>
  <c r="E26" i="1" s="1"/>
  <c r="H109" i="1"/>
  <c r="K41" i="1"/>
  <c r="L41" i="1"/>
  <c r="M41" i="1"/>
  <c r="N41" i="1"/>
  <c r="O41" i="1"/>
  <c r="Q41" i="1"/>
  <c r="S41" i="1"/>
  <c r="L40" i="1"/>
  <c r="O40" i="1"/>
  <c r="P40" i="1"/>
  <c r="Q40" i="1"/>
  <c r="R40" i="1"/>
  <c r="S40" i="1"/>
  <c r="T40" i="1"/>
  <c r="C13" i="1"/>
  <c r="L24" i="1"/>
  <c r="M24" i="1"/>
  <c r="S24" i="1"/>
  <c r="T24" i="1"/>
  <c r="L25" i="1"/>
  <c r="M25" i="1"/>
  <c r="Q25" i="1"/>
  <c r="R25" i="1"/>
  <c r="S25" i="1"/>
  <c r="T25" i="1"/>
  <c r="K25" i="1"/>
  <c r="K24" i="1"/>
  <c r="C25" i="1"/>
  <c r="C24" i="1"/>
  <c r="D92" i="1"/>
  <c r="D89" i="1"/>
  <c r="Z85" i="1"/>
  <c r="AA85" i="1" s="1"/>
  <c r="M108" i="1" l="1"/>
  <c r="N45" i="5"/>
  <c r="Q47" i="5" s="1"/>
  <c r="R47" i="5" s="1"/>
  <c r="L9" i="2"/>
  <c r="H110" i="1"/>
  <c r="I33" i="2" s="1"/>
  <c r="J109" i="1"/>
  <c r="AA86" i="1"/>
  <c r="Z91" i="1"/>
  <c r="AA91" i="1" s="1"/>
  <c r="Z88" i="1"/>
  <c r="AA88" i="1" s="1"/>
  <c r="M82" i="1"/>
  <c r="O64" i="1"/>
  <c r="N64" i="1"/>
  <c r="K13" i="1" s="1"/>
  <c r="K82" i="1"/>
  <c r="C23" i="1"/>
  <c r="T23" i="1"/>
  <c r="T28" i="1" s="1"/>
  <c r="S23" i="1"/>
  <c r="S28" i="1" s="1"/>
  <c r="R23" i="1"/>
  <c r="Q23" i="1"/>
  <c r="L23" i="1"/>
  <c r="L28" i="1" s="1"/>
  <c r="K23" i="1"/>
  <c r="K28" i="1" s="1"/>
  <c r="D86" i="1"/>
  <c r="P23" i="1"/>
  <c r="I140" i="1"/>
  <c r="N59" i="5" l="1"/>
  <c r="L23" i="2"/>
  <c r="M109" i="1"/>
  <c r="I141" i="1"/>
  <c r="H111" i="1"/>
  <c r="I34" i="2" s="1"/>
  <c r="J110" i="1"/>
  <c r="F23" i="1"/>
  <c r="T73" i="1"/>
  <c r="S91" i="1"/>
  <c r="Q85" i="1"/>
  <c r="R24" i="2" s="1"/>
  <c r="M23" i="1"/>
  <c r="M28" i="1" s="1"/>
  <c r="O23" i="1"/>
  <c r="M86" i="1"/>
  <c r="V118" i="1"/>
  <c r="U118" i="1"/>
  <c r="R118" i="1"/>
  <c r="P118" i="1"/>
  <c r="O118" i="1"/>
  <c r="N118" i="1"/>
  <c r="S92" i="1" l="1"/>
  <c r="T26" i="2"/>
  <c r="T76" i="1"/>
  <c r="Q16" i="1" s="1"/>
  <c r="U19" i="2"/>
  <c r="M110" i="1"/>
  <c r="N33" i="2" s="1"/>
  <c r="K33" i="2"/>
  <c r="Q86" i="1"/>
  <c r="N23" i="1" s="1"/>
  <c r="D23" i="1" s="1"/>
  <c r="E23" i="1" s="1"/>
  <c r="AA92" i="1"/>
  <c r="F25" i="1" s="1"/>
  <c r="G25" i="1" s="1"/>
  <c r="AA89" i="1"/>
  <c r="F24" i="1" s="1"/>
  <c r="G24" i="1" s="1"/>
  <c r="I142" i="1"/>
  <c r="G23" i="1"/>
  <c r="H112" i="1"/>
  <c r="I35" i="2" s="1"/>
  <c r="J111" i="1"/>
  <c r="G16" i="1"/>
  <c r="P25" i="1"/>
  <c r="M89" i="1"/>
  <c r="N25" i="1"/>
  <c r="M92" i="1"/>
  <c r="Q88" i="1"/>
  <c r="R25" i="2" s="1"/>
  <c r="S108" i="1"/>
  <c r="D83" i="1"/>
  <c r="Q82" i="1"/>
  <c r="R23" i="2" s="1"/>
  <c r="Q81" i="1"/>
  <c r="R22" i="2" s="1"/>
  <c r="M111" i="1" l="1"/>
  <c r="N34" i="2" s="1"/>
  <c r="K34" i="2"/>
  <c r="Q83" i="1"/>
  <c r="N22" i="1" s="1"/>
  <c r="Q89" i="1"/>
  <c r="D16" i="1"/>
  <c r="E16" i="1" s="1"/>
  <c r="J16" i="1"/>
  <c r="J23" i="1"/>
  <c r="H113" i="1"/>
  <c r="I36" i="2" s="1"/>
  <c r="J112" i="1"/>
  <c r="U88" i="1"/>
  <c r="V25" i="2" s="1"/>
  <c r="T88" i="1"/>
  <c r="U25" i="2" s="1"/>
  <c r="S88" i="1"/>
  <c r="T25" i="2" s="1"/>
  <c r="O25" i="1"/>
  <c r="D25" i="1" s="1"/>
  <c r="E25" i="1" s="1"/>
  <c r="R88" i="1"/>
  <c r="S25" i="2" s="1"/>
  <c r="N24" i="1"/>
  <c r="R82" i="1"/>
  <c r="S23" i="2" s="1"/>
  <c r="R81" i="1"/>
  <c r="S22" i="2" s="1"/>
  <c r="M83" i="1"/>
  <c r="C22" i="1"/>
  <c r="C28" i="1" s="1"/>
  <c r="K35" i="1"/>
  <c r="L35" i="1"/>
  <c r="M35" i="1"/>
  <c r="O35" i="1"/>
  <c r="R35" i="1"/>
  <c r="S35" i="1"/>
  <c r="N28" i="1" l="1"/>
  <c r="M112" i="1"/>
  <c r="N35" i="2" s="1"/>
  <c r="K35" i="2"/>
  <c r="G22" i="1"/>
  <c r="S89" i="1"/>
  <c r="T89" i="1"/>
  <c r="U89" i="1"/>
  <c r="R83" i="1"/>
  <c r="O22" i="1" s="1"/>
  <c r="O28" i="1" s="1"/>
  <c r="R89" i="1"/>
  <c r="J25" i="1"/>
  <c r="H114" i="1"/>
  <c r="J113" i="1"/>
  <c r="R24" i="1"/>
  <c r="R28" i="1" s="1"/>
  <c r="P24" i="1"/>
  <c r="Q24" i="1"/>
  <c r="O24" i="1"/>
  <c r="S82" i="1"/>
  <c r="T23" i="2" s="1"/>
  <c r="S81" i="1"/>
  <c r="T22" i="2" s="1"/>
  <c r="M67" i="1"/>
  <c r="N17" i="2" s="1"/>
  <c r="M66" i="1"/>
  <c r="N16" i="2" s="1"/>
  <c r="M113" i="1" l="1"/>
  <c r="N36" i="2" s="1"/>
  <c r="K36" i="2"/>
  <c r="G28" i="1"/>
  <c r="S83" i="1"/>
  <c r="J24" i="1"/>
  <c r="H115" i="1"/>
  <c r="J114" i="1"/>
  <c r="D24" i="1"/>
  <c r="E24" i="1" s="1"/>
  <c r="M52" i="1"/>
  <c r="N4" i="2" s="1"/>
  <c r="M70" i="1"/>
  <c r="N18" i="2" s="1"/>
  <c r="M50" i="1"/>
  <c r="N2" i="2" s="1"/>
  <c r="M51" i="1"/>
  <c r="N3" i="2" s="1"/>
  <c r="T82" i="1"/>
  <c r="U23" i="2" s="1"/>
  <c r="T81" i="1"/>
  <c r="U22" i="2" s="1"/>
  <c r="M114" i="1" l="1"/>
  <c r="T83" i="1"/>
  <c r="Q22" i="1" s="1"/>
  <c r="Q28" i="1" s="1"/>
  <c r="P22" i="1"/>
  <c r="P28" i="1" s="1"/>
  <c r="H116" i="1"/>
  <c r="J115" i="1"/>
  <c r="R70" i="1"/>
  <c r="S18" i="2" s="1"/>
  <c r="J28" i="1" l="1"/>
  <c r="M115" i="1"/>
  <c r="H117" i="1"/>
  <c r="J116" i="1"/>
  <c r="M116" i="1" l="1"/>
  <c r="J22" i="1"/>
  <c r="J117" i="1"/>
  <c r="D22" i="1"/>
  <c r="M117" i="1" l="1"/>
  <c r="E22" i="1"/>
  <c r="O124" i="1" l="1"/>
  <c r="P124" i="1"/>
  <c r="Q124" i="1"/>
  <c r="R124" i="1"/>
  <c r="S124" i="1"/>
  <c r="T124" i="1"/>
  <c r="U124" i="1"/>
  <c r="V124" i="1"/>
  <c r="W124" i="1"/>
  <c r="D129" i="1" l="1"/>
  <c r="M129" i="1" s="1"/>
  <c r="P129" i="1" s="1"/>
  <c r="D139" i="1"/>
  <c r="D125" i="1"/>
  <c r="M125" i="1" s="1"/>
  <c r="D138" i="1"/>
  <c r="M138" i="1" s="1"/>
  <c r="D127" i="1"/>
  <c r="D130" i="1"/>
  <c r="D126" i="1"/>
  <c r="M126" i="1" s="1"/>
  <c r="D128" i="1"/>
  <c r="D141" i="1"/>
  <c r="D140" i="1"/>
  <c r="D142" i="1"/>
  <c r="D131" i="1"/>
  <c r="N124" i="1"/>
  <c r="N71" i="1"/>
  <c r="K15" i="1" s="1"/>
  <c r="O71" i="1"/>
  <c r="L15" i="1" s="1"/>
  <c r="P71" i="1"/>
  <c r="M15" i="1" s="1"/>
  <c r="R71" i="1"/>
  <c r="O15" i="1" s="1"/>
  <c r="S71" i="1"/>
  <c r="P15" i="1" s="1"/>
  <c r="T71" i="1"/>
  <c r="Q15" i="1" s="1"/>
  <c r="U71" i="1"/>
  <c r="R15" i="1" s="1"/>
  <c r="V71" i="1"/>
  <c r="S15" i="1" s="1"/>
  <c r="W71" i="1"/>
  <c r="T15" i="1" s="1"/>
  <c r="N68" i="1"/>
  <c r="K14" i="1" s="1"/>
  <c r="O68" i="1"/>
  <c r="L14" i="1" s="1"/>
  <c r="P68" i="1"/>
  <c r="M14" i="1" s="1"/>
  <c r="W68" i="1"/>
  <c r="T14" i="1" s="1"/>
  <c r="W64" i="1"/>
  <c r="L13" i="1"/>
  <c r="D71" i="1"/>
  <c r="D68" i="1"/>
  <c r="D64" i="1"/>
  <c r="C14" i="1"/>
  <c r="C17" i="1" s="1"/>
  <c r="C15" i="1"/>
  <c r="G15" i="1" s="1"/>
  <c r="S67" i="1"/>
  <c r="T17" i="2" s="1"/>
  <c r="K17" i="1" l="1"/>
  <c r="K34" i="1" s="1"/>
  <c r="T17" i="1"/>
  <c r="T34" i="1" s="1"/>
  <c r="L17" i="1"/>
  <c r="L34" i="1" s="1"/>
  <c r="S138" i="1"/>
  <c r="S143" i="1" s="1"/>
  <c r="P41" i="1" s="1"/>
  <c r="G14" i="1"/>
  <c r="M130" i="1"/>
  <c r="P130" i="1" s="1"/>
  <c r="M127" i="1"/>
  <c r="M131" i="1"/>
  <c r="P131" i="1" s="1"/>
  <c r="M128" i="1"/>
  <c r="P128" i="1" s="1"/>
  <c r="M140" i="1"/>
  <c r="W140" i="1" s="1"/>
  <c r="M139" i="1"/>
  <c r="U139" i="1" s="1"/>
  <c r="U143" i="1" s="1"/>
  <c r="D143" i="1"/>
  <c r="D134" i="1"/>
  <c r="M68" i="1"/>
  <c r="T67" i="1"/>
  <c r="U17" i="2" s="1"/>
  <c r="R66" i="1"/>
  <c r="S16" i="2" s="1"/>
  <c r="C34" i="1" l="1"/>
  <c r="C36" i="1" s="1"/>
  <c r="C37" i="1" s="1"/>
  <c r="P127" i="1"/>
  <c r="P134" i="1" s="1"/>
  <c r="M40" i="1" s="1"/>
  <c r="M134" i="1"/>
  <c r="M141" i="1"/>
  <c r="W141" i="1" s="1"/>
  <c r="S66" i="1"/>
  <c r="L36" i="1"/>
  <c r="L37" i="1" s="1"/>
  <c r="K36" i="1"/>
  <c r="K37" i="1" s="1"/>
  <c r="M58" i="1"/>
  <c r="N10" i="2" s="1"/>
  <c r="M62" i="1"/>
  <c r="N14" i="2" s="1"/>
  <c r="M61" i="1"/>
  <c r="N13" i="2" s="1"/>
  <c r="M60" i="1"/>
  <c r="N12" i="2" s="1"/>
  <c r="M63" i="1"/>
  <c r="N15" i="2" s="1"/>
  <c r="M59" i="1"/>
  <c r="N11" i="2" s="1"/>
  <c r="M54" i="1"/>
  <c r="N6" i="2" s="1"/>
  <c r="M53" i="1"/>
  <c r="N5" i="2" s="1"/>
  <c r="U67" i="1"/>
  <c r="V17" i="2" s="1"/>
  <c r="Q68" i="1"/>
  <c r="N14" i="1" s="1"/>
  <c r="T66" i="1" l="1"/>
  <c r="T16" i="2"/>
  <c r="M142" i="1"/>
  <c r="W142" i="1" s="1"/>
  <c r="W143" i="1" s="1"/>
  <c r="T41" i="1" s="1"/>
  <c r="L43" i="1"/>
  <c r="L44" i="1" s="1"/>
  <c r="R54" i="1"/>
  <c r="S6" i="2" s="1"/>
  <c r="T57" i="1"/>
  <c r="U9" i="2" s="1"/>
  <c r="T56" i="1"/>
  <c r="U8" i="2" s="1"/>
  <c r="U58" i="1"/>
  <c r="V10" i="2" s="1"/>
  <c r="V67" i="1"/>
  <c r="W17" i="2" s="1"/>
  <c r="R68" i="1"/>
  <c r="O14" i="1" s="1"/>
  <c r="U66" i="1" l="1"/>
  <c r="U16" i="2"/>
  <c r="M143" i="1"/>
  <c r="V68" i="1"/>
  <c r="S14" i="1" s="1"/>
  <c r="S68" i="1"/>
  <c r="P14" i="1" s="1"/>
  <c r="V16" i="2" l="1"/>
  <c r="U68" i="1"/>
  <c r="R14" i="1" s="1"/>
  <c r="T68" i="1"/>
  <c r="Q14" i="1" l="1"/>
  <c r="D14" i="1" l="1"/>
  <c r="E14" i="1" s="1"/>
  <c r="J14" i="1"/>
  <c r="R41" i="1"/>
  <c r="S107" i="1"/>
  <c r="T118" i="1"/>
  <c r="Q35" i="1" s="1"/>
  <c r="S109" i="1"/>
  <c r="S110" i="1"/>
  <c r="T33" i="2" s="1"/>
  <c r="S112" i="1"/>
  <c r="T35" i="2" s="1"/>
  <c r="S106" i="1" l="1"/>
  <c r="M64" i="1"/>
  <c r="S53" i="1"/>
  <c r="T5" i="2" s="1"/>
  <c r="Q52" i="1"/>
  <c r="R4" i="2" s="1"/>
  <c r="Q50" i="1"/>
  <c r="R2" i="2" s="1"/>
  <c r="Q51" i="1"/>
  <c r="R3" i="2" s="1"/>
  <c r="T59" i="1"/>
  <c r="U11" i="2" s="1"/>
  <c r="V63" i="1"/>
  <c r="W15" i="2" s="1"/>
  <c r="U62" i="1"/>
  <c r="V14" i="2" s="1"/>
  <c r="T61" i="1"/>
  <c r="U13" i="2" s="1"/>
  <c r="T60" i="1"/>
  <c r="U12" i="2" s="1"/>
  <c r="D41" i="1" l="1"/>
  <c r="J41" i="1"/>
  <c r="Q64" i="1"/>
  <c r="P64" i="1"/>
  <c r="M13" i="1" s="1"/>
  <c r="S114" i="1"/>
  <c r="S64" i="1"/>
  <c r="P13" i="1" s="1"/>
  <c r="R64" i="1"/>
  <c r="Q71" i="1"/>
  <c r="N15" i="1" s="1"/>
  <c r="M71" i="1"/>
  <c r="U64" i="1"/>
  <c r="R13" i="1" s="1"/>
  <c r="R17" i="1" s="1"/>
  <c r="R34" i="1" s="1"/>
  <c r="V64" i="1"/>
  <c r="S13" i="1" s="1"/>
  <c r="S17" i="1" s="1"/>
  <c r="S34" i="1" s="1"/>
  <c r="T64" i="1"/>
  <c r="Q13" i="1" s="1"/>
  <c r="Q17" i="1" s="1"/>
  <c r="Q34" i="1" s="1"/>
  <c r="N34" i="1" l="1"/>
  <c r="N17" i="1"/>
  <c r="O13" i="1"/>
  <c r="M17" i="1"/>
  <c r="M34" i="1" s="1"/>
  <c r="J13" i="1"/>
  <c r="P17" i="1"/>
  <c r="P34" i="1" s="1"/>
  <c r="D15" i="1"/>
  <c r="E15" i="1" s="1"/>
  <c r="J15" i="1"/>
  <c r="D13" i="1"/>
  <c r="S36" i="1"/>
  <c r="S37" i="1" s="1"/>
  <c r="S115" i="1"/>
  <c r="O17" i="1" l="1"/>
  <c r="O34" i="1" s="1"/>
  <c r="O36" i="1" s="1"/>
  <c r="O37" i="1" s="1"/>
  <c r="S43" i="1"/>
  <c r="S44" i="1" s="1"/>
  <c r="D17" i="1"/>
  <c r="J17" i="1"/>
  <c r="J34" i="1" s="1"/>
  <c r="E13" i="1"/>
  <c r="S116" i="1"/>
  <c r="M36" i="1"/>
  <c r="M37" i="1" s="1"/>
  <c r="Q36" i="1"/>
  <c r="Q37" i="1" s="1"/>
  <c r="R36" i="1"/>
  <c r="R37" i="1" s="1"/>
  <c r="M43" i="1" l="1"/>
  <c r="M44" i="1" s="1"/>
  <c r="R43" i="1"/>
  <c r="R44" i="1" s="1"/>
  <c r="O43" i="1"/>
  <c r="O44" i="1" s="1"/>
  <c r="Q43" i="1"/>
  <c r="Q44" i="1" s="1"/>
  <c r="E17" i="1"/>
  <c r="E34" i="1"/>
  <c r="S117" i="1"/>
  <c r="S111" i="1"/>
  <c r="T34" i="2" s="1"/>
  <c r="Q118" i="1" l="1"/>
  <c r="N35" i="1" s="1"/>
  <c r="N36" i="1" l="1"/>
  <c r="N37" i="1" s="1"/>
  <c r="S113" i="1"/>
  <c r="T36" i="2" s="1"/>
  <c r="M118" i="1"/>
  <c r="S118" i="1" l="1"/>
  <c r="P35" i="1" s="1"/>
  <c r="D35" i="1" s="1"/>
  <c r="W118" i="1"/>
  <c r="T35" i="1" s="1"/>
  <c r="F35" i="1" l="1"/>
  <c r="F36" i="1" s="1"/>
  <c r="F37" i="1" s="1"/>
  <c r="D36" i="1"/>
  <c r="D37" i="1" s="1"/>
  <c r="P36" i="1"/>
  <c r="P37" i="1" s="1"/>
  <c r="J35" i="1"/>
  <c r="T36" i="1"/>
  <c r="T37" i="1" s="1"/>
  <c r="E37" i="1" l="1"/>
  <c r="T43" i="1"/>
  <c r="T44" i="1" s="1"/>
  <c r="P43" i="1"/>
  <c r="P44" i="1" s="1"/>
  <c r="J36" i="1"/>
  <c r="J37" i="1" s="1"/>
  <c r="G35" i="1"/>
  <c r="E35" i="1"/>
  <c r="E36" i="1" l="1"/>
  <c r="K40" i="1"/>
  <c r="K43" i="1" l="1"/>
  <c r="Q134" i="1"/>
  <c r="N40" i="1" s="1"/>
  <c r="N43" i="1" s="1"/>
  <c r="N44" i="1" s="1"/>
  <c r="J43" i="1" l="1"/>
  <c r="J44" i="1" s="1"/>
  <c r="K44" i="1"/>
  <c r="J40" i="1"/>
  <c r="D40" i="1"/>
  <c r="C43" i="1" s="1"/>
  <c r="AA50" i="1"/>
  <c r="AA54" i="1"/>
  <c r="AA63" i="1"/>
  <c r="AA58" i="1"/>
  <c r="AA57" i="1"/>
  <c r="AA55" i="1"/>
  <c r="AA61" i="1"/>
  <c r="AA53" i="1"/>
  <c r="AA60" i="1"/>
  <c r="AA52" i="1"/>
  <c r="AA56" i="1"/>
  <c r="AA62" i="1"/>
  <c r="AA59" i="1"/>
  <c r="AA51" i="1"/>
  <c r="W44" i="5" l="1"/>
  <c r="X44" i="5" s="1"/>
  <c r="W61" i="5"/>
  <c r="X61" i="5" s="1"/>
  <c r="W65" i="5"/>
  <c r="X65" i="5" s="1"/>
  <c r="W40" i="5"/>
  <c r="X40" i="5" s="1"/>
  <c r="W58" i="5"/>
  <c r="X58" i="5" s="1"/>
  <c r="W64" i="5"/>
  <c r="X64" i="5" s="1"/>
  <c r="W43" i="5"/>
  <c r="X43" i="5" s="1"/>
  <c r="W51" i="5"/>
  <c r="X51" i="5" s="1"/>
  <c r="W52" i="5"/>
  <c r="X52" i="5" s="1"/>
  <c r="W55" i="5"/>
  <c r="X55" i="5" s="1"/>
  <c r="W47" i="5"/>
  <c r="X47" i="5" s="1"/>
  <c r="W49" i="5"/>
  <c r="X49" i="5" s="1"/>
  <c r="W41" i="5"/>
  <c r="X41" i="5" s="1"/>
  <c r="W42" i="5"/>
  <c r="X42" i="5" s="1"/>
  <c r="W54" i="5"/>
  <c r="X54" i="5" s="1"/>
  <c r="W62" i="5"/>
  <c r="X62" i="5" s="1"/>
  <c r="W60" i="5"/>
  <c r="X60" i="5" s="1"/>
  <c r="W57" i="5"/>
  <c r="X57" i="5" s="1"/>
  <c r="W48" i="5"/>
  <c r="X48" i="5" s="1"/>
  <c r="W66" i="5"/>
  <c r="X66" i="5" s="1"/>
  <c r="W63" i="5"/>
  <c r="X63" i="5" s="1"/>
  <c r="W46" i="5"/>
  <c r="X46" i="5" s="1"/>
  <c r="W50" i="5"/>
  <c r="X50" i="5" s="1"/>
  <c r="W45" i="5"/>
  <c r="X45" i="5" s="1"/>
  <c r="W53" i="5"/>
  <c r="X53" i="5" s="1"/>
  <c r="W56" i="5"/>
  <c r="X56" i="5" s="1"/>
  <c r="W59" i="5"/>
  <c r="X59" i="5" s="1"/>
  <c r="AA64" i="1"/>
  <c r="F13" i="1" s="1"/>
  <c r="F17" i="1" s="1"/>
  <c r="G17" i="1" l="1"/>
  <c r="G13" i="1"/>
  <c r="G37" i="1" l="1"/>
  <c r="G34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tc={9A6E298F-0F30-634E-B3E7-67B0B20F7499}</author>
  </authors>
  <commentList>
    <comment ref="N13" authorId="0" shapeId="0" xr:uid="{9A6E298F-0F30-634E-B3E7-67B0B20F7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Foi pago um valor a mais de USD 342,869.76 ao invés de USD 331,504. O valor será abatido no próximo pagamento de janeiro.</t>
      </text>
    </comment>
  </commentList>
</comments>
</file>

<file path=xl/sharedStrings.xml><?xml version="1.0" encoding="utf-8"?>
<sst xmlns="http://schemas.openxmlformats.org/spreadsheetml/2006/main" count="1187" uniqueCount="360">
  <si>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</si>
  <si>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</si>
  <si>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</si>
  <si>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</si>
  <si>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</si>
  <si>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</si>
  <si>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</si>
  <si>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</si>
  <si>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</si>
  <si>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</si>
  <si>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</si>
  <si>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</si>
  <si>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</si>
  <si>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</si>
  <si>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</si>
  <si>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</si>
  <si>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</si>
  <si>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</si>
  <si>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</si>
  <si>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</si>
  <si>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</si>
  <si>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</si>
  <si>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Preço (cts/lb) *</t>
  </si>
  <si>
    <t>Xorxos</t>
  </si>
  <si>
    <t>Southland</t>
  </si>
  <si>
    <t>031/24</t>
  </si>
  <si>
    <t>032/24</t>
  </si>
  <si>
    <t>4x</t>
  </si>
  <si>
    <t>021/24</t>
  </si>
  <si>
    <t>Estimativa</t>
  </si>
  <si>
    <t>em aberto</t>
  </si>
  <si>
    <t>Preços NY</t>
  </si>
  <si>
    <t>TOTAL</t>
  </si>
  <si>
    <t>Sub-total Unroasted</t>
  </si>
  <si>
    <t>Sub-total Southland</t>
  </si>
  <si>
    <t>Sub-total Xorxos</t>
  </si>
  <si>
    <t>Sub-total Estimativa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</si>
  <si>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</si>
  <si>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</si>
  <si>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</si>
  <si>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</si>
  <si>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</si>
  <si>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</si>
  <si>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</si>
  <si>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</si>
  <si>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</si>
  <si>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</si>
  <si>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</si>
  <si>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Média (U$/sc)</t>
  </si>
  <si>
    <t>Hedges liquidados</t>
  </si>
  <si>
    <t xml:space="preserve">Hedges em aberto </t>
  </si>
  <si>
    <t>Sub-total Hedge Liquidado</t>
  </si>
  <si>
    <t>Sub-total Hedge Ativos</t>
  </si>
  <si>
    <t>Los Baristas</t>
  </si>
  <si>
    <t>033/24</t>
  </si>
  <si>
    <t>034/24</t>
  </si>
  <si>
    <t>1+3</t>
  </si>
  <si>
    <t>obs. (1) o preço refere-se ao preço em que o contrato foi liquidado ou contrato futuro mais próximo.</t>
  </si>
  <si>
    <t>17/18</t>
  </si>
  <si>
    <t>16/18</t>
  </si>
  <si>
    <t>14/16</t>
  </si>
  <si>
    <t>14/15</t>
  </si>
  <si>
    <t>Bica</t>
  </si>
  <si>
    <t>FVR</t>
  </si>
  <si>
    <t>Grinders</t>
  </si>
  <si>
    <t>Fundo</t>
  </si>
  <si>
    <t>Escolha</t>
  </si>
  <si>
    <t>Resíduo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</si>
  <si>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</si>
  <si>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</si>
  <si>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</si>
  <si>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</si>
  <si>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</si>
  <si>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</si>
  <si>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</si>
  <si>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</si>
  <si>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</si>
  <si>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</si>
  <si>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</si>
  <si>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</si>
  <si>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</si>
  <si>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</si>
  <si>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</si>
  <si>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</si>
  <si>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</si>
  <si>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</si>
  <si>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Mundo Novo Café</t>
  </si>
  <si>
    <t>037/24</t>
  </si>
  <si>
    <t>50% + 4</t>
  </si>
  <si>
    <t>Melitta</t>
  </si>
  <si>
    <t>45 dias</t>
  </si>
  <si>
    <t>038/24</t>
  </si>
  <si>
    <t>Quadro Resumo</t>
  </si>
  <si>
    <t>Emporia GMBH</t>
  </si>
  <si>
    <t>039/24</t>
  </si>
  <si>
    <t>us/sc</t>
  </si>
  <si>
    <t>obs. (1) o preço refere-se ao preço fixado pelo cliente ou contrato futuro mais próximo ou hedge; (2) última estimativa enviada em 10/12/24.</t>
  </si>
  <si>
    <t>hedge</t>
  </si>
  <si>
    <t>Resultado Líquido (R$)</t>
  </si>
  <si>
    <t>Hedges Liquidad. (US)</t>
  </si>
  <si>
    <t>Hedges Abertos (U$)</t>
  </si>
  <si>
    <t>Data de fechamento:</t>
  </si>
  <si>
    <t>Controle de Vendas - Fazenda São Pedro da Canastra - Safra 2024/25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</si>
  <si>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</si>
  <si>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</si>
  <si>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</si>
  <si>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</si>
  <si>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</si>
  <si>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</si>
  <si>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</si>
  <si>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</si>
  <si>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</si>
  <si>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</si>
  <si>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</si>
  <si>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</si>
  <si>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</si>
  <si>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</si>
  <si>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</si>
  <si>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</si>
  <si>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</si>
  <si>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</si>
  <si>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</si>
  <si>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</si>
  <si>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</si>
  <si>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</si>
  <si>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</si>
  <si>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</si>
  <si>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</si>
  <si>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</si>
  <si>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</si>
  <si>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</si>
  <si>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</si>
  <si>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</si>
  <si>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</si>
  <si>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</si>
  <si>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</si>
  <si>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</si>
  <si>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</si>
  <si>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</si>
  <si>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Dia 13/12/24</t>
  </si>
  <si>
    <t>Receita Bruta U$</t>
  </si>
  <si>
    <t>Receita Líquida U$</t>
  </si>
  <si>
    <t>Receita Bruta (U$)</t>
  </si>
  <si>
    <t>Rec. Líquida (U$)</t>
  </si>
  <si>
    <t>SIM</t>
  </si>
  <si>
    <t>CAD</t>
  </si>
  <si>
    <t>check</t>
  </si>
  <si>
    <t>040/24</t>
  </si>
  <si>
    <t>041/24</t>
  </si>
  <si>
    <t>Sub-total Emporia</t>
  </si>
  <si>
    <t>Vendas contratadas Exportação</t>
  </si>
  <si>
    <t>Vendas contratadas Mercado Interno</t>
  </si>
  <si>
    <t>55 Coffee</t>
  </si>
  <si>
    <t>Sub-total 55 Coffee</t>
  </si>
  <si>
    <t>042/24</t>
  </si>
  <si>
    <t>043/24</t>
  </si>
  <si>
    <t>6x</t>
  </si>
  <si>
    <t>Mercado Interno</t>
  </si>
  <si>
    <t>Receita Bruta (R$)</t>
  </si>
  <si>
    <t>Média (R$/sc)</t>
  </si>
  <si>
    <t>Rec. Líquida (R$)</t>
  </si>
  <si>
    <t>Preço (R$/sc)</t>
  </si>
  <si>
    <t>Receita Líquida R$</t>
  </si>
  <si>
    <t xml:space="preserve">Preço (R$/sc) </t>
  </si>
  <si>
    <t>Receita Bruta R$</t>
  </si>
  <si>
    <t>funrural</t>
  </si>
  <si>
    <t>Estimativa (em estoque)</t>
  </si>
  <si>
    <t>TOTAL (U$)</t>
  </si>
  <si>
    <t>Vendas Contratadas (U$)</t>
  </si>
  <si>
    <t>* a receita líquida considera as travas do hegde.</t>
  </si>
  <si>
    <t>** a receita líquida considera 1.5% de funfural</t>
  </si>
  <si>
    <t>Resultado Líquido (U$)</t>
  </si>
  <si>
    <t>TOTAL (R$)</t>
  </si>
  <si>
    <t>2024/25</t>
  </si>
  <si>
    <t>código</t>
  </si>
  <si>
    <t>cliente</t>
  </si>
  <si>
    <t>centro de custo</t>
  </si>
  <si>
    <t>data</t>
  </si>
  <si>
    <t>valor (R$)</t>
  </si>
  <si>
    <t>documento</t>
  </si>
  <si>
    <t># sacas</t>
  </si>
  <si>
    <t>valor (R$/sc)</t>
  </si>
  <si>
    <t>destino</t>
  </si>
  <si>
    <t>benefício</t>
  </si>
  <si>
    <t>liga simples</t>
  </si>
  <si>
    <t>ensaque</t>
  </si>
  <si>
    <t>ensaque especial</t>
  </si>
  <si>
    <t>entrada</t>
  </si>
  <si>
    <t>saída</t>
  </si>
  <si>
    <t>seguro</t>
  </si>
  <si>
    <t>armazenagem</t>
  </si>
  <si>
    <t>silcagem</t>
  </si>
  <si>
    <t>fornecedor</t>
  </si>
  <si>
    <t>sacaria</t>
  </si>
  <si>
    <t>selo</t>
  </si>
  <si>
    <t>transporte</t>
  </si>
  <si>
    <t>comissão</t>
  </si>
  <si>
    <t>capatazia</t>
  </si>
  <si>
    <t>agenciamento de carga</t>
  </si>
  <si>
    <t>despachante</t>
  </si>
  <si>
    <t>inspeção</t>
  </si>
  <si>
    <t>certificações</t>
  </si>
  <si>
    <t>associação comercial</t>
  </si>
  <si>
    <t>sindicato aduaneiros</t>
  </si>
  <si>
    <t>redex</t>
  </si>
  <si>
    <t>valor médio</t>
  </si>
  <si>
    <t>R$/sc</t>
  </si>
  <si>
    <t>0.025/dia</t>
  </si>
  <si>
    <t>0.035/dia</t>
  </si>
  <si>
    <t>dif.</t>
  </si>
  <si>
    <t>Xorxios</t>
  </si>
  <si>
    <t>Espanha</t>
  </si>
  <si>
    <t>Polônia</t>
  </si>
  <si>
    <t>Unroaested</t>
  </si>
  <si>
    <t>002/24</t>
  </si>
  <si>
    <t>003/24</t>
  </si>
  <si>
    <t>004/24</t>
  </si>
  <si>
    <t>005/24</t>
  </si>
  <si>
    <t>015/24</t>
  </si>
  <si>
    <t>016/24</t>
  </si>
  <si>
    <t>Atma</t>
  </si>
  <si>
    <t>Sindicato dos Aduaneiros</t>
  </si>
  <si>
    <t>Ass. Comercial de Santos</t>
  </si>
  <si>
    <t>Top Freight</t>
  </si>
  <si>
    <t>Catuaí Corretora</t>
  </si>
  <si>
    <t>C254/24</t>
  </si>
  <si>
    <t>Sucafina</t>
  </si>
  <si>
    <t>Varginha-MG</t>
  </si>
  <si>
    <t>Austrália</t>
  </si>
  <si>
    <t>Rodocoffee</t>
  </si>
  <si>
    <t>Avaré-SP</t>
  </si>
  <si>
    <t>Brasil Terminal Portuário</t>
  </si>
  <si>
    <t>Five Star</t>
  </si>
  <si>
    <t>BL</t>
  </si>
  <si>
    <t>006/23</t>
  </si>
  <si>
    <t>Prazo</t>
  </si>
  <si>
    <t>Data $</t>
  </si>
  <si>
    <t>45</t>
  </si>
  <si>
    <t>Pagou</t>
  </si>
  <si>
    <t>Deadline</t>
  </si>
  <si>
    <t>OK</t>
  </si>
  <si>
    <t>Sim</t>
  </si>
  <si>
    <t>Pagou 1/4</t>
  </si>
  <si>
    <t>NF</t>
  </si>
  <si>
    <t>Receita (R$)</t>
  </si>
  <si>
    <t>Pagou 50%</t>
  </si>
  <si>
    <t>contrato</t>
  </si>
  <si>
    <t>Olam Agricola</t>
  </si>
  <si>
    <t>-</t>
  </si>
  <si>
    <t>Sacas</t>
  </si>
  <si>
    <t>Illy</t>
  </si>
  <si>
    <t>Daniel Carvalho</t>
  </si>
  <si>
    <t>Cafebrás</t>
  </si>
  <si>
    <t>Grano Trading</t>
  </si>
  <si>
    <t>Abex</t>
  </si>
  <si>
    <t>CSG</t>
  </si>
  <si>
    <t>Londe e Ribeiro</t>
  </si>
  <si>
    <t>Gardingo</t>
  </si>
  <si>
    <t>Itah</t>
  </si>
  <si>
    <t>Expocacer</t>
  </si>
  <si>
    <t>Recusado</t>
  </si>
  <si>
    <t>268/270</t>
  </si>
  <si>
    <t>111818/111830</t>
  </si>
  <si>
    <t>323/329</t>
  </si>
  <si>
    <t>Obs.</t>
  </si>
  <si>
    <t>RECUSADO</t>
  </si>
  <si>
    <t>30300 USD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</si>
  <si>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</si>
  <si>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</si>
  <si>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</si>
  <si>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</si>
  <si>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</si>
  <si>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</si>
  <si>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</si>
  <si>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</si>
  <si>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</si>
  <si>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</si>
  <si>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</si>
  <si>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</si>
  <si>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</si>
  <si>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</si>
  <si>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</si>
  <si>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</si>
  <si>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</si>
  <si>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</si>
  <si>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</si>
  <si>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</si>
  <si>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</si>
  <si>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</si>
  <si>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</si>
  <si>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</si>
  <si>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</si>
  <si>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</si>
  <si>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</si>
  <si>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</si>
  <si>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</si>
  <si>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</si>
  <si>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</si>
  <si>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</si>
  <si>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</si>
  <si>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</si>
  <si>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</si>
  <si>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</si>
  <si>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</si>
  <si>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</si>
  <si>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</si>
  <si>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</si>
  <si>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</si>
  <si>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</si>
  <si>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</si>
  <si>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</si>
  <si>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</si>
  <si>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</si>
  <si>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</si>
  <si>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</si>
  <si>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</si>
  <si>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</si>
  <si>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</si>
  <si>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30/5 10000,00 / 30/06 13746,20</t>
  </si>
  <si>
    <t>agendamento</t>
  </si>
  <si>
    <t>28/11 2000,00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</si>
  <si>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</si>
  <si>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</si>
  <si>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</si>
  <si>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</si>
  <si>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</si>
  <si>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</si>
  <si>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</si>
  <si>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</si>
  <si>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</si>
  <si>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</si>
  <si>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</si>
  <si>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</si>
  <si>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</si>
  <si>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305.000,00 12/09/2024 / 174.205,44 14/11/2024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</si>
  <si>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</si>
  <si>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</si>
  <si>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</si>
  <si>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</si>
  <si>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</si>
  <si>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</si>
  <si>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</si>
  <si>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</si>
  <si>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</si>
  <si>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</si>
  <si>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</si>
  <si>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</si>
  <si>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</si>
  <si>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</si>
  <si>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</si>
  <si>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</si>
  <si>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</si>
  <si>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</si>
  <si>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Sub-total Londe e Ribeiro</t>
  </si>
  <si>
    <t>044/24</t>
  </si>
  <si>
    <t>045/24</t>
  </si>
  <si>
    <t>046/24</t>
  </si>
  <si>
    <t>047/24</t>
  </si>
  <si>
    <t>quinzena anterior</t>
  </si>
  <si>
    <t>Pagou 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</si>
</sst>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/yy"/>
    <numFmt numFmtId="165" formatCode="0.0000"/>
    <numFmt numFmtId="166" formatCode="0.000"/>
    <numFmt numFmtId="167" formatCode="#,##0_ ;[Red]\-#,##0\ "/>
    <numFmt numFmtId="168" formatCode="0.0"/>
    <numFmt numFmtId="169" formatCode="[$]dd/mm/yy;@" x16r2:formatCode16="[$-en-BR,1]dd/mm/yy;@"/>
    <numFmt numFmtId="170" formatCode="_-[$$-409]* #,##0.00_ ;_-[$$-409]* \-#,##0.00\ ;_-[$$-409]* &quot;-&quot;??_ ;_-@_ "/>
    <numFmt numFmtId="171" formatCode="#,##0.000"/>
    <numFmt numFmtId="172" formatCode="0.0%"/>
    <numFmt numFmtId="173" formatCode="mm/yy"/>
  </numFmts>
  <fonts count="23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  <font>
      <b/>
      <sz val="10"/>
      <color theme="0"/>
      <name val="Aptos Narrow"/>
      <scheme val="minor"/>
    </font>
    <font>
      <sz val="10"/>
      <color theme="6" tint="0.59999389629810485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0"/>
      <color rgb="FFFF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0" tint="-0.14999847407452621"/>
      <name val="Aptos Narrow"/>
      <scheme val="minor"/>
    </font>
    <font>
      <b/>
      <sz val="10"/>
      <color rgb="FFFF0000"/>
      <name val="Aptos Narrow"/>
      <scheme val="minor"/>
    </font>
    <font>
      <b/>
      <sz val="10"/>
      <color theme="0" tint="-0.249977111117893"/>
      <name val="Aptos Narrow"/>
      <scheme val="minor"/>
    </font>
    <font>
      <sz val="10"/>
      <color theme="0" tint="-0.34998626667073579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2" fillId="0" borderId="0" applyFont="0" applyFill="0" applyBorder="0" applyAlignment="0" applyProtection="0"/>
    <xf numFmtId="0" fontId="19" fillId="0" borderId="0"/>
  </cellStyleXfs>
  <cellXfs count="247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5" borderId="0" xfId="0" applyFont="1" applyFill="1"/>
    <xf numFmtId="3" fontId="3" fillId="5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67" fontId="1" fillId="4" borderId="0" xfId="0" applyNumberFormat="1" applyFont="1" applyFill="1" applyAlignment="1">
      <alignment horizontal="center"/>
    </xf>
    <xf numFmtId="168" fontId="1" fillId="4" borderId="0" xfId="0" applyNumberFormat="1" applyFont="1" applyFill="1" applyAlignment="1">
      <alignment horizontal="center"/>
    </xf>
    <xf numFmtId="0" fontId="3" fillId="0" borderId="0" xfId="0" applyFont="1"/>
    <xf numFmtId="169" fontId="3" fillId="2" borderId="0" xfId="0" applyNumberFormat="1" applyFont="1" applyFill="1" applyAlignment="1">
      <alignment horizontal="center"/>
    </xf>
    <xf numFmtId="169" fontId="3" fillId="5" borderId="0" xfId="0" applyNumberFormat="1" applyFont="1" applyFill="1" applyAlignment="1">
      <alignment horizontal="center"/>
    </xf>
    <xf numFmtId="169" fontId="1" fillId="4" borderId="0" xfId="0" applyNumberFormat="1" applyFont="1" applyFill="1"/>
    <xf numFmtId="169" fontId="1" fillId="2" borderId="0" xfId="0" applyNumberFormat="1" applyFont="1" applyFill="1"/>
    <xf numFmtId="169" fontId="1" fillId="4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4" fontId="0" fillId="10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12" borderId="0" xfId="0" applyNumberFormat="1" applyFill="1" applyAlignment="1">
      <alignment horizontal="center"/>
    </xf>
    <xf numFmtId="4" fontId="0" fillId="13" borderId="0" xfId="0" applyNumberFormat="1" applyFill="1" applyAlignment="1">
      <alignment horizontal="center"/>
    </xf>
    <xf numFmtId="4" fontId="0" fillId="14" borderId="6" xfId="0" applyNumberFormat="1" applyFill="1" applyBorder="1" applyAlignment="1">
      <alignment horizontal="center"/>
    </xf>
    <xf numFmtId="170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5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  <xf numFmtId="4" fontId="0" fillId="15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0" xfId="0" applyNumberFormat="1" applyFont="1"/>
    <xf numFmtId="0" fontId="0" fillId="10" borderId="0" xfId="0" applyFill="1"/>
    <xf numFmtId="0" fontId="0" fillId="11" borderId="0" xfId="0" applyFill="1"/>
    <xf numFmtId="0" fontId="0" fillId="15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0" fillId="7" borderId="0" xfId="0" applyFill="1"/>
    <xf numFmtId="0" fontId="0" fillId="6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5" fillId="2" borderId="0" xfId="0" applyNumberFormat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3" fillId="8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4" fontId="4" fillId="8" borderId="0" xfId="0" applyNumberFormat="1" applyFont="1" applyFill="1" applyAlignment="1">
      <alignment horizontal="center"/>
    </xf>
    <xf numFmtId="164" fontId="2" fillId="6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71" fontId="5" fillId="2" borderId="0" xfId="0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center" vertical="center"/>
    </xf>
    <xf numFmtId="172" fontId="3" fillId="2" borderId="0" xfId="1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17" fontId="2" fillId="16" borderId="0" xfId="0" applyNumberFormat="1" applyFont="1" applyFill="1" applyAlignment="1">
      <alignment horizontal="center"/>
    </xf>
    <xf numFmtId="3" fontId="2" fillId="16" borderId="0" xfId="0" applyNumberFormat="1" applyFont="1" applyFill="1" applyAlignment="1">
      <alignment horizontal="center"/>
    </xf>
    <xf numFmtId="0" fontId="1" fillId="17" borderId="0" xfId="0" applyFont="1" applyFill="1"/>
    <xf numFmtId="0" fontId="1" fillId="17" borderId="0" xfId="0" applyFont="1" applyFill="1" applyAlignment="1">
      <alignment horizontal="center"/>
    </xf>
    <xf numFmtId="169" fontId="1" fillId="17" borderId="0" xfId="0" applyNumberFormat="1" applyFont="1" applyFill="1" applyAlignment="1">
      <alignment horizontal="center"/>
    </xf>
    <xf numFmtId="3" fontId="1" fillId="17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10" fontId="15" fillId="2" borderId="0" xfId="1" applyNumberFormat="1" applyFont="1" applyFill="1" applyAlignment="1">
      <alignment horizontal="center"/>
    </xf>
    <xf numFmtId="0" fontId="16" fillId="2" borderId="0" xfId="0" applyFont="1" applyFill="1"/>
    <xf numFmtId="0" fontId="3" fillId="2" borderId="0" xfId="0" applyFont="1" applyFill="1" applyAlignment="1">
      <alignment horizontal="right"/>
    </xf>
    <xf numFmtId="166" fontId="4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3" fontId="2" fillId="3" borderId="0" xfId="0" applyNumberFormat="1" applyFont="1" applyFill="1" applyAlignment="1">
      <alignment horizontal="center"/>
    </xf>
    <xf numFmtId="173" fontId="3" fillId="2" borderId="0" xfId="0" applyNumberFormat="1" applyFont="1" applyFill="1" applyAlignment="1">
      <alignment horizontal="center"/>
    </xf>
    <xf numFmtId="173" fontId="3" fillId="5" borderId="0" xfId="0" applyNumberFormat="1" applyFont="1" applyFill="1" applyAlignment="1">
      <alignment horizontal="center"/>
    </xf>
    <xf numFmtId="173" fontId="3" fillId="0" borderId="0" xfId="0" applyNumberFormat="1" applyFont="1"/>
    <xf numFmtId="169" fontId="1" fillId="5" borderId="0" xfId="0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18" fillId="2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18" fillId="2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4" fontId="2" fillId="20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2" fillId="21" borderId="0" xfId="0" applyFont="1" applyFill="1" applyAlignment="1">
      <alignment horizontal="center"/>
    </xf>
    <xf numFmtId="1" fontId="18" fillId="2" borderId="0" xfId="0" applyNumberFormat="1" applyFont="1" applyFill="1" applyAlignment="1">
      <alignment horizontal="center"/>
    </xf>
    <xf numFmtId="49" fontId="18" fillId="2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1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38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2" fontId="1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168" fontId="18" fillId="2" borderId="0" xfId="0" applyNumberFormat="1" applyFont="1" applyFill="1" applyAlignment="1">
      <alignment horizontal="center"/>
    </xf>
    <xf numFmtId="0" fontId="20" fillId="0" borderId="0" xfId="2" applyFont="1"/>
    <xf numFmtId="0" fontId="19" fillId="0" borderId="0" xfId="2"/>
    <xf numFmtId="14" fontId="19" fillId="0" borderId="0" xfId="2" applyNumberFormat="1"/>
    <xf numFmtId="0" fontId="19" fillId="0" borderId="2" xfId="2" applyBorder="1"/>
    <xf numFmtId="0" fontId="19" fillId="0" borderId="3" xfId="2" applyBorder="1"/>
    <xf numFmtId="0" fontId="19" fillId="15" borderId="3" xfId="2" applyFill="1" applyBorder="1"/>
    <xf numFmtId="0" fontId="19" fillId="0" borderId="4" xfId="2" applyBorder="1"/>
    <xf numFmtId="0" fontId="19" fillId="0" borderId="5" xfId="2" applyBorder="1" applyAlignment="1">
      <alignment horizontal="center"/>
    </xf>
    <xf numFmtId="14" fontId="19" fillId="0" borderId="0" xfId="2" applyNumberFormat="1" applyAlignment="1">
      <alignment horizontal="center"/>
    </xf>
    <xf numFmtId="0" fontId="19" fillId="0" borderId="0" xfId="2" applyAlignment="1">
      <alignment horizontal="center"/>
    </xf>
    <xf numFmtId="4" fontId="19" fillId="0" borderId="0" xfId="2" applyNumberFormat="1"/>
    <xf numFmtId="0" fontId="19" fillId="15" borderId="0" xfId="2" applyFill="1"/>
    <xf numFmtId="4" fontId="19" fillId="23" borderId="0" xfId="2" applyNumberFormat="1" applyFill="1"/>
    <xf numFmtId="4" fontId="19" fillId="0" borderId="0" xfId="2" applyNumberFormat="1" applyAlignment="1">
      <alignment horizontal="center"/>
    </xf>
    <xf numFmtId="4" fontId="19" fillId="0" borderId="5" xfId="2" applyNumberFormat="1" applyBorder="1"/>
    <xf numFmtId="4" fontId="19" fillId="0" borderId="6" xfId="2" applyNumberFormat="1" applyBorder="1"/>
    <xf numFmtId="0" fontId="19" fillId="0" borderId="6" xfId="2" applyBorder="1"/>
    <xf numFmtId="4" fontId="19" fillId="15" borderId="0" xfId="2" applyNumberFormat="1" applyFill="1"/>
    <xf numFmtId="4" fontId="19" fillId="10" borderId="0" xfId="2" applyNumberFormat="1" applyFill="1"/>
    <xf numFmtId="4" fontId="19" fillId="15" borderId="6" xfId="2" applyNumberFormat="1" applyFill="1" applyBorder="1"/>
    <xf numFmtId="4" fontId="21" fillId="0" borderId="0" xfId="2" applyNumberFormat="1" applyFont="1"/>
    <xf numFmtId="4" fontId="22" fillId="10" borderId="0" xfId="2" applyNumberFormat="1" applyFont="1" applyFill="1"/>
    <xf numFmtId="4" fontId="19" fillId="0" borderId="0" xfId="2" quotePrefix="1" applyNumberFormat="1"/>
    <xf numFmtId="4" fontId="19" fillId="15" borderId="0" xfId="2" quotePrefix="1" applyNumberFormat="1" applyFill="1"/>
    <xf numFmtId="0" fontId="19" fillId="15" borderId="0" xfId="2" applyFill="1" applyAlignment="1">
      <alignment horizontal="center"/>
    </xf>
    <xf numFmtId="2" fontId="19" fillId="0" borderId="0" xfId="2" applyNumberFormat="1"/>
    <xf numFmtId="3" fontId="19" fillId="0" borderId="0" xfId="2" applyNumberFormat="1" applyAlignment="1">
      <alignment horizontal="center"/>
    </xf>
    <xf numFmtId="0" fontId="19" fillId="0" borderId="7" xfId="2" applyBorder="1" applyAlignment="1">
      <alignment horizontal="center"/>
    </xf>
    <xf numFmtId="0" fontId="19" fillId="0" borderId="8" xfId="2" applyBorder="1"/>
    <xf numFmtId="4" fontId="19" fillId="0" borderId="8" xfId="2" applyNumberFormat="1" applyBorder="1"/>
    <xf numFmtId="4" fontId="19" fillId="0" borderId="7" xfId="2" applyNumberFormat="1" applyBorder="1"/>
    <xf numFmtId="4" fontId="19" fillId="0" borderId="9" xfId="2" applyNumberFormat="1" applyBorder="1"/>
    <xf numFmtId="0" fontId="19" fillId="2" borderId="0" xfId="2" applyFill="1"/>
    <xf numFmtId="4" fontId="19" fillId="2" borderId="0" xfId="2" applyNumberFormat="1" applyFill="1"/>
    <xf numFmtId="14" fontId="19" fillId="2" borderId="0" xfId="2" applyNumberFormat="1" applyFill="1"/>
    <xf numFmtId="14" fontId="5" fillId="2" borderId="0" xfId="0" applyNumberFormat="1" applyFont="1" applyFill="1" applyAlignment="1">
      <alignment horizontal="left"/>
    </xf>
    <xf numFmtId="3" fontId="13" fillId="2" borderId="0" xfId="0" applyNumberFormat="1" applyFont="1" applyFill="1" applyAlignment="1">
      <alignment horizontal="center"/>
    </xf>
    <xf numFmtId="0" fontId="2" fillId="18" borderId="0" xfId="0" applyFont="1" applyFill="1" applyAlignment="1">
      <alignment vertical="center"/>
    </xf>
    <xf numFmtId="3" fontId="2" fillId="18" borderId="0" xfId="0" applyNumberFormat="1" applyFont="1" applyFill="1" applyAlignment="1">
      <alignment horizontal="center" vertical="center"/>
    </xf>
    <xf numFmtId="1" fontId="2" fillId="18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7" fontId="2" fillId="18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3" fontId="3" fillId="5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vertical="center"/>
    </xf>
    <xf numFmtId="3" fontId="2" fillId="19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3" fontId="1" fillId="17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3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4" fontId="14" fillId="2" borderId="0" xfId="0" applyNumberFormat="1" applyFont="1" applyFill="1" applyAlignment="1">
      <alignment horizontal="center" vertical="center"/>
    </xf>
    <xf numFmtId="172" fontId="1" fillId="2" borderId="0" xfId="1" applyNumberFormat="1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3" fontId="3" fillId="8" borderId="0" xfId="0" applyNumberFormat="1" applyFont="1" applyFill="1" applyAlignment="1">
      <alignment horizontal="center" vertical="center"/>
    </xf>
    <xf numFmtId="3" fontId="1" fillId="8" borderId="0" xfId="0" applyNumberFormat="1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3" fontId="1" fillId="7" borderId="0" xfId="0" applyNumberFormat="1" applyFont="1" applyFill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3" fontId="7" fillId="9" borderId="0" xfId="0" applyNumberFormat="1" applyFont="1" applyFill="1" applyAlignment="1">
      <alignment horizontal="center" vertical="center"/>
    </xf>
    <xf numFmtId="172" fontId="3" fillId="2" borderId="0" xfId="1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3" fontId="13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173" fontId="3" fillId="5" borderId="1" xfId="0" applyNumberFormat="1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  <xf numFmtId="0" fontId="19" fillId="0" borderId="3" xfId="2" applyBorder="1" applyAlignment="1">
      <alignment horizontal="center"/>
    </xf>
    <xf numFmtId="0" fontId="19" fillId="2" borderId="0" xfId="2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/>
  </cellXfs>
  <cellStyles count="3">
    <cellStyle name="Normal" xfId="0" builtinId="0"/>
    <cellStyle name="Normal 2" xfId="2" xr:uid="{FBDE122D-F9BE-AE4A-91C0-5CA92DAE08C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3" dT="2024-12-10T18:14:29.52" personId="{13DA6435-8028-7E4E-8BAC-E13216844B55}" id="{9A6E298F-0F30-634E-B3E7-67B0B20F7499}">
    <text>Foi pago um valor a mais de USD 342,869.76 ao invés de USD 331,504. O valor será abatido no próximo pagamento de janeiro.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dimension ref="A1:X36"/>
  <sheetViews>
    <sheetView tabSelected="1" zoomScale="80" zoomScaleNormal="80" workbookViewId="0">
      <selection activeCell="N22" sqref="N22:N32"/>
    </sheetView>
  </sheetViews>
  <sheetFormatPr baseColWidth="10" defaultRowHeight="14" x14ac:dyDescent="0.2"/>
  <cols>
    <col min="1" max="1" width="15.5" style="43" customWidth="1"/>
    <col min="2" max="2" width="15.83203125" style="136" customWidth="1"/>
    <col min="3" max="3" width="19.6640625" style="43" customWidth="1"/>
    <col min="4" max="11" width="10.83203125" style="43"/>
    <col min="12" max="12" width="10.83203125" style="140"/>
    <col min="13" max="17" width="10.83203125" style="43"/>
    <col min="18" max="18" width="12.5" style="43" bestFit="1" customWidth="1"/>
    <col min="19" max="19" width="11" style="43" bestFit="1" customWidth="1"/>
    <col min="20" max="20" width="12.5" style="43" bestFit="1" customWidth="1"/>
    <col min="21" max="24" width="11" style="43" bestFit="1" customWidth="1"/>
    <col min="25" max="16384" width="10.83203125" style="43"/>
  </cols>
  <sheetData>
    <row r="1" spans="1:24" x14ac:dyDescent="0.2">
      <c r="A1" s="8" t="s">
        <v>71</v>
      </c>
      <c r="B1" s="8" t="s">
        <v>84</v>
      </c>
      <c r="C1" s="8" t="s">
        <v>16</v>
      </c>
      <c r="D1" s="8" t="s">
        <v>15</v>
      </c>
      <c r="E1" s="8" t="s">
        <v>14</v>
      </c>
      <c r="F1" s="8" t="s">
        <v>72</v>
      </c>
      <c r="G1" s="8" t="s">
        <v>73</v>
      </c>
      <c r="H1" s="8" t="s">
        <v>13</v>
      </c>
      <c r="I1" s="8" t="s">
        <v>22</v>
      </c>
      <c r="J1" s="8" t="s">
        <v>17</v>
      </c>
      <c r="K1" s="8" t="s">
        <v>18</v>
      </c>
      <c r="L1" s="137" t="s">
        <v>20</v>
      </c>
      <c r="M1" s="13" t="s">
        <v>21</v>
      </c>
      <c r="N1" s="13" t="s">
        <v>19</v>
      </c>
      <c r="O1" s="13">
        <v>45536</v>
      </c>
      <c r="P1" s="13">
        <v>45566</v>
      </c>
      <c r="Q1" s="13">
        <v>45597</v>
      </c>
      <c r="R1" s="13">
        <v>45627</v>
      </c>
      <c r="S1" s="13">
        <v>45658</v>
      </c>
      <c r="T1" s="13">
        <v>45689</v>
      </c>
      <c r="U1" s="13">
        <v>45717</v>
      </c>
      <c r="V1" s="13">
        <v>45748</v>
      </c>
      <c r="W1" s="13">
        <v>45778</v>
      </c>
      <c r="X1" s="13" t="s">
        <v>30</v>
      </c>
    </row>
    <row r="2" spans="1:24" s="136" customFormat="1" x14ac:dyDescent="0.2">
      <c r="A2" s="10" t="s">
        <v>173</v>
      </c>
      <c r="B2" s="10" t="s">
        <v>85</v>
      </c>
      <c r="C2" s="10" t="str">
        <f>vendas!B50</f>
        <v>Unroasted</v>
      </c>
      <c r="D2" s="10" t="str">
        <f>vendas!C50</f>
        <v>018/24</v>
      </c>
      <c r="E2" s="10">
        <f>vendas!D50</f>
        <v>320</v>
      </c>
      <c r="F2" s="10" t="str">
        <f>vendas!E50</f>
        <v>16/18</v>
      </c>
      <c r="G2" s="10" t="str">
        <f>vendas!F50</f>
        <v>Fine Cup</v>
      </c>
      <c r="H2" s="10">
        <f>vendas!G50</f>
        <v>10</v>
      </c>
      <c r="I2" s="11">
        <f>vendas!H50</f>
        <v>251.05</v>
      </c>
      <c r="J2" s="11">
        <f>vendas!I50</f>
        <v>245</v>
      </c>
      <c r="K2" s="11">
        <f>vendas!J50</f>
        <v>345.31004126017376</v>
      </c>
      <c r="L2" s="138">
        <f>vendas!K50</f>
        <v>45564</v>
      </c>
      <c r="M2" s="10">
        <f>vendas!L50</f>
        <v>60</v>
      </c>
      <c r="N2" s="18">
        <f>vendas!M50</f>
        <v>110499.21320325561</v>
      </c>
      <c r="O2" s="18">
        <f>vendas!N50</f>
        <v>0</v>
      </c>
      <c r="P2" s="18">
        <f>vendas!O50</f>
        <v>0</v>
      </c>
      <c r="Q2" s="18">
        <f>vendas!P50</f>
        <v>0</v>
      </c>
      <c r="R2" s="18">
        <f>vendas!Q50</f>
        <v>110499.21320325561</v>
      </c>
      <c r="S2" s="18">
        <f>vendas!R50</f>
        <v>0</v>
      </c>
      <c r="T2" s="18">
        <f>vendas!S50</f>
        <v>0</v>
      </c>
      <c r="U2" s="18">
        <f>vendas!T50</f>
        <v>0</v>
      </c>
      <c r="V2" s="18">
        <f>vendas!U50</f>
        <v>0</v>
      </c>
      <c r="W2" s="18">
        <f>vendas!V50</f>
        <v>0</v>
      </c>
      <c r="X2" s="18">
        <f>vendas!W50</f>
        <v>0</v>
      </c>
    </row>
    <row r="3" spans="1:24" x14ac:dyDescent="0.2">
      <c r="A3" s="19" t="s">
        <v>173</v>
      </c>
      <c r="B3" s="19" t="s">
        <v>85</v>
      </c>
      <c r="C3" s="19" t="str">
        <f>vendas!B51</f>
        <v>Unroasted</v>
      </c>
      <c r="D3" s="19" t="str">
        <f>vendas!C51</f>
        <v>019/24</v>
      </c>
      <c r="E3" s="19">
        <f>vendas!D51</f>
        <v>320</v>
      </c>
      <c r="F3" s="19" t="str">
        <f>vendas!E51</f>
        <v>16/18</v>
      </c>
      <c r="G3" s="19" t="str">
        <f>vendas!F51</f>
        <v>Fine Cup</v>
      </c>
      <c r="H3" s="19">
        <f>vendas!G51</f>
        <v>10</v>
      </c>
      <c r="I3" s="20">
        <f>vendas!H51</f>
        <v>251.05</v>
      </c>
      <c r="J3" s="20">
        <f>vendas!I51</f>
        <v>245</v>
      </c>
      <c r="K3" s="20">
        <f>vendas!J51</f>
        <v>345.31004126017376</v>
      </c>
      <c r="L3" s="139">
        <f>vendas!K51</f>
        <v>45564</v>
      </c>
      <c r="M3" s="19">
        <f>vendas!L51</f>
        <v>60</v>
      </c>
      <c r="N3" s="50">
        <f>vendas!M51</f>
        <v>110499.21320325561</v>
      </c>
      <c r="O3" s="50">
        <f>vendas!N51</f>
        <v>0</v>
      </c>
      <c r="P3" s="50">
        <f>vendas!O51</f>
        <v>0</v>
      </c>
      <c r="Q3" s="50">
        <f>vendas!P51</f>
        <v>0</v>
      </c>
      <c r="R3" s="50">
        <f>vendas!Q51</f>
        <v>110499.21320325561</v>
      </c>
      <c r="S3" s="50">
        <f>vendas!R51</f>
        <v>0</v>
      </c>
      <c r="T3" s="50">
        <f>vendas!S51</f>
        <v>0</v>
      </c>
      <c r="U3" s="50">
        <f>vendas!T51</f>
        <v>0</v>
      </c>
      <c r="V3" s="50">
        <f>vendas!U51</f>
        <v>0</v>
      </c>
      <c r="W3" s="50">
        <f>vendas!V51</f>
        <v>0</v>
      </c>
      <c r="X3" s="50">
        <f>vendas!W51</f>
        <v>0</v>
      </c>
    </row>
    <row r="4" spans="1:24" x14ac:dyDescent="0.2">
      <c r="A4" s="10" t="s">
        <v>173</v>
      </c>
      <c r="B4" s="10" t="s">
        <v>85</v>
      </c>
      <c r="C4" s="10" t="str">
        <f>vendas!B52</f>
        <v>Unroasted</v>
      </c>
      <c r="D4" s="10" t="str">
        <f>vendas!C52</f>
        <v>022/24</v>
      </c>
      <c r="E4" s="10">
        <f>vendas!D52</f>
        <v>320</v>
      </c>
      <c r="F4" s="10" t="str">
        <f>vendas!E52</f>
        <v>16/18</v>
      </c>
      <c r="G4" s="10" t="str">
        <f>vendas!F52</f>
        <v>Benedictos</v>
      </c>
      <c r="H4" s="10">
        <f>vendas!G52</f>
        <v>10</v>
      </c>
      <c r="I4" s="11">
        <f>vendas!H52</f>
        <v>251.05</v>
      </c>
      <c r="J4" s="11">
        <f>vendas!I52</f>
        <v>231.1</v>
      </c>
      <c r="K4" s="11">
        <f>vendas!J52</f>
        <v>345.31004126017376</v>
      </c>
      <c r="L4" s="138">
        <f>vendas!K52</f>
        <v>45564</v>
      </c>
      <c r="M4" s="10">
        <f>vendas!L52</f>
        <v>60</v>
      </c>
      <c r="N4" s="18">
        <f>vendas!M52</f>
        <v>110499.21320325561</v>
      </c>
      <c r="O4" s="18">
        <f>vendas!N52</f>
        <v>0</v>
      </c>
      <c r="P4" s="18">
        <f>vendas!O52</f>
        <v>0</v>
      </c>
      <c r="Q4" s="18">
        <f>vendas!P52</f>
        <v>0</v>
      </c>
      <c r="R4" s="18">
        <f>vendas!Q52</f>
        <v>110499.21320325561</v>
      </c>
      <c r="S4" s="18">
        <f>vendas!R52</f>
        <v>0</v>
      </c>
      <c r="T4" s="18">
        <f>vendas!S52</f>
        <v>0</v>
      </c>
      <c r="U4" s="18">
        <f>vendas!T52</f>
        <v>0</v>
      </c>
      <c r="V4" s="18">
        <f>vendas!U52</f>
        <v>0</v>
      </c>
      <c r="W4" s="18">
        <f>vendas!V52</f>
        <v>0</v>
      </c>
      <c r="X4" s="18">
        <f>vendas!W52</f>
        <v>0</v>
      </c>
    </row>
    <row r="5" spans="1:24" x14ac:dyDescent="0.2">
      <c r="A5" s="19" t="s">
        <v>173</v>
      </c>
      <c r="B5" s="19" t="s">
        <v>85</v>
      </c>
      <c r="C5" s="19" t="str">
        <f>vendas!B53</f>
        <v>Unroasted</v>
      </c>
      <c r="D5" s="19" t="str">
        <f>vendas!C53</f>
        <v>027/24</v>
      </c>
      <c r="E5" s="19">
        <f>vendas!D53</f>
        <v>160</v>
      </c>
      <c r="F5" s="19" t="str">
        <f>vendas!E53</f>
        <v>16/18</v>
      </c>
      <c r="G5" s="19" t="str">
        <f>vendas!F53</f>
        <v>Ortu Sollis</v>
      </c>
      <c r="H5" s="19">
        <f>vendas!G53</f>
        <v>25</v>
      </c>
      <c r="I5" s="20">
        <f>vendas!H53</f>
        <v>280.75</v>
      </c>
      <c r="J5" s="20">
        <f>vendas!I53</f>
        <v>243.16</v>
      </c>
      <c r="K5" s="20">
        <f>vendas!J53</f>
        <v>404.43801997815785</v>
      </c>
      <c r="L5" s="139">
        <f>vendas!K53</f>
        <v>45599</v>
      </c>
      <c r="M5" s="19">
        <f>vendas!L53</f>
        <v>90</v>
      </c>
      <c r="N5" s="50">
        <f>vendas!M53</f>
        <v>64710.083196505257</v>
      </c>
      <c r="O5" s="50">
        <f>vendas!N53</f>
        <v>0</v>
      </c>
      <c r="P5" s="50">
        <f>vendas!O53</f>
        <v>0</v>
      </c>
      <c r="Q5" s="50">
        <f>vendas!P53</f>
        <v>0</v>
      </c>
      <c r="R5" s="50">
        <f>vendas!Q53</f>
        <v>0</v>
      </c>
      <c r="S5" s="50">
        <f>vendas!R53</f>
        <v>0</v>
      </c>
      <c r="T5" s="50">
        <f>vendas!S53</f>
        <v>64710.083196505257</v>
      </c>
      <c r="U5" s="50">
        <f>vendas!T53</f>
        <v>0</v>
      </c>
      <c r="V5" s="50">
        <f>vendas!U53</f>
        <v>0</v>
      </c>
      <c r="W5" s="50">
        <f>vendas!V53</f>
        <v>0</v>
      </c>
      <c r="X5" s="50">
        <f>vendas!W53</f>
        <v>0</v>
      </c>
    </row>
    <row r="6" spans="1:24" x14ac:dyDescent="0.2">
      <c r="A6" s="10" t="s">
        <v>173</v>
      </c>
      <c r="B6" s="10" t="s">
        <v>85</v>
      </c>
      <c r="C6" s="10" t="str">
        <f>vendas!B54</f>
        <v>Unroasted</v>
      </c>
      <c r="D6" s="10" t="str">
        <f>vendas!C54</f>
        <v>028/24</v>
      </c>
      <c r="E6" s="10">
        <f>vendas!D54</f>
        <v>160</v>
      </c>
      <c r="F6" s="10" t="str">
        <f>vendas!E54</f>
        <v>14/16</v>
      </c>
      <c r="G6" s="10" t="str">
        <f>vendas!F54</f>
        <v>Petrus</v>
      </c>
      <c r="H6" s="10">
        <f>vendas!G54</f>
        <v>-8</v>
      </c>
      <c r="I6" s="11">
        <f>vendas!H54</f>
        <v>280.75</v>
      </c>
      <c r="J6" s="11">
        <f>vendas!I54</f>
        <v>243.16</v>
      </c>
      <c r="K6" s="11">
        <f>vendas!J54</f>
        <v>360.78649206555212</v>
      </c>
      <c r="L6" s="138">
        <f>vendas!K54</f>
        <v>45599</v>
      </c>
      <c r="M6" s="10">
        <f>vendas!L54</f>
        <v>60</v>
      </c>
      <c r="N6" s="18">
        <f>vendas!M54</f>
        <v>57725.838730488336</v>
      </c>
      <c r="O6" s="18">
        <f>vendas!N54</f>
        <v>0</v>
      </c>
      <c r="P6" s="18">
        <f>vendas!O54</f>
        <v>0</v>
      </c>
      <c r="Q6" s="18">
        <f>vendas!P54</f>
        <v>0</v>
      </c>
      <c r="R6" s="18">
        <f>vendas!Q54</f>
        <v>0</v>
      </c>
      <c r="S6" s="18">
        <f>vendas!R54</f>
        <v>57725.838730488336</v>
      </c>
      <c r="T6" s="18">
        <f>vendas!S54</f>
        <v>0</v>
      </c>
      <c r="U6" s="18">
        <f>vendas!T54</f>
        <v>0</v>
      </c>
      <c r="V6" s="18">
        <f>vendas!U54</f>
        <v>0</v>
      </c>
      <c r="W6" s="18">
        <f>vendas!V54</f>
        <v>0</v>
      </c>
      <c r="X6" s="18">
        <f>vendas!W54</f>
        <v>0</v>
      </c>
    </row>
    <row r="7" spans="1:24" x14ac:dyDescent="0.2">
      <c r="A7" s="19" t="s">
        <v>173</v>
      </c>
      <c r="B7" s="19" t="s">
        <v>85</v>
      </c>
      <c r="C7" s="19" t="str">
        <f>vendas!B55</f>
        <v>Unroasted</v>
      </c>
      <c r="D7" s="19" t="str">
        <f>vendas!C55</f>
        <v>024/24</v>
      </c>
      <c r="E7" s="19">
        <f>vendas!D55</f>
        <v>320</v>
      </c>
      <c r="F7" s="19" t="str">
        <f>vendas!E55</f>
        <v>16/18</v>
      </c>
      <c r="G7" s="19" t="str">
        <f>vendas!F55</f>
        <v>Petrus</v>
      </c>
      <c r="H7" s="19">
        <f>vendas!G55</f>
        <v>10</v>
      </c>
      <c r="I7" s="20">
        <f>vendas!H55</f>
        <v>323.25</v>
      </c>
      <c r="J7" s="20">
        <f>vendas!I55</f>
        <v>240.91</v>
      </c>
      <c r="K7" s="20">
        <f>vendas!J55</f>
        <v>440.81429323866269</v>
      </c>
      <c r="L7" s="139">
        <f>vendas!K55</f>
        <v>45630</v>
      </c>
      <c r="M7" s="19">
        <f>vendas!L55</f>
        <v>60</v>
      </c>
      <c r="N7" s="50">
        <f>vendas!M55</f>
        <v>141060.57383637206</v>
      </c>
      <c r="O7" s="50">
        <f>vendas!N55</f>
        <v>0</v>
      </c>
      <c r="P7" s="50">
        <f>vendas!O55</f>
        <v>0</v>
      </c>
      <c r="Q7" s="50">
        <f>vendas!P55</f>
        <v>0</v>
      </c>
      <c r="R7" s="50">
        <f>vendas!Q55</f>
        <v>0</v>
      </c>
      <c r="S7" s="50">
        <f>vendas!R55</f>
        <v>0</v>
      </c>
      <c r="T7" s="50">
        <f>vendas!S55</f>
        <v>141060.57383637206</v>
      </c>
      <c r="U7" s="50">
        <f>vendas!T55</f>
        <v>0</v>
      </c>
      <c r="V7" s="50">
        <f>vendas!U55</f>
        <v>0</v>
      </c>
      <c r="W7" s="50">
        <f>vendas!V55</f>
        <v>0</v>
      </c>
      <c r="X7" s="50">
        <f>vendas!W55</f>
        <v>0</v>
      </c>
    </row>
    <row r="8" spans="1:24" x14ac:dyDescent="0.2">
      <c r="A8" s="10" t="s">
        <v>173</v>
      </c>
      <c r="B8" s="10" t="s">
        <v>85</v>
      </c>
      <c r="C8" s="10" t="str">
        <f>vendas!B56</f>
        <v>Unroasted</v>
      </c>
      <c r="D8" s="10" t="str">
        <f>vendas!C56</f>
        <v>030/24</v>
      </c>
      <c r="E8" s="10">
        <f>vendas!D56</f>
        <v>320</v>
      </c>
      <c r="F8" s="10" t="str">
        <f>vendas!E56</f>
        <v>16/18</v>
      </c>
      <c r="G8" s="10" t="str">
        <f>vendas!F56</f>
        <v>Brasilis</v>
      </c>
      <c r="H8" s="10">
        <f>vendas!G56</f>
        <v>50</v>
      </c>
      <c r="I8" s="11">
        <f>vendas!H56</f>
        <v>323.25</v>
      </c>
      <c r="J8" s="11">
        <f>vendas!I56</f>
        <v>240.91</v>
      </c>
      <c r="K8" s="11">
        <f>vendas!J56</f>
        <v>493.72523616303329</v>
      </c>
      <c r="L8" s="138">
        <f>vendas!K56</f>
        <v>45630</v>
      </c>
      <c r="M8" s="10">
        <f>vendas!L56</f>
        <v>90</v>
      </c>
      <c r="N8" s="18">
        <f>vendas!M56</f>
        <v>157992.07557217067</v>
      </c>
      <c r="O8" s="18">
        <f>vendas!N56</f>
        <v>0</v>
      </c>
      <c r="P8" s="18">
        <f>vendas!O56</f>
        <v>0</v>
      </c>
      <c r="Q8" s="18">
        <f>vendas!P56</f>
        <v>0</v>
      </c>
      <c r="R8" s="18">
        <f>vendas!Q56</f>
        <v>0</v>
      </c>
      <c r="S8" s="18">
        <f>vendas!R56</f>
        <v>0</v>
      </c>
      <c r="T8" s="18">
        <f>vendas!S56</f>
        <v>0</v>
      </c>
      <c r="U8" s="18">
        <f>vendas!T56</f>
        <v>157992.07557217067</v>
      </c>
      <c r="V8" s="18">
        <f>vendas!U56</f>
        <v>0</v>
      </c>
      <c r="W8" s="18">
        <f>vendas!V56</f>
        <v>0</v>
      </c>
      <c r="X8" s="18">
        <f>vendas!W56</f>
        <v>0</v>
      </c>
    </row>
    <row r="9" spans="1:24" x14ac:dyDescent="0.2">
      <c r="A9" s="19" t="s">
        <v>173</v>
      </c>
      <c r="B9" s="19" t="s">
        <v>85</v>
      </c>
      <c r="C9" s="19" t="str">
        <f>vendas!B57</f>
        <v>Unroasted</v>
      </c>
      <c r="D9" s="19" t="str">
        <f>vendas!C57</f>
        <v>035/24</v>
      </c>
      <c r="E9" s="19">
        <f>vendas!D57</f>
        <v>320</v>
      </c>
      <c r="F9" s="19" t="str">
        <f>vendas!E57</f>
        <v>14/16</v>
      </c>
      <c r="G9" s="19" t="str">
        <f>vendas!F57</f>
        <v>Essentia</v>
      </c>
      <c r="H9" s="19">
        <f>vendas!G57</f>
        <v>-8</v>
      </c>
      <c r="I9" s="20">
        <f>vendas!H57</f>
        <v>323.25</v>
      </c>
      <c r="J9" s="20">
        <f>vendas!I57</f>
        <v>240.91</v>
      </c>
      <c r="K9" s="20">
        <f>vendas!J57</f>
        <v>417.0043689226959</v>
      </c>
      <c r="L9" s="139">
        <f>vendas!K57</f>
        <v>45630</v>
      </c>
      <c r="M9" s="19">
        <f>vendas!L57</f>
        <v>90</v>
      </c>
      <c r="N9" s="50">
        <f>vendas!M57</f>
        <v>133441.39805526269</v>
      </c>
      <c r="O9" s="50">
        <f>vendas!N57</f>
        <v>0</v>
      </c>
      <c r="P9" s="50">
        <f>vendas!O57</f>
        <v>0</v>
      </c>
      <c r="Q9" s="50">
        <f>vendas!P57</f>
        <v>0</v>
      </c>
      <c r="R9" s="50">
        <f>vendas!Q57</f>
        <v>0</v>
      </c>
      <c r="S9" s="50">
        <f>vendas!R57</f>
        <v>0</v>
      </c>
      <c r="T9" s="50">
        <f>vendas!S57</f>
        <v>0</v>
      </c>
      <c r="U9" s="50">
        <f>vendas!T57</f>
        <v>133441.39805526269</v>
      </c>
      <c r="V9" s="50">
        <f>vendas!U57</f>
        <v>0</v>
      </c>
      <c r="W9" s="50">
        <f>vendas!V57</f>
        <v>0</v>
      </c>
      <c r="X9" s="50">
        <f>vendas!W57</f>
        <v>0</v>
      </c>
    </row>
    <row r="10" spans="1:24" x14ac:dyDescent="0.2">
      <c r="A10" s="10" t="s">
        <v>173</v>
      </c>
      <c r="B10" s="10" t="s">
        <v>85</v>
      </c>
      <c r="C10" s="10" t="str">
        <f>vendas!B58</f>
        <v>Unroasted</v>
      </c>
      <c r="D10" s="10" t="str">
        <f>vendas!C58</f>
        <v>027/24</v>
      </c>
      <c r="E10" s="10">
        <f>vendas!D58</f>
        <v>160</v>
      </c>
      <c r="F10" s="10" t="str">
        <f>vendas!E58</f>
        <v>16/18</v>
      </c>
      <c r="G10" s="10" t="str">
        <f>vendas!F58</f>
        <v>Ortu Sollis</v>
      </c>
      <c r="H10" s="10">
        <f>vendas!G58</f>
        <v>25</v>
      </c>
      <c r="I10" s="11">
        <f>vendas!H58</f>
        <v>328.35</v>
      </c>
      <c r="J10" s="11">
        <f>vendas!I58</f>
        <v>243.16</v>
      </c>
      <c r="K10" s="11">
        <f>vendas!J58</f>
        <v>467.40204205815894</v>
      </c>
      <c r="L10" s="138">
        <f>vendas!K58</f>
        <v>45687</v>
      </c>
      <c r="M10" s="10">
        <f>vendas!L58</f>
        <v>90</v>
      </c>
      <c r="N10" s="18">
        <f>vendas!M58</f>
        <v>74784.326729305438</v>
      </c>
      <c r="O10" s="18">
        <f>vendas!N58</f>
        <v>0</v>
      </c>
      <c r="P10" s="18">
        <f>vendas!O58</f>
        <v>0</v>
      </c>
      <c r="Q10" s="18">
        <f>vendas!P58</f>
        <v>0</v>
      </c>
      <c r="R10" s="18">
        <f>vendas!Q58</f>
        <v>0</v>
      </c>
      <c r="S10" s="18">
        <f>vendas!R58</f>
        <v>0</v>
      </c>
      <c r="T10" s="18">
        <f>vendas!S58</f>
        <v>0</v>
      </c>
      <c r="U10" s="18">
        <f>vendas!T58</f>
        <v>0</v>
      </c>
      <c r="V10" s="18">
        <f>vendas!U58</f>
        <v>74784.326729305438</v>
      </c>
      <c r="W10" s="18">
        <f>vendas!V58</f>
        <v>0</v>
      </c>
      <c r="X10" s="18">
        <f>vendas!W58</f>
        <v>0</v>
      </c>
    </row>
    <row r="11" spans="1:24" x14ac:dyDescent="0.2">
      <c r="A11" s="19" t="s">
        <v>173</v>
      </c>
      <c r="B11" s="19" t="s">
        <v>85</v>
      </c>
      <c r="C11" s="19" t="str">
        <f>vendas!B59</f>
        <v>Unroasted</v>
      </c>
      <c r="D11" s="19" t="str">
        <f>vendas!C59</f>
        <v>028/24</v>
      </c>
      <c r="E11" s="19">
        <f>vendas!D59</f>
        <v>160</v>
      </c>
      <c r="F11" s="19" t="str">
        <f>vendas!E59</f>
        <v>16/18</v>
      </c>
      <c r="G11" s="19" t="str">
        <f>vendas!F59</f>
        <v>Petrus</v>
      </c>
      <c r="H11" s="19">
        <f>vendas!G59</f>
        <v>-8</v>
      </c>
      <c r="I11" s="20">
        <f>vendas!H59</f>
        <v>328.35</v>
      </c>
      <c r="J11" s="20">
        <f>vendas!I59</f>
        <v>243.16</v>
      </c>
      <c r="K11" s="20">
        <f>vendas!J59</f>
        <v>423.75051414555321</v>
      </c>
      <c r="L11" s="139">
        <f>vendas!K59</f>
        <v>45687</v>
      </c>
      <c r="M11" s="19">
        <f>vendas!L59</f>
        <v>60</v>
      </c>
      <c r="N11" s="50">
        <f>vendas!M59</f>
        <v>67800.08226328851</v>
      </c>
      <c r="O11" s="50">
        <f>vendas!N59</f>
        <v>0</v>
      </c>
      <c r="P11" s="50">
        <f>vendas!O59</f>
        <v>0</v>
      </c>
      <c r="Q11" s="50">
        <f>vendas!P59</f>
        <v>0</v>
      </c>
      <c r="R11" s="50">
        <f>vendas!Q59</f>
        <v>0</v>
      </c>
      <c r="S11" s="50">
        <f>vendas!R59</f>
        <v>0</v>
      </c>
      <c r="T11" s="50">
        <f>vendas!S59</f>
        <v>0</v>
      </c>
      <c r="U11" s="50">
        <f>vendas!T59</f>
        <v>67800.08226328851</v>
      </c>
      <c r="V11" s="50">
        <f>vendas!U59</f>
        <v>0</v>
      </c>
      <c r="W11" s="50">
        <f>vendas!V59</f>
        <v>0</v>
      </c>
      <c r="X11" s="50">
        <f>vendas!W59</f>
        <v>0</v>
      </c>
    </row>
    <row r="12" spans="1:24" x14ac:dyDescent="0.2">
      <c r="A12" s="10" t="s">
        <v>173</v>
      </c>
      <c r="B12" s="10" t="s">
        <v>85</v>
      </c>
      <c r="C12" s="10" t="str">
        <f>vendas!B60</f>
        <v>Unroasted</v>
      </c>
      <c r="D12" s="10" t="str">
        <f>vendas!C60</f>
        <v>025/24</v>
      </c>
      <c r="E12" s="10">
        <f>vendas!D60</f>
        <v>320</v>
      </c>
      <c r="F12" s="10" t="str">
        <f>vendas!E60</f>
        <v>16/18</v>
      </c>
      <c r="G12" s="10" t="str">
        <f>vendas!F60</f>
        <v>Petrus</v>
      </c>
      <c r="H12" s="10">
        <f>vendas!G60</f>
        <v>10</v>
      </c>
      <c r="I12" s="11">
        <f>vendas!H60</f>
        <v>328.35</v>
      </c>
      <c r="J12" s="11">
        <f>vendas!I60</f>
        <v>240.91</v>
      </c>
      <c r="K12" s="11">
        <f>vendas!J60</f>
        <v>447.56043846151994</v>
      </c>
      <c r="L12" s="138">
        <f>vendas!K60</f>
        <v>45687</v>
      </c>
      <c r="M12" s="10">
        <f>vendas!L60</f>
        <v>60</v>
      </c>
      <c r="N12" s="18">
        <f>vendas!M60</f>
        <v>143219.34030768639</v>
      </c>
      <c r="O12" s="18">
        <f>vendas!N60</f>
        <v>0</v>
      </c>
      <c r="P12" s="18">
        <f>vendas!O60</f>
        <v>0</v>
      </c>
      <c r="Q12" s="18">
        <f>vendas!P60</f>
        <v>0</v>
      </c>
      <c r="R12" s="18">
        <f>vendas!Q60</f>
        <v>0</v>
      </c>
      <c r="S12" s="18">
        <f>vendas!R60</f>
        <v>0</v>
      </c>
      <c r="T12" s="18">
        <f>vendas!S60</f>
        <v>0</v>
      </c>
      <c r="U12" s="18">
        <f>vendas!T60</f>
        <v>143219.34030768639</v>
      </c>
      <c r="V12" s="18">
        <f>vendas!U60</f>
        <v>0</v>
      </c>
      <c r="W12" s="18">
        <f>vendas!V60</f>
        <v>0</v>
      </c>
      <c r="X12" s="18">
        <f>vendas!W60</f>
        <v>0</v>
      </c>
    </row>
    <row r="13" spans="1:24" x14ac:dyDescent="0.2">
      <c r="A13" s="19" t="s">
        <v>173</v>
      </c>
      <c r="B13" s="19" t="s">
        <v>85</v>
      </c>
      <c r="C13" s="19" t="str">
        <f>vendas!B61</f>
        <v>Unroasted</v>
      </c>
      <c r="D13" s="19" t="str">
        <f>vendas!C61</f>
        <v>023/24</v>
      </c>
      <c r="E13" s="19">
        <f>vendas!D61</f>
        <v>320</v>
      </c>
      <c r="F13" s="19" t="str">
        <f>vendas!E61</f>
        <v>16/18</v>
      </c>
      <c r="G13" s="19" t="str">
        <f>vendas!F61</f>
        <v>Benedictos</v>
      </c>
      <c r="H13" s="19">
        <f>vendas!G61</f>
        <v>10</v>
      </c>
      <c r="I13" s="20">
        <f>vendas!H61</f>
        <v>328.35</v>
      </c>
      <c r="J13" s="20">
        <f>vendas!I61</f>
        <v>240.91</v>
      </c>
      <c r="K13" s="20">
        <f>vendas!J61</f>
        <v>447.56043846151994</v>
      </c>
      <c r="L13" s="139">
        <f>vendas!K61</f>
        <v>45687</v>
      </c>
      <c r="M13" s="19">
        <f>vendas!L61</f>
        <v>60</v>
      </c>
      <c r="N13" s="50">
        <f>vendas!M61</f>
        <v>143219.34030768639</v>
      </c>
      <c r="O13" s="50">
        <f>vendas!N61</f>
        <v>0</v>
      </c>
      <c r="P13" s="50">
        <f>vendas!O61</f>
        <v>0</v>
      </c>
      <c r="Q13" s="50">
        <f>vendas!P61</f>
        <v>0</v>
      </c>
      <c r="R13" s="50">
        <f>vendas!Q61</f>
        <v>0</v>
      </c>
      <c r="S13" s="50">
        <f>vendas!R61</f>
        <v>0</v>
      </c>
      <c r="T13" s="50">
        <f>vendas!S61</f>
        <v>0</v>
      </c>
      <c r="U13" s="50">
        <f>vendas!T61</f>
        <v>143219.34030768639</v>
      </c>
      <c r="V13" s="50">
        <f>vendas!U61</f>
        <v>0</v>
      </c>
      <c r="W13" s="50">
        <f>vendas!V61</f>
        <v>0</v>
      </c>
      <c r="X13" s="50">
        <f>vendas!W61</f>
        <v>0</v>
      </c>
    </row>
    <row r="14" spans="1:24" x14ac:dyDescent="0.2">
      <c r="A14" s="10" t="s">
        <v>173</v>
      </c>
      <c r="B14" s="10" t="s">
        <v>85</v>
      </c>
      <c r="C14" s="10" t="str">
        <f>vendas!B62</f>
        <v>Unroasted</v>
      </c>
      <c r="D14" s="10" t="str">
        <f>vendas!C62</f>
        <v>029/24</v>
      </c>
      <c r="E14" s="10">
        <f>vendas!D62</f>
        <v>320</v>
      </c>
      <c r="F14" s="10" t="str">
        <f>vendas!E62</f>
        <v>Grinders</v>
      </c>
      <c r="G14" s="10" t="str">
        <f>vendas!F62</f>
        <v>Essentia</v>
      </c>
      <c r="H14" s="10">
        <f>vendas!G62</f>
        <v>-28</v>
      </c>
      <c r="I14" s="11">
        <f>vendas!H62</f>
        <v>328.35</v>
      </c>
      <c r="J14" s="11">
        <f>vendas!I62</f>
        <v>238.17</v>
      </c>
      <c r="K14" s="11">
        <f>vendas!J62</f>
        <v>397.29504268336785</v>
      </c>
      <c r="L14" s="138">
        <f>vendas!K62</f>
        <v>45716</v>
      </c>
      <c r="M14" s="10">
        <f>vendas!L62</f>
        <v>60</v>
      </c>
      <c r="N14" s="18">
        <f>vendas!M62</f>
        <v>127134.41365867772</v>
      </c>
      <c r="O14" s="18">
        <f>vendas!N62</f>
        <v>0</v>
      </c>
      <c r="P14" s="18">
        <f>vendas!O62</f>
        <v>0</v>
      </c>
      <c r="Q14" s="18">
        <f>vendas!P62</f>
        <v>0</v>
      </c>
      <c r="R14" s="18">
        <f>vendas!Q62</f>
        <v>0</v>
      </c>
      <c r="S14" s="18">
        <f>vendas!R62</f>
        <v>0</v>
      </c>
      <c r="T14" s="18">
        <f>vendas!S62</f>
        <v>0</v>
      </c>
      <c r="U14" s="18">
        <f>vendas!T62</f>
        <v>0</v>
      </c>
      <c r="V14" s="18">
        <f>vendas!U62</f>
        <v>127134.41365867772</v>
      </c>
      <c r="W14" s="18">
        <f>vendas!V62</f>
        <v>0</v>
      </c>
      <c r="X14" s="18">
        <f>vendas!W62</f>
        <v>0</v>
      </c>
    </row>
    <row r="15" spans="1:24" x14ac:dyDescent="0.2">
      <c r="A15" s="19" t="s">
        <v>173</v>
      </c>
      <c r="B15" s="19" t="s">
        <v>85</v>
      </c>
      <c r="C15" s="19" t="str">
        <f>vendas!B63</f>
        <v>Unroasted</v>
      </c>
      <c r="D15" s="19" t="str">
        <f>vendas!C63</f>
        <v>026/24</v>
      </c>
      <c r="E15" s="19">
        <f>vendas!D63</f>
        <v>320</v>
      </c>
      <c r="F15" s="19" t="str">
        <f>vendas!E63</f>
        <v>16/18</v>
      </c>
      <c r="G15" s="19" t="str">
        <f>vendas!F63</f>
        <v>Petrus</v>
      </c>
      <c r="H15" s="19">
        <f>vendas!G63</f>
        <v>10</v>
      </c>
      <c r="I15" s="20">
        <f>vendas!H63</f>
        <v>328.35</v>
      </c>
      <c r="J15" s="20">
        <f>vendas!I63</f>
        <v>238.17</v>
      </c>
      <c r="K15" s="20">
        <f>vendas!J63</f>
        <v>447.56043846151994</v>
      </c>
      <c r="L15" s="139">
        <f>vendas!K63</f>
        <v>45746</v>
      </c>
      <c r="M15" s="19">
        <f>vendas!L63</f>
        <v>60</v>
      </c>
      <c r="N15" s="50">
        <f>vendas!M63</f>
        <v>143219.34030768639</v>
      </c>
      <c r="O15" s="50">
        <f>vendas!N63</f>
        <v>0</v>
      </c>
      <c r="P15" s="50">
        <f>vendas!O63</f>
        <v>0</v>
      </c>
      <c r="Q15" s="50">
        <f>vendas!P63</f>
        <v>0</v>
      </c>
      <c r="R15" s="50">
        <f>vendas!Q63</f>
        <v>0</v>
      </c>
      <c r="S15" s="50">
        <f>vendas!R63</f>
        <v>0</v>
      </c>
      <c r="T15" s="50">
        <f>vendas!S63</f>
        <v>0</v>
      </c>
      <c r="U15" s="50">
        <f>vendas!T63</f>
        <v>0</v>
      </c>
      <c r="V15" s="50">
        <f>vendas!U63</f>
        <v>0</v>
      </c>
      <c r="W15" s="50">
        <f>vendas!V63</f>
        <v>143219.34030768639</v>
      </c>
      <c r="X15" s="50">
        <f>vendas!W63</f>
        <v>0</v>
      </c>
    </row>
    <row r="16" spans="1:24" x14ac:dyDescent="0.2">
      <c r="A16" s="10" t="s">
        <v>173</v>
      </c>
      <c r="B16" s="10" t="s">
        <v>85</v>
      </c>
      <c r="C16" s="10" t="str">
        <f>vendas!B66</f>
        <v>Southland</v>
      </c>
      <c r="D16" s="10" t="str">
        <f>vendas!C66</f>
        <v>031/24</v>
      </c>
      <c r="E16" s="10">
        <f>vendas!D66</f>
        <v>320</v>
      </c>
      <c r="F16" s="10" t="str">
        <f>vendas!E66</f>
        <v>16/18</v>
      </c>
      <c r="G16" s="10" t="str">
        <f>vendas!F66</f>
        <v>Petrus</v>
      </c>
      <c r="H16" s="10">
        <f>vendas!G66</f>
        <v>0</v>
      </c>
      <c r="I16" s="11">
        <f>vendas!H66</f>
        <v>0</v>
      </c>
      <c r="J16" s="11">
        <f>vendas!I66</f>
        <v>243.16</v>
      </c>
      <c r="K16" s="11">
        <f>vendas!J66</f>
        <v>325</v>
      </c>
      <c r="L16" s="138">
        <f>vendas!K66</f>
        <v>45671</v>
      </c>
      <c r="M16" s="10" t="str">
        <f>vendas!L66</f>
        <v>4x</v>
      </c>
      <c r="N16" s="18">
        <f>vendas!M66</f>
        <v>104000</v>
      </c>
      <c r="O16" s="18">
        <f>vendas!N66</f>
        <v>0</v>
      </c>
      <c r="P16" s="18">
        <f>vendas!O66</f>
        <v>0</v>
      </c>
      <c r="Q16" s="18">
        <f>vendas!P66</f>
        <v>0</v>
      </c>
      <c r="R16" s="18">
        <f>vendas!Q66</f>
        <v>0</v>
      </c>
      <c r="S16" s="18">
        <f>vendas!R66</f>
        <v>26000</v>
      </c>
      <c r="T16" s="18">
        <f>vendas!S66</f>
        <v>26000</v>
      </c>
      <c r="U16" s="18">
        <f>vendas!T66</f>
        <v>26000</v>
      </c>
      <c r="V16" s="18">
        <f>vendas!U66</f>
        <v>26000</v>
      </c>
      <c r="W16" s="18">
        <f>vendas!V66</f>
        <v>0</v>
      </c>
      <c r="X16" s="18">
        <f>vendas!W66</f>
        <v>0</v>
      </c>
    </row>
    <row r="17" spans="1:24" x14ac:dyDescent="0.2">
      <c r="A17" s="19" t="s">
        <v>173</v>
      </c>
      <c r="B17" s="19" t="s">
        <v>85</v>
      </c>
      <c r="C17" s="19" t="str">
        <f>vendas!B67</f>
        <v>Southland</v>
      </c>
      <c r="D17" s="19" t="str">
        <f>vendas!C67</f>
        <v>032/24</v>
      </c>
      <c r="E17" s="19">
        <f>vendas!D67</f>
        <v>320</v>
      </c>
      <c r="F17" s="19" t="str">
        <f>vendas!E67</f>
        <v>Vários</v>
      </c>
      <c r="G17" s="19" t="str">
        <f>vendas!F67</f>
        <v>Vários</v>
      </c>
      <c r="H17" s="19">
        <f>vendas!G67</f>
        <v>0</v>
      </c>
      <c r="I17" s="20">
        <f>vendas!H67</f>
        <v>0</v>
      </c>
      <c r="J17" s="20">
        <f>vendas!I67</f>
        <v>243.16</v>
      </c>
      <c r="K17" s="20">
        <f>vendas!J67</f>
        <v>325</v>
      </c>
      <c r="L17" s="139">
        <f>vendas!K67</f>
        <v>45687</v>
      </c>
      <c r="M17" s="19" t="str">
        <f>vendas!L67</f>
        <v>4x</v>
      </c>
      <c r="N17" s="50">
        <f>vendas!M67</f>
        <v>104000</v>
      </c>
      <c r="O17" s="50">
        <f>vendas!N67</f>
        <v>0</v>
      </c>
      <c r="P17" s="50">
        <f>vendas!O67</f>
        <v>0</v>
      </c>
      <c r="Q17" s="50">
        <f>vendas!P67</f>
        <v>0</v>
      </c>
      <c r="R17" s="50">
        <f>vendas!Q67</f>
        <v>0</v>
      </c>
      <c r="S17" s="50">
        <f>vendas!R67</f>
        <v>0</v>
      </c>
      <c r="T17" s="50">
        <f>vendas!S67</f>
        <v>26000</v>
      </c>
      <c r="U17" s="50">
        <f>vendas!T67</f>
        <v>26000</v>
      </c>
      <c r="V17" s="50">
        <f>vendas!U67</f>
        <v>26000</v>
      </c>
      <c r="W17" s="50">
        <f>vendas!V67</f>
        <v>26000</v>
      </c>
      <c r="X17" s="50">
        <f>vendas!W67</f>
        <v>0</v>
      </c>
    </row>
    <row r="18" spans="1:24" x14ac:dyDescent="0.2">
      <c r="A18" s="10" t="s">
        <v>173</v>
      </c>
      <c r="B18" s="10" t="s">
        <v>85</v>
      </c>
      <c r="C18" s="10" t="str">
        <f>vendas!B70</f>
        <v>Xorxos</v>
      </c>
      <c r="D18" s="10" t="str">
        <f>vendas!C70</f>
        <v>021/24</v>
      </c>
      <c r="E18" s="10">
        <f>vendas!D70</f>
        <v>320</v>
      </c>
      <c r="F18" s="10" t="str">
        <f>vendas!E70</f>
        <v>16/18</v>
      </c>
      <c r="G18" s="10" t="str">
        <f>vendas!F70</f>
        <v>Natural</v>
      </c>
      <c r="H18" s="10">
        <f>vendas!G70</f>
        <v>25</v>
      </c>
      <c r="I18" s="11">
        <f>vendas!H70</f>
        <v>329</v>
      </c>
      <c r="J18" s="11">
        <f>vendas!I70</f>
        <v>293.60000000000002</v>
      </c>
      <c r="K18" s="11">
        <f>vendas!J70</f>
        <v>468.26184488067992</v>
      </c>
      <c r="L18" s="138">
        <f>vendas!K70</f>
        <v>45666</v>
      </c>
      <c r="M18" s="10" t="str">
        <f>vendas!L70</f>
        <v>CAD</v>
      </c>
      <c r="N18" s="18">
        <f>vendas!M70</f>
        <v>149843.79036181758</v>
      </c>
      <c r="O18" s="18">
        <f>vendas!N70</f>
        <v>0</v>
      </c>
      <c r="P18" s="18">
        <f>vendas!O70</f>
        <v>0</v>
      </c>
      <c r="Q18" s="18">
        <f>vendas!P70</f>
        <v>0</v>
      </c>
      <c r="R18" s="18">
        <f>vendas!Q70</f>
        <v>0</v>
      </c>
      <c r="S18" s="18">
        <f>vendas!R70</f>
        <v>149843.79036181758</v>
      </c>
      <c r="T18" s="18">
        <f>vendas!S70</f>
        <v>0</v>
      </c>
      <c r="U18" s="18">
        <f>vendas!T70</f>
        <v>0</v>
      </c>
      <c r="V18" s="18">
        <f>vendas!U70</f>
        <v>0</v>
      </c>
      <c r="W18" s="18">
        <f>vendas!V70</f>
        <v>0</v>
      </c>
      <c r="X18" s="18">
        <f>vendas!W70</f>
        <v>0</v>
      </c>
    </row>
    <row r="19" spans="1:24" x14ac:dyDescent="0.2">
      <c r="A19" s="19" t="s">
        <v>173</v>
      </c>
      <c r="B19" s="19" t="s">
        <v>85</v>
      </c>
      <c r="C19" s="19" t="str">
        <f>vendas!B73</f>
        <v>Emporia GMBH</v>
      </c>
      <c r="D19" s="19" t="str">
        <f>vendas!C73</f>
        <v>039/24</v>
      </c>
      <c r="E19" s="19">
        <f>vendas!D73</f>
        <v>320</v>
      </c>
      <c r="F19" s="19" t="str">
        <f>vendas!E73</f>
        <v>16/18</v>
      </c>
      <c r="G19" s="19" t="str">
        <f>vendas!F73</f>
        <v>Essentia</v>
      </c>
      <c r="H19" s="19">
        <f>vendas!G73</f>
        <v>0</v>
      </c>
      <c r="I19" s="20">
        <f>vendas!H73</f>
        <v>0</v>
      </c>
      <c r="J19" s="20">
        <f>vendas!I73</f>
        <v>0</v>
      </c>
      <c r="K19" s="20">
        <f>vendas!J73</f>
        <v>413</v>
      </c>
      <c r="L19" s="139">
        <f>vendas!K73</f>
        <v>45681</v>
      </c>
      <c r="M19" s="19">
        <f>vendas!L73</f>
        <v>60</v>
      </c>
      <c r="N19" s="50">
        <f>vendas!M73</f>
        <v>132160</v>
      </c>
      <c r="O19" s="50">
        <f>vendas!N73</f>
        <v>0</v>
      </c>
      <c r="P19" s="50">
        <f>vendas!O73</f>
        <v>0</v>
      </c>
      <c r="Q19" s="50">
        <f>vendas!P73</f>
        <v>0</v>
      </c>
      <c r="R19" s="50">
        <f>vendas!Q73</f>
        <v>0</v>
      </c>
      <c r="S19" s="50">
        <f>vendas!R73</f>
        <v>0</v>
      </c>
      <c r="T19" s="50">
        <f>vendas!S73</f>
        <v>0</v>
      </c>
      <c r="U19" s="50">
        <f>vendas!T73</f>
        <v>132160</v>
      </c>
      <c r="V19" s="50">
        <f>vendas!U73</f>
        <v>0</v>
      </c>
      <c r="W19" s="50">
        <f>vendas!V73</f>
        <v>0</v>
      </c>
      <c r="X19" s="50">
        <f>vendas!W73</f>
        <v>0</v>
      </c>
    </row>
    <row r="20" spans="1:24" x14ac:dyDescent="0.2">
      <c r="A20" s="10" t="s">
        <v>173</v>
      </c>
      <c r="B20" s="10" t="s">
        <v>85</v>
      </c>
      <c r="C20" s="10" t="str">
        <f>vendas!B74</f>
        <v>Emporia GMBH</v>
      </c>
      <c r="D20" s="10" t="str">
        <f>vendas!C74</f>
        <v>040/24</v>
      </c>
      <c r="E20" s="10">
        <f>vendas!D74</f>
        <v>320</v>
      </c>
      <c r="F20" s="10" t="str">
        <f>vendas!E74</f>
        <v>16/18</v>
      </c>
      <c r="G20" s="10" t="str">
        <f>vendas!F74</f>
        <v>Essentia</v>
      </c>
      <c r="H20" s="10">
        <f>vendas!G74</f>
        <v>0</v>
      </c>
      <c r="I20" s="11">
        <f>vendas!H74</f>
        <v>0</v>
      </c>
      <c r="J20" s="11">
        <f>vendas!I74</f>
        <v>0</v>
      </c>
      <c r="K20" s="11">
        <f>vendas!J74</f>
        <v>450</v>
      </c>
      <c r="L20" s="138">
        <f>vendas!K74</f>
        <v>45681</v>
      </c>
      <c r="M20" s="10">
        <f>vendas!L74</f>
        <v>60</v>
      </c>
      <c r="N20" s="18">
        <f>vendas!M74</f>
        <v>144000</v>
      </c>
      <c r="O20" s="18">
        <f>vendas!N74</f>
        <v>0</v>
      </c>
      <c r="P20" s="18">
        <f>vendas!O74</f>
        <v>0</v>
      </c>
      <c r="Q20" s="18">
        <f>vendas!P74</f>
        <v>0</v>
      </c>
      <c r="R20" s="18">
        <f>vendas!Q74</f>
        <v>0</v>
      </c>
      <c r="S20" s="18">
        <f>vendas!R74</f>
        <v>0</v>
      </c>
      <c r="T20" s="18">
        <f>vendas!S74</f>
        <v>0</v>
      </c>
      <c r="U20" s="18">
        <f>vendas!T74</f>
        <v>144000</v>
      </c>
      <c r="V20" s="18">
        <f>vendas!U74</f>
        <v>0</v>
      </c>
      <c r="W20" s="18">
        <f>vendas!V74</f>
        <v>0</v>
      </c>
      <c r="X20" s="18">
        <f>vendas!W74</f>
        <v>0</v>
      </c>
    </row>
    <row r="21" spans="1:24" x14ac:dyDescent="0.2">
      <c r="A21" s="238" t="s">
        <v>173</v>
      </c>
      <c r="B21" s="238" t="s">
        <v>85</v>
      </c>
      <c r="C21" s="238" t="str">
        <f>vendas!B75</f>
        <v>Emporia GMBH</v>
      </c>
      <c r="D21" s="238" t="str">
        <f>vendas!C75</f>
        <v>041/24</v>
      </c>
      <c r="E21" s="238">
        <f>vendas!D75</f>
        <v>223</v>
      </c>
      <c r="F21" s="238" t="str">
        <f>vendas!E75</f>
        <v>Moka</v>
      </c>
      <c r="G21" s="238" t="str">
        <f>vendas!F75</f>
        <v>Vários</v>
      </c>
      <c r="H21" s="238">
        <f>vendas!G75</f>
        <v>0</v>
      </c>
      <c r="I21" s="239">
        <f>vendas!H75</f>
        <v>0</v>
      </c>
      <c r="J21" s="239">
        <f>vendas!I75</f>
        <v>0</v>
      </c>
      <c r="K21" s="239">
        <f>vendas!J75</f>
        <v>409.35</v>
      </c>
      <c r="L21" s="240">
        <f>vendas!K75</f>
        <v>45681</v>
      </c>
      <c r="M21" s="238">
        <f>vendas!L75</f>
        <v>60</v>
      </c>
      <c r="N21" s="241">
        <f>vendas!M75</f>
        <v>91285.05</v>
      </c>
      <c r="O21" s="241">
        <f>vendas!N75</f>
        <v>0</v>
      </c>
      <c r="P21" s="241">
        <f>vendas!O75</f>
        <v>0</v>
      </c>
      <c r="Q21" s="241">
        <f>vendas!P75</f>
        <v>0</v>
      </c>
      <c r="R21" s="241">
        <f>vendas!Q75</f>
        <v>0</v>
      </c>
      <c r="S21" s="241">
        <f>vendas!R75</f>
        <v>0</v>
      </c>
      <c r="T21" s="241">
        <f>vendas!S75</f>
        <v>0</v>
      </c>
      <c r="U21" s="241">
        <f>vendas!T75</f>
        <v>91285.05</v>
      </c>
      <c r="V21" s="241">
        <f>vendas!U75</f>
        <v>0</v>
      </c>
      <c r="W21" s="241">
        <f>vendas!V75</f>
        <v>0</v>
      </c>
      <c r="X21" s="241">
        <f>vendas!W75</f>
        <v>0</v>
      </c>
    </row>
    <row r="22" spans="1:24" x14ac:dyDescent="0.2">
      <c r="A22" s="10" t="s">
        <v>173</v>
      </c>
      <c r="B22" s="10" t="s">
        <v>157</v>
      </c>
      <c r="C22" s="10" t="str">
        <f>vendas!B81</f>
        <v>Los Baristas</v>
      </c>
      <c r="D22" s="10" t="str">
        <f>vendas!C81</f>
        <v>033/24</v>
      </c>
      <c r="E22" s="10">
        <f>vendas!D81</f>
        <v>4</v>
      </c>
      <c r="F22" s="10" t="str">
        <f>vendas!E81</f>
        <v>Vários</v>
      </c>
      <c r="G22" s="10" t="str">
        <f>vendas!F81</f>
        <v>Vários</v>
      </c>
      <c r="H22" s="10">
        <f>vendas!G81</f>
        <v>0</v>
      </c>
      <c r="I22" s="18">
        <f>vendas!H81</f>
        <v>2500</v>
      </c>
      <c r="J22" s="11">
        <f>vendas!I81</f>
        <v>0</v>
      </c>
      <c r="K22" s="11">
        <f>vendas!J81</f>
        <v>2500</v>
      </c>
      <c r="L22" s="138">
        <f>vendas!K81</f>
        <v>45656</v>
      </c>
      <c r="M22" s="10" t="str">
        <f>vendas!L81</f>
        <v>1+3</v>
      </c>
      <c r="N22" s="18">
        <f>vendas!M81</f>
        <v>10000</v>
      </c>
      <c r="O22" s="18">
        <f>vendas!N81</f>
        <v>0</v>
      </c>
      <c r="P22" s="18">
        <f>vendas!O81</f>
        <v>0</v>
      </c>
      <c r="Q22" s="18">
        <f>vendas!P81</f>
        <v>0</v>
      </c>
      <c r="R22" s="18">
        <f>vendas!Q81</f>
        <v>2500</v>
      </c>
      <c r="S22" s="18">
        <f>vendas!R81</f>
        <v>2500</v>
      </c>
      <c r="T22" s="18">
        <f>vendas!S81</f>
        <v>2500</v>
      </c>
      <c r="U22" s="18">
        <f>vendas!T81</f>
        <v>2500</v>
      </c>
      <c r="V22" s="18">
        <f>vendas!U81</f>
        <v>0</v>
      </c>
      <c r="W22" s="18">
        <f>vendas!V81</f>
        <v>0</v>
      </c>
      <c r="X22" s="18">
        <f>vendas!W81</f>
        <v>0</v>
      </c>
    </row>
    <row r="23" spans="1:24" x14ac:dyDescent="0.2">
      <c r="A23" s="19" t="s">
        <v>173</v>
      </c>
      <c r="B23" s="19" t="s">
        <v>157</v>
      </c>
      <c r="C23" s="19" t="str">
        <f>vendas!B82</f>
        <v>Los Baristas</v>
      </c>
      <c r="D23" s="19" t="str">
        <f>vendas!C82</f>
        <v>034/24</v>
      </c>
      <c r="E23" s="19">
        <f>vendas!D82</f>
        <v>4</v>
      </c>
      <c r="F23" s="19" t="str">
        <f>vendas!E82</f>
        <v>Vários</v>
      </c>
      <c r="G23" s="19" t="str">
        <f>vendas!F82</f>
        <v>Vários</v>
      </c>
      <c r="H23" s="19">
        <f>vendas!G82</f>
        <v>0</v>
      </c>
      <c r="I23" s="50">
        <f>vendas!H82</f>
        <v>2137</v>
      </c>
      <c r="J23" s="20">
        <f>vendas!I82</f>
        <v>0</v>
      </c>
      <c r="K23" s="20">
        <f>vendas!J82</f>
        <v>2137</v>
      </c>
      <c r="L23" s="139">
        <f>vendas!K82</f>
        <v>45656</v>
      </c>
      <c r="M23" s="19" t="str">
        <f>vendas!L82</f>
        <v>1+3</v>
      </c>
      <c r="N23" s="50">
        <f>vendas!M82</f>
        <v>8548</v>
      </c>
      <c r="O23" s="50">
        <f>vendas!N82</f>
        <v>0</v>
      </c>
      <c r="P23" s="50">
        <f>vendas!O82</f>
        <v>0</v>
      </c>
      <c r="Q23" s="50">
        <f>vendas!P82</f>
        <v>0</v>
      </c>
      <c r="R23" s="50">
        <f>vendas!Q82</f>
        <v>2137</v>
      </c>
      <c r="S23" s="50">
        <f>vendas!R82</f>
        <v>2137</v>
      </c>
      <c r="T23" s="50">
        <f>vendas!S82</f>
        <v>2137</v>
      </c>
      <c r="U23" s="50">
        <f>vendas!T82</f>
        <v>2137</v>
      </c>
      <c r="V23" s="50">
        <f>vendas!U82</f>
        <v>0</v>
      </c>
      <c r="W23" s="50">
        <f>vendas!V82</f>
        <v>0</v>
      </c>
      <c r="X23" s="50">
        <f>vendas!W82</f>
        <v>0</v>
      </c>
    </row>
    <row r="24" spans="1:24" x14ac:dyDescent="0.2">
      <c r="A24" s="10" t="s">
        <v>173</v>
      </c>
      <c r="B24" s="10" t="s">
        <v>157</v>
      </c>
      <c r="C24" s="10" t="str">
        <f>vendas!B85</f>
        <v>Louis Dreyfus</v>
      </c>
      <c r="D24" s="10" t="str">
        <f>vendas!C85</f>
        <v>036/24</v>
      </c>
      <c r="E24" s="10">
        <f>vendas!D85</f>
        <v>500</v>
      </c>
      <c r="F24" s="10" t="str">
        <f>vendas!E85</f>
        <v>Moka</v>
      </c>
      <c r="G24" s="10" t="str">
        <f>vendas!F85</f>
        <v>Natural</v>
      </c>
      <c r="H24" s="10">
        <f>vendas!G85</f>
        <v>0</v>
      </c>
      <c r="I24" s="18">
        <f>vendas!H85</f>
        <v>2105</v>
      </c>
      <c r="J24" s="11">
        <f>vendas!I85</f>
        <v>0</v>
      </c>
      <c r="K24" s="11">
        <f>vendas!J83</f>
        <v>0</v>
      </c>
      <c r="L24" s="138">
        <f>vendas!K85</f>
        <v>45631</v>
      </c>
      <c r="M24" s="10" t="str">
        <f>vendas!L85</f>
        <v>CAD</v>
      </c>
      <c r="N24" s="18">
        <f>vendas!M83</f>
        <v>18548</v>
      </c>
      <c r="O24" s="18">
        <f>vendas!N85</f>
        <v>0</v>
      </c>
      <c r="P24" s="18">
        <f>vendas!O85</f>
        <v>0</v>
      </c>
      <c r="Q24" s="18">
        <f>vendas!P85</f>
        <v>0</v>
      </c>
      <c r="R24" s="18">
        <f>vendas!Q85</f>
        <v>1052500</v>
      </c>
      <c r="S24" s="18">
        <f>vendas!R85</f>
        <v>0</v>
      </c>
      <c r="T24" s="18">
        <f>vendas!S85</f>
        <v>0</v>
      </c>
      <c r="U24" s="18">
        <f>vendas!T85</f>
        <v>0</v>
      </c>
      <c r="V24" s="18">
        <f>vendas!U85</f>
        <v>0</v>
      </c>
      <c r="W24" s="18">
        <f>vendas!V85</f>
        <v>0</v>
      </c>
      <c r="X24" s="18">
        <f>vendas!W85</f>
        <v>0</v>
      </c>
    </row>
    <row r="25" spans="1:24" x14ac:dyDescent="0.2">
      <c r="A25" s="19" t="s">
        <v>173</v>
      </c>
      <c r="B25" s="19" t="s">
        <v>157</v>
      </c>
      <c r="C25" s="19" t="str">
        <f>vendas!B88</f>
        <v>Mundo Novo Café</v>
      </c>
      <c r="D25" s="19" t="str">
        <f>vendas!C88</f>
        <v>037/24</v>
      </c>
      <c r="E25" s="19">
        <f>vendas!D88</f>
        <v>20</v>
      </c>
      <c r="F25" s="19" t="str">
        <f>vendas!E88</f>
        <v>Moka</v>
      </c>
      <c r="G25" s="19" t="str">
        <f>vendas!F88</f>
        <v>Fine Cup</v>
      </c>
      <c r="H25" s="19">
        <f>vendas!G88</f>
        <v>0</v>
      </c>
      <c r="I25" s="50">
        <f>vendas!H88</f>
        <v>2200</v>
      </c>
      <c r="J25" s="20">
        <f>vendas!I88</f>
        <v>0</v>
      </c>
      <c r="K25" s="20">
        <f>vendas!J84</f>
        <v>0</v>
      </c>
      <c r="L25" s="139">
        <f>vendas!K88</f>
        <v>45632</v>
      </c>
      <c r="M25" s="19" t="str">
        <f>vendas!L88</f>
        <v>50% + 4</v>
      </c>
      <c r="N25" s="50">
        <f>vendas!M84</f>
        <v>0</v>
      </c>
      <c r="O25" s="50">
        <f>vendas!N88</f>
        <v>0</v>
      </c>
      <c r="P25" s="50">
        <f>vendas!O88</f>
        <v>0</v>
      </c>
      <c r="Q25" s="50">
        <f>vendas!P88</f>
        <v>0</v>
      </c>
      <c r="R25" s="50">
        <f>vendas!Q88</f>
        <v>22000</v>
      </c>
      <c r="S25" s="50">
        <f>vendas!R88</f>
        <v>5500</v>
      </c>
      <c r="T25" s="50">
        <f>vendas!S88</f>
        <v>5500</v>
      </c>
      <c r="U25" s="50">
        <f>vendas!T88</f>
        <v>5500</v>
      </c>
      <c r="V25" s="50">
        <f>vendas!U88</f>
        <v>5500</v>
      </c>
      <c r="W25" s="50">
        <f>vendas!V88</f>
        <v>0</v>
      </c>
      <c r="X25" s="50">
        <f>vendas!W88</f>
        <v>0</v>
      </c>
    </row>
    <row r="26" spans="1:24" x14ac:dyDescent="0.2">
      <c r="A26" s="10" t="s">
        <v>173</v>
      </c>
      <c r="B26" s="10" t="s">
        <v>157</v>
      </c>
      <c r="C26" s="10" t="str">
        <f>vendas!B91</f>
        <v>Melitta</v>
      </c>
      <c r="D26" s="10" t="str">
        <f>vendas!C91</f>
        <v>038/24</v>
      </c>
      <c r="E26" s="10">
        <f>vendas!D91</f>
        <v>500</v>
      </c>
      <c r="F26" s="10" t="str">
        <f>vendas!E91</f>
        <v>Escolha</v>
      </c>
      <c r="G26" s="10" t="str">
        <f>vendas!F91</f>
        <v>Vários</v>
      </c>
      <c r="H26" s="10">
        <f>vendas!G91</f>
        <v>0</v>
      </c>
      <c r="I26" s="18">
        <f>vendas!H91</f>
        <v>2000</v>
      </c>
      <c r="J26" s="11">
        <f>vendas!I91</f>
        <v>0</v>
      </c>
      <c r="K26" s="11">
        <f>vendas!J85</f>
        <v>2105</v>
      </c>
      <c r="L26" s="138">
        <f>vendas!K91</f>
        <v>45679</v>
      </c>
      <c r="M26" s="10" t="str">
        <f>vendas!L91</f>
        <v>45 dias</v>
      </c>
      <c r="N26" s="18">
        <f>vendas!M85</f>
        <v>1052500</v>
      </c>
      <c r="O26" s="18">
        <f>vendas!N91</f>
        <v>0</v>
      </c>
      <c r="P26" s="18">
        <f>vendas!O91</f>
        <v>0</v>
      </c>
      <c r="Q26" s="18">
        <f>vendas!P91</f>
        <v>0</v>
      </c>
      <c r="R26" s="18">
        <f>vendas!Q91</f>
        <v>0</v>
      </c>
      <c r="S26" s="18">
        <f>vendas!R91</f>
        <v>0</v>
      </c>
      <c r="T26" s="18">
        <f>vendas!S91</f>
        <v>1000000</v>
      </c>
      <c r="U26" s="18">
        <f>vendas!T91</f>
        <v>0</v>
      </c>
      <c r="V26" s="18">
        <f>vendas!U91</f>
        <v>0</v>
      </c>
      <c r="W26" s="18">
        <f>vendas!V91</f>
        <v>0</v>
      </c>
      <c r="X26" s="18">
        <f>vendas!W91</f>
        <v>0</v>
      </c>
    </row>
    <row r="27" spans="1:24" x14ac:dyDescent="0.2">
      <c r="A27" s="19" t="s">
        <v>173</v>
      </c>
      <c r="B27" s="19" t="s">
        <v>157</v>
      </c>
      <c r="C27" s="19" t="str">
        <f>vendas!B94</f>
        <v>55 Coffee</v>
      </c>
      <c r="D27" s="19" t="str">
        <f>vendas!C94</f>
        <v>042/24</v>
      </c>
      <c r="E27" s="19">
        <f>vendas!D94</f>
        <v>0.5</v>
      </c>
      <c r="F27" s="19" t="str">
        <f>vendas!E94</f>
        <v>Grinders</v>
      </c>
      <c r="G27" s="19" t="str">
        <f>vendas!F94</f>
        <v>Vários</v>
      </c>
      <c r="H27" s="19">
        <f>vendas!G94</f>
        <v>0</v>
      </c>
      <c r="I27" s="50">
        <f>vendas!H94</f>
        <v>2293.33</v>
      </c>
      <c r="J27" s="20">
        <f>vendas!I94</f>
        <v>0</v>
      </c>
      <c r="K27" s="20">
        <f>vendas!J86</f>
        <v>0</v>
      </c>
      <c r="L27" s="139">
        <f>vendas!K94</f>
        <v>45687</v>
      </c>
      <c r="M27" s="19" t="str">
        <f>vendas!L94</f>
        <v>6x</v>
      </c>
      <c r="N27" s="50">
        <f>vendas!M86</f>
        <v>1052500</v>
      </c>
      <c r="O27" s="50">
        <f>vendas!N94</f>
        <v>0</v>
      </c>
      <c r="P27" s="50">
        <f>vendas!O94</f>
        <v>0</v>
      </c>
      <c r="Q27" s="50">
        <f>vendas!P94</f>
        <v>0</v>
      </c>
      <c r="R27" s="50">
        <f>vendas!Q94</f>
        <v>0</v>
      </c>
      <c r="S27" s="50">
        <f>vendas!R94</f>
        <v>191.11083333333332</v>
      </c>
      <c r="T27" s="50">
        <f>vendas!S94</f>
        <v>191.11083333333332</v>
      </c>
      <c r="U27" s="50">
        <f>vendas!T94</f>
        <v>191.11083333333332</v>
      </c>
      <c r="V27" s="50">
        <f>vendas!U94</f>
        <v>191.11083333333332</v>
      </c>
      <c r="W27" s="50">
        <f>vendas!V94</f>
        <v>191.11083333333332</v>
      </c>
      <c r="X27" s="50">
        <f>vendas!W94</f>
        <v>191.11083333333332</v>
      </c>
    </row>
    <row r="28" spans="1:24" x14ac:dyDescent="0.2">
      <c r="A28" s="10" t="s">
        <v>173</v>
      </c>
      <c r="B28" s="10" t="s">
        <v>157</v>
      </c>
      <c r="C28" s="10" t="str">
        <f>vendas!B95</f>
        <v>55 Coffee</v>
      </c>
      <c r="D28" s="10" t="str">
        <f>vendas!C95</f>
        <v>043/24</v>
      </c>
      <c r="E28" s="10">
        <f>vendas!D95</f>
        <v>7</v>
      </c>
      <c r="F28" s="10" t="str">
        <f>vendas!E95</f>
        <v>Moka</v>
      </c>
      <c r="G28" s="10" t="str">
        <f>vendas!F95</f>
        <v>Brasilis</v>
      </c>
      <c r="H28" s="10">
        <f>vendas!G95</f>
        <v>0</v>
      </c>
      <c r="I28" s="18">
        <f>vendas!H95</f>
        <v>2616.61</v>
      </c>
      <c r="J28" s="11">
        <f>vendas!I95</f>
        <v>0</v>
      </c>
      <c r="K28" s="11">
        <f>vendas!J87</f>
        <v>0</v>
      </c>
      <c r="L28" s="138">
        <f>vendas!K95</f>
        <v>45687</v>
      </c>
      <c r="M28" s="10" t="str">
        <f>vendas!L95</f>
        <v>6x</v>
      </c>
      <c r="N28" s="18">
        <f>vendas!M87</f>
        <v>0</v>
      </c>
      <c r="O28" s="18">
        <f>vendas!N95</f>
        <v>0</v>
      </c>
      <c r="P28" s="18">
        <f>vendas!O95</f>
        <v>0</v>
      </c>
      <c r="Q28" s="18">
        <f>vendas!P95</f>
        <v>0</v>
      </c>
      <c r="R28" s="18">
        <f>vendas!Q95</f>
        <v>0</v>
      </c>
      <c r="S28" s="18">
        <f>vendas!R95</f>
        <v>3052.7116666666666</v>
      </c>
      <c r="T28" s="18">
        <f>vendas!S95</f>
        <v>3052.7116666666666</v>
      </c>
      <c r="U28" s="18">
        <f>vendas!T95</f>
        <v>3052.7116666666666</v>
      </c>
      <c r="V28" s="18">
        <f>vendas!U95</f>
        <v>3052.7116666666666</v>
      </c>
      <c r="W28" s="18">
        <f>vendas!V95</f>
        <v>3052.7116666666666</v>
      </c>
      <c r="X28" s="18">
        <f>vendas!W95</f>
        <v>3052.7116666666666</v>
      </c>
    </row>
    <row r="29" spans="1:24" x14ac:dyDescent="0.2">
      <c r="A29" s="19" t="s">
        <v>173</v>
      </c>
      <c r="B29" s="19" t="s">
        <v>157</v>
      </c>
      <c r="C29" s="19" t="str">
        <f>vendas!B99</f>
        <v>Londe e Ribeiro</v>
      </c>
      <c r="D29" s="19" t="str">
        <f>vendas!C99</f>
        <v>044/24</v>
      </c>
      <c r="E29" s="19">
        <f>vendas!D99</f>
        <v>486.3</v>
      </c>
      <c r="F29" s="19" t="str">
        <f>vendas!E99</f>
        <v>Vários</v>
      </c>
      <c r="G29" s="19" t="str">
        <f>vendas!F99</f>
        <v>Vários</v>
      </c>
      <c r="H29" s="19">
        <f>vendas!G99</f>
        <v>0</v>
      </c>
      <c r="I29" s="50">
        <f>vendas!H99</f>
        <v>810</v>
      </c>
      <c r="J29" s="20">
        <f>vendas!I99</f>
        <v>0</v>
      </c>
      <c r="K29" s="20">
        <f>vendas!J88</f>
        <v>2200</v>
      </c>
      <c r="L29" s="139">
        <f>vendas!K99</f>
        <v>45688</v>
      </c>
      <c r="M29" s="19" t="str">
        <f>vendas!L99</f>
        <v>CAD</v>
      </c>
      <c r="N29" s="50">
        <f>vendas!M88</f>
        <v>44000</v>
      </c>
      <c r="O29" s="50">
        <f>vendas!N99</f>
        <v>0</v>
      </c>
      <c r="P29" s="50">
        <f>vendas!O99</f>
        <v>0</v>
      </c>
      <c r="Q29" s="50">
        <f>vendas!P99</f>
        <v>0</v>
      </c>
      <c r="R29" s="50">
        <f>vendas!Q99</f>
        <v>0</v>
      </c>
      <c r="S29" s="50">
        <f>vendas!R99</f>
        <v>0</v>
      </c>
      <c r="T29" s="50">
        <f>vendas!S99</f>
        <v>393903</v>
      </c>
      <c r="U29" s="50">
        <f>vendas!T99</f>
        <v>0</v>
      </c>
      <c r="V29" s="50">
        <f>vendas!U99</f>
        <v>0</v>
      </c>
      <c r="W29" s="50">
        <f>vendas!V99</f>
        <v>0</v>
      </c>
      <c r="X29" s="50">
        <f>vendas!W99</f>
        <v>0</v>
      </c>
    </row>
    <row r="30" spans="1:24" x14ac:dyDescent="0.2">
      <c r="A30" s="10" t="s">
        <v>173</v>
      </c>
      <c r="B30" s="10" t="s">
        <v>157</v>
      </c>
      <c r="C30" s="10" t="str">
        <f>vendas!B100</f>
        <v>Londe e Ribeiro</v>
      </c>
      <c r="D30" s="10" t="str">
        <f>vendas!C100</f>
        <v>045/24</v>
      </c>
      <c r="E30" s="10">
        <f>vendas!D100</f>
        <v>632.20000000000005</v>
      </c>
      <c r="F30" s="10" t="str">
        <f>vendas!E100</f>
        <v>Vários</v>
      </c>
      <c r="G30" s="10" t="str">
        <f>vendas!F100</f>
        <v>Vários</v>
      </c>
      <c r="H30" s="10">
        <f>vendas!G100</f>
        <v>0</v>
      </c>
      <c r="I30" s="18">
        <f>vendas!H100</f>
        <v>2220</v>
      </c>
      <c r="J30" s="11">
        <f>vendas!I100</f>
        <v>0</v>
      </c>
      <c r="K30" s="11">
        <f>vendas!J89</f>
        <v>0</v>
      </c>
      <c r="L30" s="138">
        <f>vendas!K100</f>
        <v>45705</v>
      </c>
      <c r="M30" s="10" t="str">
        <f>vendas!L100</f>
        <v>CAD</v>
      </c>
      <c r="N30" s="18">
        <f>vendas!M89</f>
        <v>44000</v>
      </c>
      <c r="O30" s="18">
        <f>vendas!N100</f>
        <v>0</v>
      </c>
      <c r="P30" s="18">
        <f>vendas!O100</f>
        <v>0</v>
      </c>
      <c r="Q30" s="18">
        <f>vendas!P100</f>
        <v>0</v>
      </c>
      <c r="R30" s="18">
        <f>vendas!Q100</f>
        <v>0</v>
      </c>
      <c r="S30" s="18">
        <f>vendas!R100</f>
        <v>0</v>
      </c>
      <c r="T30" s="18">
        <f>vendas!S100</f>
        <v>1403484</v>
      </c>
      <c r="U30" s="18">
        <f>vendas!T100</f>
        <v>0</v>
      </c>
      <c r="V30" s="18">
        <f>vendas!U100</f>
        <v>0</v>
      </c>
      <c r="W30" s="18">
        <f>vendas!V100</f>
        <v>0</v>
      </c>
      <c r="X30" s="18">
        <f>vendas!W100</f>
        <v>0</v>
      </c>
    </row>
    <row r="31" spans="1:24" x14ac:dyDescent="0.2">
      <c r="A31" s="19" t="s">
        <v>173</v>
      </c>
      <c r="B31" s="19" t="s">
        <v>157</v>
      </c>
      <c r="C31" s="19" t="str">
        <f>vendas!B101</f>
        <v>Londe e Ribeiro</v>
      </c>
      <c r="D31" s="19" t="str">
        <f>vendas!C101</f>
        <v>046/24</v>
      </c>
      <c r="E31" s="19">
        <f>vendas!D101</f>
        <v>363</v>
      </c>
      <c r="F31" s="19" t="str">
        <f>vendas!E101</f>
        <v>Vários</v>
      </c>
      <c r="G31" s="19" t="str">
        <f>vendas!F101</f>
        <v>Vários</v>
      </c>
      <c r="H31" s="19">
        <f>vendas!G101</f>
        <v>0</v>
      </c>
      <c r="I31" s="50">
        <f>vendas!H101</f>
        <v>1750</v>
      </c>
      <c r="J31" s="20">
        <f>vendas!I101</f>
        <v>0</v>
      </c>
      <c r="K31" s="20">
        <f>vendas!J90</f>
        <v>0</v>
      </c>
      <c r="L31" s="139">
        <f>vendas!K101</f>
        <v>45687</v>
      </c>
      <c r="M31" s="19" t="str">
        <f>vendas!L101</f>
        <v>CAD</v>
      </c>
      <c r="N31" s="50">
        <f>vendas!M90</f>
        <v>0</v>
      </c>
      <c r="O31" s="50">
        <f>vendas!N101</f>
        <v>0</v>
      </c>
      <c r="P31" s="50">
        <f>vendas!O101</f>
        <v>0</v>
      </c>
      <c r="Q31" s="50">
        <f>vendas!P101</f>
        <v>0</v>
      </c>
      <c r="R31" s="50">
        <f>vendas!Q101</f>
        <v>0</v>
      </c>
      <c r="S31" s="50">
        <f>vendas!R101</f>
        <v>0</v>
      </c>
      <c r="T31" s="50">
        <f>vendas!S101</f>
        <v>635250</v>
      </c>
      <c r="U31" s="50">
        <f>vendas!T101</f>
        <v>0</v>
      </c>
      <c r="V31" s="50">
        <f>vendas!U101</f>
        <v>0</v>
      </c>
      <c r="W31" s="50">
        <f>vendas!V101</f>
        <v>0</v>
      </c>
      <c r="X31" s="50">
        <f>vendas!W101</f>
        <v>0</v>
      </c>
    </row>
    <row r="32" spans="1:24" x14ac:dyDescent="0.2">
      <c r="A32" s="234" t="s">
        <v>173</v>
      </c>
      <c r="B32" s="234" t="s">
        <v>157</v>
      </c>
      <c r="C32" s="234" t="str">
        <f>vendas!B102</f>
        <v>Londe e Ribeiro</v>
      </c>
      <c r="D32" s="234" t="str">
        <f>vendas!C102</f>
        <v>047/24</v>
      </c>
      <c r="E32" s="234">
        <f>vendas!D102</f>
        <v>44.2</v>
      </c>
      <c r="F32" s="234" t="str">
        <f>vendas!E102</f>
        <v>Vários</v>
      </c>
      <c r="G32" s="234" t="str">
        <f>vendas!F102</f>
        <v>Vários</v>
      </c>
      <c r="H32" s="234">
        <f>vendas!G102</f>
        <v>0</v>
      </c>
      <c r="I32" s="237">
        <f>vendas!H102</f>
        <v>2400</v>
      </c>
      <c r="J32" s="235">
        <f>vendas!I102</f>
        <v>0</v>
      </c>
      <c r="K32" s="235">
        <f>vendas!J91</f>
        <v>2000</v>
      </c>
      <c r="L32" s="236">
        <f>vendas!K102</f>
        <v>45687</v>
      </c>
      <c r="M32" s="234" t="str">
        <f>vendas!L102</f>
        <v>CAD</v>
      </c>
      <c r="N32" s="237">
        <f>vendas!M91</f>
        <v>1000000</v>
      </c>
      <c r="O32" s="237">
        <f>vendas!N102</f>
        <v>0</v>
      </c>
      <c r="P32" s="237">
        <f>vendas!O102</f>
        <v>0</v>
      </c>
      <c r="Q32" s="237">
        <f>vendas!P102</f>
        <v>0</v>
      </c>
      <c r="R32" s="237">
        <f>vendas!Q102</f>
        <v>0</v>
      </c>
      <c r="S32" s="237">
        <f>vendas!R102</f>
        <v>0</v>
      </c>
      <c r="T32" s="237">
        <f>vendas!S102</f>
        <v>106080</v>
      </c>
      <c r="U32" s="237">
        <f>vendas!T102</f>
        <v>0</v>
      </c>
      <c r="V32" s="237">
        <f>vendas!U102</f>
        <v>0</v>
      </c>
      <c r="W32" s="237">
        <f>vendas!V102</f>
        <v>0</v>
      </c>
      <c r="X32" s="237">
        <f>vendas!W102</f>
        <v>0</v>
      </c>
    </row>
    <row r="33" spans="1:24" x14ac:dyDescent="0.2">
      <c r="A33" s="10" t="s">
        <v>173</v>
      </c>
      <c r="B33" s="10" t="s">
        <v>85</v>
      </c>
      <c r="C33" s="10" t="str">
        <f>vendas!B110</f>
        <v>Estimativa</v>
      </c>
      <c r="D33" s="10">
        <f>vendas!C110</f>
        <v>0</v>
      </c>
      <c r="E33" s="10">
        <f>vendas!D110</f>
        <v>9</v>
      </c>
      <c r="F33" s="10" t="str">
        <f>vendas!E110</f>
        <v>14/15</v>
      </c>
      <c r="G33" s="10" t="str">
        <f>vendas!F110</f>
        <v>Vários</v>
      </c>
      <c r="H33" s="10">
        <f>vendas!G110</f>
        <v>-25</v>
      </c>
      <c r="I33" s="11">
        <f>vendas!H110</f>
        <v>294.95</v>
      </c>
      <c r="J33" s="11">
        <f>vendas!I110</f>
        <v>0</v>
      </c>
      <c r="K33" s="11">
        <f>vendas!J110</f>
        <v>357.08272606084614</v>
      </c>
      <c r="L33" s="138">
        <f>vendas!K110</f>
        <v>0</v>
      </c>
      <c r="M33" s="10">
        <f>vendas!L110</f>
        <v>0</v>
      </c>
      <c r="N33" s="18">
        <f>vendas!M110</f>
        <v>3213.7445345476153</v>
      </c>
      <c r="O33" s="18">
        <f>vendas!N110</f>
        <v>0</v>
      </c>
      <c r="P33" s="18">
        <f>vendas!O110</f>
        <v>0</v>
      </c>
      <c r="Q33" s="18">
        <f>vendas!P110</f>
        <v>0</v>
      </c>
      <c r="R33" s="18">
        <f>vendas!Q110</f>
        <v>0</v>
      </c>
      <c r="S33" s="18">
        <f>vendas!R110</f>
        <v>0</v>
      </c>
      <c r="T33" s="18">
        <f>vendas!S110</f>
        <v>3213.7445345476153</v>
      </c>
      <c r="U33" s="18">
        <f>vendas!T110</f>
        <v>0</v>
      </c>
      <c r="V33" s="18">
        <f>vendas!U110</f>
        <v>0</v>
      </c>
      <c r="W33" s="18">
        <f>vendas!V110</f>
        <v>0</v>
      </c>
      <c r="X33" s="18">
        <f>vendas!W110</f>
        <v>0</v>
      </c>
    </row>
    <row r="34" spans="1:24" x14ac:dyDescent="0.2">
      <c r="A34" s="19" t="s">
        <v>173</v>
      </c>
      <c r="B34" s="19" t="s">
        <v>85</v>
      </c>
      <c r="C34" s="19" t="str">
        <f>vendas!B111</f>
        <v>Estimativa</v>
      </c>
      <c r="D34" s="19">
        <f>vendas!C111</f>
        <v>0</v>
      </c>
      <c r="E34" s="19">
        <f>vendas!D111</f>
        <v>9</v>
      </c>
      <c r="F34" s="19" t="str">
        <f>vendas!E111</f>
        <v>Bica</v>
      </c>
      <c r="G34" s="19" t="str">
        <f>vendas!F111</f>
        <v>Vários</v>
      </c>
      <c r="H34" s="19">
        <f>vendas!G111</f>
        <v>-20</v>
      </c>
      <c r="I34" s="20">
        <f>vendas!H111</f>
        <v>294.95</v>
      </c>
      <c r="J34" s="20">
        <f>vendas!I111</f>
        <v>0</v>
      </c>
      <c r="K34" s="20">
        <f>vendas!J111</f>
        <v>363.6965939263925</v>
      </c>
      <c r="L34" s="139">
        <f>vendas!K111</f>
        <v>0</v>
      </c>
      <c r="M34" s="19">
        <f>vendas!L111</f>
        <v>0</v>
      </c>
      <c r="N34" s="50">
        <f>vendas!M111</f>
        <v>3273.2693453375323</v>
      </c>
      <c r="O34" s="50">
        <f>vendas!N111</f>
        <v>0</v>
      </c>
      <c r="P34" s="50">
        <f>vendas!O111</f>
        <v>0</v>
      </c>
      <c r="Q34" s="50">
        <f>vendas!P111</f>
        <v>0</v>
      </c>
      <c r="R34" s="50">
        <f>vendas!Q111</f>
        <v>0</v>
      </c>
      <c r="S34" s="50">
        <f>vendas!R111</f>
        <v>0</v>
      </c>
      <c r="T34" s="50">
        <f>vendas!S111</f>
        <v>3273.2693453375323</v>
      </c>
      <c r="U34" s="50">
        <f>vendas!T111</f>
        <v>0</v>
      </c>
      <c r="V34" s="50">
        <f>vendas!U111</f>
        <v>0</v>
      </c>
      <c r="W34" s="50">
        <f>vendas!V111</f>
        <v>0</v>
      </c>
      <c r="X34" s="50">
        <f>vendas!W111</f>
        <v>0</v>
      </c>
    </row>
    <row r="35" spans="1:24" x14ac:dyDescent="0.2">
      <c r="A35" s="10" t="s">
        <v>173</v>
      </c>
      <c r="B35" s="10" t="s">
        <v>85</v>
      </c>
      <c r="C35" s="10" t="str">
        <f>vendas!B112</f>
        <v>Estimativa</v>
      </c>
      <c r="D35" s="10">
        <f>vendas!C112</f>
        <v>0</v>
      </c>
      <c r="E35" s="10">
        <f>vendas!D112</f>
        <v>9</v>
      </c>
      <c r="F35" s="10" t="str">
        <f>vendas!E112</f>
        <v>FVR</v>
      </c>
      <c r="G35" s="10" t="str">
        <f>vendas!F112</f>
        <v>Vários</v>
      </c>
      <c r="H35" s="10">
        <f>vendas!G112</f>
        <v>-80</v>
      </c>
      <c r="I35" s="11">
        <f>vendas!H112</f>
        <v>294.95</v>
      </c>
      <c r="J35" s="11">
        <f>vendas!I112</f>
        <v>0</v>
      </c>
      <c r="K35" s="11">
        <f>vendas!J112</f>
        <v>284.33017953983659</v>
      </c>
      <c r="L35" s="138">
        <f>vendas!K112</f>
        <v>0</v>
      </c>
      <c r="M35" s="10">
        <f>vendas!L112</f>
        <v>0</v>
      </c>
      <c r="N35" s="18">
        <f>vendas!M112</f>
        <v>2558.9716158585293</v>
      </c>
      <c r="O35" s="18">
        <f>vendas!N112</f>
        <v>0</v>
      </c>
      <c r="P35" s="18">
        <f>vendas!O112</f>
        <v>0</v>
      </c>
      <c r="Q35" s="18">
        <f>vendas!P112</f>
        <v>0</v>
      </c>
      <c r="R35" s="18">
        <f>vendas!Q112</f>
        <v>0</v>
      </c>
      <c r="S35" s="18">
        <f>vendas!R112</f>
        <v>0</v>
      </c>
      <c r="T35" s="18">
        <f>vendas!S112</f>
        <v>2558.9716158585293</v>
      </c>
      <c r="U35" s="18">
        <f>vendas!T112</f>
        <v>0</v>
      </c>
      <c r="V35" s="18">
        <f>vendas!U112</f>
        <v>0</v>
      </c>
      <c r="W35" s="18">
        <f>vendas!V112</f>
        <v>0</v>
      </c>
      <c r="X35" s="18">
        <f>vendas!W112</f>
        <v>0</v>
      </c>
    </row>
    <row r="36" spans="1:24" x14ac:dyDescent="0.2">
      <c r="A36" s="19" t="s">
        <v>173</v>
      </c>
      <c r="B36" s="19" t="s">
        <v>85</v>
      </c>
      <c r="C36" s="19" t="str">
        <f>vendas!B113</f>
        <v>Estimativa</v>
      </c>
      <c r="D36" s="19">
        <f>vendas!C113</f>
        <v>0</v>
      </c>
      <c r="E36" s="19">
        <f>vendas!D113</f>
        <v>9</v>
      </c>
      <c r="F36" s="19" t="str">
        <f>vendas!E113</f>
        <v>Grinders</v>
      </c>
      <c r="G36" s="19" t="str">
        <f>vendas!F113</f>
        <v>Vários</v>
      </c>
      <c r="H36" s="19">
        <f>vendas!G113</f>
        <v>-30</v>
      </c>
      <c r="I36" s="20">
        <f>vendas!H113</f>
        <v>294.95</v>
      </c>
      <c r="J36" s="20">
        <f>vendas!I113</f>
        <v>0</v>
      </c>
      <c r="K36" s="20">
        <f>vendas!J113</f>
        <v>350.46885819529984</v>
      </c>
      <c r="L36" s="139">
        <f>vendas!K113</f>
        <v>0</v>
      </c>
      <c r="M36" s="19">
        <f>vendas!L113</f>
        <v>0</v>
      </c>
      <c r="N36" s="50">
        <f>vendas!M113</f>
        <v>3154.2197237576984</v>
      </c>
      <c r="O36" s="50">
        <f>vendas!N113</f>
        <v>0</v>
      </c>
      <c r="P36" s="50">
        <f>vendas!O113</f>
        <v>0</v>
      </c>
      <c r="Q36" s="50">
        <f>vendas!P113</f>
        <v>0</v>
      </c>
      <c r="R36" s="50">
        <f>vendas!Q113</f>
        <v>0</v>
      </c>
      <c r="S36" s="50">
        <f>vendas!R113</f>
        <v>0</v>
      </c>
      <c r="T36" s="50">
        <f>vendas!S113</f>
        <v>3154.2197237576984</v>
      </c>
      <c r="U36" s="50">
        <f>vendas!T113</f>
        <v>0</v>
      </c>
      <c r="V36" s="50">
        <f>vendas!U113</f>
        <v>0</v>
      </c>
      <c r="W36" s="50">
        <f>vendas!V113</f>
        <v>0</v>
      </c>
      <c r="X36" s="50">
        <f>vendas!W113</f>
        <v>0</v>
      </c>
    </row>
  </sheetData>
  <phoneticPr fontId="17" type="noConversion"/>
  <pageMargins left="0.7" right="0.7" top="0.75" bottom="0.75" header="0.3" footer="0.3"/>
  <pageSetup paperSize="9" orientation="portrait" horizontalDpi="0" verticalDpi="0"/>
  <ignoredErrors>
    <ignoredError xmlns:x16r3="http://schemas.microsoft.com/office/spreadsheetml/2018/08/main" sqref="L22:L28 L33:L36" x16r3:misleadingForma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>
    <pageSetUpPr fitToPage="1"/>
  </sheetPr>
  <dimension ref="B2:AC162"/>
  <sheetViews>
    <sheetView topLeftCell="A69" zoomScaleNormal="100" workbookViewId="0">
      <selection activeCell="F99" sqref="F99:F102"/>
    </sheetView>
  </sheetViews>
  <sheetFormatPr baseColWidth="10" defaultRowHeight="14" x14ac:dyDescent="0.2"/>
  <cols>
    <col min="1" max="1" width="10.83203125" style="9"/>
    <col min="2" max="2" width="18.1640625" style="9" customWidth="1"/>
    <col min="3" max="3" width="12.1640625" style="9" customWidth="1"/>
    <col min="4" max="4" width="15.6640625" style="9" customWidth="1"/>
    <col min="5" max="5" width="12.6640625" style="9" customWidth="1"/>
    <col min="6" max="6" width="15.33203125" style="9" customWidth="1"/>
    <col min="7" max="7" width="14.1640625" style="9" customWidth="1"/>
    <col min="8" max="8" width="11.5" style="9" customWidth="1"/>
    <col min="9" max="9" width="20" style="9" customWidth="1"/>
    <col min="10" max="10" width="14.5" style="9" customWidth="1"/>
    <col min="11" max="12" width="11.5" style="9" hidden="1" customWidth="1"/>
    <col min="13" max="16" width="11.5" style="9" customWidth="1"/>
    <col min="17" max="26" width="10.83203125" style="9"/>
    <col min="27" max="27" width="13.83203125" style="9" customWidth="1"/>
    <col min="28" max="16384" width="10.83203125" style="9"/>
  </cols>
  <sheetData>
    <row r="2" spans="2:22" x14ac:dyDescent="0.2">
      <c r="B2" s="24" t="s">
        <v>102</v>
      </c>
      <c r="J2" s="6"/>
      <c r="K2" s="6"/>
      <c r="L2" s="6"/>
      <c r="S2" s="25" t="s">
        <v>101</v>
      </c>
      <c r="T2" s="23">
        <v>45674</v>
      </c>
    </row>
    <row r="4" spans="2:22" x14ac:dyDescent="0.2">
      <c r="B4" s="22" t="s">
        <v>31</v>
      </c>
      <c r="C4" s="109">
        <v>45717</v>
      </c>
      <c r="D4" s="109">
        <v>45778</v>
      </c>
      <c r="E4" s="109">
        <v>45839</v>
      </c>
      <c r="F4" s="109">
        <v>45901</v>
      </c>
      <c r="G4" s="109">
        <v>45992</v>
      </c>
      <c r="H4" s="115"/>
      <c r="M4" s="52"/>
      <c r="N4" s="105"/>
      <c r="O4" s="105"/>
      <c r="V4" s="10"/>
    </row>
    <row r="5" spans="2:22" x14ac:dyDescent="0.2">
      <c r="B5" s="106" t="s">
        <v>38</v>
      </c>
      <c r="C5" s="107">
        <v>328.35</v>
      </c>
      <c r="D5" s="107">
        <v>324.60000000000002</v>
      </c>
      <c r="E5" s="107">
        <v>318.25</v>
      </c>
      <c r="F5" s="107">
        <v>309.45</v>
      </c>
      <c r="G5" s="107">
        <v>294.95</v>
      </c>
      <c r="H5" s="107"/>
      <c r="P5" s="54"/>
      <c r="Q5" s="54"/>
      <c r="R5" s="106"/>
      <c r="S5" s="10"/>
    </row>
    <row r="6" spans="2:22" x14ac:dyDescent="0.2">
      <c r="B6" s="108" t="s">
        <v>95</v>
      </c>
      <c r="C6" s="104">
        <f>C5*$J$48</f>
        <v>434.33270273042729</v>
      </c>
      <c r="D6" s="104">
        <f>D5*$J$48</f>
        <v>429.37230183126758</v>
      </c>
      <c r="E6" s="104">
        <f>E5*$J$48</f>
        <v>420.97268964202368</v>
      </c>
      <c r="F6" s="104">
        <f>F5*$J$48</f>
        <v>409.33228219866214</v>
      </c>
      <c r="G6" s="104">
        <f>G5*$J$48</f>
        <v>390.1520653885778</v>
      </c>
      <c r="H6" s="11"/>
      <c r="P6" s="105"/>
      <c r="Q6" s="116"/>
      <c r="R6" s="111"/>
      <c r="S6" s="114"/>
    </row>
    <row r="7" spans="2:22" x14ac:dyDescent="0.2">
      <c r="B7" s="112" t="s">
        <v>358</v>
      </c>
      <c r="C7" s="110">
        <v>319.14</v>
      </c>
      <c r="D7" s="110">
        <v>316.05</v>
      </c>
      <c r="E7" s="110">
        <v>310.64999999999998</v>
      </c>
      <c r="F7" s="110">
        <v>304.2</v>
      </c>
      <c r="G7" s="110">
        <v>290.25</v>
      </c>
      <c r="R7" s="111"/>
      <c r="S7" s="114"/>
    </row>
    <row r="9" spans="2:22" x14ac:dyDescent="0.2">
      <c r="C9" s="10"/>
      <c r="D9" s="10"/>
    </row>
    <row r="10" spans="2:22" x14ac:dyDescent="0.2">
      <c r="C10" s="38"/>
      <c r="D10" s="38"/>
      <c r="K10" s="53"/>
      <c r="L10" s="53"/>
      <c r="M10" s="53"/>
      <c r="N10" s="53"/>
      <c r="O10" s="53"/>
      <c r="P10" s="53"/>
      <c r="Q10" s="53"/>
      <c r="R10" s="53"/>
      <c r="S10" s="53"/>
      <c r="T10" s="53"/>
    </row>
    <row r="11" spans="2:22" x14ac:dyDescent="0.2">
      <c r="B11" s="12" t="s">
        <v>92</v>
      </c>
      <c r="C11" s="8" t="s">
        <v>14</v>
      </c>
      <c r="D11" s="8" t="s">
        <v>142</v>
      </c>
      <c r="E11" s="8" t="s">
        <v>48</v>
      </c>
      <c r="F11" s="8" t="s">
        <v>143</v>
      </c>
      <c r="G11" s="8" t="s">
        <v>48</v>
      </c>
      <c r="I11" s="12" t="s">
        <v>92</v>
      </c>
      <c r="J11" s="12" t="str">
        <f>D11</f>
        <v>Receita Bruta (U$)</v>
      </c>
      <c r="K11" s="13">
        <v>45536</v>
      </c>
      <c r="L11" s="13">
        <v>45566</v>
      </c>
      <c r="M11" s="13">
        <v>45597</v>
      </c>
      <c r="N11" s="13">
        <v>45627</v>
      </c>
      <c r="O11" s="13">
        <v>45658</v>
      </c>
      <c r="P11" s="13">
        <v>45689</v>
      </c>
      <c r="Q11" s="13">
        <v>45717</v>
      </c>
      <c r="R11" s="13">
        <v>45748</v>
      </c>
      <c r="S11" s="13">
        <v>45778</v>
      </c>
      <c r="T11" s="13" t="s">
        <v>30</v>
      </c>
    </row>
    <row r="12" spans="2:22" x14ac:dyDescent="0.2">
      <c r="B12" s="120" t="s">
        <v>85</v>
      </c>
      <c r="C12" s="121"/>
      <c r="D12" s="121"/>
      <c r="E12" s="121"/>
      <c r="F12" s="121"/>
      <c r="G12" s="121"/>
      <c r="I12" s="120" t="s">
        <v>85</v>
      </c>
      <c r="J12" s="121"/>
      <c r="K12" s="121"/>
      <c r="L12" s="121"/>
      <c r="M12" s="121"/>
      <c r="N12" s="121"/>
      <c r="O12" s="122"/>
      <c r="P12" s="122"/>
      <c r="Q12" s="122"/>
      <c r="R12" s="122"/>
      <c r="S12" s="122"/>
      <c r="T12" s="122"/>
    </row>
    <row r="13" spans="2:22" x14ac:dyDescent="0.2">
      <c r="B13" s="9" t="s">
        <v>1</v>
      </c>
      <c r="C13" s="14">
        <f>SUMIFS(D$49:D$117,$B$49:$B$117,B13)</f>
        <v>3840</v>
      </c>
      <c r="D13" s="14">
        <f t="shared" ref="D13:D25" si="0">SUM(K13:T13)</f>
        <v>1585811.5729651297</v>
      </c>
      <c r="E13" s="14">
        <f>D13/C13</f>
        <v>412.97176379300254</v>
      </c>
      <c r="F13" s="14">
        <f>AA64</f>
        <v>1265337.6863460024</v>
      </c>
      <c r="G13" s="14">
        <f>F13/C13</f>
        <v>329.51502248593812</v>
      </c>
      <c r="I13" s="9" t="str">
        <f>B13</f>
        <v>Unroasted</v>
      </c>
      <c r="J13" s="14">
        <f>SUM(K13:T13)</f>
        <v>1585811.5729651297</v>
      </c>
      <c r="K13" s="14">
        <f>N64</f>
        <v>0</v>
      </c>
      <c r="L13" s="14">
        <f>O64</f>
        <v>0</v>
      </c>
      <c r="M13" s="14">
        <f>P64</f>
        <v>0</v>
      </c>
      <c r="N13" s="14">
        <f>342869.76</f>
        <v>342869.76000000001</v>
      </c>
      <c r="O13" s="14">
        <f>R64-11365</f>
        <v>46360.838730488336</v>
      </c>
      <c r="P13" s="14">
        <f>S64</f>
        <v>205770.65703287732</v>
      </c>
      <c r="Q13" s="14">
        <f>T64</f>
        <v>645672.23650609457</v>
      </c>
      <c r="R13" s="14">
        <f>U64</f>
        <v>201918.74038798315</v>
      </c>
      <c r="S13" s="14">
        <f>V64</f>
        <v>143219.34030768639</v>
      </c>
      <c r="T13" s="14">
        <v>0</v>
      </c>
    </row>
    <row r="14" spans="2:22" x14ac:dyDescent="0.2">
      <c r="B14" s="15" t="s">
        <v>24</v>
      </c>
      <c r="C14" s="16">
        <f>SUMIFS(D$49:D$117,$B$49:$B$117,B14)</f>
        <v>640</v>
      </c>
      <c r="D14" s="16">
        <f t="shared" si="0"/>
        <v>208000</v>
      </c>
      <c r="E14" s="16">
        <f>D14/C14</f>
        <v>325</v>
      </c>
      <c r="F14" s="16">
        <f>AA68</f>
        <v>205853.19810383936</v>
      </c>
      <c r="G14" s="16">
        <f t="shared" ref="G14:G36" si="1">F14/C14</f>
        <v>321.64562203724898</v>
      </c>
      <c r="I14" s="15" t="str">
        <f t="shared" ref="I14:I27" si="2">B14</f>
        <v>Southland</v>
      </c>
      <c r="J14" s="16">
        <f t="shared" ref="J14:J36" si="3">SUM(K14:T14)</f>
        <v>208000</v>
      </c>
      <c r="K14" s="16">
        <f t="shared" ref="K14:T14" si="4">N68</f>
        <v>0</v>
      </c>
      <c r="L14" s="16">
        <f t="shared" si="4"/>
        <v>0</v>
      </c>
      <c r="M14" s="16">
        <f t="shared" si="4"/>
        <v>0</v>
      </c>
      <c r="N14" s="16">
        <f t="shared" si="4"/>
        <v>0</v>
      </c>
      <c r="O14" s="16">
        <f t="shared" si="4"/>
        <v>26000</v>
      </c>
      <c r="P14" s="16">
        <f t="shared" si="4"/>
        <v>52000</v>
      </c>
      <c r="Q14" s="16">
        <f t="shared" si="4"/>
        <v>52000</v>
      </c>
      <c r="R14" s="16">
        <f t="shared" si="4"/>
        <v>52000</v>
      </c>
      <c r="S14" s="16">
        <f t="shared" si="4"/>
        <v>26000</v>
      </c>
      <c r="T14" s="16">
        <f t="shared" si="4"/>
        <v>0</v>
      </c>
    </row>
    <row r="15" spans="2:22" x14ac:dyDescent="0.2">
      <c r="B15" s="9" t="s">
        <v>23</v>
      </c>
      <c r="C15" s="14">
        <f>SUMIFS(D$49:D$117,$B$49:$B$117,B15)</f>
        <v>320</v>
      </c>
      <c r="D15" s="14">
        <f t="shared" si="0"/>
        <v>149843.79036181758</v>
      </c>
      <c r="E15" s="14">
        <f>D15/C15</f>
        <v>468.26184488067992</v>
      </c>
      <c r="F15" s="14">
        <f>AA71</f>
        <v>134859.41132563583</v>
      </c>
      <c r="G15" s="14">
        <f t="shared" si="1"/>
        <v>421.43566039261196</v>
      </c>
      <c r="I15" s="9" t="str">
        <f t="shared" si="2"/>
        <v>Xorxos</v>
      </c>
      <c r="J15" s="14">
        <f t="shared" si="3"/>
        <v>149843.79036181758</v>
      </c>
      <c r="K15" s="14">
        <f t="shared" ref="K15:T15" si="5">N71</f>
        <v>0</v>
      </c>
      <c r="L15" s="14">
        <f t="shared" si="5"/>
        <v>0</v>
      </c>
      <c r="M15" s="14">
        <f t="shared" si="5"/>
        <v>0</v>
      </c>
      <c r="N15" s="14">
        <f t="shared" si="5"/>
        <v>0</v>
      </c>
      <c r="O15" s="14">
        <f t="shared" si="5"/>
        <v>149843.79036181758</v>
      </c>
      <c r="P15" s="14">
        <f t="shared" si="5"/>
        <v>0</v>
      </c>
      <c r="Q15" s="14">
        <f t="shared" si="5"/>
        <v>0</v>
      </c>
      <c r="R15" s="14">
        <f t="shared" si="5"/>
        <v>0</v>
      </c>
      <c r="S15" s="14">
        <f t="shared" si="5"/>
        <v>0</v>
      </c>
      <c r="T15" s="14">
        <f t="shared" si="5"/>
        <v>0</v>
      </c>
    </row>
    <row r="16" spans="2:22" x14ac:dyDescent="0.2">
      <c r="B16" s="15" t="s">
        <v>93</v>
      </c>
      <c r="C16" s="16">
        <f>SUMIFS(D$49:D$117,$B$49:$B$117,B16)</f>
        <v>863</v>
      </c>
      <c r="D16" s="16">
        <f>SUM(K16:T16)</f>
        <v>367445.05</v>
      </c>
      <c r="E16" s="16">
        <f>D16/C16</f>
        <v>425.77641946697565</v>
      </c>
      <c r="F16" s="16">
        <f>AA76</f>
        <v>367445.05</v>
      </c>
      <c r="G16" s="16">
        <f>F16/C16</f>
        <v>425.77641946697565</v>
      </c>
      <c r="I16" s="15" t="str">
        <f>B16</f>
        <v>Emporia GMBH</v>
      </c>
      <c r="J16" s="16">
        <f>SUM(K16:T16)</f>
        <v>367445.05</v>
      </c>
      <c r="K16" s="16">
        <f>N76</f>
        <v>0</v>
      </c>
      <c r="L16" s="16">
        <f t="shared" ref="L16:T16" si="6">O76</f>
        <v>0</v>
      </c>
      <c r="M16" s="16">
        <f t="shared" si="6"/>
        <v>0</v>
      </c>
      <c r="N16" s="16">
        <f t="shared" si="6"/>
        <v>0</v>
      </c>
      <c r="O16" s="16">
        <f t="shared" si="6"/>
        <v>0</v>
      </c>
      <c r="P16" s="16">
        <f t="shared" si="6"/>
        <v>0</v>
      </c>
      <c r="Q16" s="16">
        <f t="shared" si="6"/>
        <v>367445.05</v>
      </c>
      <c r="R16" s="16">
        <f t="shared" si="6"/>
        <v>0</v>
      </c>
      <c r="S16" s="16">
        <f t="shared" si="6"/>
        <v>0</v>
      </c>
      <c r="T16" s="16">
        <f t="shared" si="6"/>
        <v>0</v>
      </c>
    </row>
    <row r="17" spans="2:20" x14ac:dyDescent="0.2">
      <c r="B17" s="3" t="s">
        <v>32</v>
      </c>
      <c r="C17" s="7">
        <f>SUM(C13:C16)</f>
        <v>5663</v>
      </c>
      <c r="D17" s="7">
        <f>SUM(D13:D16)</f>
        <v>2311100.413326947</v>
      </c>
      <c r="E17" s="7">
        <f t="shared" ref="E17" si="7">D17/C17</f>
        <v>408.10531755729244</v>
      </c>
      <c r="F17" s="7">
        <f>SUM(F13:F16)</f>
        <v>1973495.3457754776</v>
      </c>
      <c r="G17" s="7">
        <f>F17/C17</f>
        <v>348.48937767534477</v>
      </c>
      <c r="I17" s="3" t="s">
        <v>32</v>
      </c>
      <c r="J17" s="7">
        <f>SUM(K17:T17)</f>
        <v>2311100.4133269475</v>
      </c>
      <c r="K17" s="7">
        <f t="shared" ref="K17:T17" si="8">SUM(K13:K16)</f>
        <v>0</v>
      </c>
      <c r="L17" s="7">
        <f t="shared" si="8"/>
        <v>0</v>
      </c>
      <c r="M17" s="7">
        <f t="shared" si="8"/>
        <v>0</v>
      </c>
      <c r="N17" s="7">
        <f>SUM(N13:N16)</f>
        <v>342869.76000000001</v>
      </c>
      <c r="O17" s="7">
        <f>SUM(O13:O16)</f>
        <v>222204.6290923059</v>
      </c>
      <c r="P17" s="7">
        <f t="shared" si="8"/>
        <v>257770.65703287732</v>
      </c>
      <c r="Q17" s="7">
        <f t="shared" si="8"/>
        <v>1065117.2865060945</v>
      </c>
      <c r="R17" s="7">
        <f t="shared" si="8"/>
        <v>253918.74038798315</v>
      </c>
      <c r="S17" s="7">
        <f t="shared" si="8"/>
        <v>169219.34030768639</v>
      </c>
      <c r="T17" s="7">
        <f t="shared" si="8"/>
        <v>0</v>
      </c>
    </row>
    <row r="18" spans="2:20" x14ac:dyDescent="0.2">
      <c r="B18" s="133" t="s">
        <v>169</v>
      </c>
      <c r="C18" s="14"/>
      <c r="D18" s="14"/>
      <c r="E18" s="14"/>
      <c r="F18" s="34"/>
      <c r="G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spans="2:20" x14ac:dyDescent="0.2">
      <c r="C19" s="14"/>
      <c r="D19" s="14"/>
      <c r="E19" s="14"/>
      <c r="F19" s="14"/>
      <c r="G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spans="2:20" x14ac:dyDescent="0.2">
      <c r="B20" s="123" t="s">
        <v>92</v>
      </c>
      <c r="C20" s="124" t="s">
        <v>14</v>
      </c>
      <c r="D20" s="124" t="s">
        <v>158</v>
      </c>
      <c r="E20" s="124" t="s">
        <v>159</v>
      </c>
      <c r="F20" s="124" t="s">
        <v>160</v>
      </c>
      <c r="G20" s="124" t="s">
        <v>159</v>
      </c>
      <c r="I20" s="123" t="s">
        <v>92</v>
      </c>
      <c r="J20" s="123" t="str">
        <f>D20</f>
        <v>Receita Bruta (R$)</v>
      </c>
      <c r="K20" s="125">
        <v>45536</v>
      </c>
      <c r="L20" s="125">
        <v>45566</v>
      </c>
      <c r="M20" s="125">
        <v>45597</v>
      </c>
      <c r="N20" s="125">
        <v>45627</v>
      </c>
      <c r="O20" s="125">
        <v>45658</v>
      </c>
      <c r="P20" s="125">
        <v>45689</v>
      </c>
      <c r="Q20" s="125">
        <v>45717</v>
      </c>
      <c r="R20" s="125">
        <v>45748</v>
      </c>
      <c r="S20" s="125">
        <v>45778</v>
      </c>
      <c r="T20" s="125" t="s">
        <v>30</v>
      </c>
    </row>
    <row r="21" spans="2:20" x14ac:dyDescent="0.2">
      <c r="B21" s="120" t="s">
        <v>157</v>
      </c>
      <c r="C21" s="121"/>
      <c r="D21" s="121"/>
      <c r="E21" s="121"/>
      <c r="F21" s="121"/>
      <c r="G21" s="121"/>
      <c r="I21" s="120" t="str">
        <f>B21</f>
        <v>Mercado Interno</v>
      </c>
      <c r="J21" s="121"/>
      <c r="K21" s="121"/>
      <c r="L21" s="121"/>
      <c r="M21" s="121"/>
      <c r="N21" s="121"/>
      <c r="O21" s="122"/>
      <c r="P21" s="122"/>
      <c r="Q21" s="122"/>
      <c r="R21" s="122"/>
      <c r="S21" s="122"/>
      <c r="T21" s="122"/>
    </row>
    <row r="22" spans="2:20" x14ac:dyDescent="0.2">
      <c r="B22" s="15" t="s">
        <v>53</v>
      </c>
      <c r="C22" s="16">
        <f t="shared" ref="C22:C27" si="9">SUMIFS(D$49:D$117,$B$49:$B$117,B22)</f>
        <v>8</v>
      </c>
      <c r="D22" s="16">
        <f t="shared" si="0"/>
        <v>18548</v>
      </c>
      <c r="E22" s="16">
        <f t="shared" ref="E22:E36" si="10">D22/C22</f>
        <v>2318.5</v>
      </c>
      <c r="F22" s="16">
        <f>AA83</f>
        <v>18269.78</v>
      </c>
      <c r="G22" s="16">
        <f t="shared" si="1"/>
        <v>2283.7224999999999</v>
      </c>
      <c r="I22" s="15" t="str">
        <f t="shared" si="2"/>
        <v>Los Baristas</v>
      </c>
      <c r="J22" s="16">
        <f t="shared" si="3"/>
        <v>18548</v>
      </c>
      <c r="K22" s="16">
        <f>N83</f>
        <v>0</v>
      </c>
      <c r="L22" s="16">
        <f t="shared" ref="L22:T22" si="11">O83</f>
        <v>0</v>
      </c>
      <c r="M22" s="16">
        <f t="shared" si="11"/>
        <v>0</v>
      </c>
      <c r="N22" s="16">
        <f t="shared" si="11"/>
        <v>4637</v>
      </c>
      <c r="O22" s="16">
        <f t="shared" si="11"/>
        <v>4637</v>
      </c>
      <c r="P22" s="16">
        <f t="shared" si="11"/>
        <v>4637</v>
      </c>
      <c r="Q22" s="16">
        <f t="shared" si="11"/>
        <v>4637</v>
      </c>
      <c r="R22" s="16">
        <f t="shared" si="11"/>
        <v>0</v>
      </c>
      <c r="S22" s="16">
        <f t="shared" si="11"/>
        <v>0</v>
      </c>
      <c r="T22" s="16">
        <f t="shared" si="11"/>
        <v>0</v>
      </c>
    </row>
    <row r="23" spans="2:20" x14ac:dyDescent="0.2">
      <c r="B23" s="9" t="s">
        <v>70</v>
      </c>
      <c r="C23" s="14">
        <f t="shared" si="9"/>
        <v>500</v>
      </c>
      <c r="D23" s="14">
        <f t="shared" si="0"/>
        <v>1052500</v>
      </c>
      <c r="E23" s="14">
        <f t="shared" si="10"/>
        <v>2105</v>
      </c>
      <c r="F23" s="14">
        <f>AA86</f>
        <v>1036712.5</v>
      </c>
      <c r="G23" s="14">
        <f t="shared" si="1"/>
        <v>2073.4250000000002</v>
      </c>
      <c r="I23" s="9" t="str">
        <f t="shared" si="2"/>
        <v>Louis Dreyfus</v>
      </c>
      <c r="J23" s="14">
        <f t="shared" si="3"/>
        <v>1052500</v>
      </c>
      <c r="K23" s="14">
        <f t="shared" ref="K23:T23" si="12">N86</f>
        <v>0</v>
      </c>
      <c r="L23" s="14">
        <f t="shared" si="12"/>
        <v>0</v>
      </c>
      <c r="M23" s="14">
        <f t="shared" si="12"/>
        <v>0</v>
      </c>
      <c r="N23" s="14">
        <f t="shared" si="12"/>
        <v>1052500</v>
      </c>
      <c r="O23" s="14">
        <f t="shared" si="12"/>
        <v>0</v>
      </c>
      <c r="P23" s="14">
        <f t="shared" si="12"/>
        <v>0</v>
      </c>
      <c r="Q23" s="14">
        <f t="shared" si="12"/>
        <v>0</v>
      </c>
      <c r="R23" s="14">
        <f t="shared" si="12"/>
        <v>0</v>
      </c>
      <c r="S23" s="14">
        <f t="shared" si="12"/>
        <v>0</v>
      </c>
      <c r="T23" s="14">
        <f t="shared" si="12"/>
        <v>0</v>
      </c>
    </row>
    <row r="24" spans="2:20" x14ac:dyDescent="0.2">
      <c r="B24" s="15" t="s">
        <v>86</v>
      </c>
      <c r="C24" s="16">
        <f t="shared" si="9"/>
        <v>20</v>
      </c>
      <c r="D24" s="16">
        <f t="shared" si="0"/>
        <v>44000</v>
      </c>
      <c r="E24" s="16">
        <f t="shared" si="10"/>
        <v>2200</v>
      </c>
      <c r="F24" s="16">
        <f>AA89</f>
        <v>43340</v>
      </c>
      <c r="G24" s="16">
        <f t="shared" si="1"/>
        <v>2167</v>
      </c>
      <c r="I24" s="15" t="str">
        <f t="shared" si="2"/>
        <v>Mundo Novo Café</v>
      </c>
      <c r="J24" s="16">
        <f t="shared" si="3"/>
        <v>44000</v>
      </c>
      <c r="K24" s="16">
        <f t="shared" ref="K24:T24" si="13">N88</f>
        <v>0</v>
      </c>
      <c r="L24" s="16">
        <f t="shared" si="13"/>
        <v>0</v>
      </c>
      <c r="M24" s="16">
        <f t="shared" si="13"/>
        <v>0</v>
      </c>
      <c r="N24" s="16">
        <f t="shared" si="13"/>
        <v>22000</v>
      </c>
      <c r="O24" s="16">
        <f t="shared" si="13"/>
        <v>5500</v>
      </c>
      <c r="P24" s="16">
        <f t="shared" si="13"/>
        <v>5500</v>
      </c>
      <c r="Q24" s="16">
        <f t="shared" si="13"/>
        <v>5500</v>
      </c>
      <c r="R24" s="16">
        <f t="shared" si="13"/>
        <v>5500</v>
      </c>
      <c r="S24" s="16">
        <f t="shared" si="13"/>
        <v>0</v>
      </c>
      <c r="T24" s="16">
        <f t="shared" si="13"/>
        <v>0</v>
      </c>
    </row>
    <row r="25" spans="2:20" x14ac:dyDescent="0.2">
      <c r="B25" s="9" t="s">
        <v>89</v>
      </c>
      <c r="C25" s="14">
        <f t="shared" si="9"/>
        <v>500</v>
      </c>
      <c r="D25" s="14">
        <f t="shared" si="0"/>
        <v>1000000</v>
      </c>
      <c r="E25" s="14">
        <f t="shared" si="10"/>
        <v>2000</v>
      </c>
      <c r="F25" s="14">
        <f>AA92</f>
        <v>985000</v>
      </c>
      <c r="G25" s="14">
        <f t="shared" si="1"/>
        <v>1970</v>
      </c>
      <c r="I25" s="9" t="str">
        <f t="shared" si="2"/>
        <v>Melitta</v>
      </c>
      <c r="J25" s="14">
        <f t="shared" si="3"/>
        <v>1000000</v>
      </c>
      <c r="K25" s="14">
        <f t="shared" ref="K25:T25" si="14">N91</f>
        <v>0</v>
      </c>
      <c r="L25" s="14">
        <f t="shared" si="14"/>
        <v>0</v>
      </c>
      <c r="M25" s="14">
        <f t="shared" si="14"/>
        <v>0</v>
      </c>
      <c r="N25" s="14">
        <f t="shared" si="14"/>
        <v>0</v>
      </c>
      <c r="O25" s="14">
        <f t="shared" si="14"/>
        <v>0</v>
      </c>
      <c r="P25" s="14">
        <f t="shared" si="14"/>
        <v>1000000</v>
      </c>
      <c r="Q25" s="14">
        <f t="shared" si="14"/>
        <v>0</v>
      </c>
      <c r="R25" s="14">
        <f t="shared" si="14"/>
        <v>0</v>
      </c>
      <c r="S25" s="14">
        <f t="shared" si="14"/>
        <v>0</v>
      </c>
      <c r="T25" s="14">
        <f t="shared" si="14"/>
        <v>0</v>
      </c>
    </row>
    <row r="26" spans="2:20" x14ac:dyDescent="0.2">
      <c r="B26" s="15" t="s">
        <v>152</v>
      </c>
      <c r="C26" s="16">
        <f t="shared" si="9"/>
        <v>7.5</v>
      </c>
      <c r="D26" s="16">
        <f>SUM(K26:T26)</f>
        <v>19462.934999999998</v>
      </c>
      <c r="E26" s="16">
        <f t="shared" ref="E26" si="15">D26/C26</f>
        <v>2595.0579999999995</v>
      </c>
      <c r="F26" s="16">
        <f>AA96</f>
        <v>19170.990975000001</v>
      </c>
      <c r="G26" s="16">
        <f t="shared" ref="G26" si="16">F26/C26</f>
        <v>2556.13213</v>
      </c>
      <c r="I26" s="15" t="str">
        <f t="shared" si="2"/>
        <v>55 Coffee</v>
      </c>
      <c r="J26" s="16">
        <f>SUM(K26:T26)</f>
        <v>19462.934999999998</v>
      </c>
      <c r="K26" s="16">
        <f>N96</f>
        <v>0</v>
      </c>
      <c r="L26" s="16">
        <f t="shared" ref="L26:T26" si="17">O96</f>
        <v>0</v>
      </c>
      <c r="M26" s="16">
        <f t="shared" si="17"/>
        <v>0</v>
      </c>
      <c r="N26" s="16">
        <f t="shared" si="17"/>
        <v>0</v>
      </c>
      <c r="O26" s="16">
        <f t="shared" si="17"/>
        <v>3243.8224999999998</v>
      </c>
      <c r="P26" s="16">
        <f t="shared" si="17"/>
        <v>3243.8224999999998</v>
      </c>
      <c r="Q26" s="16">
        <f t="shared" si="17"/>
        <v>3243.8224999999998</v>
      </c>
      <c r="R26" s="16">
        <f t="shared" si="17"/>
        <v>3243.8224999999998</v>
      </c>
      <c r="S26" s="16">
        <f t="shared" si="17"/>
        <v>3243.8224999999998</v>
      </c>
      <c r="T26" s="16">
        <f t="shared" si="17"/>
        <v>3243.8224999999998</v>
      </c>
    </row>
    <row r="27" spans="2:20" x14ac:dyDescent="0.2">
      <c r="B27" s="9" t="s">
        <v>256</v>
      </c>
      <c r="C27" s="14">
        <f t="shared" si="9"/>
        <v>1525.7</v>
      </c>
      <c r="D27" s="14">
        <f>SUM(K27:T27)</f>
        <v>2538717</v>
      </c>
      <c r="E27" s="14">
        <f t="shared" ref="E27" si="18">D27/C27</f>
        <v>1663.968670118634</v>
      </c>
      <c r="F27" s="14">
        <f>AA103</f>
        <v>2500636.2450000001</v>
      </c>
      <c r="G27" s="14">
        <f t="shared" ref="G27" si="19">F27/C27</f>
        <v>1639.0091400668546</v>
      </c>
      <c r="I27" s="9" t="str">
        <f t="shared" si="2"/>
        <v>Londe e Ribeiro</v>
      </c>
      <c r="J27" s="14">
        <f t="shared" ref="J27" si="20">SUM(K27:T27)</f>
        <v>2538717</v>
      </c>
      <c r="K27" s="14">
        <f>N103</f>
        <v>0</v>
      </c>
      <c r="L27" s="14">
        <f t="shared" ref="L27:T27" si="21">O103</f>
        <v>0</v>
      </c>
      <c r="M27" s="14">
        <f t="shared" si="21"/>
        <v>0</v>
      </c>
      <c r="N27" s="14">
        <f t="shared" si="21"/>
        <v>0</v>
      </c>
      <c r="O27" s="14">
        <f t="shared" si="21"/>
        <v>0</v>
      </c>
      <c r="P27" s="14">
        <f t="shared" si="21"/>
        <v>2538717</v>
      </c>
      <c r="Q27" s="14">
        <f t="shared" si="21"/>
        <v>0</v>
      </c>
      <c r="R27" s="14">
        <f t="shared" si="21"/>
        <v>0</v>
      </c>
      <c r="S27" s="14">
        <f t="shared" si="21"/>
        <v>0</v>
      </c>
      <c r="T27" s="14">
        <f t="shared" si="21"/>
        <v>0</v>
      </c>
    </row>
    <row r="28" spans="2:20" x14ac:dyDescent="0.2">
      <c r="B28" s="127" t="s">
        <v>32</v>
      </c>
      <c r="C28" s="130">
        <f>SUM(C22:C27)</f>
        <v>2561.1999999999998</v>
      </c>
      <c r="D28" s="130">
        <f>SUM(D22:D27)</f>
        <v>4673227.9350000005</v>
      </c>
      <c r="E28" s="130">
        <f>D28/C28</f>
        <v>1824.6243694362022</v>
      </c>
      <c r="F28" s="130">
        <f>SUM(F22:F27)</f>
        <v>4603129.5159750003</v>
      </c>
      <c r="G28" s="130">
        <f>F28/C28</f>
        <v>1797.255003894659</v>
      </c>
      <c r="I28" s="127" t="s">
        <v>32</v>
      </c>
      <c r="J28" s="130">
        <f>SUM(K28:T28)</f>
        <v>4673227.9349999987</v>
      </c>
      <c r="K28" s="130">
        <f t="shared" ref="K28:T28" si="22">SUM(K22:K27)</f>
        <v>0</v>
      </c>
      <c r="L28" s="130">
        <f t="shared" si="22"/>
        <v>0</v>
      </c>
      <c r="M28" s="130">
        <f t="shared" si="22"/>
        <v>0</v>
      </c>
      <c r="N28" s="130">
        <f t="shared" si="22"/>
        <v>1079137</v>
      </c>
      <c r="O28" s="130">
        <f t="shared" si="22"/>
        <v>13380.8225</v>
      </c>
      <c r="P28" s="130">
        <f t="shared" si="22"/>
        <v>3552097.8224999998</v>
      </c>
      <c r="Q28" s="130">
        <f t="shared" si="22"/>
        <v>13380.8225</v>
      </c>
      <c r="R28" s="130">
        <f t="shared" si="22"/>
        <v>8743.8225000000002</v>
      </c>
      <c r="S28" s="130">
        <f t="shared" si="22"/>
        <v>3243.8224999999998</v>
      </c>
      <c r="T28" s="130">
        <f t="shared" si="22"/>
        <v>3243.8224999999998</v>
      </c>
    </row>
    <row r="29" spans="2:20" x14ac:dyDescent="0.2">
      <c r="B29" s="133" t="s">
        <v>170</v>
      </c>
      <c r="C29" s="28"/>
      <c r="D29" s="28"/>
      <c r="E29" s="28"/>
      <c r="G29" s="28"/>
      <c r="I29" s="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</row>
    <row r="30" spans="2:20" x14ac:dyDescent="0.2">
      <c r="C30" s="14"/>
      <c r="D30" s="14"/>
      <c r="E30" s="14"/>
      <c r="F30" s="14"/>
      <c r="G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 spans="2:20" x14ac:dyDescent="0.2">
      <c r="B31" s="233" t="s">
        <v>37</v>
      </c>
      <c r="C31" s="135">
        <v>6</v>
      </c>
      <c r="D31" s="14"/>
      <c r="E31" s="14"/>
      <c r="F31" s="14"/>
      <c r="G31" s="14"/>
      <c r="I31" s="134"/>
      <c r="J31" s="113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 spans="2:20" x14ac:dyDescent="0.2">
      <c r="B32" s="52"/>
      <c r="C32" s="113"/>
      <c r="D32" s="14"/>
      <c r="E32" s="14"/>
      <c r="F32" s="14"/>
      <c r="G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 spans="2:25" ht="18" customHeight="1" x14ac:dyDescent="0.2">
      <c r="B33" s="202" t="s">
        <v>92</v>
      </c>
      <c r="C33" s="203" t="s">
        <v>14</v>
      </c>
      <c r="D33" s="203" t="s">
        <v>142</v>
      </c>
      <c r="E33" s="204" t="s">
        <v>48</v>
      </c>
      <c r="F33" s="203" t="s">
        <v>143</v>
      </c>
      <c r="G33" s="204" t="s">
        <v>48</v>
      </c>
      <c r="H33" s="205"/>
      <c r="I33" s="202" t="s">
        <v>92</v>
      </c>
      <c r="J33" s="202" t="str">
        <f>D33</f>
        <v>Receita Bruta (U$)</v>
      </c>
      <c r="K33" s="206">
        <v>45536</v>
      </c>
      <c r="L33" s="206">
        <v>45566</v>
      </c>
      <c r="M33" s="206">
        <v>45597</v>
      </c>
      <c r="N33" s="206">
        <v>45627</v>
      </c>
      <c r="O33" s="206">
        <v>45658</v>
      </c>
      <c r="P33" s="206">
        <v>45689</v>
      </c>
      <c r="Q33" s="206">
        <v>45717</v>
      </c>
      <c r="R33" s="206">
        <v>45748</v>
      </c>
      <c r="S33" s="206">
        <v>45778</v>
      </c>
      <c r="T33" s="206" t="s">
        <v>30</v>
      </c>
    </row>
    <row r="34" spans="2:25" ht="18" customHeight="1" x14ac:dyDescent="0.2">
      <c r="B34" s="205" t="s">
        <v>168</v>
      </c>
      <c r="C34" s="207">
        <f>C17+C28</f>
        <v>8224.2000000000007</v>
      </c>
      <c r="D34" s="207">
        <f>D17+D28/$C$31</f>
        <v>3089971.7358269473</v>
      </c>
      <c r="E34" s="208">
        <f>D34/C34</f>
        <v>375.71699810643554</v>
      </c>
      <c r="F34" s="207">
        <f>F17+F28/$C$31</f>
        <v>2740683.5984379775</v>
      </c>
      <c r="G34" s="208">
        <f t="shared" si="1"/>
        <v>333.24622436686576</v>
      </c>
      <c r="H34" s="205"/>
      <c r="I34" s="205" t="s">
        <v>168</v>
      </c>
      <c r="J34" s="207">
        <f t="shared" ref="J34:T34" si="23">J17+J28/$C$31</f>
        <v>3089971.7358269473</v>
      </c>
      <c r="K34" s="207">
        <f t="shared" si="23"/>
        <v>0</v>
      </c>
      <c r="L34" s="207">
        <f t="shared" si="23"/>
        <v>0</v>
      </c>
      <c r="M34" s="207">
        <f t="shared" si="23"/>
        <v>0</v>
      </c>
      <c r="N34" s="207">
        <f t="shared" si="23"/>
        <v>522725.92666666664</v>
      </c>
      <c r="O34" s="207">
        <f t="shared" si="23"/>
        <v>224434.76617563923</v>
      </c>
      <c r="P34" s="207">
        <f t="shared" si="23"/>
        <v>849786.96078287729</v>
      </c>
      <c r="Q34" s="207">
        <f t="shared" si="23"/>
        <v>1067347.4235894277</v>
      </c>
      <c r="R34" s="207">
        <f t="shared" si="23"/>
        <v>255376.04413798315</v>
      </c>
      <c r="S34" s="207">
        <f t="shared" si="23"/>
        <v>169759.97739101973</v>
      </c>
      <c r="T34" s="207">
        <f t="shared" si="23"/>
        <v>540.63708333333329</v>
      </c>
    </row>
    <row r="35" spans="2:25" ht="18" customHeight="1" x14ac:dyDescent="0.2">
      <c r="B35" s="209" t="s">
        <v>29</v>
      </c>
      <c r="C35" s="210">
        <f>SUMIFS(D$49:D$117,$B$49:$B$117,B35)</f>
        <v>36</v>
      </c>
      <c r="D35" s="210">
        <f>SUM(K35:T35)</f>
        <v>12200.205219501375</v>
      </c>
      <c r="E35" s="210">
        <f t="shared" si="10"/>
        <v>338.89458943059373</v>
      </c>
      <c r="F35" s="210">
        <f>D35</f>
        <v>12200.205219501375</v>
      </c>
      <c r="G35" s="210">
        <f t="shared" si="1"/>
        <v>338.89458943059373</v>
      </c>
      <c r="H35" s="205"/>
      <c r="I35" s="209" t="s">
        <v>29</v>
      </c>
      <c r="J35" s="210">
        <f t="shared" si="3"/>
        <v>12200.205219501375</v>
      </c>
      <c r="K35" s="210">
        <f t="shared" ref="K35:T35" si="24">N118</f>
        <v>0</v>
      </c>
      <c r="L35" s="210">
        <f t="shared" si="24"/>
        <v>0</v>
      </c>
      <c r="M35" s="210">
        <f t="shared" si="24"/>
        <v>0</v>
      </c>
      <c r="N35" s="210">
        <f t="shared" si="24"/>
        <v>0</v>
      </c>
      <c r="O35" s="210">
        <f t="shared" si="24"/>
        <v>0</v>
      </c>
      <c r="P35" s="210">
        <f t="shared" si="24"/>
        <v>12200.205219501375</v>
      </c>
      <c r="Q35" s="210">
        <f t="shared" si="24"/>
        <v>0</v>
      </c>
      <c r="R35" s="210">
        <f t="shared" si="24"/>
        <v>0</v>
      </c>
      <c r="S35" s="210">
        <f t="shared" si="24"/>
        <v>0</v>
      </c>
      <c r="T35" s="210">
        <f t="shared" si="24"/>
        <v>0</v>
      </c>
    </row>
    <row r="36" spans="2:25" ht="18" customHeight="1" x14ac:dyDescent="0.2">
      <c r="B36" s="211" t="s">
        <v>167</v>
      </c>
      <c r="C36" s="212">
        <f>C34+C35</f>
        <v>8260.2000000000007</v>
      </c>
      <c r="D36" s="212">
        <f>D34+D35</f>
        <v>3102171.9410464484</v>
      </c>
      <c r="E36" s="212">
        <f t="shared" si="10"/>
        <v>375.55651691804655</v>
      </c>
      <c r="F36" s="212">
        <f>F34+F35</f>
        <v>2752883.8036574787</v>
      </c>
      <c r="G36" s="212">
        <f t="shared" si="1"/>
        <v>333.27084134251936</v>
      </c>
      <c r="H36" s="205"/>
      <c r="I36" s="211" t="s">
        <v>167</v>
      </c>
      <c r="J36" s="212">
        <f t="shared" si="3"/>
        <v>3102171.9410464489</v>
      </c>
      <c r="K36" s="212">
        <f t="shared" ref="K36:T36" si="25">K34+K35</f>
        <v>0</v>
      </c>
      <c r="L36" s="212">
        <f t="shared" si="25"/>
        <v>0</v>
      </c>
      <c r="M36" s="212">
        <f t="shared" si="25"/>
        <v>0</v>
      </c>
      <c r="N36" s="212">
        <f>N34+N35</f>
        <v>522725.92666666664</v>
      </c>
      <c r="O36" s="212">
        <f t="shared" si="25"/>
        <v>224434.76617563923</v>
      </c>
      <c r="P36" s="212">
        <f t="shared" si="25"/>
        <v>861987.16600237868</v>
      </c>
      <c r="Q36" s="212">
        <f t="shared" si="25"/>
        <v>1067347.4235894277</v>
      </c>
      <c r="R36" s="212">
        <f t="shared" si="25"/>
        <v>255376.04413798315</v>
      </c>
      <c r="S36" s="212">
        <f t="shared" si="25"/>
        <v>169759.97739101973</v>
      </c>
      <c r="T36" s="212">
        <f t="shared" si="25"/>
        <v>540.63708333333329</v>
      </c>
    </row>
    <row r="37" spans="2:25" ht="18" customHeight="1" x14ac:dyDescent="0.2">
      <c r="B37" s="213" t="s">
        <v>172</v>
      </c>
      <c r="C37" s="214">
        <f>C36</f>
        <v>8260.2000000000007</v>
      </c>
      <c r="D37" s="214">
        <f>D36*$C$31</f>
        <v>18613031.646278691</v>
      </c>
      <c r="E37" s="214">
        <f>D37/C37</f>
        <v>2253.3391015082793</v>
      </c>
      <c r="F37" s="214">
        <f>F36*$C$31</f>
        <v>16517302.821944872</v>
      </c>
      <c r="G37" s="214">
        <f>F37/C37</f>
        <v>1999.6250480551162</v>
      </c>
      <c r="H37" s="205"/>
      <c r="I37" s="213" t="s">
        <v>172</v>
      </c>
      <c r="J37" s="214">
        <f>J36*$C$31</f>
        <v>18613031.646278694</v>
      </c>
      <c r="K37" s="214">
        <f>K36*$C$31</f>
        <v>0</v>
      </c>
      <c r="L37" s="214">
        <f>L36*$C$31</f>
        <v>0</v>
      </c>
      <c r="M37" s="214">
        <f>M36*$C$31</f>
        <v>0</v>
      </c>
      <c r="N37" s="214">
        <f>N36*$C$31</f>
        <v>3136355.5599999996</v>
      </c>
      <c r="O37" s="214">
        <f t="shared" ref="O37:T37" si="26">O36*$C$31</f>
        <v>1346608.5970538354</v>
      </c>
      <c r="P37" s="214">
        <f t="shared" si="26"/>
        <v>5171922.9960142719</v>
      </c>
      <c r="Q37" s="214">
        <f t="shared" si="26"/>
        <v>6404084.5415365659</v>
      </c>
      <c r="R37" s="214">
        <f t="shared" si="26"/>
        <v>1532256.2648278989</v>
      </c>
      <c r="S37" s="214">
        <f t="shared" si="26"/>
        <v>1018559.8643461184</v>
      </c>
      <c r="T37" s="214">
        <f t="shared" si="26"/>
        <v>3243.8224999999998</v>
      </c>
    </row>
    <row r="38" spans="2:25" x14ac:dyDescent="0.2">
      <c r="B38" s="215"/>
      <c r="C38" s="216"/>
      <c r="D38" s="216"/>
      <c r="E38" s="216"/>
      <c r="F38" s="216"/>
      <c r="G38" s="216"/>
      <c r="H38" s="205"/>
      <c r="I38" s="215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2:25" x14ac:dyDescent="0.2">
      <c r="B39" s="217"/>
      <c r="C39" s="218"/>
      <c r="D39" s="219"/>
      <c r="E39" s="220"/>
      <c r="F39" s="207"/>
      <c r="G39" s="205"/>
      <c r="H39" s="205"/>
      <c r="I39" s="217"/>
      <c r="J39" s="217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14"/>
      <c r="V39" s="14"/>
      <c r="W39" s="14"/>
      <c r="X39" s="14"/>
      <c r="Y39" s="14"/>
    </row>
    <row r="40" spans="2:25" x14ac:dyDescent="0.2">
      <c r="B40" s="221" t="s">
        <v>99</v>
      </c>
      <c r="C40" s="222">
        <f>-SUM(D127:D133)</f>
        <v>-11104.499150000001</v>
      </c>
      <c r="D40" s="222">
        <f>SUM(K40:T40)</f>
        <v>-1405616.6527201387</v>
      </c>
      <c r="E40" s="207"/>
      <c r="F40" s="205"/>
      <c r="G40" s="205"/>
      <c r="H40" s="205"/>
      <c r="I40" s="221" t="s">
        <v>99</v>
      </c>
      <c r="J40" s="222">
        <f>SUM(K40:T40)</f>
        <v>-1405616.6527201387</v>
      </c>
      <c r="K40" s="223">
        <f t="shared" ref="K40:T40" si="27">N134</f>
        <v>0</v>
      </c>
      <c r="L40" s="223">
        <f t="shared" si="27"/>
        <v>0</v>
      </c>
      <c r="M40" s="223">
        <f t="shared" si="27"/>
        <v>-1333329.1991858121</v>
      </c>
      <c r="N40" s="223">
        <f t="shared" si="27"/>
        <v>-72287.453534326414</v>
      </c>
      <c r="O40" s="223">
        <f t="shared" si="27"/>
        <v>0</v>
      </c>
      <c r="P40" s="223">
        <f t="shared" si="27"/>
        <v>0</v>
      </c>
      <c r="Q40" s="223">
        <f t="shared" si="27"/>
        <v>0</v>
      </c>
      <c r="R40" s="223">
        <f t="shared" si="27"/>
        <v>0</v>
      </c>
      <c r="S40" s="223">
        <f t="shared" si="27"/>
        <v>0</v>
      </c>
      <c r="T40" s="223">
        <f t="shared" si="27"/>
        <v>0</v>
      </c>
    </row>
    <row r="41" spans="2:25" x14ac:dyDescent="0.2">
      <c r="B41" s="224" t="s">
        <v>100</v>
      </c>
      <c r="C41" s="225">
        <f>-D143</f>
        <v>-11929.4696</v>
      </c>
      <c r="D41" s="225">
        <f>SUM(K41:T41)</f>
        <v>-1539739.5940174214</v>
      </c>
      <c r="E41" s="207"/>
      <c r="F41" s="205"/>
      <c r="G41" s="205"/>
      <c r="H41" s="205"/>
      <c r="I41" s="224" t="s">
        <v>100</v>
      </c>
      <c r="J41" s="225">
        <f>SUM(K41:T41)</f>
        <v>-1539739.5940174214</v>
      </c>
      <c r="K41" s="225">
        <f t="shared" ref="K41:T41" si="28">N143</f>
        <v>0</v>
      </c>
      <c r="L41" s="225">
        <f t="shared" si="28"/>
        <v>0</v>
      </c>
      <c r="M41" s="225">
        <f t="shared" si="28"/>
        <v>0</v>
      </c>
      <c r="N41" s="225">
        <f t="shared" si="28"/>
        <v>0</v>
      </c>
      <c r="O41" s="225">
        <f t="shared" si="28"/>
        <v>0</v>
      </c>
      <c r="P41" s="225">
        <f>S143</f>
        <v>-148210.67910291351</v>
      </c>
      <c r="Q41" s="225">
        <f t="shared" si="28"/>
        <v>0</v>
      </c>
      <c r="R41" s="225">
        <f t="shared" si="28"/>
        <v>-73249.365249684444</v>
      </c>
      <c r="S41" s="225">
        <f t="shared" si="28"/>
        <v>0</v>
      </c>
      <c r="T41" s="225">
        <f t="shared" si="28"/>
        <v>-1318279.5496648233</v>
      </c>
    </row>
    <row r="42" spans="2:25" x14ac:dyDescent="0.2">
      <c r="B42" s="215"/>
      <c r="C42" s="216"/>
      <c r="D42" s="216"/>
      <c r="E42" s="216"/>
      <c r="F42" s="216"/>
      <c r="G42" s="205"/>
      <c r="H42" s="205"/>
      <c r="I42" s="215"/>
      <c r="J42" s="215"/>
      <c r="K42" s="216"/>
      <c r="L42" s="216"/>
      <c r="M42" s="205"/>
      <c r="N42" s="205"/>
      <c r="O42" s="205"/>
      <c r="P42" s="226"/>
      <c r="Q42" s="226"/>
      <c r="R42" s="226"/>
      <c r="S42" s="226"/>
      <c r="T42" s="226"/>
    </row>
    <row r="43" spans="2:25" x14ac:dyDescent="0.2">
      <c r="B43" s="227" t="s">
        <v>171</v>
      </c>
      <c r="C43" s="228">
        <f>D36+D40+D41</f>
        <v>156815.6943088884</v>
      </c>
      <c r="D43" s="229"/>
      <c r="E43" s="205"/>
      <c r="F43" s="205"/>
      <c r="G43" s="205"/>
      <c r="H43" s="205"/>
      <c r="I43" s="227" t="s">
        <v>171</v>
      </c>
      <c r="J43" s="228">
        <f>SUM(K43:T43)</f>
        <v>156815.69430888863</v>
      </c>
      <c r="K43" s="228">
        <f t="shared" ref="K43:T43" si="29">K36+K40+K41</f>
        <v>0</v>
      </c>
      <c r="L43" s="228">
        <f t="shared" si="29"/>
        <v>0</v>
      </c>
      <c r="M43" s="228">
        <f t="shared" si="29"/>
        <v>-1333329.1991858121</v>
      </c>
      <c r="N43" s="228">
        <f t="shared" si="29"/>
        <v>450438.47313234024</v>
      </c>
      <c r="O43" s="228">
        <f t="shared" si="29"/>
        <v>224434.76617563923</v>
      </c>
      <c r="P43" s="228">
        <f t="shared" si="29"/>
        <v>713776.48689946521</v>
      </c>
      <c r="Q43" s="228">
        <f t="shared" si="29"/>
        <v>1067347.4235894277</v>
      </c>
      <c r="R43" s="228">
        <f t="shared" si="29"/>
        <v>182126.67888829869</v>
      </c>
      <c r="S43" s="228">
        <f t="shared" si="29"/>
        <v>169759.97739101973</v>
      </c>
      <c r="T43" s="228">
        <f t="shared" si="29"/>
        <v>-1317738.9125814901</v>
      </c>
    </row>
    <row r="44" spans="2:25" x14ac:dyDescent="0.2">
      <c r="B44" s="230" t="s">
        <v>358</v>
      </c>
      <c r="C44" s="231">
        <v>158609</v>
      </c>
      <c r="D44" s="220"/>
      <c r="E44" s="216"/>
      <c r="F44" s="216"/>
      <c r="G44" s="216"/>
      <c r="H44" s="232" t="s">
        <v>139</v>
      </c>
      <c r="I44" s="213" t="s">
        <v>98</v>
      </c>
      <c r="J44" s="214">
        <f>J43*$C$31</f>
        <v>940894.1658533318</v>
      </c>
      <c r="K44" s="214">
        <f t="shared" ref="K44:L44" si="30">SUM(K39:K43)</f>
        <v>0</v>
      </c>
      <c r="L44" s="214">
        <f t="shared" si="30"/>
        <v>0</v>
      </c>
      <c r="M44" s="214">
        <f t="shared" ref="M44:T44" si="31">M43*$C$31</f>
        <v>-7999975.1951148733</v>
      </c>
      <c r="N44" s="214">
        <f t="shared" si="31"/>
        <v>2702630.8387940414</v>
      </c>
      <c r="O44" s="214">
        <f t="shared" si="31"/>
        <v>1346608.5970538354</v>
      </c>
      <c r="P44" s="214">
        <f t="shared" si="31"/>
        <v>4282658.921396791</v>
      </c>
      <c r="Q44" s="214">
        <f t="shared" si="31"/>
        <v>6404084.5415365659</v>
      </c>
      <c r="R44" s="214">
        <f t="shared" si="31"/>
        <v>1092760.0733297921</v>
      </c>
      <c r="S44" s="214">
        <f t="shared" si="31"/>
        <v>1018559.8643461184</v>
      </c>
      <c r="T44" s="214">
        <f t="shared" si="31"/>
        <v>-7906433.4754889403</v>
      </c>
    </row>
    <row r="45" spans="2:25" x14ac:dyDescent="0.2">
      <c r="B45" s="215"/>
      <c r="C45" s="216"/>
      <c r="D45" s="216"/>
      <c r="E45" s="216"/>
      <c r="F45" s="216"/>
      <c r="G45" s="216"/>
      <c r="H45" s="216"/>
      <c r="I45" s="230" t="s">
        <v>358</v>
      </c>
      <c r="J45" s="231">
        <v>951652</v>
      </c>
      <c r="K45" s="231">
        <v>0</v>
      </c>
      <c r="L45" s="231">
        <v>0</v>
      </c>
      <c r="M45" s="231">
        <v>-7999975</v>
      </c>
      <c r="N45" s="231">
        <v>2702631</v>
      </c>
      <c r="O45" s="231">
        <v>1346609</v>
      </c>
      <c r="P45" s="231">
        <v>3993597</v>
      </c>
      <c r="Q45" s="231">
        <v>6345607</v>
      </c>
      <c r="R45" s="231">
        <v>101150</v>
      </c>
      <c r="S45" s="231">
        <v>995169</v>
      </c>
      <c r="T45" s="231">
        <v>-7533136</v>
      </c>
      <c r="U45" s="28"/>
      <c r="V45" s="28"/>
      <c r="W45" s="28"/>
      <c r="X45" s="28"/>
    </row>
    <row r="46" spans="2:25" x14ac:dyDescent="0.2">
      <c r="B46" s="1"/>
      <c r="C46" s="28"/>
      <c r="D46" s="28"/>
      <c r="E46" s="28"/>
      <c r="F46" s="28"/>
      <c r="G46" s="28"/>
      <c r="H46" s="28"/>
      <c r="I46" s="200"/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8"/>
      <c r="V46" s="28"/>
      <c r="W46" s="28"/>
      <c r="X46" s="28"/>
    </row>
    <row r="47" spans="2:25" x14ac:dyDescent="0.2">
      <c r="B47" s="35" t="s">
        <v>150</v>
      </c>
      <c r="C47" s="37"/>
      <c r="D47" s="37"/>
      <c r="E47" s="37"/>
      <c r="F47" s="37"/>
      <c r="G47" s="37"/>
      <c r="H47" s="37"/>
      <c r="I47" s="36"/>
      <c r="N47" s="10"/>
      <c r="R47" s="10"/>
    </row>
    <row r="48" spans="2:25" x14ac:dyDescent="0.2">
      <c r="J48" s="26">
        <f>60 / 100 / 0.45359237</f>
        <v>1.3227735731092654</v>
      </c>
      <c r="R48" s="51"/>
    </row>
    <row r="49" spans="2:29" x14ac:dyDescent="0.2">
      <c r="B49" s="12" t="s">
        <v>16</v>
      </c>
      <c r="C49" s="12" t="s">
        <v>15</v>
      </c>
      <c r="D49" s="8" t="s">
        <v>14</v>
      </c>
      <c r="E49" s="8" t="s">
        <v>72</v>
      </c>
      <c r="F49" s="8" t="s">
        <v>73</v>
      </c>
      <c r="G49" s="8" t="s">
        <v>13</v>
      </c>
      <c r="H49" s="8" t="s">
        <v>22</v>
      </c>
      <c r="I49" s="8" t="s">
        <v>17</v>
      </c>
      <c r="J49" s="8" t="s">
        <v>18</v>
      </c>
      <c r="K49" s="8" t="s">
        <v>20</v>
      </c>
      <c r="L49" s="8" t="s">
        <v>21</v>
      </c>
      <c r="M49" s="27" t="s">
        <v>140</v>
      </c>
      <c r="N49" s="13">
        <v>45536</v>
      </c>
      <c r="O49" s="13">
        <v>45566</v>
      </c>
      <c r="P49" s="13">
        <v>45597</v>
      </c>
      <c r="Q49" s="13">
        <v>45627</v>
      </c>
      <c r="R49" s="13">
        <v>45658</v>
      </c>
      <c r="S49" s="13">
        <v>45689</v>
      </c>
      <c r="T49" s="13">
        <v>45717</v>
      </c>
      <c r="U49" s="13">
        <v>45748</v>
      </c>
      <c r="V49" s="13">
        <v>45778</v>
      </c>
      <c r="W49" s="27" t="s">
        <v>30</v>
      </c>
      <c r="X49" s="38"/>
      <c r="Y49" s="8" t="s">
        <v>97</v>
      </c>
      <c r="Z49" s="8" t="s">
        <v>18</v>
      </c>
      <c r="AA49" s="27" t="s">
        <v>141</v>
      </c>
      <c r="AB49" s="117" t="s">
        <v>146</v>
      </c>
    </row>
    <row r="50" spans="2:29" x14ac:dyDescent="0.2">
      <c r="B50" s="9" t="s">
        <v>1</v>
      </c>
      <c r="C50" s="10" t="s">
        <v>12</v>
      </c>
      <c r="D50" s="10">
        <v>320</v>
      </c>
      <c r="E50" s="10" t="s">
        <v>59</v>
      </c>
      <c r="F50" s="10" t="s">
        <v>76</v>
      </c>
      <c r="G50" s="10">
        <v>10</v>
      </c>
      <c r="H50" s="11">
        <v>251.05</v>
      </c>
      <c r="I50" s="11">
        <v>245</v>
      </c>
      <c r="J50" s="11">
        <f>(H50+G50)*$J$48</f>
        <v>345.31004126017376</v>
      </c>
      <c r="K50" s="49">
        <v>45564</v>
      </c>
      <c r="L50" s="10">
        <v>60</v>
      </c>
      <c r="M50" s="14">
        <f t="shared" ref="M50:M63" si="32">J50*D50</f>
        <v>110499.21320325561</v>
      </c>
      <c r="N50" s="14"/>
      <c r="O50" s="14"/>
      <c r="P50" s="14"/>
      <c r="Q50" s="14">
        <f>M50</f>
        <v>110499.21320325561</v>
      </c>
      <c r="R50" s="14"/>
      <c r="S50" s="14"/>
      <c r="T50" s="14"/>
      <c r="U50" s="14"/>
      <c r="V50" s="14"/>
      <c r="W50" s="14"/>
      <c r="X50" s="39"/>
      <c r="Y50" s="10" t="s">
        <v>144</v>
      </c>
      <c r="Z50" s="11">
        <f>IF(Y50="SIM",(I50+G50)*$J$48,J50)</f>
        <v>337.30726114286267</v>
      </c>
      <c r="AA50" s="14">
        <f t="shared" ref="AA50:AA63" si="33">Z50*D50</f>
        <v>107938.32356571605</v>
      </c>
      <c r="AB50" s="18">
        <f>(I50+G50)*$J$48-Z50</f>
        <v>0</v>
      </c>
    </row>
    <row r="51" spans="2:29" x14ac:dyDescent="0.2">
      <c r="B51" s="15" t="s">
        <v>1</v>
      </c>
      <c r="C51" s="19" t="s">
        <v>11</v>
      </c>
      <c r="D51" s="19">
        <v>320</v>
      </c>
      <c r="E51" s="19" t="s">
        <v>59</v>
      </c>
      <c r="F51" s="19" t="s">
        <v>76</v>
      </c>
      <c r="G51" s="19">
        <v>10</v>
      </c>
      <c r="H51" s="20">
        <v>251.05</v>
      </c>
      <c r="I51" s="20">
        <v>245</v>
      </c>
      <c r="J51" s="20">
        <f t="shared" ref="J51:J63" si="34">(H51+G51)*$J$48</f>
        <v>345.31004126017376</v>
      </c>
      <c r="K51" s="141">
        <v>45564</v>
      </c>
      <c r="L51" s="19">
        <v>60</v>
      </c>
      <c r="M51" s="16">
        <f t="shared" si="32"/>
        <v>110499.21320325561</v>
      </c>
      <c r="N51" s="16"/>
      <c r="O51" s="16"/>
      <c r="P51" s="16"/>
      <c r="Q51" s="16">
        <f>M51</f>
        <v>110499.21320325561</v>
      </c>
      <c r="R51" s="16"/>
      <c r="S51" s="16"/>
      <c r="T51" s="16"/>
      <c r="U51" s="16"/>
      <c r="V51" s="16"/>
      <c r="W51" s="16"/>
      <c r="X51" s="39"/>
      <c r="Y51" s="19" t="s">
        <v>144</v>
      </c>
      <c r="Z51" s="20">
        <f t="shared" ref="Z51:Z63" si="35">IF(Y51="SIM",(I51+G51)*$J$48,J51)</f>
        <v>337.30726114286267</v>
      </c>
      <c r="AA51" s="16">
        <f t="shared" si="33"/>
        <v>107938.32356571605</v>
      </c>
      <c r="AB51" s="18">
        <f t="shared" ref="AB51:AB63" si="36">(I51+G51)*$J$48-Z51</f>
        <v>0</v>
      </c>
    </row>
    <row r="52" spans="2:29" x14ac:dyDescent="0.2">
      <c r="B52" s="9" t="s">
        <v>1</v>
      </c>
      <c r="C52" s="10" t="s">
        <v>10</v>
      </c>
      <c r="D52" s="10">
        <v>320</v>
      </c>
      <c r="E52" s="10" t="s">
        <v>59</v>
      </c>
      <c r="F52" s="10" t="s">
        <v>77</v>
      </c>
      <c r="G52" s="10">
        <v>10</v>
      </c>
      <c r="H52" s="11">
        <v>251.05</v>
      </c>
      <c r="I52" s="11">
        <v>231.1</v>
      </c>
      <c r="J52" s="11">
        <f t="shared" si="34"/>
        <v>345.31004126017376</v>
      </c>
      <c r="K52" s="49">
        <v>45564</v>
      </c>
      <c r="L52" s="10">
        <v>60</v>
      </c>
      <c r="M52" s="14">
        <f t="shared" si="32"/>
        <v>110499.21320325561</v>
      </c>
      <c r="N52" s="14"/>
      <c r="O52" s="14"/>
      <c r="P52" s="14"/>
      <c r="Q52" s="14">
        <f>M52</f>
        <v>110499.21320325561</v>
      </c>
      <c r="R52" s="14"/>
      <c r="S52" s="14"/>
      <c r="T52" s="14"/>
      <c r="U52" s="14"/>
      <c r="V52" s="14"/>
      <c r="W52" s="14"/>
      <c r="X52" s="39"/>
      <c r="Y52" s="10" t="s">
        <v>144</v>
      </c>
      <c r="Z52" s="11">
        <f t="shared" si="35"/>
        <v>318.92070847664388</v>
      </c>
      <c r="AA52" s="14">
        <f t="shared" si="33"/>
        <v>102054.62671252605</v>
      </c>
      <c r="AB52" s="18">
        <f t="shared" si="36"/>
        <v>0</v>
      </c>
    </row>
    <row r="53" spans="2:29" x14ac:dyDescent="0.2">
      <c r="B53" s="15" t="s">
        <v>1</v>
      </c>
      <c r="C53" s="19" t="s">
        <v>5</v>
      </c>
      <c r="D53" s="19">
        <v>160</v>
      </c>
      <c r="E53" s="19" t="s">
        <v>59</v>
      </c>
      <c r="F53" s="19" t="s">
        <v>78</v>
      </c>
      <c r="G53" s="19">
        <v>25</v>
      </c>
      <c r="H53" s="20">
        <v>280.75</v>
      </c>
      <c r="I53" s="20">
        <v>243.16</v>
      </c>
      <c r="J53" s="20">
        <f t="shared" si="34"/>
        <v>404.43801997815785</v>
      </c>
      <c r="K53" s="141">
        <v>45599</v>
      </c>
      <c r="L53" s="19">
        <v>90</v>
      </c>
      <c r="M53" s="16">
        <f t="shared" si="32"/>
        <v>64710.083196505257</v>
      </c>
      <c r="N53" s="16"/>
      <c r="O53" s="16"/>
      <c r="P53" s="16"/>
      <c r="Q53" s="16"/>
      <c r="R53" s="16"/>
      <c r="S53" s="16">
        <f>M53</f>
        <v>64710.083196505257</v>
      </c>
      <c r="T53" s="16"/>
      <c r="U53" s="16"/>
      <c r="V53" s="16"/>
      <c r="W53" s="16"/>
      <c r="X53" s="39"/>
      <c r="Y53" s="19" t="s">
        <v>144</v>
      </c>
      <c r="Z53" s="20">
        <f t="shared" si="35"/>
        <v>354.71496136498058</v>
      </c>
      <c r="AA53" s="16">
        <f t="shared" si="33"/>
        <v>56754.393818396893</v>
      </c>
      <c r="AB53" s="18">
        <f t="shared" si="36"/>
        <v>0</v>
      </c>
    </row>
    <row r="54" spans="2:29" x14ac:dyDescent="0.2">
      <c r="B54" s="9" t="s">
        <v>1</v>
      </c>
      <c r="C54" s="10" t="s">
        <v>4</v>
      </c>
      <c r="D54" s="10">
        <v>160</v>
      </c>
      <c r="E54" s="10" t="s">
        <v>60</v>
      </c>
      <c r="F54" s="10" t="s">
        <v>79</v>
      </c>
      <c r="G54" s="10">
        <v>-8</v>
      </c>
      <c r="H54" s="11">
        <v>280.75</v>
      </c>
      <c r="I54" s="11">
        <v>243.16</v>
      </c>
      <c r="J54" s="11">
        <f t="shared" si="34"/>
        <v>360.78649206555212</v>
      </c>
      <c r="K54" s="49">
        <v>45599</v>
      </c>
      <c r="L54" s="10">
        <v>60</v>
      </c>
      <c r="M54" s="14">
        <f t="shared" si="32"/>
        <v>57725.838730488336</v>
      </c>
      <c r="N54" s="14"/>
      <c r="O54" s="14"/>
      <c r="P54" s="14"/>
      <c r="Q54" s="14"/>
      <c r="R54" s="14">
        <f>M54</f>
        <v>57725.838730488336</v>
      </c>
      <c r="S54" s="14"/>
      <c r="T54" s="14"/>
      <c r="U54" s="14"/>
      <c r="V54" s="14"/>
      <c r="W54" s="14"/>
      <c r="X54" s="39"/>
      <c r="Y54" s="10" t="s">
        <v>144</v>
      </c>
      <c r="Z54" s="11">
        <f t="shared" si="35"/>
        <v>311.06343345237485</v>
      </c>
      <c r="AA54" s="14">
        <f t="shared" si="33"/>
        <v>49770.149352379973</v>
      </c>
      <c r="AB54" s="18">
        <f t="shared" si="36"/>
        <v>0</v>
      </c>
      <c r="AC54" s="34"/>
    </row>
    <row r="55" spans="2:29" x14ac:dyDescent="0.2">
      <c r="B55" s="15" t="s">
        <v>1</v>
      </c>
      <c r="C55" s="19" t="s">
        <v>9</v>
      </c>
      <c r="D55" s="19">
        <v>320</v>
      </c>
      <c r="E55" s="19" t="s">
        <v>59</v>
      </c>
      <c r="F55" s="19" t="s">
        <v>79</v>
      </c>
      <c r="G55" s="19">
        <v>10</v>
      </c>
      <c r="H55" s="20">
        <v>323.25</v>
      </c>
      <c r="I55" s="20">
        <v>240.91</v>
      </c>
      <c r="J55" s="20">
        <f t="shared" si="34"/>
        <v>440.81429323866269</v>
      </c>
      <c r="K55" s="141">
        <v>45630</v>
      </c>
      <c r="L55" s="19">
        <v>60</v>
      </c>
      <c r="M55" s="16">
        <f>J55*D55</f>
        <v>141060.57383637206</v>
      </c>
      <c r="N55" s="16"/>
      <c r="O55" s="16"/>
      <c r="P55" s="16"/>
      <c r="Q55" s="16"/>
      <c r="R55" s="16"/>
      <c r="S55" s="16">
        <f>M55</f>
        <v>141060.57383637206</v>
      </c>
      <c r="T55" s="16"/>
      <c r="U55" s="16"/>
      <c r="V55" s="16"/>
      <c r="W55" s="16"/>
      <c r="X55" s="39"/>
      <c r="Y55" s="19" t="s">
        <v>144</v>
      </c>
      <c r="Z55" s="20">
        <f t="shared" si="35"/>
        <v>331.89711722884579</v>
      </c>
      <c r="AA55" s="16">
        <f t="shared" si="33"/>
        <v>106207.07751323064</v>
      </c>
      <c r="AB55" s="18">
        <f t="shared" si="36"/>
        <v>0</v>
      </c>
    </row>
    <row r="56" spans="2:29" x14ac:dyDescent="0.2">
      <c r="B56" s="9" t="s">
        <v>1</v>
      </c>
      <c r="C56" s="10" t="s">
        <v>8</v>
      </c>
      <c r="D56" s="10">
        <v>320</v>
      </c>
      <c r="E56" s="10" t="s">
        <v>59</v>
      </c>
      <c r="F56" s="10" t="s">
        <v>80</v>
      </c>
      <c r="G56" s="10">
        <v>50</v>
      </c>
      <c r="H56" s="11">
        <v>323.25</v>
      </c>
      <c r="I56" s="11">
        <v>240.91</v>
      </c>
      <c r="J56" s="11">
        <f t="shared" si="34"/>
        <v>493.72523616303329</v>
      </c>
      <c r="K56" s="49">
        <f>K55</f>
        <v>45630</v>
      </c>
      <c r="L56" s="10">
        <v>90</v>
      </c>
      <c r="M56" s="14">
        <f>J56*D56</f>
        <v>157992.07557217067</v>
      </c>
      <c r="N56" s="14"/>
      <c r="O56" s="14"/>
      <c r="P56" s="14"/>
      <c r="Q56" s="14"/>
      <c r="R56" s="14"/>
      <c r="S56" s="14"/>
      <c r="T56" s="14">
        <f>M56</f>
        <v>157992.07557217067</v>
      </c>
      <c r="U56" s="14"/>
      <c r="V56" s="14"/>
      <c r="W56" s="14"/>
      <c r="X56" s="39"/>
      <c r="Y56" s="10" t="s">
        <v>144</v>
      </c>
      <c r="Z56" s="11">
        <f t="shared" si="35"/>
        <v>384.80806015321633</v>
      </c>
      <c r="AA56" s="14">
        <f t="shared" si="33"/>
        <v>123138.57924902922</v>
      </c>
      <c r="AB56" s="18">
        <f t="shared" si="36"/>
        <v>0</v>
      </c>
    </row>
    <row r="57" spans="2:29" x14ac:dyDescent="0.2">
      <c r="B57" s="15" t="s">
        <v>1</v>
      </c>
      <c r="C57" s="19" t="s">
        <v>7</v>
      </c>
      <c r="D57" s="19">
        <v>320</v>
      </c>
      <c r="E57" s="19" t="s">
        <v>60</v>
      </c>
      <c r="F57" s="19" t="s">
        <v>81</v>
      </c>
      <c r="G57" s="19">
        <v>-8</v>
      </c>
      <c r="H57" s="20">
        <v>323.25</v>
      </c>
      <c r="I57" s="20">
        <v>240.91</v>
      </c>
      <c r="J57" s="20">
        <f t="shared" si="34"/>
        <v>417.0043689226959</v>
      </c>
      <c r="K57" s="141">
        <f>K56</f>
        <v>45630</v>
      </c>
      <c r="L57" s="19">
        <v>90</v>
      </c>
      <c r="M57" s="16">
        <f>J57*D57</f>
        <v>133441.39805526269</v>
      </c>
      <c r="N57" s="16"/>
      <c r="O57" s="16"/>
      <c r="P57" s="16"/>
      <c r="Q57" s="16"/>
      <c r="R57" s="16"/>
      <c r="S57" s="16"/>
      <c r="T57" s="16">
        <f>M57</f>
        <v>133441.39805526269</v>
      </c>
      <c r="U57" s="16"/>
      <c r="V57" s="16"/>
      <c r="W57" s="16"/>
      <c r="X57" s="39"/>
      <c r="Y57" s="19" t="s">
        <v>144</v>
      </c>
      <c r="Z57" s="20">
        <f t="shared" si="35"/>
        <v>308.087192912879</v>
      </c>
      <c r="AA57" s="16">
        <f t="shared" si="33"/>
        <v>98587.901732121274</v>
      </c>
      <c r="AB57" s="18">
        <f t="shared" si="36"/>
        <v>0</v>
      </c>
    </row>
    <row r="58" spans="2:29" x14ac:dyDescent="0.2">
      <c r="B58" s="9" t="s">
        <v>1</v>
      </c>
      <c r="C58" s="10" t="s">
        <v>5</v>
      </c>
      <c r="D58" s="10">
        <v>160</v>
      </c>
      <c r="E58" s="10" t="s">
        <v>59</v>
      </c>
      <c r="F58" s="10" t="s">
        <v>78</v>
      </c>
      <c r="G58" s="10">
        <v>25</v>
      </c>
      <c r="H58" s="11">
        <f>C5</f>
        <v>328.35</v>
      </c>
      <c r="I58" s="11">
        <f>I53</f>
        <v>243.16</v>
      </c>
      <c r="J58" s="11">
        <f t="shared" si="34"/>
        <v>467.40204205815894</v>
      </c>
      <c r="K58" s="44">
        <v>45687</v>
      </c>
      <c r="L58" s="10">
        <v>90</v>
      </c>
      <c r="M58" s="14">
        <f t="shared" si="32"/>
        <v>74784.326729305438</v>
      </c>
      <c r="N58" s="14"/>
      <c r="O58" s="14"/>
      <c r="P58" s="14"/>
      <c r="Q58" s="14"/>
      <c r="R58" s="14"/>
      <c r="S58" s="14"/>
      <c r="T58" s="14"/>
      <c r="U58" s="14">
        <f>M58</f>
        <v>74784.326729305438</v>
      </c>
      <c r="V58" s="14"/>
      <c r="W58" s="14"/>
      <c r="X58" s="39"/>
      <c r="Y58" s="10" t="s">
        <v>144</v>
      </c>
      <c r="Z58" s="11">
        <f t="shared" si="35"/>
        <v>354.71496136498058</v>
      </c>
      <c r="AA58" s="14">
        <f t="shared" si="33"/>
        <v>56754.393818396893</v>
      </c>
      <c r="AB58" s="18">
        <f t="shared" si="36"/>
        <v>0</v>
      </c>
    </row>
    <row r="59" spans="2:29" x14ac:dyDescent="0.2">
      <c r="B59" s="15" t="s">
        <v>1</v>
      </c>
      <c r="C59" s="19" t="s">
        <v>4</v>
      </c>
      <c r="D59" s="19">
        <v>160</v>
      </c>
      <c r="E59" s="19" t="s">
        <v>59</v>
      </c>
      <c r="F59" s="19" t="s">
        <v>79</v>
      </c>
      <c r="G59" s="19">
        <v>-8</v>
      </c>
      <c r="H59" s="20">
        <f>C5</f>
        <v>328.35</v>
      </c>
      <c r="I59" s="20">
        <f>I54</f>
        <v>243.16</v>
      </c>
      <c r="J59" s="20">
        <f t="shared" si="34"/>
        <v>423.75051414555321</v>
      </c>
      <c r="K59" s="45">
        <v>45687</v>
      </c>
      <c r="L59" s="19">
        <v>60</v>
      </c>
      <c r="M59" s="16">
        <f t="shared" si="32"/>
        <v>67800.08226328851</v>
      </c>
      <c r="N59" s="16"/>
      <c r="O59" s="16"/>
      <c r="P59" s="16"/>
      <c r="Q59" s="16"/>
      <c r="R59" s="16"/>
      <c r="S59" s="16"/>
      <c r="T59" s="16">
        <f>M59</f>
        <v>67800.08226328851</v>
      </c>
      <c r="U59" s="16"/>
      <c r="V59" s="16"/>
      <c r="W59" s="16"/>
      <c r="X59" s="39"/>
      <c r="Y59" s="19" t="s">
        <v>144</v>
      </c>
      <c r="Z59" s="20">
        <f t="shared" si="35"/>
        <v>311.06343345237485</v>
      </c>
      <c r="AA59" s="16">
        <f t="shared" si="33"/>
        <v>49770.149352379973</v>
      </c>
      <c r="AB59" s="18">
        <f t="shared" si="36"/>
        <v>0</v>
      </c>
    </row>
    <row r="60" spans="2:29" x14ac:dyDescent="0.2">
      <c r="B60" s="9" t="s">
        <v>1</v>
      </c>
      <c r="C60" s="10" t="s">
        <v>6</v>
      </c>
      <c r="D60" s="10">
        <v>320</v>
      </c>
      <c r="E60" s="10" t="s">
        <v>59</v>
      </c>
      <c r="F60" s="10" t="s">
        <v>79</v>
      </c>
      <c r="G60" s="10">
        <v>10</v>
      </c>
      <c r="H60" s="11">
        <f>C5</f>
        <v>328.35</v>
      </c>
      <c r="I60" s="11">
        <v>240.91</v>
      </c>
      <c r="J60" s="11">
        <f t="shared" si="34"/>
        <v>447.56043846151994</v>
      </c>
      <c r="K60" s="44">
        <v>45687</v>
      </c>
      <c r="L60" s="10">
        <v>60</v>
      </c>
      <c r="M60" s="14">
        <f t="shared" si="32"/>
        <v>143219.34030768639</v>
      </c>
      <c r="N60" s="14"/>
      <c r="O60" s="14"/>
      <c r="P60" s="14"/>
      <c r="Q60" s="14"/>
      <c r="R60" s="14"/>
      <c r="S60" s="14"/>
      <c r="T60" s="14">
        <f>M60</f>
        <v>143219.34030768639</v>
      </c>
      <c r="U60" s="14"/>
      <c r="V60" s="14"/>
      <c r="W60" s="14"/>
      <c r="X60" s="39"/>
      <c r="Y60" s="10" t="s">
        <v>144</v>
      </c>
      <c r="Z60" s="11">
        <f t="shared" si="35"/>
        <v>331.89711722884579</v>
      </c>
      <c r="AA60" s="14">
        <f t="shared" si="33"/>
        <v>106207.07751323064</v>
      </c>
      <c r="AB60" s="18">
        <f t="shared" si="36"/>
        <v>0</v>
      </c>
    </row>
    <row r="61" spans="2:29" x14ac:dyDescent="0.2">
      <c r="B61" s="15" t="s">
        <v>1</v>
      </c>
      <c r="C61" s="19" t="s">
        <v>3</v>
      </c>
      <c r="D61" s="19">
        <v>320</v>
      </c>
      <c r="E61" s="19" t="s">
        <v>59</v>
      </c>
      <c r="F61" s="19" t="s">
        <v>77</v>
      </c>
      <c r="G61" s="19">
        <v>10</v>
      </c>
      <c r="H61" s="20">
        <f>C5</f>
        <v>328.35</v>
      </c>
      <c r="I61" s="20">
        <v>240.91</v>
      </c>
      <c r="J61" s="20">
        <f t="shared" si="34"/>
        <v>447.56043846151994</v>
      </c>
      <c r="K61" s="45">
        <v>45687</v>
      </c>
      <c r="L61" s="19">
        <v>60</v>
      </c>
      <c r="M61" s="16">
        <f t="shared" si="32"/>
        <v>143219.34030768639</v>
      </c>
      <c r="N61" s="16"/>
      <c r="O61" s="16"/>
      <c r="P61" s="16"/>
      <c r="Q61" s="16"/>
      <c r="R61" s="16"/>
      <c r="S61" s="16"/>
      <c r="T61" s="16">
        <f>M61</f>
        <v>143219.34030768639</v>
      </c>
      <c r="U61" s="16"/>
      <c r="V61" s="16"/>
      <c r="W61" s="16"/>
      <c r="X61" s="39"/>
      <c r="Y61" s="19" t="s">
        <v>144</v>
      </c>
      <c r="Z61" s="20">
        <f t="shared" si="35"/>
        <v>331.89711722884579</v>
      </c>
      <c r="AA61" s="16">
        <f t="shared" si="33"/>
        <v>106207.07751323064</v>
      </c>
      <c r="AB61" s="18">
        <f t="shared" si="36"/>
        <v>0</v>
      </c>
    </row>
    <row r="62" spans="2:29" x14ac:dyDescent="0.2">
      <c r="B62" s="9" t="s">
        <v>1</v>
      </c>
      <c r="C62" s="10" t="s">
        <v>2</v>
      </c>
      <c r="D62" s="10">
        <v>320</v>
      </c>
      <c r="E62" s="10" t="s">
        <v>64</v>
      </c>
      <c r="F62" s="10" t="s">
        <v>81</v>
      </c>
      <c r="G62" s="10">
        <v>-28</v>
      </c>
      <c r="H62" s="11">
        <f>C5</f>
        <v>328.35</v>
      </c>
      <c r="I62" s="11">
        <v>238.17</v>
      </c>
      <c r="J62" s="11">
        <f t="shared" si="34"/>
        <v>397.29504268336785</v>
      </c>
      <c r="K62" s="44">
        <v>45716</v>
      </c>
      <c r="L62" s="10">
        <v>60</v>
      </c>
      <c r="M62" s="14">
        <f t="shared" si="32"/>
        <v>127134.41365867772</v>
      </c>
      <c r="N62" s="14"/>
      <c r="O62" s="14"/>
      <c r="P62" s="14"/>
      <c r="Q62" s="14"/>
      <c r="R62" s="14"/>
      <c r="S62" s="14"/>
      <c r="T62" s="14"/>
      <c r="U62" s="14">
        <f>M62</f>
        <v>127134.41365867772</v>
      </c>
      <c r="V62" s="14"/>
      <c r="W62" s="14"/>
      <c r="X62" s="39"/>
      <c r="Y62" s="10" t="s">
        <v>144</v>
      </c>
      <c r="Z62" s="11">
        <f t="shared" si="35"/>
        <v>278.0073218603743</v>
      </c>
      <c r="AA62" s="14">
        <f t="shared" si="33"/>
        <v>88962.342995319777</v>
      </c>
      <c r="AB62" s="18">
        <f t="shared" si="36"/>
        <v>0</v>
      </c>
    </row>
    <row r="63" spans="2:29" x14ac:dyDescent="0.2">
      <c r="B63" s="15" t="s">
        <v>1</v>
      </c>
      <c r="C63" s="19" t="s">
        <v>0</v>
      </c>
      <c r="D63" s="19">
        <v>320</v>
      </c>
      <c r="E63" s="19" t="s">
        <v>59</v>
      </c>
      <c r="F63" s="19" t="s">
        <v>79</v>
      </c>
      <c r="G63" s="19">
        <v>10</v>
      </c>
      <c r="H63" s="20">
        <f>C5</f>
        <v>328.35</v>
      </c>
      <c r="I63" s="20">
        <v>238.17</v>
      </c>
      <c r="J63" s="20">
        <f t="shared" si="34"/>
        <v>447.56043846151994</v>
      </c>
      <c r="K63" s="45">
        <v>45746</v>
      </c>
      <c r="L63" s="19">
        <v>60</v>
      </c>
      <c r="M63" s="16">
        <f t="shared" si="32"/>
        <v>143219.34030768639</v>
      </c>
      <c r="N63" s="16"/>
      <c r="O63" s="16"/>
      <c r="P63" s="16"/>
      <c r="Q63" s="16"/>
      <c r="R63" s="16"/>
      <c r="S63" s="16"/>
      <c r="T63" s="16"/>
      <c r="U63" s="16"/>
      <c r="V63" s="16">
        <f>M63</f>
        <v>143219.34030768639</v>
      </c>
      <c r="W63" s="16"/>
      <c r="X63" s="39"/>
      <c r="Y63" s="19" t="s">
        <v>144</v>
      </c>
      <c r="Z63" s="20">
        <f t="shared" si="35"/>
        <v>328.27271763852639</v>
      </c>
      <c r="AA63" s="16">
        <f t="shared" si="33"/>
        <v>105047.26964432845</v>
      </c>
      <c r="AB63" s="18">
        <f t="shared" si="36"/>
        <v>0</v>
      </c>
    </row>
    <row r="64" spans="2:29" x14ac:dyDescent="0.2">
      <c r="B64" s="3" t="s">
        <v>33</v>
      </c>
      <c r="C64" s="3"/>
      <c r="D64" s="5">
        <f>SUM(D50:D63)</f>
        <v>3840</v>
      </c>
      <c r="E64" s="5"/>
      <c r="F64" s="5"/>
      <c r="G64" s="3"/>
      <c r="H64" s="3"/>
      <c r="I64" s="3"/>
      <c r="J64" s="3"/>
      <c r="K64" s="46"/>
      <c r="L64" s="3"/>
      <c r="M64" s="7">
        <f t="shared" ref="M64:W64" si="37">SUM(M50:M63)</f>
        <v>1585804.4525748971</v>
      </c>
      <c r="N64" s="7">
        <f t="shared" ref="N64:S64" si="38">SUM(N50:N63)</f>
        <v>0</v>
      </c>
      <c r="O64" s="7">
        <f t="shared" si="38"/>
        <v>0</v>
      </c>
      <c r="P64" s="7">
        <f t="shared" si="38"/>
        <v>0</v>
      </c>
      <c r="Q64" s="7">
        <f>SUM(Q50:Q63)</f>
        <v>331497.63960976683</v>
      </c>
      <c r="R64" s="7">
        <f t="shared" si="38"/>
        <v>57725.838730488336</v>
      </c>
      <c r="S64" s="7">
        <f t="shared" si="38"/>
        <v>205770.65703287732</v>
      </c>
      <c r="T64" s="7">
        <f t="shared" si="37"/>
        <v>645672.23650609457</v>
      </c>
      <c r="U64" s="7">
        <f t="shared" si="37"/>
        <v>201918.74038798315</v>
      </c>
      <c r="V64" s="7">
        <f t="shared" si="37"/>
        <v>143219.34030768639</v>
      </c>
      <c r="W64" s="7">
        <f t="shared" si="37"/>
        <v>0</v>
      </c>
      <c r="X64" s="39"/>
      <c r="Y64" s="3"/>
      <c r="Z64" s="3"/>
      <c r="AA64" s="7">
        <f>SUM(AA50:AA63)</f>
        <v>1265337.6863460024</v>
      </c>
    </row>
    <row r="65" spans="2:28" x14ac:dyDescent="0.2">
      <c r="B65" s="1"/>
      <c r="C65" s="1"/>
      <c r="D65" s="6"/>
      <c r="E65" s="6"/>
      <c r="F65" s="6"/>
      <c r="G65" s="1"/>
      <c r="H65" s="1"/>
      <c r="I65" s="1"/>
      <c r="J65" s="1"/>
      <c r="K65" s="47"/>
      <c r="L65" s="1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39"/>
      <c r="Y65" s="1"/>
      <c r="Z65" s="1"/>
    </row>
    <row r="66" spans="2:28" x14ac:dyDescent="0.2">
      <c r="B66" s="9" t="s">
        <v>24</v>
      </c>
      <c r="C66" s="10" t="s">
        <v>25</v>
      </c>
      <c r="D66" s="10">
        <v>320</v>
      </c>
      <c r="E66" s="10" t="s">
        <v>59</v>
      </c>
      <c r="F66" s="10" t="s">
        <v>79</v>
      </c>
      <c r="G66" s="10">
        <v>0</v>
      </c>
      <c r="H66" s="11"/>
      <c r="I66" s="11">
        <v>243.16</v>
      </c>
      <c r="J66" s="11">
        <v>325</v>
      </c>
      <c r="K66" s="49">
        <v>45671</v>
      </c>
      <c r="L66" s="10" t="s">
        <v>27</v>
      </c>
      <c r="M66" s="14">
        <f>J66*D66</f>
        <v>104000</v>
      </c>
      <c r="N66" s="14"/>
      <c r="O66" s="14"/>
      <c r="P66" s="14"/>
      <c r="R66" s="14">
        <f>M66/4</f>
        <v>26000</v>
      </c>
      <c r="S66" s="14">
        <f>R66</f>
        <v>26000</v>
      </c>
      <c r="T66" s="14">
        <f>S66</f>
        <v>26000</v>
      </c>
      <c r="U66" s="14">
        <f>T66</f>
        <v>26000</v>
      </c>
      <c r="V66" s="14"/>
      <c r="W66" s="14"/>
      <c r="X66" s="39"/>
      <c r="Y66" s="10" t="s">
        <v>144</v>
      </c>
      <c r="Z66" s="11">
        <f>IF(Y66="SIM",(I66+G66)*$J$48,J66)</f>
        <v>321.64562203724898</v>
      </c>
      <c r="AA66" s="14">
        <f>Z66*D66</f>
        <v>102926.59905191968</v>
      </c>
      <c r="AB66" s="18">
        <f>(I66+G66)*$J$48-Z66</f>
        <v>0</v>
      </c>
    </row>
    <row r="67" spans="2:28" x14ac:dyDescent="0.2">
      <c r="B67" s="15" t="s">
        <v>24</v>
      </c>
      <c r="C67" s="19" t="s">
        <v>26</v>
      </c>
      <c r="D67" s="19">
        <v>320</v>
      </c>
      <c r="E67" s="19" t="s">
        <v>74</v>
      </c>
      <c r="F67" s="19" t="s">
        <v>74</v>
      </c>
      <c r="G67" s="19">
        <v>0</v>
      </c>
      <c r="H67" s="20"/>
      <c r="I67" s="20">
        <v>243.16</v>
      </c>
      <c r="J67" s="20">
        <v>325</v>
      </c>
      <c r="K67" s="45">
        <v>45687</v>
      </c>
      <c r="L67" s="19" t="s">
        <v>27</v>
      </c>
      <c r="M67" s="16">
        <f>J67*D67</f>
        <v>104000</v>
      </c>
      <c r="N67" s="16"/>
      <c r="O67" s="16"/>
      <c r="P67" s="16"/>
      <c r="Q67" s="16"/>
      <c r="R67" s="16"/>
      <c r="S67" s="16">
        <f>M67/4</f>
        <v>26000</v>
      </c>
      <c r="T67" s="16">
        <f>S67</f>
        <v>26000</v>
      </c>
      <c r="U67" s="16">
        <f>T67</f>
        <v>26000</v>
      </c>
      <c r="V67" s="16">
        <f>U67</f>
        <v>26000</v>
      </c>
      <c r="W67" s="16"/>
      <c r="X67" s="39"/>
      <c r="Y67" s="19" t="s">
        <v>144</v>
      </c>
      <c r="Z67" s="20">
        <f>IF(Y67="SIM",(I67+G67)*$J$48,J67)</f>
        <v>321.64562203724898</v>
      </c>
      <c r="AA67" s="16">
        <f>Z67*D67</f>
        <v>102926.59905191968</v>
      </c>
      <c r="AB67" s="18">
        <f>(I67+G67)*$J$48-Z67</f>
        <v>0</v>
      </c>
    </row>
    <row r="68" spans="2:28" x14ac:dyDescent="0.2">
      <c r="B68" s="3" t="s">
        <v>34</v>
      </c>
      <c r="C68" s="3"/>
      <c r="D68" s="5">
        <f>SUM(D66:D67)</f>
        <v>640</v>
      </c>
      <c r="E68" s="5"/>
      <c r="F68" s="5"/>
      <c r="G68" s="5"/>
      <c r="H68" s="5"/>
      <c r="I68" s="5"/>
      <c r="J68" s="5"/>
      <c r="K68" s="48"/>
      <c r="L68" s="5"/>
      <c r="M68" s="7">
        <f t="shared" ref="M68:W68" si="39">SUM(M66:M67)</f>
        <v>208000</v>
      </c>
      <c r="N68" s="7">
        <f t="shared" si="39"/>
        <v>0</v>
      </c>
      <c r="O68" s="7">
        <f t="shared" si="39"/>
        <v>0</v>
      </c>
      <c r="P68" s="7">
        <f t="shared" si="39"/>
        <v>0</v>
      </c>
      <c r="Q68" s="7">
        <f t="shared" si="39"/>
        <v>0</v>
      </c>
      <c r="R68" s="7">
        <f t="shared" si="39"/>
        <v>26000</v>
      </c>
      <c r="S68" s="7">
        <f t="shared" si="39"/>
        <v>52000</v>
      </c>
      <c r="T68" s="7">
        <f t="shared" si="39"/>
        <v>52000</v>
      </c>
      <c r="U68" s="7">
        <f>SUM(U66:U67)</f>
        <v>52000</v>
      </c>
      <c r="V68" s="7">
        <f t="shared" si="39"/>
        <v>26000</v>
      </c>
      <c r="W68" s="7">
        <f t="shared" si="39"/>
        <v>0</v>
      </c>
      <c r="X68" s="39"/>
      <c r="Y68" s="5"/>
      <c r="Z68" s="5"/>
      <c r="AA68" s="7">
        <f t="shared" ref="AA68" si="40">SUM(AA66:AA67)</f>
        <v>205853.19810383936</v>
      </c>
    </row>
    <row r="69" spans="2:28" x14ac:dyDescent="0.2">
      <c r="B69" s="1"/>
      <c r="C69" s="1"/>
      <c r="D69" s="6"/>
      <c r="E69" s="6"/>
      <c r="F69" s="6"/>
      <c r="G69" s="6"/>
      <c r="H69" s="6"/>
      <c r="I69" s="6"/>
      <c r="J69" s="6"/>
      <c r="K69" s="49"/>
      <c r="L69" s="6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39"/>
      <c r="Y69" s="6"/>
      <c r="Z69" s="6"/>
    </row>
    <row r="70" spans="2:28" x14ac:dyDescent="0.2">
      <c r="B70" s="9" t="s">
        <v>23</v>
      </c>
      <c r="C70" s="10" t="s">
        <v>28</v>
      </c>
      <c r="D70" s="10">
        <v>320</v>
      </c>
      <c r="E70" s="10" t="s">
        <v>59</v>
      </c>
      <c r="F70" s="10" t="s">
        <v>82</v>
      </c>
      <c r="G70" s="10">
        <v>25</v>
      </c>
      <c r="H70" s="11">
        <v>329</v>
      </c>
      <c r="I70" s="11">
        <f>H132</f>
        <v>293.60000000000002</v>
      </c>
      <c r="J70" s="11">
        <f t="shared" ref="J70" si="41">(H70+G70)*$J$48</f>
        <v>468.26184488067992</v>
      </c>
      <c r="K70" s="49">
        <v>45666</v>
      </c>
      <c r="L70" s="10" t="s">
        <v>145</v>
      </c>
      <c r="M70" s="14">
        <f>J70*D70</f>
        <v>149843.79036181758</v>
      </c>
      <c r="N70" s="14"/>
      <c r="O70" s="14"/>
      <c r="P70" s="14"/>
      <c r="Q70" s="14"/>
      <c r="R70" s="14">
        <f>M70</f>
        <v>149843.79036181758</v>
      </c>
      <c r="S70" s="14"/>
      <c r="T70" s="14"/>
      <c r="U70" s="14"/>
      <c r="V70" s="14"/>
      <c r="W70" s="14"/>
      <c r="X70" s="39"/>
      <c r="Y70" s="10" t="s">
        <v>144</v>
      </c>
      <c r="Z70" s="11">
        <f>IF(Y70="preço",(H70+G70)*$J$48,(I70+G70)*$J$48)</f>
        <v>421.43566039261196</v>
      </c>
      <c r="AA70" s="14">
        <f>Z70*D70</f>
        <v>134859.41132563583</v>
      </c>
      <c r="AB70" s="18">
        <f t="shared" ref="AB70" si="42">(I70+G70)*$J$48-Z70</f>
        <v>0</v>
      </c>
    </row>
    <row r="71" spans="2:28" x14ac:dyDescent="0.2">
      <c r="B71" s="3" t="s">
        <v>35</v>
      </c>
      <c r="C71" s="3"/>
      <c r="D71" s="5">
        <f>D70</f>
        <v>320</v>
      </c>
      <c r="E71" s="5"/>
      <c r="F71" s="5"/>
      <c r="G71" s="5"/>
      <c r="H71" s="5"/>
      <c r="I71" s="5"/>
      <c r="J71" s="5"/>
      <c r="K71" s="48"/>
      <c r="L71" s="5"/>
      <c r="M71" s="7">
        <f t="shared" ref="M71:W71" si="43">M70</f>
        <v>149843.79036181758</v>
      </c>
      <c r="N71" s="7">
        <f t="shared" si="43"/>
        <v>0</v>
      </c>
      <c r="O71" s="7">
        <f t="shared" si="43"/>
        <v>0</v>
      </c>
      <c r="P71" s="7">
        <f t="shared" si="43"/>
        <v>0</v>
      </c>
      <c r="Q71" s="7">
        <f t="shared" si="43"/>
        <v>0</v>
      </c>
      <c r="R71" s="7">
        <f t="shared" si="43"/>
        <v>149843.79036181758</v>
      </c>
      <c r="S71" s="7">
        <f t="shared" si="43"/>
        <v>0</v>
      </c>
      <c r="T71" s="7">
        <f t="shared" si="43"/>
        <v>0</v>
      </c>
      <c r="U71" s="7">
        <f t="shared" si="43"/>
        <v>0</v>
      </c>
      <c r="V71" s="7">
        <f t="shared" si="43"/>
        <v>0</v>
      </c>
      <c r="W71" s="7">
        <f t="shared" si="43"/>
        <v>0</v>
      </c>
      <c r="X71" s="39"/>
      <c r="Y71" s="5"/>
      <c r="Z71" s="7"/>
      <c r="AA71" s="7">
        <f>AA70</f>
        <v>134859.41132563583</v>
      </c>
    </row>
    <row r="72" spans="2:28" x14ac:dyDescent="0.2">
      <c r="B72" s="1"/>
      <c r="C72" s="1"/>
      <c r="D72" s="6"/>
      <c r="E72" s="6"/>
      <c r="F72" s="6"/>
      <c r="G72" s="6"/>
      <c r="H72" s="6"/>
      <c r="I72" s="6"/>
      <c r="J72" s="6"/>
      <c r="K72" s="49"/>
      <c r="L72" s="6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39"/>
      <c r="Y72" s="6"/>
      <c r="Z72" s="28"/>
      <c r="AA72" s="28"/>
    </row>
    <row r="73" spans="2:28" x14ac:dyDescent="0.2">
      <c r="B73" s="9" t="s">
        <v>93</v>
      </c>
      <c r="C73" s="54" t="s">
        <v>94</v>
      </c>
      <c r="D73" s="10">
        <v>320</v>
      </c>
      <c r="E73" s="10" t="s">
        <v>59</v>
      </c>
      <c r="F73" s="10" t="s">
        <v>81</v>
      </c>
      <c r="G73" s="10">
        <v>0</v>
      </c>
      <c r="H73" s="11"/>
      <c r="I73" s="11"/>
      <c r="J73" s="11">
        <v>413</v>
      </c>
      <c r="K73" s="44">
        <v>45681</v>
      </c>
      <c r="L73" s="10">
        <v>60</v>
      </c>
      <c r="M73" s="14">
        <f>J73*D73</f>
        <v>132160</v>
      </c>
      <c r="N73" s="14"/>
      <c r="O73" s="14"/>
      <c r="P73" s="14"/>
      <c r="Q73" s="14"/>
      <c r="R73" s="14"/>
      <c r="S73" s="14"/>
      <c r="T73" s="14">
        <f>M73</f>
        <v>132160</v>
      </c>
      <c r="U73" s="14"/>
      <c r="V73" s="14"/>
      <c r="W73" s="14"/>
      <c r="X73" s="39"/>
      <c r="Y73" s="10"/>
      <c r="Z73" s="14">
        <f>J73</f>
        <v>413</v>
      </c>
      <c r="AA73" s="14">
        <f>Z73*D73</f>
        <v>132160</v>
      </c>
      <c r="AB73" s="18"/>
    </row>
    <row r="74" spans="2:28" x14ac:dyDescent="0.2">
      <c r="B74" s="15" t="s">
        <v>93</v>
      </c>
      <c r="C74" s="19" t="s">
        <v>147</v>
      </c>
      <c r="D74" s="19">
        <v>320</v>
      </c>
      <c r="E74" s="19" t="s">
        <v>59</v>
      </c>
      <c r="F74" s="19" t="s">
        <v>81</v>
      </c>
      <c r="G74" s="19">
        <v>0</v>
      </c>
      <c r="H74" s="19"/>
      <c r="I74" s="19"/>
      <c r="J74" s="20">
        <v>450</v>
      </c>
      <c r="K74" s="45">
        <v>45681</v>
      </c>
      <c r="L74" s="19">
        <v>60</v>
      </c>
      <c r="M74" s="16">
        <f>J74*D74</f>
        <v>144000</v>
      </c>
      <c r="N74" s="16"/>
      <c r="O74" s="16"/>
      <c r="P74" s="16"/>
      <c r="Q74" s="16"/>
      <c r="R74" s="16"/>
      <c r="S74" s="16"/>
      <c r="T74" s="16">
        <f>M74</f>
        <v>144000</v>
      </c>
      <c r="U74" s="16"/>
      <c r="V74" s="16"/>
      <c r="W74" s="16"/>
      <c r="X74" s="39"/>
      <c r="Y74" s="19"/>
      <c r="Z74" s="16">
        <f>J74</f>
        <v>450</v>
      </c>
      <c r="AA74" s="16">
        <f>Z74*D74</f>
        <v>144000</v>
      </c>
      <c r="AB74" s="18"/>
    </row>
    <row r="75" spans="2:28" x14ac:dyDescent="0.2">
      <c r="B75" s="9" t="s">
        <v>93</v>
      </c>
      <c r="C75" s="54" t="s">
        <v>148</v>
      </c>
      <c r="D75" s="10">
        <v>223</v>
      </c>
      <c r="E75" s="10" t="s">
        <v>75</v>
      </c>
      <c r="F75" s="10" t="s">
        <v>74</v>
      </c>
      <c r="G75" s="10">
        <v>0</v>
      </c>
      <c r="H75" s="11"/>
      <c r="I75" s="11"/>
      <c r="J75" s="11">
        <v>409.35</v>
      </c>
      <c r="K75" s="44">
        <v>45681</v>
      </c>
      <c r="L75" s="10">
        <v>60</v>
      </c>
      <c r="M75" s="14">
        <f>J75*D75</f>
        <v>91285.05</v>
      </c>
      <c r="N75" s="14"/>
      <c r="O75" s="14"/>
      <c r="P75" s="14"/>
      <c r="Q75" s="14"/>
      <c r="R75" s="14"/>
      <c r="S75" s="14"/>
      <c r="T75" s="14">
        <f>M75</f>
        <v>91285.05</v>
      </c>
      <c r="U75" s="14"/>
      <c r="V75" s="14"/>
      <c r="W75" s="14"/>
      <c r="X75" s="39"/>
      <c r="Y75" s="10"/>
      <c r="Z75" s="14">
        <f>J75</f>
        <v>409.35</v>
      </c>
      <c r="AA75" s="14">
        <f>Z75*D75</f>
        <v>91285.05</v>
      </c>
      <c r="AB75" s="18"/>
    </row>
    <row r="76" spans="2:28" x14ac:dyDescent="0.2">
      <c r="B76" s="3" t="s">
        <v>149</v>
      </c>
      <c r="C76" s="3"/>
      <c r="D76" s="5">
        <f>SUM(D73:D75)</f>
        <v>863</v>
      </c>
      <c r="E76" s="5"/>
      <c r="F76" s="5"/>
      <c r="G76" s="3"/>
      <c r="H76" s="3"/>
      <c r="I76" s="3"/>
      <c r="J76" s="3"/>
      <c r="K76" s="3"/>
      <c r="L76" s="3"/>
      <c r="M76" s="7">
        <f t="shared" ref="M76:W76" si="44">SUM(M73:M75)</f>
        <v>367445.05</v>
      </c>
      <c r="N76" s="7">
        <f t="shared" si="44"/>
        <v>0</v>
      </c>
      <c r="O76" s="7">
        <f t="shared" si="44"/>
        <v>0</v>
      </c>
      <c r="P76" s="7">
        <f t="shared" si="44"/>
        <v>0</v>
      </c>
      <c r="Q76" s="7">
        <f t="shared" si="44"/>
        <v>0</v>
      </c>
      <c r="R76" s="7">
        <f t="shared" si="44"/>
        <v>0</v>
      </c>
      <c r="S76" s="7">
        <f t="shared" si="44"/>
        <v>0</v>
      </c>
      <c r="T76" s="7">
        <f t="shared" si="44"/>
        <v>367445.05</v>
      </c>
      <c r="U76" s="7">
        <f t="shared" si="44"/>
        <v>0</v>
      </c>
      <c r="V76" s="7">
        <f t="shared" si="44"/>
        <v>0</v>
      </c>
      <c r="W76" s="7">
        <f t="shared" si="44"/>
        <v>0</v>
      </c>
      <c r="X76" s="39"/>
      <c r="Y76" s="3"/>
      <c r="Z76" s="7"/>
      <c r="AA76" s="7">
        <f>SUM(AA73:AA75)</f>
        <v>367445.05</v>
      </c>
    </row>
    <row r="77" spans="2:28" x14ac:dyDescent="0.2">
      <c r="B77" s="1"/>
      <c r="C77" s="1"/>
      <c r="D77" s="6"/>
      <c r="E77" s="6"/>
      <c r="F77" s="6"/>
      <c r="G77" s="6"/>
      <c r="H77" s="6"/>
      <c r="I77" s="6"/>
      <c r="J77" s="6"/>
      <c r="K77" s="49"/>
      <c r="L77" s="6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39"/>
      <c r="Y77" s="6"/>
      <c r="Z77" s="28"/>
      <c r="AA77" s="28"/>
    </row>
    <row r="78" spans="2:28" x14ac:dyDescent="0.2">
      <c r="B78" s="35" t="s">
        <v>151</v>
      </c>
      <c r="C78" s="37"/>
      <c r="D78" s="37"/>
      <c r="E78" s="37"/>
      <c r="F78" s="37"/>
      <c r="G78" s="37"/>
      <c r="H78" s="37"/>
      <c r="I78" s="36"/>
      <c r="J78" s="6"/>
      <c r="K78" s="49"/>
      <c r="L78" s="6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39"/>
      <c r="Y78" s="6"/>
      <c r="Z78" s="28"/>
      <c r="AA78" s="28"/>
    </row>
    <row r="79" spans="2:28" x14ac:dyDescent="0.2">
      <c r="B79" s="24"/>
      <c r="C79" s="28"/>
      <c r="D79" s="28"/>
      <c r="E79" s="28"/>
      <c r="F79" s="28"/>
      <c r="G79" s="28"/>
      <c r="H79" s="28"/>
      <c r="J79" s="6"/>
      <c r="K79" s="49"/>
      <c r="L79" s="6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39"/>
      <c r="Y79" s="6"/>
      <c r="Z79" s="131" t="s">
        <v>165</v>
      </c>
      <c r="AA79" s="132">
        <v>1.4999999999999999E-2</v>
      </c>
    </row>
    <row r="80" spans="2:28" x14ac:dyDescent="0.2">
      <c r="B80" s="123" t="s">
        <v>16</v>
      </c>
      <c r="C80" s="123" t="s">
        <v>15</v>
      </c>
      <c r="D80" s="124" t="s">
        <v>14</v>
      </c>
      <c r="E80" s="124" t="s">
        <v>72</v>
      </c>
      <c r="F80" s="124" t="s">
        <v>73</v>
      </c>
      <c r="G80" s="124" t="s">
        <v>13</v>
      </c>
      <c r="H80" s="124" t="s">
        <v>163</v>
      </c>
      <c r="I80" s="124" t="s">
        <v>17</v>
      </c>
      <c r="J80" s="124" t="s">
        <v>161</v>
      </c>
      <c r="K80" s="124" t="s">
        <v>20</v>
      </c>
      <c r="L80" s="124" t="s">
        <v>21</v>
      </c>
      <c r="M80" s="126" t="s">
        <v>164</v>
      </c>
      <c r="N80" s="125">
        <v>45536</v>
      </c>
      <c r="O80" s="125">
        <v>45566</v>
      </c>
      <c r="P80" s="125">
        <v>45597</v>
      </c>
      <c r="Q80" s="125">
        <v>45627</v>
      </c>
      <c r="R80" s="125">
        <v>45658</v>
      </c>
      <c r="S80" s="125">
        <v>45689</v>
      </c>
      <c r="T80" s="125">
        <v>45717</v>
      </c>
      <c r="U80" s="125">
        <v>45748</v>
      </c>
      <c r="V80" s="125">
        <v>45778</v>
      </c>
      <c r="W80" s="126" t="s">
        <v>30</v>
      </c>
      <c r="X80" s="38"/>
      <c r="Y80" s="124" t="s">
        <v>97</v>
      </c>
      <c r="Z80" s="124" t="s">
        <v>161</v>
      </c>
      <c r="AA80" s="126" t="s">
        <v>162</v>
      </c>
    </row>
    <row r="81" spans="2:27" x14ac:dyDescent="0.2">
      <c r="B81" s="9" t="s">
        <v>53</v>
      </c>
      <c r="C81" s="10" t="s">
        <v>54</v>
      </c>
      <c r="D81" s="10">
        <v>4</v>
      </c>
      <c r="E81" s="10" t="s">
        <v>74</v>
      </c>
      <c r="F81" s="10" t="s">
        <v>74</v>
      </c>
      <c r="G81" s="10">
        <v>0</v>
      </c>
      <c r="H81" s="10">
        <v>2500</v>
      </c>
      <c r="I81" s="10"/>
      <c r="J81" s="11">
        <f>H81</f>
        <v>2500</v>
      </c>
      <c r="K81" s="44">
        <v>45656</v>
      </c>
      <c r="L81" s="10" t="s">
        <v>56</v>
      </c>
      <c r="M81" s="14">
        <f>J81*D81</f>
        <v>10000</v>
      </c>
      <c r="N81" s="14"/>
      <c r="O81" s="14"/>
      <c r="Q81" s="14">
        <f>M81/4</f>
        <v>2500</v>
      </c>
      <c r="R81" s="14">
        <f t="shared" ref="R81:T82" si="45">Q81</f>
        <v>2500</v>
      </c>
      <c r="S81" s="14">
        <f t="shared" si="45"/>
        <v>2500</v>
      </c>
      <c r="T81" s="14">
        <f t="shared" si="45"/>
        <v>2500</v>
      </c>
      <c r="U81" s="14"/>
      <c r="V81" s="14"/>
      <c r="W81" s="14"/>
      <c r="X81" s="39"/>
      <c r="Y81" s="10"/>
      <c r="Z81" s="14">
        <f>J81</f>
        <v>2500</v>
      </c>
      <c r="AA81" s="14">
        <f>Z81*D81*(1-$AA$79)</f>
        <v>9850</v>
      </c>
    </row>
    <row r="82" spans="2:27" x14ac:dyDescent="0.2">
      <c r="B82" s="15" t="s">
        <v>53</v>
      </c>
      <c r="C82" s="19" t="s">
        <v>55</v>
      </c>
      <c r="D82" s="19">
        <v>4</v>
      </c>
      <c r="E82" s="19" t="s">
        <v>74</v>
      </c>
      <c r="F82" s="19" t="s">
        <v>74</v>
      </c>
      <c r="G82" s="19">
        <v>0</v>
      </c>
      <c r="H82" s="19">
        <v>2137</v>
      </c>
      <c r="I82" s="19"/>
      <c r="J82" s="20">
        <f>H82</f>
        <v>2137</v>
      </c>
      <c r="K82" s="45">
        <f>K81</f>
        <v>45656</v>
      </c>
      <c r="L82" s="19" t="s">
        <v>56</v>
      </c>
      <c r="M82" s="16">
        <f>J82*D82</f>
        <v>8548</v>
      </c>
      <c r="N82" s="16"/>
      <c r="O82" s="16"/>
      <c r="P82" s="16"/>
      <c r="Q82" s="16">
        <f>M82/4</f>
        <v>2137</v>
      </c>
      <c r="R82" s="16">
        <f t="shared" si="45"/>
        <v>2137</v>
      </c>
      <c r="S82" s="16">
        <f t="shared" si="45"/>
        <v>2137</v>
      </c>
      <c r="T82" s="16">
        <f t="shared" si="45"/>
        <v>2137</v>
      </c>
      <c r="U82" s="16"/>
      <c r="V82" s="16"/>
      <c r="W82" s="16"/>
      <c r="X82" s="39"/>
      <c r="Y82" s="19"/>
      <c r="Z82" s="16">
        <f>J82</f>
        <v>2137</v>
      </c>
      <c r="AA82" s="16">
        <f>Z82*D82*(1-$AA$79)</f>
        <v>8419.7800000000007</v>
      </c>
    </row>
    <row r="83" spans="2:27" x14ac:dyDescent="0.2">
      <c r="B83" s="127" t="s">
        <v>68</v>
      </c>
      <c r="C83" s="127"/>
      <c r="D83" s="128">
        <f>SUM(D81:D82)</f>
        <v>8</v>
      </c>
      <c r="E83" s="128"/>
      <c r="F83" s="128"/>
      <c r="G83" s="128"/>
      <c r="H83" s="128"/>
      <c r="I83" s="128"/>
      <c r="J83" s="128"/>
      <c r="K83" s="129"/>
      <c r="L83" s="128"/>
      <c r="M83" s="130">
        <f t="shared" ref="M83" si="46">SUM(M81:M82)</f>
        <v>18548</v>
      </c>
      <c r="N83" s="130">
        <f>SUM(N81:N82)</f>
        <v>0</v>
      </c>
      <c r="O83" s="130">
        <f t="shared" ref="O83:W83" si="47">SUM(O81:O82)</f>
        <v>0</v>
      </c>
      <c r="P83" s="130">
        <f t="shared" si="47"/>
        <v>0</v>
      </c>
      <c r="Q83" s="130">
        <f t="shared" si="47"/>
        <v>4637</v>
      </c>
      <c r="R83" s="130">
        <f t="shared" si="47"/>
        <v>4637</v>
      </c>
      <c r="S83" s="130">
        <f t="shared" si="47"/>
        <v>4637</v>
      </c>
      <c r="T83" s="130">
        <f t="shared" si="47"/>
        <v>4637</v>
      </c>
      <c r="U83" s="130">
        <f t="shared" si="47"/>
        <v>0</v>
      </c>
      <c r="V83" s="130">
        <f t="shared" si="47"/>
        <v>0</v>
      </c>
      <c r="W83" s="130">
        <f t="shared" si="47"/>
        <v>0</v>
      </c>
      <c r="X83" s="39"/>
      <c r="Y83" s="128"/>
      <c r="Z83" s="130"/>
      <c r="AA83" s="130">
        <f>SUM(AA81:AA82)</f>
        <v>18269.78</v>
      </c>
    </row>
    <row r="84" spans="2:27" x14ac:dyDescent="0.2">
      <c r="B84" s="1"/>
      <c r="C84" s="1"/>
      <c r="D84" s="6"/>
      <c r="E84" s="6"/>
      <c r="F84" s="6"/>
      <c r="G84" s="6"/>
      <c r="H84" s="6"/>
      <c r="I84" s="6"/>
      <c r="J84" s="6"/>
      <c r="K84" s="49"/>
      <c r="L84" s="6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39"/>
      <c r="Y84" s="6"/>
      <c r="Z84" s="28"/>
      <c r="AA84" s="28"/>
    </row>
    <row r="85" spans="2:27" x14ac:dyDescent="0.2">
      <c r="B85" s="9" t="s">
        <v>70</v>
      </c>
      <c r="C85" s="10" t="s">
        <v>83</v>
      </c>
      <c r="D85" s="10">
        <v>500</v>
      </c>
      <c r="E85" s="10" t="s">
        <v>75</v>
      </c>
      <c r="F85" s="10" t="s">
        <v>82</v>
      </c>
      <c r="G85" s="10">
        <v>0</v>
      </c>
      <c r="H85" s="10">
        <v>2105</v>
      </c>
      <c r="I85" s="10"/>
      <c r="J85" s="11">
        <f>H85</f>
        <v>2105</v>
      </c>
      <c r="K85" s="49">
        <v>45631</v>
      </c>
      <c r="L85" s="10" t="s">
        <v>145</v>
      </c>
      <c r="M85" s="14">
        <f>J85*D85</f>
        <v>1052500</v>
      </c>
      <c r="N85" s="14"/>
      <c r="O85" s="14"/>
      <c r="P85" s="14"/>
      <c r="Q85" s="14">
        <f>M85</f>
        <v>1052500</v>
      </c>
      <c r="R85" s="14"/>
      <c r="S85" s="14"/>
      <c r="U85" s="14"/>
      <c r="V85" s="14"/>
      <c r="W85" s="14"/>
      <c r="X85" s="39"/>
      <c r="Y85" s="10"/>
      <c r="Z85" s="14">
        <f>J85</f>
        <v>2105</v>
      </c>
      <c r="AA85" s="14">
        <f>Z85*D85*(1-$AA$79)</f>
        <v>1036712.5</v>
      </c>
    </row>
    <row r="86" spans="2:27" x14ac:dyDescent="0.2">
      <c r="B86" s="127" t="s">
        <v>69</v>
      </c>
      <c r="C86" s="127"/>
      <c r="D86" s="128">
        <f>SUM(D84:D85)</f>
        <v>500</v>
      </c>
      <c r="E86" s="128"/>
      <c r="F86" s="128"/>
      <c r="G86" s="128"/>
      <c r="H86" s="128"/>
      <c r="I86" s="128"/>
      <c r="J86" s="128"/>
      <c r="K86" s="129"/>
      <c r="L86" s="128"/>
      <c r="M86" s="130">
        <f t="shared" ref="M86" si="48">SUM(M84:M85)</f>
        <v>1052500</v>
      </c>
      <c r="N86" s="130">
        <f>N85</f>
        <v>0</v>
      </c>
      <c r="O86" s="130">
        <f t="shared" ref="O86:W86" si="49">O85</f>
        <v>0</v>
      </c>
      <c r="P86" s="130">
        <f t="shared" si="49"/>
        <v>0</v>
      </c>
      <c r="Q86" s="130">
        <f t="shared" si="49"/>
        <v>1052500</v>
      </c>
      <c r="R86" s="130">
        <f t="shared" si="49"/>
        <v>0</v>
      </c>
      <c r="S86" s="130">
        <f t="shared" si="49"/>
        <v>0</v>
      </c>
      <c r="T86" s="130">
        <f t="shared" si="49"/>
        <v>0</v>
      </c>
      <c r="U86" s="130">
        <f t="shared" si="49"/>
        <v>0</v>
      </c>
      <c r="V86" s="130">
        <f t="shared" si="49"/>
        <v>0</v>
      </c>
      <c r="W86" s="130">
        <f t="shared" si="49"/>
        <v>0</v>
      </c>
      <c r="X86" s="39"/>
      <c r="Y86" s="128"/>
      <c r="Z86" s="130"/>
      <c r="AA86" s="130">
        <f>AA85</f>
        <v>1036712.5</v>
      </c>
    </row>
    <row r="87" spans="2:27" x14ac:dyDescent="0.2">
      <c r="B87" s="1"/>
      <c r="C87" s="1"/>
      <c r="D87" s="6"/>
      <c r="E87" s="6"/>
      <c r="F87" s="6"/>
      <c r="G87" s="6"/>
      <c r="H87" s="6"/>
      <c r="I87" s="6"/>
      <c r="J87" s="6"/>
      <c r="K87" s="49"/>
      <c r="L87" s="6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39"/>
      <c r="Y87" s="6"/>
      <c r="Z87" s="28"/>
      <c r="AA87" s="28"/>
    </row>
    <row r="88" spans="2:27" x14ac:dyDescent="0.2">
      <c r="B88" s="9" t="s">
        <v>86</v>
      </c>
      <c r="C88" s="10" t="s">
        <v>87</v>
      </c>
      <c r="D88" s="10">
        <v>20</v>
      </c>
      <c r="E88" s="10" t="s">
        <v>75</v>
      </c>
      <c r="F88" s="10" t="s">
        <v>76</v>
      </c>
      <c r="G88" s="10">
        <v>0</v>
      </c>
      <c r="H88" s="10">
        <v>2200</v>
      </c>
      <c r="I88" s="10"/>
      <c r="J88" s="11">
        <f>H88</f>
        <v>2200</v>
      </c>
      <c r="K88" s="49">
        <v>45632</v>
      </c>
      <c r="L88" s="10" t="s">
        <v>88</v>
      </c>
      <c r="M88" s="14">
        <f>J88*D88</f>
        <v>44000</v>
      </c>
      <c r="N88" s="14"/>
      <c r="O88" s="14"/>
      <c r="P88" s="14"/>
      <c r="Q88" s="14">
        <f>M88*0.5</f>
        <v>22000</v>
      </c>
      <c r="R88" s="14">
        <f>($M$88-$Q$88)/4</f>
        <v>5500</v>
      </c>
      <c r="S88" s="14">
        <f>($M$88-$Q$88)/4</f>
        <v>5500</v>
      </c>
      <c r="T88" s="14">
        <f>($M$88-$Q$88)/4</f>
        <v>5500</v>
      </c>
      <c r="U88" s="14">
        <f>($M$88-$Q$88)/4</f>
        <v>5500</v>
      </c>
      <c r="V88" s="14"/>
      <c r="W88" s="14"/>
      <c r="X88" s="39"/>
      <c r="Y88" s="10"/>
      <c r="Z88" s="14">
        <f>J88</f>
        <v>2200</v>
      </c>
      <c r="AA88" s="14">
        <f>Z88*D88*(1-$AA$79)</f>
        <v>43340</v>
      </c>
    </row>
    <row r="89" spans="2:27" x14ac:dyDescent="0.2">
      <c r="B89" s="127" t="s">
        <v>69</v>
      </c>
      <c r="C89" s="127"/>
      <c r="D89" s="128">
        <f>SUM(D87:D88)</f>
        <v>20</v>
      </c>
      <c r="E89" s="128"/>
      <c r="F89" s="128"/>
      <c r="G89" s="128"/>
      <c r="H89" s="128"/>
      <c r="I89" s="128"/>
      <c r="J89" s="128"/>
      <c r="K89" s="129"/>
      <c r="L89" s="128"/>
      <c r="M89" s="130">
        <f t="shared" ref="M89" si="50">SUM(M87:M88)</f>
        <v>44000</v>
      </c>
      <c r="N89" s="130">
        <f>N88</f>
        <v>0</v>
      </c>
      <c r="O89" s="130">
        <f t="shared" ref="O89:W89" si="51">O88</f>
        <v>0</v>
      </c>
      <c r="P89" s="130">
        <f t="shared" si="51"/>
        <v>0</v>
      </c>
      <c r="Q89" s="130">
        <f t="shared" si="51"/>
        <v>22000</v>
      </c>
      <c r="R89" s="130">
        <f t="shared" si="51"/>
        <v>5500</v>
      </c>
      <c r="S89" s="130">
        <f t="shared" si="51"/>
        <v>5500</v>
      </c>
      <c r="T89" s="130">
        <f t="shared" si="51"/>
        <v>5500</v>
      </c>
      <c r="U89" s="130">
        <f t="shared" si="51"/>
        <v>5500</v>
      </c>
      <c r="V89" s="130">
        <f t="shared" si="51"/>
        <v>0</v>
      </c>
      <c r="W89" s="130">
        <f t="shared" si="51"/>
        <v>0</v>
      </c>
      <c r="X89" s="39"/>
      <c r="Y89" s="128"/>
      <c r="Z89" s="130"/>
      <c r="AA89" s="130">
        <f>AA88</f>
        <v>43340</v>
      </c>
    </row>
    <row r="90" spans="2:27" x14ac:dyDescent="0.2">
      <c r="B90" s="1"/>
      <c r="C90" s="1"/>
      <c r="D90" s="6"/>
      <c r="E90" s="6"/>
      <c r="F90" s="6"/>
      <c r="G90" s="6"/>
      <c r="H90" s="6"/>
      <c r="I90" s="6"/>
      <c r="J90" s="6"/>
      <c r="K90" s="49"/>
      <c r="L90" s="6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39"/>
      <c r="Y90" s="6"/>
      <c r="Z90" s="28"/>
      <c r="AA90" s="28"/>
    </row>
    <row r="91" spans="2:27" x14ac:dyDescent="0.2">
      <c r="B91" s="9" t="s">
        <v>89</v>
      </c>
      <c r="C91" s="54" t="s">
        <v>91</v>
      </c>
      <c r="D91" s="10">
        <v>500</v>
      </c>
      <c r="E91" s="10" t="s">
        <v>66</v>
      </c>
      <c r="F91" s="10" t="s">
        <v>74</v>
      </c>
      <c r="G91" s="10">
        <v>0</v>
      </c>
      <c r="H91" s="10">
        <v>2000</v>
      </c>
      <c r="I91" s="10"/>
      <c r="J91" s="11">
        <f>H91</f>
        <v>2000</v>
      </c>
      <c r="K91" s="44">
        <v>45679</v>
      </c>
      <c r="L91" s="10" t="s">
        <v>90</v>
      </c>
      <c r="M91" s="14">
        <f>J91*D91</f>
        <v>1000000</v>
      </c>
      <c r="N91" s="14"/>
      <c r="O91" s="14"/>
      <c r="P91" s="14"/>
      <c r="Q91" s="14">
        <v>0</v>
      </c>
      <c r="R91" s="14">
        <v>0</v>
      </c>
      <c r="S91" s="14">
        <f>M91</f>
        <v>1000000</v>
      </c>
      <c r="T91" s="14"/>
      <c r="U91" s="14"/>
      <c r="V91" s="14"/>
      <c r="W91" s="14"/>
      <c r="X91" s="39"/>
      <c r="Y91" s="10"/>
      <c r="Z91" s="14">
        <f>J91</f>
        <v>2000</v>
      </c>
      <c r="AA91" s="14">
        <f>Z91*D91*(1-$AA$79)</f>
        <v>985000</v>
      </c>
    </row>
    <row r="92" spans="2:27" x14ac:dyDescent="0.2">
      <c r="B92" s="127" t="s">
        <v>69</v>
      </c>
      <c r="C92" s="127"/>
      <c r="D92" s="128">
        <f>SUM(D90:D91)</f>
        <v>500</v>
      </c>
      <c r="E92" s="128"/>
      <c r="F92" s="128"/>
      <c r="G92" s="128"/>
      <c r="H92" s="128"/>
      <c r="I92" s="128"/>
      <c r="J92" s="128"/>
      <c r="K92" s="129"/>
      <c r="L92" s="128"/>
      <c r="M92" s="130">
        <f t="shared" ref="M92" si="52">SUM(M90:M91)</f>
        <v>1000000</v>
      </c>
      <c r="N92" s="130">
        <f>N91</f>
        <v>0</v>
      </c>
      <c r="O92" s="130">
        <f t="shared" ref="O92:W92" si="53">O91</f>
        <v>0</v>
      </c>
      <c r="P92" s="130">
        <f t="shared" si="53"/>
        <v>0</v>
      </c>
      <c r="Q92" s="130">
        <f t="shared" si="53"/>
        <v>0</v>
      </c>
      <c r="R92" s="130">
        <f t="shared" si="53"/>
        <v>0</v>
      </c>
      <c r="S92" s="130">
        <f t="shared" si="53"/>
        <v>1000000</v>
      </c>
      <c r="T92" s="130">
        <f t="shared" si="53"/>
        <v>0</v>
      </c>
      <c r="U92" s="130">
        <f t="shared" si="53"/>
        <v>0</v>
      </c>
      <c r="V92" s="130">
        <f t="shared" si="53"/>
        <v>0</v>
      </c>
      <c r="W92" s="130">
        <f t="shared" si="53"/>
        <v>0</v>
      </c>
      <c r="X92" s="39"/>
      <c r="Y92" s="128"/>
      <c r="Z92" s="130"/>
      <c r="AA92" s="130">
        <f>AA91</f>
        <v>985000</v>
      </c>
    </row>
    <row r="93" spans="2:27" x14ac:dyDescent="0.2">
      <c r="B93" s="1"/>
      <c r="C93" s="1"/>
      <c r="D93" s="6"/>
      <c r="E93" s="6"/>
      <c r="F93" s="6"/>
      <c r="G93" s="6"/>
      <c r="H93" s="6"/>
      <c r="I93" s="6"/>
      <c r="J93" s="6"/>
      <c r="K93" s="49"/>
      <c r="L93" s="6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39"/>
      <c r="Y93" s="6"/>
      <c r="Z93" s="28"/>
      <c r="AA93" s="28"/>
    </row>
    <row r="94" spans="2:27" x14ac:dyDescent="0.2">
      <c r="B94" s="9" t="s">
        <v>152</v>
      </c>
      <c r="C94" s="10" t="s">
        <v>154</v>
      </c>
      <c r="D94" s="10">
        <v>0.5</v>
      </c>
      <c r="E94" s="10" t="s">
        <v>64</v>
      </c>
      <c r="F94" s="10" t="s">
        <v>74</v>
      </c>
      <c r="G94" s="10">
        <v>0</v>
      </c>
      <c r="H94" s="10">
        <v>2293.33</v>
      </c>
      <c r="I94" s="10"/>
      <c r="J94" s="11">
        <f>H94</f>
        <v>2293.33</v>
      </c>
      <c r="K94" s="44">
        <v>45687</v>
      </c>
      <c r="L94" s="10" t="s">
        <v>156</v>
      </c>
      <c r="M94" s="14">
        <f>J94*D94</f>
        <v>1146.665</v>
      </c>
      <c r="N94" s="14"/>
      <c r="O94" s="14"/>
      <c r="Q94" s="14"/>
      <c r="R94" s="14">
        <f t="shared" ref="R94:W94" si="54">$M$94/6</f>
        <v>191.11083333333332</v>
      </c>
      <c r="S94" s="14">
        <f t="shared" si="54"/>
        <v>191.11083333333332</v>
      </c>
      <c r="T94" s="14">
        <f t="shared" si="54"/>
        <v>191.11083333333332</v>
      </c>
      <c r="U94" s="14">
        <f t="shared" si="54"/>
        <v>191.11083333333332</v>
      </c>
      <c r="V94" s="14">
        <f t="shared" si="54"/>
        <v>191.11083333333332</v>
      </c>
      <c r="W94" s="14">
        <f t="shared" si="54"/>
        <v>191.11083333333332</v>
      </c>
      <c r="X94" s="39"/>
      <c r="Y94" s="10"/>
      <c r="Z94" s="14">
        <f>J94</f>
        <v>2293.33</v>
      </c>
      <c r="AA94" s="14">
        <f>Z94*D94*(1-$AA$79)</f>
        <v>1129.465025</v>
      </c>
    </row>
    <row r="95" spans="2:27" x14ac:dyDescent="0.2">
      <c r="B95" s="15" t="s">
        <v>152</v>
      </c>
      <c r="C95" s="19" t="s">
        <v>155</v>
      </c>
      <c r="D95" s="19">
        <v>7</v>
      </c>
      <c r="E95" s="19" t="s">
        <v>75</v>
      </c>
      <c r="F95" s="19" t="s">
        <v>80</v>
      </c>
      <c r="G95" s="19">
        <v>0</v>
      </c>
      <c r="H95" s="19">
        <v>2616.61</v>
      </c>
      <c r="I95" s="19"/>
      <c r="J95" s="20">
        <f>H95</f>
        <v>2616.61</v>
      </c>
      <c r="K95" s="45">
        <f>K94</f>
        <v>45687</v>
      </c>
      <c r="L95" s="19" t="s">
        <v>156</v>
      </c>
      <c r="M95" s="16">
        <f>J95*D95</f>
        <v>18316.27</v>
      </c>
      <c r="N95" s="16"/>
      <c r="O95" s="16"/>
      <c r="P95" s="16"/>
      <c r="Q95" s="16"/>
      <c r="R95" s="16">
        <f t="shared" ref="R95:W95" si="55">$M$95/6</f>
        <v>3052.7116666666666</v>
      </c>
      <c r="S95" s="16">
        <f t="shared" si="55"/>
        <v>3052.7116666666666</v>
      </c>
      <c r="T95" s="16">
        <f t="shared" si="55"/>
        <v>3052.7116666666666</v>
      </c>
      <c r="U95" s="16">
        <f t="shared" si="55"/>
        <v>3052.7116666666666</v>
      </c>
      <c r="V95" s="16">
        <f t="shared" si="55"/>
        <v>3052.7116666666666</v>
      </c>
      <c r="W95" s="16">
        <f t="shared" si="55"/>
        <v>3052.7116666666666</v>
      </c>
      <c r="X95" s="39"/>
      <c r="Y95" s="19"/>
      <c r="Z95" s="16">
        <f>J95</f>
        <v>2616.61</v>
      </c>
      <c r="AA95" s="16">
        <f>Z95*D95*(1-$AA$79)</f>
        <v>18041.525949999999</v>
      </c>
    </row>
    <row r="96" spans="2:27" x14ac:dyDescent="0.2">
      <c r="B96" s="127" t="s">
        <v>153</v>
      </c>
      <c r="C96" s="127"/>
      <c r="D96" s="128">
        <f>SUM(D94:D95)</f>
        <v>7.5</v>
      </c>
      <c r="E96" s="128"/>
      <c r="F96" s="128"/>
      <c r="G96" s="128"/>
      <c r="H96" s="128"/>
      <c r="I96" s="128"/>
      <c r="J96" s="128"/>
      <c r="K96" s="129"/>
      <c r="L96" s="128"/>
      <c r="M96" s="130">
        <f>SUM(M94:M95)</f>
        <v>19462.935000000001</v>
      </c>
      <c r="N96" s="130">
        <f>SUM(N94:N95)</f>
        <v>0</v>
      </c>
      <c r="O96" s="130">
        <f t="shared" ref="O96:W96" si="56">SUM(O94:O95)</f>
        <v>0</v>
      </c>
      <c r="P96" s="130">
        <f t="shared" si="56"/>
        <v>0</v>
      </c>
      <c r="Q96" s="130">
        <f t="shared" si="56"/>
        <v>0</v>
      </c>
      <c r="R96" s="130">
        <f t="shared" si="56"/>
        <v>3243.8224999999998</v>
      </c>
      <c r="S96" s="130">
        <f t="shared" si="56"/>
        <v>3243.8224999999998</v>
      </c>
      <c r="T96" s="130">
        <f t="shared" si="56"/>
        <v>3243.8224999999998</v>
      </c>
      <c r="U96" s="130">
        <f t="shared" si="56"/>
        <v>3243.8224999999998</v>
      </c>
      <c r="V96" s="130">
        <f t="shared" si="56"/>
        <v>3243.8224999999998</v>
      </c>
      <c r="W96" s="130">
        <f t="shared" si="56"/>
        <v>3243.8224999999998</v>
      </c>
      <c r="X96" s="39"/>
      <c r="Y96" s="128"/>
      <c r="Z96" s="130"/>
      <c r="AA96" s="130">
        <f>SUM(AA94:AA95)</f>
        <v>19170.990975000001</v>
      </c>
    </row>
    <row r="99" spans="2:27" x14ac:dyDescent="0.2">
      <c r="B99" s="9" t="s">
        <v>256</v>
      </c>
      <c r="C99" s="10" t="s">
        <v>354</v>
      </c>
      <c r="D99" s="10">
        <v>486.3</v>
      </c>
      <c r="E99" s="10" t="s">
        <v>74</v>
      </c>
      <c r="F99" s="10" t="s">
        <v>74</v>
      </c>
      <c r="G99" s="10">
        <v>0</v>
      </c>
      <c r="H99" s="10">
        <v>810</v>
      </c>
      <c r="I99" s="10"/>
      <c r="J99" s="11">
        <f>H99</f>
        <v>810</v>
      </c>
      <c r="K99" s="44">
        <v>45688</v>
      </c>
      <c r="L99" s="10" t="s">
        <v>145</v>
      </c>
      <c r="M99" s="14">
        <f>J99*D99</f>
        <v>393903</v>
      </c>
      <c r="N99" s="14"/>
      <c r="O99" s="14"/>
      <c r="Q99" s="14"/>
      <c r="R99" s="14"/>
      <c r="S99" s="14">
        <f>M99</f>
        <v>393903</v>
      </c>
      <c r="T99" s="14"/>
      <c r="U99" s="14"/>
      <c r="V99" s="14"/>
      <c r="W99" s="14"/>
      <c r="Y99" s="10"/>
      <c r="Z99" s="14">
        <f>J99</f>
        <v>810</v>
      </c>
      <c r="AA99" s="14">
        <f>Z99*D99*(1-$AA$79)</f>
        <v>387994.45500000002</v>
      </c>
    </row>
    <row r="100" spans="2:27" x14ac:dyDescent="0.2">
      <c r="B100" s="15" t="s">
        <v>256</v>
      </c>
      <c r="C100" s="19" t="s">
        <v>355</v>
      </c>
      <c r="D100" s="19">
        <v>632.20000000000005</v>
      </c>
      <c r="E100" s="19" t="s">
        <v>74</v>
      </c>
      <c r="F100" s="19" t="s">
        <v>74</v>
      </c>
      <c r="G100" s="19">
        <v>0</v>
      </c>
      <c r="H100" s="19">
        <v>2220</v>
      </c>
      <c r="I100" s="19"/>
      <c r="J100" s="20">
        <f>H100</f>
        <v>2220</v>
      </c>
      <c r="K100" s="45">
        <v>45705</v>
      </c>
      <c r="L100" s="19" t="s">
        <v>145</v>
      </c>
      <c r="M100" s="16">
        <f>J100*D100</f>
        <v>1403484</v>
      </c>
      <c r="N100" s="16"/>
      <c r="O100" s="16"/>
      <c r="P100" s="16"/>
      <c r="Q100" s="16"/>
      <c r="R100" s="16"/>
      <c r="S100" s="16">
        <f>M100</f>
        <v>1403484</v>
      </c>
      <c r="T100" s="16"/>
      <c r="U100" s="16"/>
      <c r="V100" s="16"/>
      <c r="W100" s="16"/>
      <c r="Y100" s="19"/>
      <c r="Z100" s="16">
        <f>J100</f>
        <v>2220</v>
      </c>
      <c r="AA100" s="16">
        <f>Z100*D100*(1-$AA$79)</f>
        <v>1382431.74</v>
      </c>
    </row>
    <row r="101" spans="2:27" x14ac:dyDescent="0.2">
      <c r="B101" s="9" t="s">
        <v>256</v>
      </c>
      <c r="C101" s="10" t="s">
        <v>356</v>
      </c>
      <c r="D101" s="10">
        <v>363</v>
      </c>
      <c r="E101" s="10" t="s">
        <v>74</v>
      </c>
      <c r="F101" s="10" t="s">
        <v>74</v>
      </c>
      <c r="G101" s="10">
        <v>0</v>
      </c>
      <c r="H101" s="10">
        <v>1750</v>
      </c>
      <c r="I101" s="10"/>
      <c r="J101" s="11">
        <f>H101</f>
        <v>1750</v>
      </c>
      <c r="K101" s="44">
        <v>45687</v>
      </c>
      <c r="L101" s="10" t="s">
        <v>145</v>
      </c>
      <c r="M101" s="14">
        <f>J101*D101</f>
        <v>635250</v>
      </c>
      <c r="N101" s="14"/>
      <c r="O101" s="14"/>
      <c r="Q101" s="14"/>
      <c r="R101" s="14"/>
      <c r="S101" s="14">
        <f>M101</f>
        <v>635250</v>
      </c>
      <c r="T101" s="14"/>
      <c r="U101" s="14"/>
      <c r="V101" s="14"/>
      <c r="W101" s="14"/>
      <c r="Y101" s="10"/>
      <c r="Z101" s="14">
        <f>J101</f>
        <v>1750</v>
      </c>
      <c r="AA101" s="14">
        <f>Z101*D101*(1-$AA$79)</f>
        <v>625721.25</v>
      </c>
    </row>
    <row r="102" spans="2:27" x14ac:dyDescent="0.2">
      <c r="B102" s="15" t="s">
        <v>256</v>
      </c>
      <c r="C102" s="19" t="s">
        <v>357</v>
      </c>
      <c r="D102" s="19">
        <v>44.2</v>
      </c>
      <c r="E102" s="19" t="s">
        <v>74</v>
      </c>
      <c r="F102" s="19" t="s">
        <v>74</v>
      </c>
      <c r="G102" s="19">
        <v>0</v>
      </c>
      <c r="H102" s="19">
        <v>2400</v>
      </c>
      <c r="I102" s="19"/>
      <c r="J102" s="20">
        <f>H102</f>
        <v>2400</v>
      </c>
      <c r="K102" s="45">
        <f>K101</f>
        <v>45687</v>
      </c>
      <c r="L102" s="19" t="s">
        <v>145</v>
      </c>
      <c r="M102" s="16">
        <f>J102*D102</f>
        <v>106080</v>
      </c>
      <c r="N102" s="16"/>
      <c r="O102" s="16"/>
      <c r="P102" s="16"/>
      <c r="Q102" s="16"/>
      <c r="R102" s="16"/>
      <c r="S102" s="16">
        <f>M102</f>
        <v>106080</v>
      </c>
      <c r="T102" s="16"/>
      <c r="U102" s="16"/>
      <c r="V102" s="16"/>
      <c r="W102" s="16"/>
      <c r="X102" s="28"/>
      <c r="Y102" s="19"/>
      <c r="Z102" s="16">
        <f>J102</f>
        <v>2400</v>
      </c>
      <c r="AA102" s="16">
        <f>Z102*D102*(1-$AA$79)</f>
        <v>104488.8</v>
      </c>
    </row>
    <row r="103" spans="2:27" x14ac:dyDescent="0.2">
      <c r="B103" s="127" t="s">
        <v>353</v>
      </c>
      <c r="C103" s="127"/>
      <c r="D103" s="128">
        <f>SUM(D99:D102)</f>
        <v>1525.7</v>
      </c>
      <c r="E103" s="128"/>
      <c r="F103" s="128"/>
      <c r="G103" s="128"/>
      <c r="H103" s="128"/>
      <c r="I103" s="128"/>
      <c r="J103" s="128"/>
      <c r="K103" s="129"/>
      <c r="L103" s="128"/>
      <c r="M103" s="130">
        <f t="shared" ref="M103:W103" si="57">SUM(M99:M102)</f>
        <v>2538717</v>
      </c>
      <c r="N103" s="130">
        <f t="shared" si="57"/>
        <v>0</v>
      </c>
      <c r="O103" s="130">
        <f t="shared" si="57"/>
        <v>0</v>
      </c>
      <c r="P103" s="130">
        <f t="shared" si="57"/>
        <v>0</v>
      </c>
      <c r="Q103" s="130">
        <f t="shared" si="57"/>
        <v>0</v>
      </c>
      <c r="R103" s="130">
        <f t="shared" si="57"/>
        <v>0</v>
      </c>
      <c r="S103" s="130">
        <f t="shared" si="57"/>
        <v>2538717</v>
      </c>
      <c r="T103" s="130">
        <f t="shared" si="57"/>
        <v>0</v>
      </c>
      <c r="U103" s="130">
        <f t="shared" si="57"/>
        <v>0</v>
      </c>
      <c r="V103" s="130">
        <f t="shared" si="57"/>
        <v>0</v>
      </c>
      <c r="W103" s="130">
        <f t="shared" si="57"/>
        <v>0</v>
      </c>
      <c r="X103" s="28"/>
      <c r="Y103" s="128"/>
      <c r="Z103" s="130"/>
      <c r="AA103" s="130">
        <f>SUM(AA99:AA102)</f>
        <v>2500636.2450000001</v>
      </c>
    </row>
    <row r="104" spans="2:27" x14ac:dyDescent="0.2">
      <c r="B104" s="1"/>
      <c r="C104" s="1"/>
      <c r="D104" s="6"/>
      <c r="E104" s="6"/>
      <c r="F104" s="6"/>
      <c r="G104" s="1"/>
      <c r="H104" s="1"/>
      <c r="I104" s="1"/>
      <c r="J104" s="1"/>
      <c r="K104" s="1"/>
      <c r="L104" s="1"/>
      <c r="M104" s="1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39"/>
      <c r="Z104" s="1"/>
      <c r="AA104" s="39"/>
    </row>
    <row r="105" spans="2:27" x14ac:dyDescent="0.2">
      <c r="B105" s="35" t="s">
        <v>166</v>
      </c>
      <c r="C105" s="37"/>
      <c r="D105" s="37"/>
      <c r="E105" s="37"/>
      <c r="F105" s="37"/>
      <c r="G105" s="37"/>
      <c r="H105" s="37"/>
      <c r="I105" s="36"/>
      <c r="J105" s="37"/>
      <c r="K105" s="6"/>
      <c r="M105" s="6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39"/>
      <c r="Z105" s="6"/>
      <c r="AA105" s="39"/>
    </row>
    <row r="106" spans="2:27" x14ac:dyDescent="0.2">
      <c r="B106" s="9" t="s">
        <v>29</v>
      </c>
      <c r="C106" s="10"/>
      <c r="D106" s="18">
        <v>0</v>
      </c>
      <c r="E106" s="10">
        <v>19</v>
      </c>
      <c r="F106" s="10" t="s">
        <v>74</v>
      </c>
      <c r="G106" s="10">
        <v>10</v>
      </c>
      <c r="H106" s="11">
        <f>G5</f>
        <v>294.95</v>
      </c>
      <c r="I106" s="11"/>
      <c r="J106" s="11">
        <f>(H106+G106)*$J$48</f>
        <v>403.37980111967045</v>
      </c>
      <c r="K106" s="17"/>
      <c r="L106" s="10"/>
      <c r="M106" s="14">
        <f>J106*D106</f>
        <v>0</v>
      </c>
      <c r="N106" s="14"/>
      <c r="O106" s="14"/>
      <c r="P106" s="14"/>
      <c r="Q106" s="14"/>
      <c r="R106" s="14"/>
      <c r="S106" s="14">
        <f>M106</f>
        <v>0</v>
      </c>
      <c r="T106" s="14"/>
      <c r="U106" s="14"/>
      <c r="V106" s="14"/>
      <c r="W106" s="14"/>
      <c r="X106" s="39"/>
      <c r="Y106" s="10"/>
      <c r="Z106" s="39"/>
    </row>
    <row r="107" spans="2:27" x14ac:dyDescent="0.2">
      <c r="B107" s="15" t="s">
        <v>29</v>
      </c>
      <c r="C107" s="19"/>
      <c r="D107" s="50">
        <v>0</v>
      </c>
      <c r="E107" s="19" t="s">
        <v>58</v>
      </c>
      <c r="F107" s="19" t="s">
        <v>74</v>
      </c>
      <c r="G107" s="19">
        <v>-5</v>
      </c>
      <c r="H107" s="20">
        <f>H106</f>
        <v>294.95</v>
      </c>
      <c r="I107" s="20"/>
      <c r="J107" s="20">
        <f>(H107+G107)*$J$48</f>
        <v>383.5381975230315</v>
      </c>
      <c r="K107" s="21"/>
      <c r="L107" s="19"/>
      <c r="M107" s="16">
        <f t="shared" ref="M107:M117" si="58">J107*D107</f>
        <v>0</v>
      </c>
      <c r="N107" s="16"/>
      <c r="O107" s="16"/>
      <c r="P107" s="16"/>
      <c r="Q107" s="16"/>
      <c r="R107" s="16"/>
      <c r="S107" s="16">
        <f t="shared" ref="S107:S117" si="59">M107</f>
        <v>0</v>
      </c>
      <c r="T107" s="16"/>
      <c r="U107" s="16"/>
      <c r="V107" s="16"/>
      <c r="W107" s="16"/>
      <c r="X107" s="39"/>
      <c r="Y107" s="10"/>
      <c r="Z107" s="39"/>
    </row>
    <row r="108" spans="2:27" x14ac:dyDescent="0.2">
      <c r="B108" s="9" t="s">
        <v>29</v>
      </c>
      <c r="C108" s="10"/>
      <c r="D108" s="18">
        <v>0</v>
      </c>
      <c r="E108" s="10" t="s">
        <v>59</v>
      </c>
      <c r="F108" s="10" t="s">
        <v>74</v>
      </c>
      <c r="G108" s="10">
        <v>5</v>
      </c>
      <c r="H108" s="11">
        <f>H107</f>
        <v>294.95</v>
      </c>
      <c r="I108" s="11"/>
      <c r="J108" s="11">
        <f>(H108+G108)*$J$48</f>
        <v>396.76593325412415</v>
      </c>
      <c r="K108" s="17"/>
      <c r="L108" s="10"/>
      <c r="M108" s="14">
        <f t="shared" si="58"/>
        <v>0</v>
      </c>
      <c r="N108" s="14"/>
      <c r="O108" s="14"/>
      <c r="P108" s="14"/>
      <c r="Q108" s="14"/>
      <c r="R108" s="14"/>
      <c r="S108" s="14">
        <f t="shared" si="59"/>
        <v>0</v>
      </c>
      <c r="T108" s="14"/>
      <c r="U108" s="14"/>
      <c r="V108" s="14"/>
      <c r="W108" s="14"/>
      <c r="X108" s="39"/>
      <c r="Y108" s="10"/>
      <c r="Z108" s="39"/>
    </row>
    <row r="109" spans="2:27" x14ac:dyDescent="0.2">
      <c r="B109" s="15" t="s">
        <v>29</v>
      </c>
      <c r="C109" s="19"/>
      <c r="D109" s="50">
        <v>0</v>
      </c>
      <c r="E109" s="19" t="s">
        <v>60</v>
      </c>
      <c r="F109" s="19" t="s">
        <v>74</v>
      </c>
      <c r="G109" s="19">
        <v>-25</v>
      </c>
      <c r="H109" s="20">
        <f>H108</f>
        <v>294.95</v>
      </c>
      <c r="I109" s="20"/>
      <c r="J109" s="20">
        <f t="shared" ref="J109:J117" si="60">(H109+G109)*$J$48</f>
        <v>357.08272606084614</v>
      </c>
      <c r="K109" s="21"/>
      <c r="L109" s="19"/>
      <c r="M109" s="16">
        <f t="shared" si="58"/>
        <v>0</v>
      </c>
      <c r="N109" s="16"/>
      <c r="O109" s="16"/>
      <c r="P109" s="16"/>
      <c r="Q109" s="16"/>
      <c r="R109" s="16"/>
      <c r="S109" s="16">
        <f t="shared" si="59"/>
        <v>0</v>
      </c>
      <c r="T109" s="16"/>
      <c r="U109" s="16"/>
      <c r="V109" s="16"/>
      <c r="W109" s="16"/>
      <c r="X109" s="39"/>
      <c r="Y109" s="10"/>
      <c r="Z109" s="39"/>
    </row>
    <row r="110" spans="2:27" x14ac:dyDescent="0.2">
      <c r="B110" s="9" t="s">
        <v>29</v>
      </c>
      <c r="C110" s="10"/>
      <c r="D110" s="18">
        <v>9</v>
      </c>
      <c r="E110" s="10" t="s">
        <v>61</v>
      </c>
      <c r="F110" s="10" t="s">
        <v>74</v>
      </c>
      <c r="G110" s="10">
        <v>-25</v>
      </c>
      <c r="H110" s="11">
        <f t="shared" ref="H110:H114" si="61">H109</f>
        <v>294.95</v>
      </c>
      <c r="I110" s="11"/>
      <c r="J110" s="11">
        <f t="shared" si="60"/>
        <v>357.08272606084614</v>
      </c>
      <c r="K110" s="17"/>
      <c r="L110" s="10"/>
      <c r="M110" s="14">
        <f t="shared" si="58"/>
        <v>3213.7445345476153</v>
      </c>
      <c r="N110" s="14"/>
      <c r="O110" s="14"/>
      <c r="P110" s="14"/>
      <c r="Q110" s="14"/>
      <c r="R110" s="14"/>
      <c r="S110" s="14">
        <f t="shared" si="59"/>
        <v>3213.7445345476153</v>
      </c>
      <c r="T110" s="14"/>
      <c r="U110" s="14"/>
      <c r="V110" s="14"/>
      <c r="W110" s="14"/>
      <c r="X110" s="39"/>
      <c r="Y110" s="10"/>
      <c r="Z110" s="39"/>
    </row>
    <row r="111" spans="2:27" x14ac:dyDescent="0.2">
      <c r="B111" s="15" t="s">
        <v>29</v>
      </c>
      <c r="C111" s="19"/>
      <c r="D111" s="50">
        <v>9</v>
      </c>
      <c r="E111" s="19" t="s">
        <v>62</v>
      </c>
      <c r="F111" s="19" t="s">
        <v>74</v>
      </c>
      <c r="G111" s="19">
        <v>-20</v>
      </c>
      <c r="H111" s="20">
        <f t="shared" si="61"/>
        <v>294.95</v>
      </c>
      <c r="I111" s="20"/>
      <c r="J111" s="20">
        <f t="shared" si="60"/>
        <v>363.6965939263925</v>
      </c>
      <c r="K111" s="21"/>
      <c r="L111" s="19"/>
      <c r="M111" s="16">
        <f t="shared" si="58"/>
        <v>3273.2693453375323</v>
      </c>
      <c r="N111" s="16"/>
      <c r="O111" s="16"/>
      <c r="P111" s="16"/>
      <c r="Q111" s="16"/>
      <c r="R111" s="16"/>
      <c r="S111" s="16">
        <f t="shared" si="59"/>
        <v>3273.2693453375323</v>
      </c>
      <c r="T111" s="16"/>
      <c r="U111" s="16"/>
      <c r="V111" s="16"/>
      <c r="W111" s="16"/>
      <c r="X111" s="39"/>
      <c r="Y111" s="10"/>
      <c r="Z111" s="39"/>
    </row>
    <row r="112" spans="2:27" x14ac:dyDescent="0.2">
      <c r="B112" s="9" t="s">
        <v>29</v>
      </c>
      <c r="C112" s="10"/>
      <c r="D112" s="18">
        <v>9</v>
      </c>
      <c r="E112" s="10" t="s">
        <v>63</v>
      </c>
      <c r="F112" s="10" t="s">
        <v>74</v>
      </c>
      <c r="G112" s="10">
        <v>-80</v>
      </c>
      <c r="H112" s="11">
        <f t="shared" si="61"/>
        <v>294.95</v>
      </c>
      <c r="I112" s="11"/>
      <c r="J112" s="11">
        <f t="shared" si="60"/>
        <v>284.33017953983659</v>
      </c>
      <c r="K112" s="17"/>
      <c r="L112" s="10"/>
      <c r="M112" s="14">
        <f t="shared" si="58"/>
        <v>2558.9716158585293</v>
      </c>
      <c r="N112" s="14"/>
      <c r="O112" s="14"/>
      <c r="P112" s="14"/>
      <c r="Q112" s="14"/>
      <c r="R112" s="14"/>
      <c r="S112" s="14">
        <f t="shared" si="59"/>
        <v>2558.9716158585293</v>
      </c>
      <c r="T112" s="14"/>
      <c r="U112" s="14"/>
      <c r="V112" s="14"/>
      <c r="W112" s="14"/>
      <c r="X112" s="39"/>
      <c r="Y112" s="10"/>
      <c r="Z112" s="39"/>
    </row>
    <row r="113" spans="2:26" x14ac:dyDescent="0.2">
      <c r="B113" s="15" t="s">
        <v>29</v>
      </c>
      <c r="C113" s="19"/>
      <c r="D113" s="119">
        <v>9</v>
      </c>
      <c r="E113" s="19" t="s">
        <v>64</v>
      </c>
      <c r="F113" s="19" t="s">
        <v>74</v>
      </c>
      <c r="G113" s="19">
        <v>-30</v>
      </c>
      <c r="H113" s="20">
        <f t="shared" si="61"/>
        <v>294.95</v>
      </c>
      <c r="I113" s="20"/>
      <c r="J113" s="20">
        <f t="shared" si="60"/>
        <v>350.46885819529984</v>
      </c>
      <c r="K113" s="21"/>
      <c r="L113" s="19"/>
      <c r="M113" s="16">
        <f t="shared" si="58"/>
        <v>3154.2197237576984</v>
      </c>
      <c r="N113" s="16"/>
      <c r="O113" s="16"/>
      <c r="P113" s="16"/>
      <c r="Q113" s="16"/>
      <c r="R113" s="16"/>
      <c r="S113" s="16">
        <f t="shared" si="59"/>
        <v>3154.2197237576984</v>
      </c>
      <c r="T113" s="16"/>
      <c r="U113" s="16"/>
      <c r="V113" s="16"/>
      <c r="W113" s="16"/>
      <c r="X113" s="39"/>
      <c r="Y113" s="10"/>
      <c r="Z113" s="39"/>
    </row>
    <row r="114" spans="2:26" x14ac:dyDescent="0.2">
      <c r="B114" s="9" t="s">
        <v>29</v>
      </c>
      <c r="C114" s="10"/>
      <c r="D114" s="18">
        <v>0</v>
      </c>
      <c r="E114" s="10" t="s">
        <v>75</v>
      </c>
      <c r="F114" s="10" t="s">
        <v>74</v>
      </c>
      <c r="G114" s="10">
        <v>-25</v>
      </c>
      <c r="H114" s="11">
        <f t="shared" si="61"/>
        <v>294.95</v>
      </c>
      <c r="I114" s="11"/>
      <c r="J114" s="11">
        <f t="shared" si="60"/>
        <v>357.08272606084614</v>
      </c>
      <c r="K114" s="17"/>
      <c r="L114" s="10"/>
      <c r="M114" s="14">
        <f t="shared" si="58"/>
        <v>0</v>
      </c>
      <c r="N114" s="14"/>
      <c r="O114" s="14"/>
      <c r="P114" s="14"/>
      <c r="Q114" s="14"/>
      <c r="R114" s="14"/>
      <c r="S114" s="14">
        <f t="shared" si="59"/>
        <v>0</v>
      </c>
      <c r="T114" s="14"/>
      <c r="U114" s="14"/>
      <c r="V114" s="14"/>
      <c r="W114" s="14"/>
      <c r="X114" s="39"/>
      <c r="Y114" s="10"/>
      <c r="Z114" s="39"/>
    </row>
    <row r="115" spans="2:26" x14ac:dyDescent="0.2">
      <c r="B115" s="15" t="s">
        <v>29</v>
      </c>
      <c r="C115" s="19"/>
      <c r="D115" s="50">
        <v>0</v>
      </c>
      <c r="E115" s="19" t="s">
        <v>65</v>
      </c>
      <c r="F115" s="19" t="s">
        <v>74</v>
      </c>
      <c r="G115" s="19">
        <v>-120</v>
      </c>
      <c r="H115" s="20">
        <f>H114</f>
        <v>294.95</v>
      </c>
      <c r="I115" s="20"/>
      <c r="J115" s="20">
        <f t="shared" si="60"/>
        <v>231.41923661546596</v>
      </c>
      <c r="K115" s="21"/>
      <c r="L115" s="19"/>
      <c r="M115" s="16">
        <f t="shared" si="58"/>
        <v>0</v>
      </c>
      <c r="N115" s="16"/>
      <c r="O115" s="16"/>
      <c r="P115" s="16"/>
      <c r="Q115" s="16"/>
      <c r="R115" s="16"/>
      <c r="S115" s="16">
        <f t="shared" si="59"/>
        <v>0</v>
      </c>
      <c r="T115" s="16"/>
      <c r="U115" s="16"/>
      <c r="V115" s="16"/>
      <c r="W115" s="16"/>
      <c r="X115" s="39"/>
      <c r="Y115" s="10"/>
      <c r="Z115" s="39"/>
    </row>
    <row r="116" spans="2:26" x14ac:dyDescent="0.2">
      <c r="B116" s="9" t="s">
        <v>29</v>
      </c>
      <c r="C116" s="10"/>
      <c r="D116" s="18">
        <v>0</v>
      </c>
      <c r="E116" s="10" t="s">
        <v>66</v>
      </c>
      <c r="F116" s="10" t="s">
        <v>74</v>
      </c>
      <c r="G116" s="10">
        <v>-150</v>
      </c>
      <c r="H116" s="11">
        <f>H115</f>
        <v>294.95</v>
      </c>
      <c r="I116" s="11"/>
      <c r="J116" s="11">
        <f t="shared" si="60"/>
        <v>191.73602942218801</v>
      </c>
      <c r="K116" s="17"/>
      <c r="L116" s="10"/>
      <c r="M116" s="14">
        <f t="shared" si="58"/>
        <v>0</v>
      </c>
      <c r="N116" s="14"/>
      <c r="O116" s="14"/>
      <c r="P116" s="14"/>
      <c r="Q116" s="14"/>
      <c r="R116" s="14"/>
      <c r="S116" s="14">
        <f t="shared" si="59"/>
        <v>0</v>
      </c>
      <c r="T116" s="14"/>
      <c r="U116" s="14"/>
      <c r="V116" s="14"/>
      <c r="W116" s="14"/>
      <c r="X116" s="39"/>
      <c r="Y116" s="10"/>
      <c r="Z116" s="39"/>
    </row>
    <row r="117" spans="2:26" x14ac:dyDescent="0.2">
      <c r="B117" s="15" t="s">
        <v>29</v>
      </c>
      <c r="C117" s="19"/>
      <c r="D117" s="50">
        <v>0</v>
      </c>
      <c r="E117" s="19" t="s">
        <v>67</v>
      </c>
      <c r="F117" s="19" t="s">
        <v>74</v>
      </c>
      <c r="G117" s="19">
        <v>-80</v>
      </c>
      <c r="H117" s="20">
        <f>H116</f>
        <v>294.95</v>
      </c>
      <c r="I117" s="20"/>
      <c r="J117" s="20">
        <f t="shared" si="60"/>
        <v>284.33017953983659</v>
      </c>
      <c r="K117" s="21"/>
      <c r="L117" s="19"/>
      <c r="M117" s="16">
        <f t="shared" si="58"/>
        <v>0</v>
      </c>
      <c r="N117" s="16"/>
      <c r="O117" s="16"/>
      <c r="P117" s="16"/>
      <c r="Q117" s="16"/>
      <c r="R117" s="16"/>
      <c r="S117" s="16">
        <f t="shared" si="59"/>
        <v>0</v>
      </c>
      <c r="T117" s="16"/>
      <c r="U117" s="16"/>
      <c r="V117" s="16"/>
      <c r="W117" s="16"/>
      <c r="X117" s="39"/>
      <c r="Y117" s="10"/>
      <c r="Z117" s="39"/>
    </row>
    <row r="118" spans="2:26" x14ac:dyDescent="0.2">
      <c r="B118" s="3" t="s">
        <v>36</v>
      </c>
      <c r="C118" s="3"/>
      <c r="D118" s="4">
        <f>SUM(D106:D117)</f>
        <v>36</v>
      </c>
      <c r="E118" s="5"/>
      <c r="F118" s="5"/>
      <c r="G118" s="5"/>
      <c r="H118" s="5"/>
      <c r="I118" s="5"/>
      <c r="J118" s="42"/>
      <c r="K118" s="5"/>
      <c r="L118" s="5"/>
      <c r="M118" s="7">
        <f t="shared" ref="M118:W118" si="62">SUM(M106:M117)</f>
        <v>12200.205219501375</v>
      </c>
      <c r="N118" s="7">
        <f t="shared" si="62"/>
        <v>0</v>
      </c>
      <c r="O118" s="7">
        <f t="shared" si="62"/>
        <v>0</v>
      </c>
      <c r="P118" s="7">
        <f t="shared" si="62"/>
        <v>0</v>
      </c>
      <c r="Q118" s="7">
        <f t="shared" si="62"/>
        <v>0</v>
      </c>
      <c r="R118" s="7">
        <f t="shared" si="62"/>
        <v>0</v>
      </c>
      <c r="S118" s="7">
        <f t="shared" si="62"/>
        <v>12200.205219501375</v>
      </c>
      <c r="T118" s="7">
        <f t="shared" si="62"/>
        <v>0</v>
      </c>
      <c r="U118" s="7">
        <f t="shared" si="62"/>
        <v>0</v>
      </c>
      <c r="V118" s="7">
        <f t="shared" si="62"/>
        <v>0</v>
      </c>
      <c r="W118" s="7">
        <f t="shared" si="62"/>
        <v>0</v>
      </c>
      <c r="X118" s="40"/>
      <c r="Y118" s="6"/>
      <c r="Z118" s="40"/>
    </row>
    <row r="120" spans="2:26" x14ac:dyDescent="0.2">
      <c r="B120" s="9" t="s">
        <v>96</v>
      </c>
    </row>
    <row r="122" spans="2:26" x14ac:dyDescent="0.2">
      <c r="B122" s="35" t="s">
        <v>49</v>
      </c>
      <c r="C122" s="36"/>
      <c r="D122" s="36"/>
      <c r="E122" s="36"/>
      <c r="F122" s="36"/>
      <c r="G122" s="36"/>
      <c r="H122" s="36"/>
      <c r="I122" s="36"/>
      <c r="J122" s="36"/>
    </row>
    <row r="123" spans="2:26" x14ac:dyDescent="0.2">
      <c r="D123" s="102">
        <f>37500/60*0.453592</f>
        <v>283.495</v>
      </c>
      <c r="E123" s="30"/>
      <c r="F123" s="30"/>
      <c r="N123" s="53"/>
      <c r="O123" s="53"/>
      <c r="P123" s="53"/>
      <c r="Q123" s="53"/>
      <c r="R123" s="53"/>
      <c r="S123" s="53"/>
      <c r="T123" s="53"/>
      <c r="U123" s="53"/>
      <c r="V123" s="53"/>
      <c r="W123" s="53"/>
    </row>
    <row r="124" spans="2:26" x14ac:dyDescent="0.2">
      <c r="B124" s="12" t="s">
        <v>16</v>
      </c>
      <c r="C124" s="8" t="s">
        <v>15</v>
      </c>
      <c r="D124" s="8" t="s">
        <v>14</v>
      </c>
      <c r="E124" s="8"/>
      <c r="F124" s="8"/>
      <c r="G124" s="8" t="s">
        <v>41</v>
      </c>
      <c r="H124" s="8" t="s">
        <v>22</v>
      </c>
      <c r="I124" s="8" t="s">
        <v>46</v>
      </c>
      <c r="J124" s="8" t="s">
        <v>45</v>
      </c>
      <c r="K124" s="8" t="s">
        <v>47</v>
      </c>
      <c r="L124" s="8" t="s">
        <v>44</v>
      </c>
      <c r="M124" s="27" t="s">
        <v>19</v>
      </c>
      <c r="N124" s="13">
        <f t="shared" ref="N124:W124" si="63">N49</f>
        <v>45536</v>
      </c>
      <c r="O124" s="13">
        <f t="shared" si="63"/>
        <v>45566</v>
      </c>
      <c r="P124" s="13">
        <f t="shared" si="63"/>
        <v>45597</v>
      </c>
      <c r="Q124" s="13">
        <f t="shared" si="63"/>
        <v>45627</v>
      </c>
      <c r="R124" s="13">
        <f t="shared" si="63"/>
        <v>45658</v>
      </c>
      <c r="S124" s="13">
        <f t="shared" si="63"/>
        <v>45689</v>
      </c>
      <c r="T124" s="13">
        <f t="shared" si="63"/>
        <v>45717</v>
      </c>
      <c r="U124" s="13">
        <f t="shared" si="63"/>
        <v>45748</v>
      </c>
      <c r="V124" s="13">
        <f t="shared" si="63"/>
        <v>45778</v>
      </c>
      <c r="W124" s="13" t="str">
        <f t="shared" si="63"/>
        <v>em aberto</v>
      </c>
      <c r="X124" s="38"/>
      <c r="Y124" s="38"/>
      <c r="Z124" s="38"/>
    </row>
    <row r="125" spans="2:26" x14ac:dyDescent="0.2">
      <c r="B125" s="9" t="s">
        <v>43</v>
      </c>
      <c r="C125" s="10" t="s">
        <v>40</v>
      </c>
      <c r="D125" s="18">
        <f t="shared" ref="D125:D131" si="64">$D$123*G125</f>
        <v>1304.077</v>
      </c>
      <c r="E125" s="18"/>
      <c r="F125" s="18"/>
      <c r="G125" s="11">
        <v>4.5999999999999996</v>
      </c>
      <c r="H125" s="11">
        <v>191.55</v>
      </c>
      <c r="I125" s="11">
        <v>241.4</v>
      </c>
      <c r="J125" s="10"/>
      <c r="K125" s="31">
        <v>5.2268999999999997</v>
      </c>
      <c r="L125" s="29">
        <v>45405</v>
      </c>
      <c r="M125" s="32">
        <f t="shared" ref="M125:M133" si="65">IF(J125&gt;0,(H125*J125-I125*K125)*$J$48*D125,(H125-I125)*$J$48*K125*D125)/K125</f>
        <v>-85991.179856045637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39"/>
      <c r="Y125" s="39"/>
      <c r="Z125" s="39"/>
    </row>
    <row r="126" spans="2:26" x14ac:dyDescent="0.2">
      <c r="B126" s="9" t="s">
        <v>42</v>
      </c>
      <c r="C126" s="10" t="s">
        <v>39</v>
      </c>
      <c r="D126" s="18">
        <f t="shared" si="64"/>
        <v>566.99</v>
      </c>
      <c r="E126" s="18"/>
      <c r="F126" s="18"/>
      <c r="G126" s="11">
        <v>2</v>
      </c>
      <c r="H126" s="11">
        <v>226.05</v>
      </c>
      <c r="I126" s="11">
        <v>239.9</v>
      </c>
      <c r="J126" s="10"/>
      <c r="K126" s="31">
        <v>5.4650999999999996</v>
      </c>
      <c r="L126" s="29">
        <v>45520</v>
      </c>
      <c r="M126" s="32">
        <f t="shared" si="65"/>
        <v>-10387.491526808526</v>
      </c>
      <c r="N126" s="10"/>
      <c r="O126" s="10"/>
      <c r="P126" s="33"/>
      <c r="Q126" s="10"/>
      <c r="R126" s="10"/>
      <c r="S126" s="10"/>
      <c r="T126" s="10"/>
      <c r="U126" s="10"/>
      <c r="V126" s="10"/>
      <c r="W126" s="10"/>
      <c r="X126" s="39"/>
      <c r="Y126" s="39"/>
      <c r="Z126" s="39"/>
    </row>
    <row r="127" spans="2:26" x14ac:dyDescent="0.2">
      <c r="B127" s="9" t="s">
        <v>42</v>
      </c>
      <c r="C127" s="10">
        <v>507185025</v>
      </c>
      <c r="D127" s="18">
        <f t="shared" si="64"/>
        <v>3118.4450000000002</v>
      </c>
      <c r="E127" s="18"/>
      <c r="F127" s="18"/>
      <c r="G127" s="11">
        <v>11</v>
      </c>
      <c r="H127" s="11">
        <v>183.6</v>
      </c>
      <c r="I127" s="10">
        <v>263.55</v>
      </c>
      <c r="J127" s="10">
        <v>4.9850000000000003</v>
      </c>
      <c r="K127" s="31">
        <v>5.7694000000000001</v>
      </c>
      <c r="L127" s="29">
        <v>45608</v>
      </c>
      <c r="M127" s="32">
        <f t="shared" si="65"/>
        <v>-432761.70218788477</v>
      </c>
      <c r="N127" s="18"/>
      <c r="O127" s="10"/>
      <c r="P127" s="33">
        <f>M127</f>
        <v>-432761.70218788477</v>
      </c>
      <c r="Q127" s="10"/>
      <c r="R127" s="10"/>
      <c r="S127" s="10"/>
      <c r="T127" s="10"/>
      <c r="U127" s="10"/>
      <c r="V127" s="10"/>
      <c r="W127" s="10"/>
      <c r="X127" s="39"/>
      <c r="Y127" s="39"/>
      <c r="Z127" s="39"/>
    </row>
    <row r="128" spans="2:26" x14ac:dyDescent="0.2">
      <c r="B128" s="9" t="s">
        <v>42</v>
      </c>
      <c r="C128" s="10">
        <v>507224803</v>
      </c>
      <c r="D128" s="18">
        <f t="shared" si="64"/>
        <v>5102.91</v>
      </c>
      <c r="E128" s="18"/>
      <c r="F128" s="18"/>
      <c r="G128" s="11">
        <v>18</v>
      </c>
      <c r="H128" s="11">
        <v>158.4</v>
      </c>
      <c r="I128" s="10">
        <v>263.55</v>
      </c>
      <c r="J128" s="10">
        <v>4.9850000000000003</v>
      </c>
      <c r="K128" s="31">
        <v>5.7694000000000001</v>
      </c>
      <c r="L128" s="29">
        <v>45608</v>
      </c>
      <c r="M128" s="32">
        <f t="shared" si="65"/>
        <v>-855128.82156275644</v>
      </c>
      <c r="N128" s="18"/>
      <c r="O128" s="10"/>
      <c r="P128" s="33">
        <f>M128</f>
        <v>-855128.82156275644</v>
      </c>
      <c r="Q128" s="10"/>
      <c r="R128" s="10"/>
      <c r="S128" s="10"/>
      <c r="T128" s="10"/>
      <c r="U128" s="10"/>
      <c r="V128" s="10"/>
      <c r="W128" s="10"/>
      <c r="X128" s="39"/>
      <c r="Y128" s="39"/>
      <c r="Z128" s="39"/>
    </row>
    <row r="129" spans="2:27" x14ac:dyDescent="0.2">
      <c r="B129" s="9" t="s">
        <v>43</v>
      </c>
      <c r="C129" s="10">
        <v>43136</v>
      </c>
      <c r="D129" s="18">
        <f t="shared" si="64"/>
        <v>640.69869999999992</v>
      </c>
      <c r="E129" s="18"/>
      <c r="F129" s="18"/>
      <c r="G129" s="11">
        <v>2.2599999999999998</v>
      </c>
      <c r="H129" s="11">
        <v>245</v>
      </c>
      <c r="I129" s="10">
        <v>251.05</v>
      </c>
      <c r="J129" s="10"/>
      <c r="K129" s="31">
        <v>5.726</v>
      </c>
      <c r="L129" s="29">
        <v>45615</v>
      </c>
      <c r="M129" s="32">
        <f t="shared" si="65"/>
        <v>-5127.3708175470501</v>
      </c>
      <c r="N129" s="18"/>
      <c r="O129" s="10"/>
      <c r="P129" s="33">
        <f>M129</f>
        <v>-5127.3708175470501</v>
      </c>
      <c r="Q129" s="10"/>
      <c r="R129" s="10"/>
      <c r="S129" s="10"/>
      <c r="T129" s="10"/>
      <c r="U129" s="10"/>
      <c r="V129" s="10"/>
      <c r="W129" s="10"/>
      <c r="X129" s="39"/>
      <c r="Y129" s="39"/>
      <c r="Z129" s="39"/>
    </row>
    <row r="130" spans="2:27" x14ac:dyDescent="0.2">
      <c r="B130" s="9" t="s">
        <v>43</v>
      </c>
      <c r="C130" s="10">
        <v>44564</v>
      </c>
      <c r="D130" s="18">
        <f t="shared" si="64"/>
        <v>320.34934999999996</v>
      </c>
      <c r="E130" s="18"/>
      <c r="F130" s="18"/>
      <c r="G130" s="11">
        <v>1.1299999999999999</v>
      </c>
      <c r="H130" s="11">
        <v>231.1</v>
      </c>
      <c r="I130" s="10">
        <v>251.05</v>
      </c>
      <c r="J130" s="10"/>
      <c r="K130" s="31">
        <v>5.726</v>
      </c>
      <c r="L130" s="29">
        <v>45615</v>
      </c>
      <c r="M130" s="32">
        <f t="shared" si="65"/>
        <v>-8453.8056041374839</v>
      </c>
      <c r="N130" s="18"/>
      <c r="O130" s="10"/>
      <c r="P130" s="33">
        <f>M130</f>
        <v>-8453.8056041374839</v>
      </c>
      <c r="Q130" s="10"/>
      <c r="R130" s="10"/>
      <c r="S130" s="10"/>
      <c r="T130" s="10"/>
      <c r="U130" s="10"/>
      <c r="V130" s="10"/>
      <c r="W130" s="10"/>
      <c r="X130" s="39"/>
      <c r="Y130" s="39"/>
      <c r="Z130" s="39"/>
    </row>
    <row r="131" spans="2:27" x14ac:dyDescent="0.2">
      <c r="B131" s="9" t="s">
        <v>43</v>
      </c>
      <c r="C131" s="10">
        <v>47900</v>
      </c>
      <c r="D131" s="18">
        <f t="shared" si="64"/>
        <v>640.69869999999992</v>
      </c>
      <c r="E131" s="18"/>
      <c r="F131" s="18"/>
      <c r="G131" s="11">
        <v>2.2599999999999998</v>
      </c>
      <c r="H131" s="11">
        <v>243.16</v>
      </c>
      <c r="I131" s="10">
        <v>280.75</v>
      </c>
      <c r="J131" s="10"/>
      <c r="K131" s="31">
        <v>5.7603</v>
      </c>
      <c r="L131" s="29">
        <v>45615</v>
      </c>
      <c r="M131" s="32">
        <f t="shared" si="65"/>
        <v>-31857.499013486486</v>
      </c>
      <c r="N131" s="18"/>
      <c r="O131" s="10"/>
      <c r="P131" s="33">
        <f>M131</f>
        <v>-31857.499013486486</v>
      </c>
      <c r="Q131" s="10"/>
      <c r="R131" s="10"/>
      <c r="S131" s="10"/>
      <c r="T131" s="10"/>
      <c r="U131" s="10"/>
      <c r="V131" s="10"/>
      <c r="W131" s="10"/>
      <c r="X131" s="39"/>
      <c r="Y131" s="39"/>
      <c r="Z131" s="39"/>
    </row>
    <row r="132" spans="2:27" x14ac:dyDescent="0.2">
      <c r="B132" s="9" t="s">
        <v>43</v>
      </c>
      <c r="C132" s="10">
        <v>61454</v>
      </c>
      <c r="D132" s="18">
        <f>$D$123*G132</f>
        <v>961.0480500000001</v>
      </c>
      <c r="E132" s="18"/>
      <c r="F132" s="18"/>
      <c r="G132" s="11">
        <f>127125/37500</f>
        <v>3.39</v>
      </c>
      <c r="H132" s="11">
        <v>293.60000000000002</v>
      </c>
      <c r="I132" s="11">
        <v>321.10000000000002</v>
      </c>
      <c r="J132" s="10"/>
      <c r="K132" s="31">
        <v>6.1725000000000003</v>
      </c>
      <c r="L132" s="29">
        <v>45708</v>
      </c>
      <c r="M132" s="32">
        <f t="shared" si="65"/>
        <v>-34959.34648327528</v>
      </c>
      <c r="N132" s="103"/>
      <c r="O132" s="10"/>
      <c r="P132" s="33"/>
      <c r="Q132" s="33">
        <f>M132</f>
        <v>-34959.34648327528</v>
      </c>
      <c r="R132" s="10"/>
      <c r="S132" s="33"/>
      <c r="T132" s="33"/>
      <c r="U132" s="10"/>
      <c r="V132" s="10"/>
      <c r="W132" s="10"/>
      <c r="X132" s="39"/>
      <c r="Y132" s="39"/>
      <c r="Z132" s="39"/>
    </row>
    <row r="133" spans="2:27" x14ac:dyDescent="0.2">
      <c r="B133" s="9" t="s">
        <v>43</v>
      </c>
      <c r="C133" s="10">
        <v>47898</v>
      </c>
      <c r="D133" s="18">
        <f t="shared" ref="D133" si="66">$D$123*G133</f>
        <v>320.34934999999996</v>
      </c>
      <c r="E133" s="18"/>
      <c r="F133" s="18"/>
      <c r="G133" s="11">
        <v>1.1299999999999999</v>
      </c>
      <c r="H133" s="11">
        <v>240.91</v>
      </c>
      <c r="I133" s="11">
        <v>329</v>
      </c>
      <c r="J133" s="10"/>
      <c r="K133" s="31">
        <v>6.08</v>
      </c>
      <c r="L133" s="29">
        <v>45708</v>
      </c>
      <c r="M133" s="32">
        <f t="shared" si="65"/>
        <v>-37328.107051051134</v>
      </c>
      <c r="N133" s="103"/>
      <c r="O133" s="10"/>
      <c r="P133" s="33"/>
      <c r="Q133" s="33">
        <f>M133</f>
        <v>-37328.107051051134</v>
      </c>
      <c r="R133" s="10"/>
      <c r="S133" s="33"/>
      <c r="T133" s="33"/>
      <c r="U133" s="10"/>
      <c r="V133" s="10"/>
      <c r="W133" s="10"/>
      <c r="X133" s="39"/>
      <c r="Y133" s="39"/>
      <c r="Z133" s="39"/>
    </row>
    <row r="134" spans="2:27" x14ac:dyDescent="0.2">
      <c r="B134" s="3" t="s">
        <v>51</v>
      </c>
      <c r="C134" s="3"/>
      <c r="D134" s="4">
        <f>SUM(D125:D131)</f>
        <v>11694.168750000001</v>
      </c>
      <c r="E134" s="4"/>
      <c r="F134" s="4"/>
      <c r="G134" s="5"/>
      <c r="H134" s="5"/>
      <c r="I134" s="5"/>
      <c r="J134" s="5"/>
      <c r="K134" s="5"/>
      <c r="L134" s="5"/>
      <c r="M134" s="7">
        <f>SUM(M127:M133)</f>
        <v>-1405616.6527201387</v>
      </c>
      <c r="N134" s="7">
        <f>SUM(N125:N133)</f>
        <v>0</v>
      </c>
      <c r="O134" s="7">
        <f>SUM(O125:O133)</f>
        <v>0</v>
      </c>
      <c r="P134" s="7">
        <f>SUM(P125:P133)</f>
        <v>-1333329.1991858121</v>
      </c>
      <c r="Q134" s="7">
        <f>SUM(Q125:Q133)</f>
        <v>-72287.453534326414</v>
      </c>
      <c r="R134" s="7">
        <f t="shared" ref="R134:W134" si="67">SUM(R125:R132)</f>
        <v>0</v>
      </c>
      <c r="S134" s="7">
        <f t="shared" si="67"/>
        <v>0</v>
      </c>
      <c r="T134" s="7">
        <f t="shared" si="67"/>
        <v>0</v>
      </c>
      <c r="U134" s="7">
        <f t="shared" si="67"/>
        <v>0</v>
      </c>
      <c r="V134" s="7">
        <f t="shared" si="67"/>
        <v>0</v>
      </c>
      <c r="W134" s="7">
        <f t="shared" si="67"/>
        <v>0</v>
      </c>
      <c r="X134" s="39"/>
      <c r="Y134" s="39"/>
      <c r="Z134" s="39"/>
    </row>
    <row r="135" spans="2:27" x14ac:dyDescent="0.2">
      <c r="B135" s="1"/>
      <c r="C135" s="1"/>
      <c r="D135" s="2"/>
      <c r="E135" s="2"/>
      <c r="F135" s="2"/>
      <c r="G135" s="6"/>
      <c r="H135" s="6"/>
      <c r="I135" s="6"/>
      <c r="J135" s="6"/>
      <c r="K135" s="18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</row>
    <row r="136" spans="2:27" x14ac:dyDescent="0.2">
      <c r="B136" s="35" t="s">
        <v>50</v>
      </c>
      <c r="C136" s="37"/>
      <c r="D136" s="37"/>
      <c r="E136" s="37"/>
      <c r="F136" s="37"/>
      <c r="G136" s="37"/>
      <c r="H136" s="37"/>
      <c r="I136" s="36"/>
      <c r="J136" s="37"/>
      <c r="L136" s="29"/>
      <c r="M136" s="32"/>
      <c r="N136" s="10"/>
      <c r="O136" s="10"/>
      <c r="P136" s="33"/>
      <c r="Q136" s="10"/>
      <c r="R136" s="10"/>
      <c r="S136" s="10"/>
      <c r="T136" s="10"/>
      <c r="U136" s="10"/>
      <c r="V136" s="10"/>
      <c r="W136" s="10"/>
      <c r="X136" s="39"/>
      <c r="Y136" s="39"/>
      <c r="Z136" s="39"/>
    </row>
    <row r="137" spans="2:27" x14ac:dyDescent="0.2">
      <c r="C137" s="10"/>
      <c r="D137" s="18"/>
      <c r="E137" s="18"/>
      <c r="F137" s="18"/>
      <c r="G137" s="11"/>
      <c r="H137" s="10"/>
      <c r="I137" s="10"/>
      <c r="J137" s="10"/>
      <c r="K137" s="10"/>
      <c r="L137" s="29"/>
      <c r="M137" s="32"/>
      <c r="N137" s="10"/>
      <c r="O137" s="10"/>
      <c r="P137" s="33"/>
      <c r="Q137" s="10"/>
      <c r="R137" s="10"/>
      <c r="S137" s="10"/>
      <c r="T137" s="10"/>
      <c r="U137" s="10"/>
      <c r="V137" s="10"/>
      <c r="W137" s="10"/>
      <c r="X137" s="39"/>
      <c r="Y137" s="39"/>
      <c r="Z137" s="39"/>
    </row>
    <row r="138" spans="2:27" x14ac:dyDescent="0.2">
      <c r="B138" s="9" t="s">
        <v>43</v>
      </c>
      <c r="C138" s="10">
        <v>47898</v>
      </c>
      <c r="D138" s="18">
        <f t="shared" ref="D138:D142" si="68">$D$123*G138</f>
        <v>1281.3974000000001</v>
      </c>
      <c r="E138" s="18"/>
      <c r="F138" s="18"/>
      <c r="G138" s="11">
        <f>5.65-G133</f>
        <v>4.5200000000000005</v>
      </c>
      <c r="H138" s="11">
        <v>240.91</v>
      </c>
      <c r="I138" s="11">
        <f>C5</f>
        <v>328.35</v>
      </c>
      <c r="J138" s="10"/>
      <c r="K138" s="31">
        <f>$C$31</f>
        <v>6</v>
      </c>
      <c r="L138" s="29">
        <v>45708</v>
      </c>
      <c r="M138" s="32">
        <f>IF(J138&gt;0,(H138*J138-I138*K138)*$J$48*D138,(H138-I138)*$J$48*K138*D138)/K138</f>
        <v>-148210.67910291351</v>
      </c>
      <c r="N138" s="10"/>
      <c r="O138" s="10"/>
      <c r="P138" s="10"/>
      <c r="Q138" s="10"/>
      <c r="R138" s="10"/>
      <c r="S138" s="33">
        <f>M138</f>
        <v>-148210.67910291351</v>
      </c>
      <c r="T138" s="10"/>
      <c r="U138" s="10"/>
      <c r="V138" s="10"/>
      <c r="W138" s="10"/>
      <c r="X138" s="39"/>
      <c r="Y138" s="39"/>
      <c r="Z138" s="39"/>
    </row>
    <row r="139" spans="2:27" x14ac:dyDescent="0.2">
      <c r="B139" s="9" t="s">
        <v>43</v>
      </c>
      <c r="C139" s="10">
        <v>47899</v>
      </c>
      <c r="D139" s="18">
        <f t="shared" si="68"/>
        <v>640.69869999999992</v>
      </c>
      <c r="E139" s="18"/>
      <c r="F139" s="18"/>
      <c r="G139" s="11">
        <v>2.2599999999999998</v>
      </c>
      <c r="H139" s="11">
        <v>238.17</v>
      </c>
      <c r="I139" s="11">
        <f>D5</f>
        <v>324.60000000000002</v>
      </c>
      <c r="J139" s="10"/>
      <c r="K139" s="31">
        <f>$C$31</f>
        <v>6</v>
      </c>
      <c r="L139" s="29">
        <v>45769</v>
      </c>
      <c r="M139" s="32">
        <f>IF(J139&gt;0,(H139*J139-I139*K139)*$J$48*D139,(H139-I139)*$J$48*K139*D139)/K139</f>
        <v>-73249.365249684444</v>
      </c>
      <c r="N139" s="10"/>
      <c r="O139" s="10"/>
      <c r="P139" s="10"/>
      <c r="Q139" s="10"/>
      <c r="R139" s="10"/>
      <c r="S139" s="10"/>
      <c r="T139" s="10"/>
      <c r="U139" s="33">
        <f>M139</f>
        <v>-73249.365249684444</v>
      </c>
      <c r="V139" s="10"/>
      <c r="W139" s="10"/>
      <c r="X139" s="39"/>
      <c r="Y139" s="39"/>
      <c r="Z139" s="39"/>
    </row>
    <row r="140" spans="2:27" x14ac:dyDescent="0.2">
      <c r="B140" s="9" t="s">
        <v>43</v>
      </c>
      <c r="C140" s="10">
        <v>25852</v>
      </c>
      <c r="D140" s="18">
        <f t="shared" si="68"/>
        <v>5017.8615</v>
      </c>
      <c r="E140" s="18"/>
      <c r="F140" s="18"/>
      <c r="G140" s="11">
        <v>17.7</v>
      </c>
      <c r="H140" s="11">
        <v>179</v>
      </c>
      <c r="I140" s="11">
        <f>G5</f>
        <v>294.95</v>
      </c>
      <c r="J140" s="10"/>
      <c r="K140" s="31">
        <f>$C$31</f>
        <v>6</v>
      </c>
      <c r="L140" s="29">
        <v>45973</v>
      </c>
      <c r="M140" s="32">
        <f>IF(J140&gt;0,(H140*J140-I140*K140)*$J$48*D140,(H140-I140)*$J$48*K140*D140)/K140</f>
        <v>-769617.49721451418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33">
        <f>M140</f>
        <v>-769617.49721451418</v>
      </c>
      <c r="X140" s="39"/>
      <c r="Y140" s="39"/>
      <c r="Z140" s="39"/>
    </row>
    <row r="141" spans="2:27" x14ac:dyDescent="0.2">
      <c r="B141" s="9" t="s">
        <v>42</v>
      </c>
      <c r="C141" s="10">
        <v>507931308</v>
      </c>
      <c r="D141" s="18">
        <f t="shared" si="68"/>
        <v>1984.4650000000001</v>
      </c>
      <c r="E141" s="18"/>
      <c r="F141" s="18"/>
      <c r="G141" s="11">
        <v>7</v>
      </c>
      <c r="H141" s="11">
        <v>196.1</v>
      </c>
      <c r="I141" s="11">
        <f>I140</f>
        <v>294.95</v>
      </c>
      <c r="J141" s="10"/>
      <c r="K141" s="31">
        <f>$C$31</f>
        <v>6</v>
      </c>
      <c r="L141" s="29">
        <v>45973</v>
      </c>
      <c r="M141" s="32">
        <f>IF(J141&gt;0,(H141*J141-I141*K141)*$J$48*D141,(H141-I141)*$J$48*K141*D141)/K141</f>
        <v>-259481.03833845351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33">
        <f>M141</f>
        <v>-259481.03833845351</v>
      </c>
      <c r="X141" s="39"/>
      <c r="Y141" s="39"/>
      <c r="Z141" s="39"/>
    </row>
    <row r="142" spans="2:27" x14ac:dyDescent="0.2">
      <c r="B142" s="9" t="s">
        <v>43</v>
      </c>
      <c r="C142" s="10">
        <v>47616</v>
      </c>
      <c r="D142" s="18">
        <f t="shared" si="68"/>
        <v>3005.047</v>
      </c>
      <c r="E142" s="18"/>
      <c r="F142" s="18"/>
      <c r="G142" s="11">
        <v>10.6</v>
      </c>
      <c r="H142" s="11">
        <v>222.2</v>
      </c>
      <c r="I142" s="11">
        <f>I141</f>
        <v>294.95</v>
      </c>
      <c r="J142" s="10"/>
      <c r="K142" s="31">
        <f>$C$31</f>
        <v>6</v>
      </c>
      <c r="L142" s="29">
        <v>45980</v>
      </c>
      <c r="M142" s="32">
        <f>IF(J142&gt;0,(H142*J142-I142*K142)*$J$48*D142,(H142-I142)*$J$48*K142*D142)/K142</f>
        <v>-289181.01411185553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33">
        <f>M142</f>
        <v>-289181.01411185553</v>
      </c>
      <c r="X142" s="39"/>
      <c r="Y142" s="39"/>
      <c r="Z142" s="39"/>
    </row>
    <row r="143" spans="2:27" x14ac:dyDescent="0.2">
      <c r="B143" s="3" t="s">
        <v>52</v>
      </c>
      <c r="C143" s="3"/>
      <c r="D143" s="4">
        <f>SUM(D138:D142)</f>
        <v>11929.4696</v>
      </c>
      <c r="E143" s="4"/>
      <c r="F143" s="4"/>
      <c r="G143" s="5"/>
      <c r="H143" s="5"/>
      <c r="I143" s="41"/>
      <c r="J143" s="5"/>
      <c r="K143" s="5"/>
      <c r="L143" s="5"/>
      <c r="M143" s="7">
        <f>SUM(M138:M142)</f>
        <v>-1539739.5940174211</v>
      </c>
      <c r="N143" s="7">
        <f>SUM(N138:N142)</f>
        <v>0</v>
      </c>
      <c r="O143" s="7">
        <f t="shared" ref="O143:W143" si="69">SUM(O138:O142)</f>
        <v>0</v>
      </c>
      <c r="P143" s="7">
        <f t="shared" si="69"/>
        <v>0</v>
      </c>
      <c r="Q143" s="7">
        <f t="shared" si="69"/>
        <v>0</v>
      </c>
      <c r="R143" s="7">
        <f t="shared" si="69"/>
        <v>0</v>
      </c>
      <c r="S143" s="7">
        <f t="shared" si="69"/>
        <v>-148210.67910291351</v>
      </c>
      <c r="T143" s="7">
        <f t="shared" si="69"/>
        <v>0</v>
      </c>
      <c r="U143" s="7">
        <f t="shared" si="69"/>
        <v>-73249.365249684444</v>
      </c>
      <c r="V143" s="7">
        <f t="shared" si="69"/>
        <v>0</v>
      </c>
      <c r="W143" s="7">
        <f t="shared" si="69"/>
        <v>-1318279.5496648233</v>
      </c>
      <c r="X143" s="39"/>
      <c r="Y143" s="39"/>
      <c r="Z143" s="39"/>
    </row>
    <row r="144" spans="2:27" x14ac:dyDescent="0.2">
      <c r="L144" s="1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39"/>
      <c r="Z144" s="39"/>
      <c r="AA144" s="39"/>
    </row>
    <row r="145" spans="2:27" x14ac:dyDescent="0.2">
      <c r="B145" s="9" t="s">
        <v>57</v>
      </c>
      <c r="Y145" s="39"/>
      <c r="Z145" s="39"/>
      <c r="AA145" s="39"/>
    </row>
    <row r="146" spans="2:27" x14ac:dyDescent="0.2">
      <c r="Y146" s="39"/>
      <c r="Z146" s="39"/>
      <c r="AA146" s="39"/>
    </row>
    <row r="147" spans="2:27" x14ac:dyDescent="0.2">
      <c r="Y147" s="39"/>
      <c r="Z147" s="39"/>
      <c r="AA147" s="39"/>
    </row>
    <row r="148" spans="2:27" x14ac:dyDescent="0.2">
      <c r="I148" s="34"/>
      <c r="J148" s="34"/>
      <c r="Y148" s="39"/>
      <c r="Z148" s="39"/>
      <c r="AA148" s="39"/>
    </row>
    <row r="149" spans="2:27" x14ac:dyDescent="0.2">
      <c r="J149" s="34"/>
      <c r="Y149" s="39"/>
      <c r="Z149" s="39"/>
      <c r="AA149" s="39"/>
    </row>
    <row r="150" spans="2:27" x14ac:dyDescent="0.2">
      <c r="Y150" s="39"/>
      <c r="Z150" s="39"/>
      <c r="AA150" s="39"/>
    </row>
    <row r="151" spans="2:27" x14ac:dyDescent="0.2">
      <c r="Y151" s="39"/>
      <c r="Z151" s="39"/>
      <c r="AA151" s="39"/>
    </row>
    <row r="152" spans="2:27" x14ac:dyDescent="0.2">
      <c r="Y152" s="39"/>
      <c r="Z152" s="39"/>
      <c r="AA152" s="39"/>
    </row>
    <row r="153" spans="2:27" x14ac:dyDescent="0.2">
      <c r="Y153" s="39"/>
      <c r="Z153" s="39"/>
      <c r="AA153" s="39"/>
    </row>
    <row r="154" spans="2:27" x14ac:dyDescent="0.2">
      <c r="Y154" s="39"/>
      <c r="Z154" s="39"/>
      <c r="AA154" s="39"/>
    </row>
    <row r="155" spans="2:27" x14ac:dyDescent="0.2">
      <c r="Y155" s="39"/>
      <c r="Z155" s="39"/>
      <c r="AA155" s="39"/>
    </row>
    <row r="156" spans="2:27" x14ac:dyDescent="0.2">
      <c r="Y156" s="39"/>
      <c r="Z156" s="39"/>
      <c r="AA156" s="39"/>
    </row>
    <row r="157" spans="2:27" x14ac:dyDescent="0.2">
      <c r="Y157" s="39"/>
      <c r="Z157" s="39"/>
      <c r="AA157" s="39"/>
    </row>
    <row r="158" spans="2:27" x14ac:dyDescent="0.2">
      <c r="Y158" s="39"/>
      <c r="Z158" s="39"/>
      <c r="AA158" s="39"/>
    </row>
    <row r="159" spans="2:27" x14ac:dyDescent="0.2">
      <c r="Y159" s="39"/>
      <c r="Z159" s="39"/>
      <c r="AA159" s="39"/>
    </row>
    <row r="160" spans="2:27" x14ac:dyDescent="0.2">
      <c r="Y160" s="39"/>
      <c r="Z160" s="39"/>
      <c r="AA160" s="39"/>
    </row>
    <row r="161" spans="25:27" x14ac:dyDescent="0.2">
      <c r="Y161" s="40"/>
      <c r="Z161" s="40"/>
      <c r="AA161" s="40"/>
    </row>
    <row r="162" spans="25:27" x14ac:dyDescent="0.2">
      <c r="Y162" s="40"/>
      <c r="Z162" s="40"/>
      <c r="AA162" s="40"/>
    </row>
  </sheetData>
  <pageMargins left="0.7" right="0.7" top="0.75" bottom="0.75" header="0.3" footer="0.3"/>
  <pageSetup paperSize="9" scale="36" fitToHeight="4" orientation="landscape" horizontalDpi="0" verticalDpi="0"/>
  <ignoredErrors>
    <ignoredError sqref="N13 E37 E17 E34 E36 K26:T26 E28" formula="1"/>
    <ignoredError sqref="N64:P64 N83:W83" formulaRange="1"/>
    <ignoredError sqref="AB66" evalError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9917-84FB-F147-BB26-F7F885938BB7}">
  <dimension ref="B2:P38"/>
  <sheetViews>
    <sheetView workbookViewId="0">
      <selection activeCell="B42" sqref="B42:B44"/>
    </sheetView>
  </sheetViews>
  <sheetFormatPr baseColWidth="10" defaultRowHeight="14" x14ac:dyDescent="0.2"/>
  <cols>
    <col min="1" max="1" width="10.83203125" style="142"/>
    <col min="2" max="2" width="13" style="143" customWidth="1"/>
    <col min="3" max="3" width="15" style="143" customWidth="1"/>
    <col min="4" max="4" width="15" style="151" customWidth="1"/>
    <col min="5" max="5" width="20.83203125" style="143" customWidth="1"/>
    <col min="6" max="6" width="15" style="145" customWidth="1"/>
    <col min="7" max="7" width="15" style="147" customWidth="1"/>
    <col min="8" max="8" width="15" style="143" customWidth="1"/>
    <col min="9" max="10" width="15" style="147" customWidth="1"/>
    <col min="11" max="11" width="15" style="143" customWidth="1"/>
    <col min="12" max="12" width="17.5" style="147" customWidth="1"/>
    <col min="13" max="13" width="10.1640625" style="147" customWidth="1"/>
    <col min="14" max="16384" width="10.83203125" style="142"/>
  </cols>
  <sheetData>
    <row r="2" spans="2:16" x14ac:dyDescent="0.2">
      <c r="B2" s="8" t="s">
        <v>174</v>
      </c>
      <c r="C2" s="8" t="s">
        <v>175</v>
      </c>
      <c r="D2" s="8" t="s">
        <v>176</v>
      </c>
      <c r="E2" s="8" t="s">
        <v>192</v>
      </c>
      <c r="F2" s="144" t="s">
        <v>177</v>
      </c>
      <c r="G2" s="146" t="s">
        <v>178</v>
      </c>
      <c r="H2" s="8" t="s">
        <v>179</v>
      </c>
      <c r="I2" s="146" t="s">
        <v>180</v>
      </c>
      <c r="J2" s="146" t="s">
        <v>181</v>
      </c>
      <c r="K2" s="8" t="s">
        <v>182</v>
      </c>
      <c r="L2" s="150" t="s">
        <v>205</v>
      </c>
      <c r="M2" s="150" t="s">
        <v>209</v>
      </c>
      <c r="O2" s="142" t="s">
        <v>176</v>
      </c>
      <c r="P2" s="143" t="s">
        <v>206</v>
      </c>
    </row>
    <row r="3" spans="2:16" x14ac:dyDescent="0.2">
      <c r="B3" s="143" t="s">
        <v>28</v>
      </c>
      <c r="C3" s="143" t="s">
        <v>210</v>
      </c>
      <c r="D3" s="151" t="s">
        <v>195</v>
      </c>
      <c r="E3" s="143" t="s">
        <v>220</v>
      </c>
      <c r="F3" s="145">
        <v>45653</v>
      </c>
      <c r="G3" s="147">
        <v>9346.66</v>
      </c>
      <c r="H3" s="143">
        <v>533</v>
      </c>
      <c r="I3" s="147">
        <v>320</v>
      </c>
      <c r="J3" s="147">
        <f>G3/I3</f>
        <v>29.208312499999998</v>
      </c>
      <c r="K3" s="143" t="s">
        <v>211</v>
      </c>
      <c r="L3" s="147">
        <f>VLOOKUP(D3,$O$3:$P$12,2,0)</f>
        <v>29.7</v>
      </c>
      <c r="M3" s="147">
        <f>L3-J3</f>
        <v>0.49168750000000117</v>
      </c>
      <c r="O3" s="142" t="s">
        <v>195</v>
      </c>
      <c r="P3" s="147">
        <v>29.7</v>
      </c>
    </row>
    <row r="4" spans="2:16" x14ac:dyDescent="0.2">
      <c r="B4" s="19" t="s">
        <v>11</v>
      </c>
      <c r="C4" s="19" t="s">
        <v>213</v>
      </c>
      <c r="D4" s="152" t="s">
        <v>203</v>
      </c>
      <c r="E4" s="19" t="s">
        <v>221</v>
      </c>
      <c r="F4" s="149">
        <v>45595</v>
      </c>
      <c r="G4" s="148">
        <v>150</v>
      </c>
      <c r="H4" s="19">
        <v>98424</v>
      </c>
      <c r="I4" s="148">
        <v>320</v>
      </c>
      <c r="J4" s="148">
        <f t="shared" ref="J4:J34" si="0">G4/I4</f>
        <v>0.46875</v>
      </c>
      <c r="K4" s="19" t="s">
        <v>212</v>
      </c>
      <c r="L4" s="148">
        <f>VLOOKUP(D4,$O$3:$P$12,2,0)</f>
        <v>0.45</v>
      </c>
      <c r="M4" s="148">
        <f t="shared" ref="M4:M6" si="1">L4-J4</f>
        <v>-1.8749999999999989E-2</v>
      </c>
      <c r="O4" s="142" t="s">
        <v>196</v>
      </c>
      <c r="P4" s="147">
        <v>7</v>
      </c>
    </row>
    <row r="5" spans="2:16" x14ac:dyDescent="0.2">
      <c r="B5" s="143" t="s">
        <v>12</v>
      </c>
      <c r="C5" s="143" t="s">
        <v>213</v>
      </c>
      <c r="D5" s="151" t="s">
        <v>203</v>
      </c>
      <c r="E5" s="143" t="s">
        <v>221</v>
      </c>
      <c r="F5" s="145">
        <v>45595</v>
      </c>
      <c r="G5" s="147">
        <v>150</v>
      </c>
      <c r="H5" s="143">
        <v>98424</v>
      </c>
      <c r="I5" s="147">
        <v>320</v>
      </c>
      <c r="J5" s="147">
        <f t="shared" si="0"/>
        <v>0.46875</v>
      </c>
      <c r="K5" s="143" t="s">
        <v>212</v>
      </c>
      <c r="L5" s="147">
        <f>VLOOKUP(D5,$O$3:$P$12,2,0)</f>
        <v>0.45</v>
      </c>
      <c r="M5" s="147">
        <f t="shared" si="1"/>
        <v>-1.8749999999999989E-2</v>
      </c>
      <c r="O5" s="142" t="s">
        <v>197</v>
      </c>
      <c r="P5" s="147">
        <v>9</v>
      </c>
    </row>
    <row r="6" spans="2:16" x14ac:dyDescent="0.2">
      <c r="B6" s="19" t="s">
        <v>10</v>
      </c>
      <c r="C6" s="19" t="s">
        <v>213</v>
      </c>
      <c r="D6" s="152" t="s">
        <v>203</v>
      </c>
      <c r="E6" s="19" t="s">
        <v>221</v>
      </c>
      <c r="F6" s="149">
        <v>45595</v>
      </c>
      <c r="G6" s="148">
        <v>150</v>
      </c>
      <c r="H6" s="19">
        <v>98424</v>
      </c>
      <c r="I6" s="148">
        <v>320</v>
      </c>
      <c r="J6" s="148">
        <f t="shared" si="0"/>
        <v>0.46875</v>
      </c>
      <c r="K6" s="19" t="s">
        <v>212</v>
      </c>
      <c r="L6" s="148">
        <f>VLOOKUP(D6,$O$3:$P$12,2,0)</f>
        <v>0.45</v>
      </c>
      <c r="M6" s="148">
        <f t="shared" si="1"/>
        <v>-1.8749999999999989E-2</v>
      </c>
      <c r="O6" s="142" t="s">
        <v>198</v>
      </c>
      <c r="P6" s="147">
        <v>2.0499999999999998</v>
      </c>
    </row>
    <row r="7" spans="2:16" x14ac:dyDescent="0.2">
      <c r="B7" s="143" t="s">
        <v>5</v>
      </c>
      <c r="C7" s="143" t="s">
        <v>213</v>
      </c>
      <c r="D7" s="151" t="s">
        <v>195</v>
      </c>
      <c r="E7" s="143" t="s">
        <v>220</v>
      </c>
      <c r="F7" s="145">
        <v>45596</v>
      </c>
      <c r="G7" s="147">
        <v>9498.42</v>
      </c>
      <c r="H7" s="143">
        <v>25707</v>
      </c>
      <c r="I7" s="147">
        <v>320</v>
      </c>
      <c r="J7" s="147">
        <f t="shared" si="0"/>
        <v>29.6825625</v>
      </c>
      <c r="K7" s="143" t="s">
        <v>212</v>
      </c>
      <c r="L7" s="147">
        <f t="shared" ref="L7:L28" si="2">_xlfn.IFNA(VLOOKUP(D7,$O$3:$P$12,2,0),0)</f>
        <v>29.7</v>
      </c>
      <c r="M7" s="147">
        <f t="shared" ref="M7:M28" si="3">L7-J7</f>
        <v>1.7437499999999773E-2</v>
      </c>
      <c r="O7" s="142" t="s">
        <v>199</v>
      </c>
      <c r="P7" s="147">
        <v>4</v>
      </c>
    </row>
    <row r="8" spans="2:16" x14ac:dyDescent="0.2">
      <c r="B8" s="19" t="s">
        <v>234</v>
      </c>
      <c r="C8" s="19"/>
      <c r="D8" s="152" t="s">
        <v>202</v>
      </c>
      <c r="E8" s="19" t="s">
        <v>222</v>
      </c>
      <c r="F8" s="149">
        <v>45603</v>
      </c>
      <c r="G8" s="148">
        <v>134.4</v>
      </c>
      <c r="H8" s="19">
        <v>1</v>
      </c>
      <c r="I8" s="148">
        <v>320</v>
      </c>
      <c r="J8" s="148">
        <f t="shared" si="0"/>
        <v>0.42000000000000004</v>
      </c>
      <c r="K8" s="19"/>
      <c r="L8" s="148">
        <f t="shared" si="2"/>
        <v>0.45</v>
      </c>
      <c r="M8" s="148">
        <f t="shared" si="3"/>
        <v>2.9999999999999971E-2</v>
      </c>
      <c r="O8" s="142" t="s">
        <v>200</v>
      </c>
      <c r="P8" s="147">
        <v>1.75</v>
      </c>
    </row>
    <row r="9" spans="2:16" x14ac:dyDescent="0.2">
      <c r="B9" s="143" t="s">
        <v>5</v>
      </c>
      <c r="C9" s="143" t="s">
        <v>213</v>
      </c>
      <c r="D9" s="151" t="s">
        <v>197</v>
      </c>
      <c r="E9" s="143" t="s">
        <v>223</v>
      </c>
      <c r="F9" s="145">
        <v>45603</v>
      </c>
      <c r="G9" s="147">
        <f>2885.58/2</f>
        <v>1442.79</v>
      </c>
      <c r="H9" s="143">
        <v>24477</v>
      </c>
      <c r="I9" s="147">
        <v>160</v>
      </c>
      <c r="J9" s="147">
        <f t="shared" si="0"/>
        <v>9.0174374999999998</v>
      </c>
      <c r="K9" s="143" t="s">
        <v>212</v>
      </c>
      <c r="L9" s="147">
        <f t="shared" si="2"/>
        <v>9</v>
      </c>
      <c r="M9" s="147">
        <f t="shared" si="3"/>
        <v>-1.7437499999999773E-2</v>
      </c>
      <c r="O9" s="142" t="s">
        <v>201</v>
      </c>
      <c r="P9" s="147">
        <v>0.3</v>
      </c>
    </row>
    <row r="10" spans="2:16" x14ac:dyDescent="0.2">
      <c r="B10" s="19" t="s">
        <v>4</v>
      </c>
      <c r="C10" s="19" t="s">
        <v>213</v>
      </c>
      <c r="D10" s="152" t="s">
        <v>197</v>
      </c>
      <c r="E10" s="19" t="str">
        <f>E9</f>
        <v>Top Freight</v>
      </c>
      <c r="F10" s="149">
        <f>F9</f>
        <v>45603</v>
      </c>
      <c r="G10" s="148">
        <f>G9</f>
        <v>1442.79</v>
      </c>
      <c r="H10" s="19">
        <f>H9</f>
        <v>24477</v>
      </c>
      <c r="I10" s="148">
        <v>160</v>
      </c>
      <c r="J10" s="148">
        <f t="shared" si="0"/>
        <v>9.0174374999999998</v>
      </c>
      <c r="K10" s="19" t="s">
        <v>212</v>
      </c>
      <c r="L10" s="148">
        <f t="shared" si="2"/>
        <v>9</v>
      </c>
      <c r="M10" s="148">
        <f t="shared" si="3"/>
        <v>-1.7437499999999773E-2</v>
      </c>
      <c r="O10" s="142" t="s">
        <v>202</v>
      </c>
      <c r="P10" s="147">
        <v>0.45</v>
      </c>
    </row>
    <row r="11" spans="2:16" x14ac:dyDescent="0.2">
      <c r="B11" s="143" t="s">
        <v>214</v>
      </c>
      <c r="C11" s="143" t="s">
        <v>213</v>
      </c>
      <c r="D11" s="151" t="s">
        <v>196</v>
      </c>
      <c r="E11" s="143" t="s">
        <v>224</v>
      </c>
      <c r="F11" s="145">
        <v>45603</v>
      </c>
      <c r="G11" s="147">
        <f>973.58*5.72</f>
        <v>5568.8775999999998</v>
      </c>
      <c r="H11" s="143">
        <v>202000</v>
      </c>
      <c r="I11" s="147">
        <v>320</v>
      </c>
      <c r="J11" s="147">
        <f t="shared" si="0"/>
        <v>17.402742499999999</v>
      </c>
      <c r="K11" s="143" t="s">
        <v>212</v>
      </c>
      <c r="L11" s="147">
        <f t="shared" si="2"/>
        <v>7</v>
      </c>
      <c r="M11" s="147">
        <f t="shared" si="3"/>
        <v>-10.402742499999999</v>
      </c>
      <c r="O11" s="142" t="s">
        <v>203</v>
      </c>
      <c r="P11" s="147">
        <v>0.45</v>
      </c>
    </row>
    <row r="12" spans="2:16" x14ac:dyDescent="0.2">
      <c r="B12" s="19" t="s">
        <v>215</v>
      </c>
      <c r="C12" s="19" t="s">
        <v>213</v>
      </c>
      <c r="D12" s="152" t="s">
        <v>196</v>
      </c>
      <c r="E12" s="19" t="s">
        <v>224</v>
      </c>
      <c r="F12" s="149">
        <v>45603</v>
      </c>
      <c r="G12" s="148">
        <f>973.58*5.72</f>
        <v>5568.8775999999998</v>
      </c>
      <c r="H12" s="19">
        <v>202000</v>
      </c>
      <c r="I12" s="148">
        <v>320</v>
      </c>
      <c r="J12" s="148">
        <f t="shared" si="0"/>
        <v>17.402742499999999</v>
      </c>
      <c r="K12" s="19" t="s">
        <v>212</v>
      </c>
      <c r="L12" s="148">
        <f t="shared" si="2"/>
        <v>7</v>
      </c>
      <c r="M12" s="148">
        <f t="shared" si="3"/>
        <v>-10.402742499999999</v>
      </c>
      <c r="O12" s="142" t="s">
        <v>204</v>
      </c>
      <c r="P12" s="147">
        <v>7</v>
      </c>
    </row>
    <row r="13" spans="2:16" x14ac:dyDescent="0.2">
      <c r="B13" s="143" t="s">
        <v>216</v>
      </c>
      <c r="C13" s="143" t="s">
        <v>213</v>
      </c>
      <c r="D13" s="151" t="s">
        <v>196</v>
      </c>
      <c r="E13" s="143" t="s">
        <v>224</v>
      </c>
      <c r="F13" s="145">
        <v>45603</v>
      </c>
      <c r="G13" s="147">
        <f>423.3*5.72</f>
        <v>2421.2759999999998</v>
      </c>
      <c r="H13" s="143">
        <v>202000</v>
      </c>
      <c r="I13" s="147">
        <v>320</v>
      </c>
      <c r="J13" s="147">
        <f t="shared" si="0"/>
        <v>7.5664874999999991</v>
      </c>
      <c r="K13" s="143" t="s">
        <v>212</v>
      </c>
      <c r="L13" s="147">
        <f t="shared" si="2"/>
        <v>7</v>
      </c>
      <c r="M13" s="147">
        <f t="shared" si="3"/>
        <v>-0.56648749999999914</v>
      </c>
      <c r="O13" s="142" t="s">
        <v>187</v>
      </c>
      <c r="P13" s="147">
        <v>2</v>
      </c>
    </row>
    <row r="14" spans="2:16" x14ac:dyDescent="0.2">
      <c r="B14" s="19" t="s">
        <v>217</v>
      </c>
      <c r="C14" s="19" t="s">
        <v>213</v>
      </c>
      <c r="D14" s="152" t="s">
        <v>196</v>
      </c>
      <c r="E14" s="19" t="s">
        <v>224</v>
      </c>
      <c r="F14" s="149">
        <v>45603</v>
      </c>
      <c r="G14" s="148">
        <f>423.3*5.72</f>
        <v>2421.2759999999998</v>
      </c>
      <c r="H14" s="19">
        <v>202000</v>
      </c>
      <c r="I14" s="148">
        <v>320</v>
      </c>
      <c r="J14" s="148">
        <f t="shared" si="0"/>
        <v>7.5664874999999991</v>
      </c>
      <c r="K14" s="19" t="s">
        <v>212</v>
      </c>
      <c r="L14" s="148">
        <f t="shared" si="2"/>
        <v>7</v>
      </c>
      <c r="M14" s="148">
        <f t="shared" si="3"/>
        <v>-0.56648749999999914</v>
      </c>
      <c r="O14" s="142" t="s">
        <v>183</v>
      </c>
      <c r="P14" s="147">
        <v>10.7</v>
      </c>
    </row>
    <row r="15" spans="2:16" x14ac:dyDescent="0.2">
      <c r="B15" s="143" t="s">
        <v>218</v>
      </c>
      <c r="C15" s="143" t="s">
        <v>213</v>
      </c>
      <c r="D15" s="151" t="s">
        <v>196</v>
      </c>
      <c r="E15" s="143" t="s">
        <v>224</v>
      </c>
      <c r="F15" s="145">
        <v>45603</v>
      </c>
      <c r="G15" s="147">
        <f>423.3*5.72</f>
        <v>2421.2759999999998</v>
      </c>
      <c r="H15" s="143">
        <v>202000</v>
      </c>
      <c r="I15" s="147">
        <v>320</v>
      </c>
      <c r="J15" s="147">
        <f t="shared" si="0"/>
        <v>7.5664874999999991</v>
      </c>
      <c r="K15" s="143" t="s">
        <v>212</v>
      </c>
      <c r="L15" s="147">
        <f t="shared" si="2"/>
        <v>7</v>
      </c>
      <c r="M15" s="147">
        <f t="shared" si="3"/>
        <v>-0.56648749999999914</v>
      </c>
      <c r="O15" s="142" t="s">
        <v>184</v>
      </c>
      <c r="P15" s="147">
        <v>4.51</v>
      </c>
    </row>
    <row r="16" spans="2:16" x14ac:dyDescent="0.2">
      <c r="B16" s="19" t="s">
        <v>219</v>
      </c>
      <c r="C16" s="19" t="s">
        <v>213</v>
      </c>
      <c r="D16" s="152" t="s">
        <v>196</v>
      </c>
      <c r="E16" s="19" t="s">
        <v>224</v>
      </c>
      <c r="F16" s="149">
        <v>45603</v>
      </c>
      <c r="G16" s="148">
        <f>423.3*5.72</f>
        <v>2421.2759999999998</v>
      </c>
      <c r="H16" s="19">
        <v>202000</v>
      </c>
      <c r="I16" s="148">
        <v>320</v>
      </c>
      <c r="J16" s="148">
        <f t="shared" si="0"/>
        <v>7.5664874999999991</v>
      </c>
      <c r="K16" s="19" t="s">
        <v>212</v>
      </c>
      <c r="L16" s="148">
        <f t="shared" si="2"/>
        <v>7</v>
      </c>
      <c r="M16" s="148">
        <f t="shared" si="3"/>
        <v>-0.56648749999999914</v>
      </c>
      <c r="O16" s="142" t="s">
        <v>185</v>
      </c>
      <c r="P16" s="147">
        <v>3.69</v>
      </c>
    </row>
    <row r="17" spans="2:16" x14ac:dyDescent="0.2">
      <c r="B17" s="143" t="s">
        <v>225</v>
      </c>
      <c r="C17" s="143" t="s">
        <v>226</v>
      </c>
      <c r="D17" s="151" t="s">
        <v>196</v>
      </c>
      <c r="E17" s="143" t="s">
        <v>224</v>
      </c>
      <c r="F17" s="145">
        <v>45603</v>
      </c>
      <c r="G17" s="147">
        <v>831.25</v>
      </c>
      <c r="H17" s="143">
        <v>202001</v>
      </c>
      <c r="I17" s="147">
        <v>133</v>
      </c>
      <c r="J17" s="147">
        <f t="shared" si="0"/>
        <v>6.25</v>
      </c>
      <c r="K17" s="143" t="s">
        <v>227</v>
      </c>
      <c r="L17" s="147">
        <f t="shared" si="2"/>
        <v>7</v>
      </c>
      <c r="M17" s="147">
        <f t="shared" si="3"/>
        <v>0.75</v>
      </c>
      <c r="O17" s="142" t="s">
        <v>186</v>
      </c>
      <c r="P17" s="147">
        <v>6.16</v>
      </c>
    </row>
    <row r="18" spans="2:16" x14ac:dyDescent="0.2">
      <c r="B18" s="19" t="s">
        <v>5</v>
      </c>
      <c r="C18" s="19" t="s">
        <v>213</v>
      </c>
      <c r="D18" s="152" t="s">
        <v>202</v>
      </c>
      <c r="E18" s="19" t="s">
        <v>222</v>
      </c>
      <c r="F18" s="149">
        <v>45616</v>
      </c>
      <c r="G18" s="148">
        <f>134.4/2</f>
        <v>67.2</v>
      </c>
      <c r="H18" s="19">
        <v>203001</v>
      </c>
      <c r="I18" s="148">
        <v>160</v>
      </c>
      <c r="J18" s="148">
        <f t="shared" si="0"/>
        <v>0.42000000000000004</v>
      </c>
      <c r="K18" s="19" t="s">
        <v>212</v>
      </c>
      <c r="L18" s="148">
        <f t="shared" si="2"/>
        <v>0.45</v>
      </c>
      <c r="M18" s="148">
        <f t="shared" si="3"/>
        <v>2.9999999999999971E-2</v>
      </c>
      <c r="O18" s="142" t="s">
        <v>188</v>
      </c>
      <c r="P18" s="147">
        <v>2</v>
      </c>
    </row>
    <row r="19" spans="2:16" x14ac:dyDescent="0.2">
      <c r="B19" s="143" t="s">
        <v>4</v>
      </c>
      <c r="C19" s="143" t="s">
        <v>213</v>
      </c>
      <c r="D19" s="151" t="s">
        <v>202</v>
      </c>
      <c r="E19" s="143" t="s">
        <v>222</v>
      </c>
      <c r="F19" s="145">
        <v>45616</v>
      </c>
      <c r="G19" s="147">
        <f>134.4/2</f>
        <v>67.2</v>
      </c>
      <c r="H19" s="143">
        <v>203001</v>
      </c>
      <c r="I19" s="147">
        <v>160</v>
      </c>
      <c r="J19" s="147">
        <f t="shared" si="0"/>
        <v>0.42000000000000004</v>
      </c>
      <c r="K19" s="143" t="s">
        <v>212</v>
      </c>
      <c r="L19" s="147">
        <f t="shared" si="2"/>
        <v>0.45</v>
      </c>
      <c r="M19" s="147">
        <f t="shared" si="3"/>
        <v>2.9999999999999971E-2</v>
      </c>
      <c r="O19" s="142" t="s">
        <v>189</v>
      </c>
      <c r="P19" s="147" t="s">
        <v>207</v>
      </c>
    </row>
    <row r="20" spans="2:16" x14ac:dyDescent="0.2">
      <c r="B20" s="19" t="s">
        <v>9</v>
      </c>
      <c r="C20" s="19" t="s">
        <v>213</v>
      </c>
      <c r="D20" s="152" t="s">
        <v>195</v>
      </c>
      <c r="E20" s="19" t="s">
        <v>220</v>
      </c>
      <c r="F20" s="149">
        <v>45621</v>
      </c>
      <c r="G20" s="148">
        <f>28037.57/3</f>
        <v>9345.8566666666666</v>
      </c>
      <c r="H20" s="19">
        <v>97861</v>
      </c>
      <c r="I20" s="148">
        <v>320</v>
      </c>
      <c r="J20" s="148">
        <f t="shared" si="0"/>
        <v>29.205802083333332</v>
      </c>
      <c r="K20" s="19" t="s">
        <v>212</v>
      </c>
      <c r="L20" s="148">
        <f t="shared" si="2"/>
        <v>29.7</v>
      </c>
      <c r="M20" s="148">
        <f t="shared" si="3"/>
        <v>0.49419791666666768</v>
      </c>
      <c r="O20" s="142" t="s">
        <v>190</v>
      </c>
      <c r="P20" s="147" t="s">
        <v>208</v>
      </c>
    </row>
    <row r="21" spans="2:16" x14ac:dyDescent="0.2">
      <c r="B21" s="143" t="s">
        <v>8</v>
      </c>
      <c r="C21" s="143" t="s">
        <v>213</v>
      </c>
      <c r="D21" s="151" t="s">
        <v>195</v>
      </c>
      <c r="E21" s="143" t="s">
        <v>220</v>
      </c>
      <c r="F21" s="145">
        <v>45621</v>
      </c>
      <c r="G21" s="147">
        <f t="shared" ref="G21:G22" si="4">28037.57/3</f>
        <v>9345.8566666666666</v>
      </c>
      <c r="H21" s="143">
        <v>97861</v>
      </c>
      <c r="I21" s="147">
        <v>320</v>
      </c>
      <c r="J21" s="147">
        <f t="shared" si="0"/>
        <v>29.205802083333332</v>
      </c>
      <c r="K21" s="143" t="s">
        <v>212</v>
      </c>
      <c r="L21" s="147">
        <f t="shared" si="2"/>
        <v>29.7</v>
      </c>
      <c r="M21" s="147">
        <f t="shared" si="3"/>
        <v>0.49419791666666768</v>
      </c>
      <c r="O21" s="142" t="s">
        <v>191</v>
      </c>
      <c r="P21" s="147">
        <v>1.5</v>
      </c>
    </row>
    <row r="22" spans="2:16" x14ac:dyDescent="0.2">
      <c r="B22" s="19" t="s">
        <v>7</v>
      </c>
      <c r="C22" s="19" t="s">
        <v>213</v>
      </c>
      <c r="D22" s="152" t="s">
        <v>195</v>
      </c>
      <c r="E22" s="19" t="s">
        <v>220</v>
      </c>
      <c r="F22" s="149">
        <v>45621</v>
      </c>
      <c r="G22" s="148">
        <f t="shared" si="4"/>
        <v>9345.8566666666666</v>
      </c>
      <c r="H22" s="19">
        <v>97861</v>
      </c>
      <c r="I22" s="148">
        <v>320</v>
      </c>
      <c r="J22" s="148">
        <f t="shared" si="0"/>
        <v>29.205802083333332</v>
      </c>
      <c r="K22" s="19" t="s">
        <v>212</v>
      </c>
      <c r="L22" s="148">
        <f t="shared" si="2"/>
        <v>29.7</v>
      </c>
      <c r="M22" s="148">
        <f t="shared" si="3"/>
        <v>0.49419791666666768</v>
      </c>
      <c r="O22" s="142" t="s">
        <v>193</v>
      </c>
      <c r="P22" s="147">
        <v>2.9</v>
      </c>
    </row>
    <row r="23" spans="2:16" x14ac:dyDescent="0.2">
      <c r="B23" s="143" t="s">
        <v>9</v>
      </c>
      <c r="C23" s="143" t="s">
        <v>213</v>
      </c>
      <c r="D23" s="151" t="s">
        <v>197</v>
      </c>
      <c r="E23" s="143" t="s">
        <v>223</v>
      </c>
      <c r="F23" s="145">
        <v>45632</v>
      </c>
      <c r="G23" s="147">
        <f>7470.21/3</f>
        <v>2490.0700000000002</v>
      </c>
      <c r="H23" s="143">
        <v>24571</v>
      </c>
      <c r="I23" s="147">
        <v>320</v>
      </c>
      <c r="J23" s="147">
        <f t="shared" si="0"/>
        <v>7.7814687500000002</v>
      </c>
      <c r="K23" s="143" t="s">
        <v>212</v>
      </c>
      <c r="L23" s="147">
        <f t="shared" si="2"/>
        <v>9</v>
      </c>
      <c r="M23" s="147">
        <f t="shared" si="3"/>
        <v>1.2185312499999998</v>
      </c>
      <c r="O23" s="142" t="s">
        <v>194</v>
      </c>
      <c r="P23" s="147">
        <v>2.0499999999999998</v>
      </c>
    </row>
    <row r="24" spans="2:16" x14ac:dyDescent="0.2">
      <c r="B24" s="19" t="s">
        <v>8</v>
      </c>
      <c r="C24" s="19" t="s">
        <v>213</v>
      </c>
      <c r="D24" s="152" t="s">
        <v>197</v>
      </c>
      <c r="E24" s="19" t="s">
        <v>223</v>
      </c>
      <c r="F24" s="149">
        <v>45632</v>
      </c>
      <c r="G24" s="148">
        <f t="shared" ref="G24:G25" si="5">7470.21/3</f>
        <v>2490.0700000000002</v>
      </c>
      <c r="H24" s="19">
        <v>24571</v>
      </c>
      <c r="I24" s="148">
        <v>320</v>
      </c>
      <c r="J24" s="148">
        <f t="shared" si="0"/>
        <v>7.7814687500000002</v>
      </c>
      <c r="K24" s="19" t="s">
        <v>212</v>
      </c>
      <c r="L24" s="148">
        <f t="shared" si="2"/>
        <v>9</v>
      </c>
      <c r="M24" s="148">
        <f t="shared" si="3"/>
        <v>1.2185312499999998</v>
      </c>
    </row>
    <row r="25" spans="2:16" x14ac:dyDescent="0.2">
      <c r="B25" s="143" t="s">
        <v>7</v>
      </c>
      <c r="C25" s="143" t="s">
        <v>213</v>
      </c>
      <c r="D25" s="151" t="s">
        <v>197</v>
      </c>
      <c r="E25" s="143" t="s">
        <v>223</v>
      </c>
      <c r="F25" s="145">
        <v>45632</v>
      </c>
      <c r="G25" s="147">
        <f t="shared" si="5"/>
        <v>2490.0700000000002</v>
      </c>
      <c r="H25" s="143">
        <v>24571</v>
      </c>
      <c r="I25" s="147">
        <v>320</v>
      </c>
      <c r="J25" s="147">
        <f t="shared" si="0"/>
        <v>7.7814687500000002</v>
      </c>
      <c r="K25" s="143" t="s">
        <v>212</v>
      </c>
      <c r="L25" s="147">
        <f t="shared" si="2"/>
        <v>9</v>
      </c>
      <c r="M25" s="147">
        <f t="shared" si="3"/>
        <v>1.2185312499999998</v>
      </c>
    </row>
    <row r="26" spans="2:16" x14ac:dyDescent="0.2">
      <c r="B26" s="19" t="s">
        <v>26</v>
      </c>
      <c r="C26" s="19" t="s">
        <v>24</v>
      </c>
      <c r="D26" s="152" t="s">
        <v>195</v>
      </c>
      <c r="E26" s="19" t="s">
        <v>220</v>
      </c>
      <c r="F26" s="149">
        <v>45635</v>
      </c>
      <c r="G26" s="148">
        <v>8873.56</v>
      </c>
      <c r="H26" s="19">
        <v>97890</v>
      </c>
      <c r="I26" s="148">
        <v>320</v>
      </c>
      <c r="J26" s="148">
        <f t="shared" si="0"/>
        <v>27.729875</v>
      </c>
      <c r="K26" s="19" t="s">
        <v>228</v>
      </c>
      <c r="L26" s="148">
        <f t="shared" si="2"/>
        <v>29.7</v>
      </c>
      <c r="M26" s="148">
        <f t="shared" si="3"/>
        <v>1.9701249999999995</v>
      </c>
    </row>
    <row r="27" spans="2:16" x14ac:dyDescent="0.2">
      <c r="B27" s="143" t="s">
        <v>91</v>
      </c>
      <c r="C27" s="143" t="s">
        <v>89</v>
      </c>
      <c r="D27" s="151" t="s">
        <v>195</v>
      </c>
      <c r="E27" s="143" t="s">
        <v>229</v>
      </c>
      <c r="F27" s="145">
        <v>45643</v>
      </c>
      <c r="G27" s="147">
        <f>11000+7150</f>
        <v>18150</v>
      </c>
      <c r="H27" s="143">
        <v>22781</v>
      </c>
      <c r="I27" s="147">
        <v>500</v>
      </c>
      <c r="J27" s="147">
        <f t="shared" si="0"/>
        <v>36.299999999999997</v>
      </c>
      <c r="K27" s="143" t="s">
        <v>230</v>
      </c>
      <c r="L27" s="147">
        <f t="shared" si="2"/>
        <v>29.7</v>
      </c>
      <c r="M27" s="147">
        <f t="shared" si="3"/>
        <v>-6.5999999999999979</v>
      </c>
    </row>
    <row r="28" spans="2:16" x14ac:dyDescent="0.2">
      <c r="B28" s="19" t="s">
        <v>26</v>
      </c>
      <c r="C28" s="19" t="s">
        <v>24</v>
      </c>
      <c r="D28" s="152" t="s">
        <v>200</v>
      </c>
      <c r="E28" s="19" t="s">
        <v>231</v>
      </c>
      <c r="F28" s="149">
        <v>45649</v>
      </c>
      <c r="G28" s="148">
        <f>405.27+69</f>
        <v>474.27</v>
      </c>
      <c r="H28" s="19">
        <v>101305</v>
      </c>
      <c r="I28" s="148">
        <v>320</v>
      </c>
      <c r="J28" s="148">
        <f t="shared" si="0"/>
        <v>1.48209375</v>
      </c>
      <c r="K28" s="19" t="s">
        <v>228</v>
      </c>
      <c r="L28" s="148">
        <f t="shared" si="2"/>
        <v>1.75</v>
      </c>
      <c r="M28" s="148">
        <f t="shared" si="3"/>
        <v>0.26790625000000001</v>
      </c>
    </row>
    <row r="29" spans="2:16" x14ac:dyDescent="0.2">
      <c r="B29" s="143" t="s">
        <v>5</v>
      </c>
      <c r="C29" s="143" t="s">
        <v>213</v>
      </c>
      <c r="D29" s="151" t="s">
        <v>199</v>
      </c>
      <c r="E29" s="143" t="s">
        <v>232</v>
      </c>
      <c r="F29" s="145">
        <v>45643</v>
      </c>
      <c r="G29" s="147">
        <f>1260.86/2</f>
        <v>630.42999999999995</v>
      </c>
      <c r="H29" s="143">
        <v>2053</v>
      </c>
      <c r="I29" s="147">
        <v>160</v>
      </c>
      <c r="J29" s="147">
        <f t="shared" si="0"/>
        <v>3.9401874999999995</v>
      </c>
      <c r="K29" s="143" t="s">
        <v>212</v>
      </c>
      <c r="L29" s="147">
        <f t="shared" ref="L29:L30" si="6">_xlfn.IFNA(VLOOKUP(D29,$O$3:$P$12,2,0),0)</f>
        <v>4</v>
      </c>
      <c r="M29" s="147">
        <f t="shared" ref="M29:M30" si="7">L29-J29</f>
        <v>5.981250000000049E-2</v>
      </c>
    </row>
    <row r="30" spans="2:16" x14ac:dyDescent="0.2">
      <c r="B30" s="19" t="s">
        <v>4</v>
      </c>
      <c r="C30" s="19" t="s">
        <v>213</v>
      </c>
      <c r="D30" s="152" t="s">
        <v>199</v>
      </c>
      <c r="E30" s="19" t="s">
        <v>232</v>
      </c>
      <c r="F30" s="149">
        <v>45643</v>
      </c>
      <c r="G30" s="148">
        <v>630.42999999999995</v>
      </c>
      <c r="H30" s="19">
        <v>2053</v>
      </c>
      <c r="I30" s="148">
        <v>160</v>
      </c>
      <c r="J30" s="148">
        <f t="shared" si="0"/>
        <v>3.9401874999999995</v>
      </c>
      <c r="K30" s="19" t="s">
        <v>212</v>
      </c>
      <c r="L30" s="148">
        <f t="shared" si="6"/>
        <v>4</v>
      </c>
      <c r="M30" s="148">
        <f t="shared" si="7"/>
        <v>5.981250000000049E-2</v>
      </c>
    </row>
    <row r="31" spans="2:16" x14ac:dyDescent="0.2">
      <c r="B31" s="143" t="s">
        <v>9</v>
      </c>
      <c r="C31" s="143" t="s">
        <v>213</v>
      </c>
      <c r="D31" s="151" t="s">
        <v>202</v>
      </c>
      <c r="E31" s="143" t="s">
        <v>222</v>
      </c>
      <c r="F31" s="145">
        <v>45643</v>
      </c>
      <c r="G31" s="147">
        <f>403.2/3</f>
        <v>134.4</v>
      </c>
      <c r="H31" s="143">
        <v>3</v>
      </c>
      <c r="I31" s="147">
        <v>320</v>
      </c>
      <c r="J31" s="147">
        <f t="shared" si="0"/>
        <v>0.42000000000000004</v>
      </c>
      <c r="K31" s="143" t="s">
        <v>212</v>
      </c>
      <c r="L31" s="147">
        <f t="shared" ref="L31:L33" si="8">_xlfn.IFNA(VLOOKUP(D31,$O$3:$P$12,2,0),0)</f>
        <v>0.45</v>
      </c>
      <c r="M31" s="147">
        <f t="shared" ref="M31:M33" si="9">L31-J31</f>
        <v>2.9999999999999971E-2</v>
      </c>
    </row>
    <row r="32" spans="2:16" x14ac:dyDescent="0.2">
      <c r="B32" s="19" t="s">
        <v>8</v>
      </c>
      <c r="C32" s="19" t="s">
        <v>213</v>
      </c>
      <c r="D32" s="152" t="s">
        <v>202</v>
      </c>
      <c r="E32" s="19" t="s">
        <v>222</v>
      </c>
      <c r="F32" s="149">
        <v>45643</v>
      </c>
      <c r="G32" s="148">
        <f t="shared" ref="G32:G33" si="10">403.2/3</f>
        <v>134.4</v>
      </c>
      <c r="H32" s="19">
        <v>3</v>
      </c>
      <c r="I32" s="148">
        <v>320</v>
      </c>
      <c r="J32" s="148">
        <f t="shared" si="0"/>
        <v>0.42000000000000004</v>
      </c>
      <c r="K32" s="19" t="s">
        <v>212</v>
      </c>
      <c r="L32" s="148">
        <f t="shared" si="8"/>
        <v>0.45</v>
      </c>
      <c r="M32" s="148">
        <f t="shared" si="9"/>
        <v>2.9999999999999971E-2</v>
      </c>
    </row>
    <row r="33" spans="2:13" x14ac:dyDescent="0.2">
      <c r="B33" s="143" t="s">
        <v>7</v>
      </c>
      <c r="C33" s="143" t="s">
        <v>213</v>
      </c>
      <c r="D33" s="151" t="s">
        <v>202</v>
      </c>
      <c r="E33" s="143" t="s">
        <v>222</v>
      </c>
      <c r="F33" s="145">
        <v>45643</v>
      </c>
      <c r="G33" s="147">
        <f t="shared" si="10"/>
        <v>134.4</v>
      </c>
      <c r="H33" s="143">
        <v>3</v>
      </c>
      <c r="I33" s="147">
        <v>320</v>
      </c>
      <c r="J33" s="147">
        <f t="shared" si="0"/>
        <v>0.42000000000000004</v>
      </c>
      <c r="K33" s="143" t="s">
        <v>212</v>
      </c>
      <c r="L33" s="147">
        <f t="shared" si="8"/>
        <v>0.45</v>
      </c>
      <c r="M33" s="147">
        <f t="shared" si="9"/>
        <v>2.9999999999999971E-2</v>
      </c>
    </row>
    <row r="34" spans="2:13" x14ac:dyDescent="0.2">
      <c r="B34" s="19" t="s">
        <v>28</v>
      </c>
      <c r="C34" s="19" t="s">
        <v>210</v>
      </c>
      <c r="D34" s="152" t="s">
        <v>200</v>
      </c>
      <c r="E34" s="19" t="s">
        <v>231</v>
      </c>
      <c r="F34" s="149">
        <v>45311</v>
      </c>
      <c r="G34" s="148">
        <f>86.25+486.32</f>
        <v>572.56999999999994</v>
      </c>
      <c r="H34" s="19">
        <v>177093</v>
      </c>
      <c r="I34" s="148">
        <v>320</v>
      </c>
      <c r="J34" s="148">
        <f t="shared" si="0"/>
        <v>1.7892812499999997</v>
      </c>
      <c r="K34" s="19" t="s">
        <v>211</v>
      </c>
      <c r="L34" s="148">
        <f t="shared" ref="L34" si="11">_xlfn.IFNA(VLOOKUP(D34,$O$3:$P$12,2,0),0)</f>
        <v>1.75</v>
      </c>
      <c r="M34" s="148">
        <f t="shared" ref="M34" si="12">L34-J34</f>
        <v>-3.9281249999999712E-2</v>
      </c>
    </row>
    <row r="36" spans="2:13" x14ac:dyDescent="0.2">
      <c r="B36" s="19"/>
      <c r="C36" s="19"/>
      <c r="D36" s="152"/>
      <c r="E36" s="19"/>
      <c r="F36" s="149"/>
      <c r="G36" s="148"/>
      <c r="H36" s="19"/>
      <c r="I36" s="148"/>
      <c r="J36" s="148"/>
      <c r="K36" s="19"/>
      <c r="L36" s="148"/>
      <c r="M36" s="148"/>
    </row>
    <row r="38" spans="2:13" x14ac:dyDescent="0.2">
      <c r="B38" s="19"/>
      <c r="C38" s="19"/>
      <c r="D38" s="152"/>
      <c r="E38" s="19"/>
      <c r="F38" s="149"/>
      <c r="G38" s="148"/>
      <c r="H38" s="19"/>
      <c r="I38" s="148"/>
      <c r="J38" s="148"/>
      <c r="K38" s="19"/>
      <c r="L38" s="148"/>
      <c r="M38" s="148"/>
    </row>
  </sheetData>
  <autoFilter ref="B2:M3" xr:uid="{E68C9917-84FB-F147-BB26-F7F885938BB7}"/>
  <dataValidations count="1">
    <dataValidation type="list" allowBlank="1" showInputMessage="1" showErrorMessage="1" sqref="D3:D24 D28:D39 D26" xr:uid="{7F25B1E7-857E-514B-B972-BECEFCD67726}">
      <formula1>$O$3:$O$12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DAC6-460A-D441-A570-4EE22FB7557A}">
  <dimension ref="B2:Y67"/>
  <sheetViews>
    <sheetView zoomScale="80" zoomScaleNormal="80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O57" sqref="O57:O59"/>
    </sheetView>
  </sheetViews>
  <sheetFormatPr baseColWidth="10" defaultRowHeight="14" outlineLevelCol="1" x14ac:dyDescent="0.2"/>
  <cols>
    <col min="1" max="1" width="5.1640625" style="142" customWidth="1"/>
    <col min="2" max="2" width="10.83203125" style="142"/>
    <col min="3" max="3" width="13" style="142" customWidth="1"/>
    <col min="4" max="13" width="12" style="142" hidden="1" customWidth="1" outlineLevel="1"/>
    <col min="14" max="14" width="10.83203125" style="142" collapsed="1"/>
    <col min="15" max="17" width="10.83203125" style="142"/>
    <col min="18" max="18" width="14" style="142" customWidth="1"/>
    <col min="19" max="20" width="10.83203125" style="142"/>
    <col min="21" max="21" width="10.83203125" style="143"/>
    <col min="22" max="16384" width="10.83203125" style="142"/>
  </cols>
  <sheetData>
    <row r="2" spans="2:25" x14ac:dyDescent="0.2">
      <c r="O2" s="145">
        <f ca="1">TODAY()</f>
        <v>45677</v>
      </c>
    </row>
    <row r="3" spans="2:25" x14ac:dyDescent="0.2">
      <c r="B3" s="8" t="s">
        <v>246</v>
      </c>
      <c r="C3" s="8" t="s">
        <v>175</v>
      </c>
      <c r="D3" s="156" t="s">
        <v>195</v>
      </c>
      <c r="E3" s="156" t="s">
        <v>196</v>
      </c>
      <c r="F3" s="156" t="s">
        <v>197</v>
      </c>
      <c r="G3" s="156" t="s">
        <v>198</v>
      </c>
      <c r="H3" s="156" t="s">
        <v>199</v>
      </c>
      <c r="I3" s="156" t="s">
        <v>200</v>
      </c>
      <c r="J3" s="156" t="s">
        <v>201</v>
      </c>
      <c r="K3" s="156" t="s">
        <v>202</v>
      </c>
      <c r="L3" s="156" t="s">
        <v>203</v>
      </c>
      <c r="M3" s="156" t="s">
        <v>204</v>
      </c>
      <c r="N3" s="157" t="s">
        <v>233</v>
      </c>
      <c r="O3" s="157" t="s">
        <v>239</v>
      </c>
      <c r="P3" s="153" t="s">
        <v>235</v>
      </c>
      <c r="Q3" s="153" t="s">
        <v>236</v>
      </c>
      <c r="R3" s="153" t="s">
        <v>239</v>
      </c>
      <c r="S3" s="158" t="s">
        <v>238</v>
      </c>
      <c r="T3" s="158" t="s">
        <v>138</v>
      </c>
      <c r="U3" s="158" t="s">
        <v>243</v>
      </c>
      <c r="V3" s="158" t="s">
        <v>244</v>
      </c>
      <c r="W3" s="158" t="s">
        <v>249</v>
      </c>
      <c r="X3" s="158" t="s">
        <v>206</v>
      </c>
      <c r="Y3" s="158" t="s">
        <v>264</v>
      </c>
    </row>
    <row r="4" spans="2:25" x14ac:dyDescent="0.2">
      <c r="B4" s="52"/>
      <c r="C4" s="54" t="s">
        <v>247</v>
      </c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45">
        <v>44958</v>
      </c>
      <c r="O4" s="160" t="s">
        <v>240</v>
      </c>
      <c r="P4" s="154" t="s">
        <v>248</v>
      </c>
      <c r="Q4" s="145" t="s">
        <v>248</v>
      </c>
      <c r="R4" s="160" t="s">
        <v>240</v>
      </c>
      <c r="S4" s="143" t="s">
        <v>241</v>
      </c>
      <c r="T4" s="145" t="s">
        <v>248</v>
      </c>
      <c r="U4" s="143">
        <v>44</v>
      </c>
      <c r="V4" s="159">
        <v>593919.06000000006</v>
      </c>
      <c r="W4" s="143">
        <f>31800/60</f>
        <v>530</v>
      </c>
      <c r="X4" s="162">
        <f>V4/W4</f>
        <v>1120.6020000000001</v>
      </c>
    </row>
    <row r="5" spans="2:25" x14ac:dyDescent="0.2">
      <c r="B5" s="52"/>
      <c r="C5" s="54" t="s">
        <v>247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45">
        <v>44958</v>
      </c>
      <c r="O5" s="160" t="s">
        <v>240</v>
      </c>
      <c r="P5" s="154" t="s">
        <v>248</v>
      </c>
      <c r="Q5" s="145" t="s">
        <v>248</v>
      </c>
      <c r="R5" s="160" t="s">
        <v>240</v>
      </c>
      <c r="S5" s="143" t="s">
        <v>241</v>
      </c>
      <c r="T5" s="145" t="s">
        <v>248</v>
      </c>
      <c r="U5" s="143">
        <v>45</v>
      </c>
      <c r="V5" s="159">
        <v>595824.07999999996</v>
      </c>
      <c r="W5" s="143">
        <f>31902/60</f>
        <v>531.70000000000005</v>
      </c>
      <c r="X5" s="162">
        <f t="shared" ref="X5:X65" si="0">V5/W5</f>
        <v>1120.6019936054165</v>
      </c>
    </row>
    <row r="6" spans="2:25" x14ac:dyDescent="0.2">
      <c r="B6" s="52"/>
      <c r="C6" s="54" t="s">
        <v>247</v>
      </c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45">
        <v>44958</v>
      </c>
      <c r="O6" s="160" t="s">
        <v>240</v>
      </c>
      <c r="P6" s="154" t="s">
        <v>248</v>
      </c>
      <c r="Q6" s="145" t="s">
        <v>248</v>
      </c>
      <c r="R6" s="160" t="s">
        <v>240</v>
      </c>
      <c r="S6" s="143" t="s">
        <v>241</v>
      </c>
      <c r="T6" s="145" t="s">
        <v>248</v>
      </c>
      <c r="U6" s="143">
        <v>46</v>
      </c>
      <c r="V6" s="159">
        <v>448240.8</v>
      </c>
      <c r="W6" s="143">
        <f>24000/60</f>
        <v>400</v>
      </c>
      <c r="X6" s="162">
        <f t="shared" si="0"/>
        <v>1120.6019999999999</v>
      </c>
    </row>
    <row r="7" spans="2:25" x14ac:dyDescent="0.2">
      <c r="B7" s="52"/>
      <c r="C7" s="163" t="s">
        <v>247</v>
      </c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45">
        <v>44958</v>
      </c>
      <c r="O7" s="160" t="s">
        <v>240</v>
      </c>
      <c r="P7" s="154" t="s">
        <v>248</v>
      </c>
      <c r="Q7" s="145" t="s">
        <v>248</v>
      </c>
      <c r="R7" s="160" t="s">
        <v>240</v>
      </c>
      <c r="S7" s="143" t="s">
        <v>241</v>
      </c>
      <c r="T7" s="145" t="s">
        <v>248</v>
      </c>
      <c r="U7" s="143">
        <v>48</v>
      </c>
      <c r="V7" s="159">
        <v>110683.16</v>
      </c>
      <c r="W7" s="164">
        <f>6222/60</f>
        <v>103.7</v>
      </c>
      <c r="X7" s="162">
        <f t="shared" si="0"/>
        <v>1067.340019286403</v>
      </c>
    </row>
    <row r="8" spans="2:25" x14ac:dyDescent="0.2">
      <c r="B8" s="52"/>
      <c r="C8" s="163" t="s">
        <v>247</v>
      </c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45">
        <v>44958</v>
      </c>
      <c r="O8" s="160" t="s">
        <v>240</v>
      </c>
      <c r="P8" s="154" t="s">
        <v>248</v>
      </c>
      <c r="Q8" s="145" t="s">
        <v>248</v>
      </c>
      <c r="R8" s="160" t="s">
        <v>240</v>
      </c>
      <c r="S8" s="143" t="s">
        <v>241</v>
      </c>
      <c r="T8" s="145" t="s">
        <v>248</v>
      </c>
      <c r="U8" s="143">
        <v>47</v>
      </c>
      <c r="V8" s="159">
        <v>562488.18000000005</v>
      </c>
      <c r="W8" s="164">
        <f>31620/60</f>
        <v>527</v>
      </c>
      <c r="X8" s="162">
        <f t="shared" si="0"/>
        <v>1067.3400000000001</v>
      </c>
    </row>
    <row r="9" spans="2:25" x14ac:dyDescent="0.2">
      <c r="B9" s="52"/>
      <c r="C9" s="163" t="s">
        <v>247</v>
      </c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45">
        <v>44958</v>
      </c>
      <c r="O9" s="160" t="s">
        <v>240</v>
      </c>
      <c r="P9" s="154" t="s">
        <v>248</v>
      </c>
      <c r="Q9" s="145" t="s">
        <v>248</v>
      </c>
      <c r="R9" s="160" t="s">
        <v>240</v>
      </c>
      <c r="S9" s="143" t="s">
        <v>241</v>
      </c>
      <c r="T9" s="145" t="s">
        <v>248</v>
      </c>
      <c r="U9" s="143">
        <v>50</v>
      </c>
      <c r="V9" s="159">
        <v>592798.46</v>
      </c>
      <c r="W9" s="164">
        <f>31740/60</f>
        <v>529</v>
      </c>
      <c r="X9" s="162">
        <f t="shared" si="0"/>
        <v>1120.6020037807182</v>
      </c>
    </row>
    <row r="10" spans="2:25" x14ac:dyDescent="0.2">
      <c r="B10" s="52"/>
      <c r="C10" s="163" t="s">
        <v>250</v>
      </c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45">
        <v>45152</v>
      </c>
      <c r="O10" s="160" t="s">
        <v>240</v>
      </c>
      <c r="P10" s="154" t="s">
        <v>248</v>
      </c>
      <c r="Q10" s="145">
        <v>45195</v>
      </c>
      <c r="R10" s="160" t="s">
        <v>240</v>
      </c>
      <c r="S10" s="143" t="s">
        <v>241</v>
      </c>
      <c r="T10" s="145" t="s">
        <v>248</v>
      </c>
      <c r="U10" s="143">
        <v>57</v>
      </c>
      <c r="V10" s="159">
        <v>83528.160000000003</v>
      </c>
      <c r="W10" s="164">
        <f>4800/60</f>
        <v>80</v>
      </c>
      <c r="X10" s="162">
        <f t="shared" si="0"/>
        <v>1044.1020000000001</v>
      </c>
    </row>
    <row r="11" spans="2:25" x14ac:dyDescent="0.2">
      <c r="B11" s="52"/>
      <c r="C11" s="163" t="s">
        <v>250</v>
      </c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45">
        <v>45154</v>
      </c>
      <c r="O11" s="160" t="s">
        <v>240</v>
      </c>
      <c r="P11" s="154" t="s">
        <v>248</v>
      </c>
      <c r="Q11" s="145">
        <v>45195</v>
      </c>
      <c r="R11" s="160" t="s">
        <v>240</v>
      </c>
      <c r="S11" s="143" t="s">
        <v>241</v>
      </c>
      <c r="T11" s="145" t="s">
        <v>248</v>
      </c>
      <c r="U11" s="143">
        <v>58</v>
      </c>
      <c r="V11" s="159">
        <v>522.04999999999995</v>
      </c>
      <c r="W11" s="164">
        <f>30/60</f>
        <v>0.5</v>
      </c>
      <c r="X11" s="162">
        <f t="shared" si="0"/>
        <v>1044.0999999999999</v>
      </c>
    </row>
    <row r="12" spans="2:25" x14ac:dyDescent="0.2">
      <c r="B12" s="52"/>
      <c r="C12" s="163" t="s">
        <v>251</v>
      </c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45">
        <v>45198</v>
      </c>
      <c r="O12" s="160" t="s">
        <v>240</v>
      </c>
      <c r="P12" s="154" t="s">
        <v>248</v>
      </c>
      <c r="Q12" s="145">
        <v>45209</v>
      </c>
      <c r="R12" s="160" t="s">
        <v>240</v>
      </c>
      <c r="S12" s="143" t="s">
        <v>241</v>
      </c>
      <c r="T12" s="145" t="s">
        <v>248</v>
      </c>
      <c r="V12" s="159">
        <v>3000</v>
      </c>
      <c r="W12" s="164">
        <v>2</v>
      </c>
      <c r="X12" s="162">
        <f t="shared" si="0"/>
        <v>1500</v>
      </c>
    </row>
    <row r="13" spans="2:25" x14ac:dyDescent="0.2">
      <c r="B13" s="52"/>
      <c r="C13" s="163" t="s">
        <v>252</v>
      </c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45">
        <v>45267</v>
      </c>
      <c r="O13" s="160" t="s">
        <v>240</v>
      </c>
      <c r="P13" s="154" t="s">
        <v>248</v>
      </c>
      <c r="Q13" s="145">
        <v>45302</v>
      </c>
      <c r="R13" s="160" t="s">
        <v>240</v>
      </c>
      <c r="S13" s="143" t="s">
        <v>241</v>
      </c>
      <c r="T13" s="145" t="s">
        <v>248</v>
      </c>
      <c r="U13" s="143">
        <v>163</v>
      </c>
      <c r="V13" s="159">
        <v>228000.00015600002</v>
      </c>
      <c r="W13" s="164">
        <v>240</v>
      </c>
      <c r="X13" s="162">
        <f t="shared" si="0"/>
        <v>950.00000065000006</v>
      </c>
    </row>
    <row r="14" spans="2:25" x14ac:dyDescent="0.2">
      <c r="B14" s="52"/>
      <c r="C14" s="163" t="s">
        <v>252</v>
      </c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45">
        <v>45267</v>
      </c>
      <c r="O14" s="160" t="s">
        <v>240</v>
      </c>
      <c r="P14" s="154" t="s">
        <v>248</v>
      </c>
      <c r="Q14" s="145">
        <v>45302</v>
      </c>
      <c r="R14" s="160" t="s">
        <v>240</v>
      </c>
      <c r="S14" s="143" t="s">
        <v>241</v>
      </c>
      <c r="T14" s="145" t="s">
        <v>248</v>
      </c>
      <c r="U14" s="143">
        <v>164</v>
      </c>
      <c r="V14" s="159">
        <v>515850.00035295007</v>
      </c>
      <c r="W14" s="164">
        <v>543</v>
      </c>
      <c r="X14" s="162">
        <f t="shared" si="0"/>
        <v>950.00000065000017</v>
      </c>
    </row>
    <row r="15" spans="2:25" x14ac:dyDescent="0.2">
      <c r="B15" s="52"/>
      <c r="C15" s="163" t="s">
        <v>250</v>
      </c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45">
        <v>45300</v>
      </c>
      <c r="O15" s="160" t="s">
        <v>240</v>
      </c>
      <c r="P15" s="154" t="s">
        <v>248</v>
      </c>
      <c r="Q15" s="145">
        <v>45309</v>
      </c>
      <c r="R15" s="160" t="s">
        <v>240</v>
      </c>
      <c r="S15" s="143" t="s">
        <v>241</v>
      </c>
      <c r="T15" s="145" t="s">
        <v>248</v>
      </c>
      <c r="U15" s="143">
        <v>239</v>
      </c>
      <c r="V15" s="159">
        <v>612855.91252500005</v>
      </c>
      <c r="W15" s="164">
        <v>500</v>
      </c>
      <c r="X15" s="154">
        <f t="shared" si="0"/>
        <v>1225.71182505</v>
      </c>
    </row>
    <row r="16" spans="2:25" x14ac:dyDescent="0.2">
      <c r="B16" s="52"/>
      <c r="C16" s="163" t="s">
        <v>250</v>
      </c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45">
        <v>45300</v>
      </c>
      <c r="O16" s="160" t="s">
        <v>240</v>
      </c>
      <c r="P16" s="154" t="s">
        <v>248</v>
      </c>
      <c r="Q16" s="145">
        <v>45309</v>
      </c>
      <c r="R16" s="160" t="s">
        <v>240</v>
      </c>
      <c r="S16" s="143" t="s">
        <v>241</v>
      </c>
      <c r="T16" s="145" t="s">
        <v>248</v>
      </c>
      <c r="U16" s="143">
        <v>240</v>
      </c>
      <c r="V16" s="159">
        <v>612855.91252500005</v>
      </c>
      <c r="W16" s="164">
        <v>500</v>
      </c>
      <c r="X16" s="154">
        <f t="shared" si="0"/>
        <v>1225.71182505</v>
      </c>
    </row>
    <row r="17" spans="2:25" x14ac:dyDescent="0.2">
      <c r="B17" s="52"/>
      <c r="C17" s="163" t="s">
        <v>253</v>
      </c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45">
        <v>45317</v>
      </c>
      <c r="O17" s="160" t="s">
        <v>240</v>
      </c>
      <c r="P17" s="154" t="s">
        <v>248</v>
      </c>
      <c r="Q17" s="145">
        <v>45320</v>
      </c>
      <c r="R17" s="160" t="s">
        <v>240</v>
      </c>
      <c r="S17" s="143" t="s">
        <v>241</v>
      </c>
      <c r="T17" s="145" t="s">
        <v>248</v>
      </c>
      <c r="U17" s="143">
        <v>254</v>
      </c>
      <c r="V17" s="159">
        <v>488000.90624000004</v>
      </c>
      <c r="W17" s="164">
        <v>458.66666666666669</v>
      </c>
      <c r="X17" s="154">
        <f t="shared" si="0"/>
        <v>1063.9554641860466</v>
      </c>
    </row>
    <row r="18" spans="2:25" x14ac:dyDescent="0.2">
      <c r="B18" s="52"/>
      <c r="C18" s="151" t="s">
        <v>70</v>
      </c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45">
        <v>45327</v>
      </c>
      <c r="O18" s="160" t="s">
        <v>240</v>
      </c>
      <c r="P18" s="154" t="s">
        <v>248</v>
      </c>
      <c r="Q18" s="145">
        <v>45327</v>
      </c>
      <c r="R18" s="160" t="s">
        <v>240</v>
      </c>
      <c r="S18" s="143" t="s">
        <v>241</v>
      </c>
      <c r="T18" s="145" t="s">
        <v>248</v>
      </c>
      <c r="U18" s="143">
        <v>261</v>
      </c>
      <c r="V18" s="159">
        <v>392906.64930458996</v>
      </c>
      <c r="W18" s="164">
        <v>353</v>
      </c>
      <c r="X18" s="154">
        <f t="shared" si="0"/>
        <v>1113.0499980299999</v>
      </c>
    </row>
    <row r="19" spans="2:25" x14ac:dyDescent="0.2">
      <c r="B19" s="52"/>
      <c r="C19" s="151" t="s">
        <v>152</v>
      </c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45">
        <v>45328</v>
      </c>
      <c r="O19" s="160" t="s">
        <v>240</v>
      </c>
      <c r="P19" s="154" t="s">
        <v>248</v>
      </c>
      <c r="Q19" s="145" t="s">
        <v>265</v>
      </c>
      <c r="R19" s="160" t="s">
        <v>240</v>
      </c>
      <c r="S19" s="118" t="s">
        <v>260</v>
      </c>
      <c r="T19" s="145" t="s">
        <v>248</v>
      </c>
      <c r="U19" s="143">
        <v>262</v>
      </c>
      <c r="V19" s="159">
        <v>26994</v>
      </c>
      <c r="W19" s="164">
        <v>22</v>
      </c>
      <c r="X19" s="154">
        <f t="shared" si="0"/>
        <v>1227</v>
      </c>
    </row>
    <row r="20" spans="2:25" x14ac:dyDescent="0.2">
      <c r="B20" s="52"/>
      <c r="C20" s="151" t="s">
        <v>152</v>
      </c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45">
        <v>45314</v>
      </c>
      <c r="O20" s="160" t="s">
        <v>240</v>
      </c>
      <c r="P20" s="154" t="s">
        <v>248</v>
      </c>
      <c r="Q20" s="145">
        <v>45420</v>
      </c>
      <c r="R20" s="160" t="s">
        <v>240</v>
      </c>
      <c r="S20" s="143" t="s">
        <v>241</v>
      </c>
      <c r="T20" s="145" t="s">
        <v>248</v>
      </c>
      <c r="U20" s="143">
        <v>262</v>
      </c>
      <c r="V20" s="159">
        <v>2494.25</v>
      </c>
      <c r="W20" s="164">
        <v>2</v>
      </c>
      <c r="X20" s="154">
        <f t="shared" si="0"/>
        <v>1247.125</v>
      </c>
    </row>
    <row r="21" spans="2:25" x14ac:dyDescent="0.2">
      <c r="B21" s="52"/>
      <c r="C21" s="163" t="s">
        <v>254</v>
      </c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45">
        <v>45337</v>
      </c>
      <c r="O21" s="160" t="s">
        <v>240</v>
      </c>
      <c r="P21" s="154" t="s">
        <v>248</v>
      </c>
      <c r="Q21" s="145">
        <v>45421</v>
      </c>
      <c r="R21" s="160" t="s">
        <v>240</v>
      </c>
      <c r="S21" s="143" t="s">
        <v>241</v>
      </c>
      <c r="T21" s="145" t="s">
        <v>248</v>
      </c>
      <c r="U21" s="143">
        <v>263</v>
      </c>
      <c r="V21" s="159">
        <v>56668.2</v>
      </c>
      <c r="W21" s="164">
        <v>30</v>
      </c>
      <c r="X21" s="154">
        <f t="shared" si="0"/>
        <v>1888.9399999999998</v>
      </c>
    </row>
    <row r="22" spans="2:25" x14ac:dyDescent="0.2">
      <c r="B22" s="52"/>
      <c r="C22" s="163" t="s">
        <v>226</v>
      </c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45">
        <v>45343</v>
      </c>
      <c r="O22" s="160" t="s">
        <v>240</v>
      </c>
      <c r="P22" s="154" t="s">
        <v>248</v>
      </c>
      <c r="Q22" s="145">
        <v>45344</v>
      </c>
      <c r="R22" s="160" t="s">
        <v>240</v>
      </c>
      <c r="S22" s="143" t="s">
        <v>241</v>
      </c>
      <c r="T22" s="145" t="s">
        <v>248</v>
      </c>
      <c r="U22" s="143">
        <v>265</v>
      </c>
      <c r="V22" s="159">
        <v>165846.88993345201</v>
      </c>
      <c r="W22" s="164">
        <v>133</v>
      </c>
      <c r="X22" s="154">
        <f t="shared" si="0"/>
        <v>1246.9690972440001</v>
      </c>
    </row>
    <row r="23" spans="2:25" x14ac:dyDescent="0.2">
      <c r="B23" s="52"/>
      <c r="C23" s="163" t="s">
        <v>152</v>
      </c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45">
        <v>45349</v>
      </c>
      <c r="O23" s="160" t="s">
        <v>240</v>
      </c>
      <c r="P23" s="154" t="s">
        <v>248</v>
      </c>
      <c r="Q23" s="145"/>
      <c r="R23" s="160" t="s">
        <v>240</v>
      </c>
      <c r="S23" s="143" t="s">
        <v>241</v>
      </c>
      <c r="T23" s="145" t="s">
        <v>248</v>
      </c>
      <c r="U23" s="143">
        <v>266</v>
      </c>
      <c r="V23" s="159">
        <v>13400</v>
      </c>
      <c r="W23" s="164">
        <v>10</v>
      </c>
      <c r="X23" s="154">
        <f t="shared" si="0"/>
        <v>1340</v>
      </c>
    </row>
    <row r="24" spans="2:25" x14ac:dyDescent="0.2">
      <c r="B24" s="52"/>
      <c r="C24" s="163" t="s">
        <v>255</v>
      </c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45">
        <v>45349</v>
      </c>
      <c r="O24" s="160" t="s">
        <v>240</v>
      </c>
      <c r="P24" s="154" t="s">
        <v>248</v>
      </c>
      <c r="Q24" s="145"/>
      <c r="R24" s="160" t="s">
        <v>240</v>
      </c>
      <c r="S24" s="143" t="s">
        <v>241</v>
      </c>
      <c r="T24" s="145" t="s">
        <v>248</v>
      </c>
      <c r="U24" s="143">
        <v>267</v>
      </c>
      <c r="V24" s="159">
        <v>23746.199999999997</v>
      </c>
      <c r="W24" s="164">
        <v>19</v>
      </c>
      <c r="X24" s="154">
        <f t="shared" si="0"/>
        <v>1249.8</v>
      </c>
    </row>
    <row r="25" spans="2:25" x14ac:dyDescent="0.2">
      <c r="B25" s="52"/>
      <c r="C25" s="163" t="s">
        <v>256</v>
      </c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45">
        <v>45350</v>
      </c>
      <c r="O25" s="160" t="s">
        <v>240</v>
      </c>
      <c r="P25" s="154" t="s">
        <v>248</v>
      </c>
      <c r="Q25" s="145">
        <v>45352</v>
      </c>
      <c r="R25" s="160" t="s">
        <v>240</v>
      </c>
      <c r="S25" s="143" t="s">
        <v>241</v>
      </c>
      <c r="T25" s="145" t="s">
        <v>248</v>
      </c>
      <c r="U25" s="143" t="s">
        <v>261</v>
      </c>
      <c r="V25" s="159">
        <v>219844.9</v>
      </c>
      <c r="W25" s="164">
        <v>363.38</v>
      </c>
      <c r="X25" s="154">
        <f t="shared" si="0"/>
        <v>605</v>
      </c>
    </row>
    <row r="26" spans="2:25" x14ac:dyDescent="0.2">
      <c r="B26" s="52"/>
      <c r="C26" s="163" t="s">
        <v>257</v>
      </c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45">
        <v>45363</v>
      </c>
      <c r="O26" s="160" t="s">
        <v>240</v>
      </c>
      <c r="P26" s="154" t="s">
        <v>248</v>
      </c>
      <c r="Q26" s="145">
        <v>45364</v>
      </c>
      <c r="R26" s="160" t="s">
        <v>240</v>
      </c>
      <c r="S26" s="143" t="s">
        <v>241</v>
      </c>
      <c r="T26" s="145" t="s">
        <v>248</v>
      </c>
      <c r="U26" s="143" t="s">
        <v>262</v>
      </c>
      <c r="V26" s="159">
        <v>455000</v>
      </c>
      <c r="W26" s="164">
        <v>455</v>
      </c>
      <c r="X26" s="154">
        <f t="shared" si="0"/>
        <v>1000</v>
      </c>
    </row>
    <row r="27" spans="2:25" x14ac:dyDescent="0.2">
      <c r="B27" s="52"/>
      <c r="C27" s="163" t="s">
        <v>256</v>
      </c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45">
        <v>45366</v>
      </c>
      <c r="O27" s="160" t="s">
        <v>240</v>
      </c>
      <c r="P27" s="154" t="s">
        <v>248</v>
      </c>
      <c r="Q27" s="145">
        <v>45366</v>
      </c>
      <c r="R27" s="160" t="s">
        <v>240</v>
      </c>
      <c r="S27" s="143" t="s">
        <v>241</v>
      </c>
      <c r="T27" s="145" t="s">
        <v>248</v>
      </c>
      <c r="U27" s="143">
        <v>271</v>
      </c>
      <c r="V27" s="159">
        <v>102815.1</v>
      </c>
      <c r="W27" s="164">
        <v>169.42000000000002</v>
      </c>
      <c r="X27" s="154">
        <f t="shared" si="0"/>
        <v>606.86518710895996</v>
      </c>
    </row>
    <row r="28" spans="2:25" x14ac:dyDescent="0.2">
      <c r="B28" s="52"/>
      <c r="C28" s="163" t="s">
        <v>1</v>
      </c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45">
        <v>45373</v>
      </c>
      <c r="O28" s="160" t="s">
        <v>240</v>
      </c>
      <c r="P28" s="154" t="s">
        <v>248</v>
      </c>
      <c r="Q28" s="145">
        <v>45427</v>
      </c>
      <c r="R28" s="160" t="s">
        <v>240</v>
      </c>
      <c r="S28" s="143" t="s">
        <v>241</v>
      </c>
      <c r="T28" s="145" t="s">
        <v>248</v>
      </c>
      <c r="U28" s="143">
        <v>274</v>
      </c>
      <c r="V28" s="159">
        <v>432151.01</v>
      </c>
      <c r="W28" s="164">
        <v>320</v>
      </c>
      <c r="X28" s="154">
        <f t="shared" si="0"/>
        <v>1350.4719062500001</v>
      </c>
    </row>
    <row r="29" spans="2:25" x14ac:dyDescent="0.2">
      <c r="B29" s="52"/>
      <c r="C29" s="163" t="s">
        <v>1</v>
      </c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45">
        <v>45373</v>
      </c>
      <c r="O29" s="160" t="s">
        <v>240</v>
      </c>
      <c r="P29" s="154" t="s">
        <v>248</v>
      </c>
      <c r="Q29" s="145">
        <v>45490</v>
      </c>
      <c r="R29" s="160" t="s">
        <v>240</v>
      </c>
      <c r="S29" s="143" t="s">
        <v>241</v>
      </c>
      <c r="T29" s="145" t="s">
        <v>248</v>
      </c>
      <c r="U29" s="143">
        <v>275</v>
      </c>
      <c r="V29" s="159">
        <v>438116.22333333333</v>
      </c>
      <c r="W29" s="164">
        <v>320</v>
      </c>
      <c r="X29" s="154">
        <f t="shared" si="0"/>
        <v>1369.1131979166666</v>
      </c>
    </row>
    <row r="30" spans="2:25" x14ac:dyDescent="0.2">
      <c r="B30" s="52"/>
      <c r="C30" s="163" t="s">
        <v>1</v>
      </c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45">
        <v>45373</v>
      </c>
      <c r="O30" s="160" t="s">
        <v>240</v>
      </c>
      <c r="P30" s="154" t="s">
        <v>248</v>
      </c>
      <c r="Q30" s="145">
        <v>45490</v>
      </c>
      <c r="R30" s="160" t="s">
        <v>240</v>
      </c>
      <c r="S30" s="143" t="s">
        <v>241</v>
      </c>
      <c r="T30" s="145" t="s">
        <v>248</v>
      </c>
      <c r="U30" s="143">
        <v>276</v>
      </c>
      <c r="V30" s="159">
        <v>438116.22333333333</v>
      </c>
      <c r="W30" s="164">
        <v>320</v>
      </c>
      <c r="X30" s="154">
        <f t="shared" si="0"/>
        <v>1369.1131979166666</v>
      </c>
    </row>
    <row r="31" spans="2:25" x14ac:dyDescent="0.2">
      <c r="B31" s="52"/>
      <c r="C31" s="151" t="s">
        <v>93</v>
      </c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45">
        <v>45400</v>
      </c>
      <c r="O31" s="160" t="s">
        <v>240</v>
      </c>
      <c r="P31" s="154" t="s">
        <v>248</v>
      </c>
      <c r="Q31" s="145">
        <v>45547</v>
      </c>
      <c r="R31" s="160" t="s">
        <v>240</v>
      </c>
      <c r="S31" s="143" t="s">
        <v>241</v>
      </c>
      <c r="T31" s="145" t="s">
        <v>248</v>
      </c>
      <c r="U31" s="143">
        <v>279</v>
      </c>
      <c r="V31" s="159">
        <v>305000</v>
      </c>
      <c r="W31" s="164">
        <f>V31/(V31+V32)*280</f>
        <v>178.21166637841173</v>
      </c>
      <c r="X31" s="154">
        <f t="shared" si="0"/>
        <v>1711.4479999999999</v>
      </c>
      <c r="Y31" s="143"/>
    </row>
    <row r="32" spans="2:25" x14ac:dyDescent="0.2">
      <c r="B32" s="52"/>
      <c r="C32" s="151" t="s">
        <v>93</v>
      </c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45">
        <v>45400</v>
      </c>
      <c r="O32" s="160" t="s">
        <v>240</v>
      </c>
      <c r="P32" s="154" t="s">
        <v>248</v>
      </c>
      <c r="Q32" s="145">
        <v>45610</v>
      </c>
      <c r="R32" s="160" t="s">
        <v>240</v>
      </c>
      <c r="S32" s="143" t="s">
        <v>241</v>
      </c>
      <c r="T32" s="145" t="s">
        <v>248</v>
      </c>
      <c r="U32" s="143">
        <v>279</v>
      </c>
      <c r="V32" s="159">
        <v>174205.44</v>
      </c>
      <c r="W32" s="164">
        <f>V32/(V31+V32)*280</f>
        <v>101.78833362158827</v>
      </c>
      <c r="X32" s="154">
        <f t="shared" si="0"/>
        <v>1711.4480000000001</v>
      </c>
      <c r="Y32" s="143" t="s">
        <v>266</v>
      </c>
    </row>
    <row r="33" spans="2:24" x14ac:dyDescent="0.2">
      <c r="B33" s="52"/>
      <c r="C33" s="163" t="s">
        <v>1</v>
      </c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45">
        <v>45421</v>
      </c>
      <c r="O33" s="160" t="s">
        <v>240</v>
      </c>
      <c r="P33" s="154" t="s">
        <v>248</v>
      </c>
      <c r="Q33" s="145">
        <v>45490</v>
      </c>
      <c r="R33" s="160" t="s">
        <v>240</v>
      </c>
      <c r="S33" s="143" t="s">
        <v>241</v>
      </c>
      <c r="T33" s="145" t="s">
        <v>248</v>
      </c>
      <c r="U33" s="143">
        <v>283</v>
      </c>
      <c r="V33" s="159">
        <v>438116.22333333333</v>
      </c>
      <c r="W33" s="164">
        <v>320</v>
      </c>
      <c r="X33" s="154">
        <f t="shared" si="0"/>
        <v>1369.1131979166666</v>
      </c>
    </row>
    <row r="34" spans="2:24" x14ac:dyDescent="0.2">
      <c r="B34" s="52"/>
      <c r="C34" s="151" t="s">
        <v>93</v>
      </c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45">
        <v>45432</v>
      </c>
      <c r="O34" s="160" t="s">
        <v>240</v>
      </c>
      <c r="P34" s="154" t="s">
        <v>248</v>
      </c>
      <c r="Q34" s="145"/>
      <c r="R34" s="160" t="s">
        <v>240</v>
      </c>
      <c r="S34" s="143" t="s">
        <v>241</v>
      </c>
      <c r="T34" s="145" t="s">
        <v>248</v>
      </c>
      <c r="U34" s="143">
        <v>286</v>
      </c>
      <c r="V34" s="159">
        <v>534916.61</v>
      </c>
      <c r="W34" s="164">
        <v>320</v>
      </c>
      <c r="X34" s="154">
        <f t="shared" si="0"/>
        <v>1671.61440625</v>
      </c>
    </row>
    <row r="35" spans="2:24" x14ac:dyDescent="0.2">
      <c r="B35" s="52"/>
      <c r="C35" s="163" t="s">
        <v>1</v>
      </c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45">
        <v>45456</v>
      </c>
      <c r="O35" s="160" t="s">
        <v>240</v>
      </c>
      <c r="P35" s="154" t="s">
        <v>248</v>
      </c>
      <c r="Q35" s="145">
        <v>45603</v>
      </c>
      <c r="R35" s="160" t="s">
        <v>240</v>
      </c>
      <c r="S35" s="143" t="s">
        <v>241</v>
      </c>
      <c r="T35" s="145" t="s">
        <v>248</v>
      </c>
      <c r="U35" s="143">
        <v>288</v>
      </c>
      <c r="V35" s="159">
        <v>572795.68000000005</v>
      </c>
      <c r="W35" s="164">
        <v>320</v>
      </c>
      <c r="X35" s="154">
        <f t="shared" si="0"/>
        <v>1789.9865000000002</v>
      </c>
    </row>
    <row r="36" spans="2:24" x14ac:dyDescent="0.2">
      <c r="B36" s="52"/>
      <c r="C36" s="163" t="s">
        <v>258</v>
      </c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45">
        <v>45470</v>
      </c>
      <c r="O36" s="160" t="s">
        <v>240</v>
      </c>
      <c r="P36" s="154" t="s">
        <v>248</v>
      </c>
      <c r="Q36" s="145">
        <v>45471</v>
      </c>
      <c r="R36" s="160" t="s">
        <v>240</v>
      </c>
      <c r="S36" s="143" t="s">
        <v>241</v>
      </c>
      <c r="T36" s="145" t="s">
        <v>248</v>
      </c>
      <c r="U36" s="143">
        <v>306</v>
      </c>
      <c r="V36" s="159">
        <v>81471.320000000007</v>
      </c>
      <c r="W36" s="164">
        <v>50</v>
      </c>
      <c r="X36" s="154">
        <f t="shared" si="0"/>
        <v>1629.4264000000001</v>
      </c>
    </row>
    <row r="37" spans="2:24" x14ac:dyDescent="0.2">
      <c r="B37" s="52"/>
      <c r="C37" s="163" t="s">
        <v>1</v>
      </c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45">
        <v>45483</v>
      </c>
      <c r="O37" s="160" t="s">
        <v>240</v>
      </c>
      <c r="P37" s="154" t="s">
        <v>248</v>
      </c>
      <c r="Q37" s="145">
        <v>45603</v>
      </c>
      <c r="R37" s="160" t="s">
        <v>240</v>
      </c>
      <c r="S37" s="143" t="s">
        <v>241</v>
      </c>
      <c r="T37" s="145" t="s">
        <v>248</v>
      </c>
      <c r="U37" s="143">
        <v>322</v>
      </c>
      <c r="V37" s="159">
        <v>579189.54</v>
      </c>
      <c r="W37" s="164">
        <v>320</v>
      </c>
      <c r="X37" s="154">
        <f t="shared" si="0"/>
        <v>1809.9673125000002</v>
      </c>
    </row>
    <row r="38" spans="2:24" x14ac:dyDescent="0.2">
      <c r="B38" s="52"/>
      <c r="C38" s="163" t="s">
        <v>259</v>
      </c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45">
        <v>45485</v>
      </c>
      <c r="O38" s="160" t="s">
        <v>240</v>
      </c>
      <c r="P38" s="154" t="s">
        <v>248</v>
      </c>
      <c r="Q38" s="145">
        <v>45485</v>
      </c>
      <c r="R38" s="160" t="s">
        <v>240</v>
      </c>
      <c r="S38" s="143" t="s">
        <v>241</v>
      </c>
      <c r="T38" s="145" t="s">
        <v>248</v>
      </c>
      <c r="U38" s="143" t="s">
        <v>263</v>
      </c>
      <c r="V38" s="159">
        <v>209760.25007783642</v>
      </c>
      <c r="W38" s="164">
        <v>138.16666666666666</v>
      </c>
      <c r="X38" s="154">
        <f t="shared" si="0"/>
        <v>1518.1682755935085</v>
      </c>
    </row>
    <row r="39" spans="2:24" x14ac:dyDescent="0.2">
      <c r="B39" s="52"/>
      <c r="C39" s="151" t="s">
        <v>93</v>
      </c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45">
        <v>45400</v>
      </c>
      <c r="O39" s="160" t="s">
        <v>240</v>
      </c>
      <c r="P39" s="154" t="s">
        <v>248</v>
      </c>
      <c r="Q39" s="145">
        <v>45716</v>
      </c>
      <c r="R39" s="160">
        <f t="shared" ref="R39" ca="1" si="1">Q39-$O$2</f>
        <v>39</v>
      </c>
      <c r="S39" s="143"/>
      <c r="T39" s="145" t="s">
        <v>248</v>
      </c>
      <c r="V39" s="159"/>
      <c r="W39" s="164">
        <v>320</v>
      </c>
      <c r="X39" s="154">
        <f t="shared" ref="X39" si="2">V39/W39</f>
        <v>0</v>
      </c>
    </row>
    <row r="40" spans="2:24" x14ac:dyDescent="0.2">
      <c r="B40" s="143" t="s">
        <v>12</v>
      </c>
      <c r="C40" s="142" t="s">
        <v>1</v>
      </c>
      <c r="D40" s="143" t="str">
        <f>_xlfn.IFNA(IF(VLOOKUP($B40,charge!$B:$D,3,FALSE)=painel!D$3,"Ok"," - "),"n/a")</f>
        <v xml:space="preserve"> - </v>
      </c>
      <c r="E40" s="143" t="str">
        <f>_xlfn.IFNA(IF(VLOOKUP($B40,charge!$B:$D,3,FALSE)=painel!E$3,"Ok"," - "),"n/a")</f>
        <v xml:space="preserve"> - </v>
      </c>
      <c r="F40" s="143" t="str">
        <f>_xlfn.IFNA(IF(VLOOKUP($B40,charge!$B:$D,3,FALSE)=painel!F$3,"Ok"," - "),"n/a")</f>
        <v xml:space="preserve"> - </v>
      </c>
      <c r="G40" s="143" t="str">
        <f>_xlfn.IFNA(IF(VLOOKUP($B40,charge!$B:$D,3,FALSE)=painel!G$3,"Ok"," - "),"n/a")</f>
        <v xml:space="preserve"> - </v>
      </c>
      <c r="H40" s="143" t="str">
        <f>_xlfn.IFNA(IF(VLOOKUP($B40,charge!$B:$D,3,FALSE)=painel!H$3,"Ok"," - "),"n/a")</f>
        <v xml:space="preserve"> - </v>
      </c>
      <c r="I40" s="143" t="str">
        <f>_xlfn.IFNA(IF(VLOOKUP($B40,charge!$B:$D,3,FALSE)=painel!I$3,"Ok"," - "),"n/a")</f>
        <v xml:space="preserve"> - </v>
      </c>
      <c r="J40" s="143" t="str">
        <f>_xlfn.IFNA(IF(VLOOKUP($B40,charge!$B:$D,3,FALSE)=painel!J$3,"Ok"," - "),"n/a")</f>
        <v xml:space="preserve"> - </v>
      </c>
      <c r="K40" s="143" t="str">
        <f>_xlfn.IFNA(IF(VLOOKUP($B40,charge!$B:$D,3,FALSE)=painel!K$3,"Ok"," - "),"n/a")</f>
        <v xml:space="preserve"> - </v>
      </c>
      <c r="L40" s="143" t="str">
        <f>_xlfn.IFNA(IF(VLOOKUP($B40,charge!$B:$D,3,FALSE)=painel!L$3,"Ok"," - "),"n/a")</f>
        <v>Ok</v>
      </c>
      <c r="M40" s="143" t="str">
        <f>_xlfn.IFNA(IF(VLOOKUP($B40,charge!$B:$D,3,FALSE)=painel!M$3,"Ok"," - "),"n/a")</f>
        <v xml:space="preserve"> - </v>
      </c>
      <c r="N40" s="145">
        <f>vendas!K52</f>
        <v>45564</v>
      </c>
      <c r="O40" s="160" t="s">
        <v>240</v>
      </c>
      <c r="P40" s="154">
        <f>vendas!L50</f>
        <v>60</v>
      </c>
      <c r="Q40" s="145">
        <v>45636</v>
      </c>
      <c r="R40" s="160" t="s">
        <v>240</v>
      </c>
      <c r="S40" s="143" t="s">
        <v>241</v>
      </c>
      <c r="T40" s="145">
        <v>45636</v>
      </c>
      <c r="U40" s="143">
        <v>424</v>
      </c>
      <c r="V40" s="159">
        <v>689739.67</v>
      </c>
      <c r="W40" s="143">
        <f>VLOOKUP(B40,vendas!C:D,2,)</f>
        <v>320</v>
      </c>
      <c r="X40" s="154">
        <f t="shared" si="0"/>
        <v>2155.4364687500001</v>
      </c>
    </row>
    <row r="41" spans="2:24" x14ac:dyDescent="0.2">
      <c r="B41" s="143" t="s">
        <v>11</v>
      </c>
      <c r="C41" s="142" t="s">
        <v>1</v>
      </c>
      <c r="D41" s="143" t="str">
        <f>_xlfn.IFNA(IF(VLOOKUP($B41,charge!$B:$D,3,FALSE)=painel!D$3,"Ok"," - "),"n/a")</f>
        <v xml:space="preserve"> - </v>
      </c>
      <c r="E41" s="143" t="str">
        <f>_xlfn.IFNA(IF(VLOOKUP($B41,charge!$B:$D,3,FALSE)=painel!E$3,"Ok"," - "),"n/a")</f>
        <v xml:space="preserve"> - </v>
      </c>
      <c r="F41" s="143" t="str">
        <f>_xlfn.IFNA(IF(VLOOKUP($B41,charge!$B:$D,3,FALSE)=painel!F$3,"Ok"," - "),"n/a")</f>
        <v xml:space="preserve"> - </v>
      </c>
      <c r="G41" s="143" t="str">
        <f>_xlfn.IFNA(IF(VLOOKUP($B41,charge!$B:$D,3,FALSE)=painel!G$3,"Ok"," - "),"n/a")</f>
        <v xml:space="preserve"> - </v>
      </c>
      <c r="H41" s="143" t="str">
        <f>_xlfn.IFNA(IF(VLOOKUP($B41,charge!$B:$D,3,FALSE)=painel!H$3,"Ok"," - "),"n/a")</f>
        <v xml:space="preserve"> - </v>
      </c>
      <c r="I41" s="143" t="str">
        <f>_xlfn.IFNA(IF(VLOOKUP($B41,charge!$B:$D,3,FALSE)=painel!I$3,"Ok"," - "),"n/a")</f>
        <v xml:space="preserve"> - </v>
      </c>
      <c r="J41" s="143" t="str">
        <f>_xlfn.IFNA(IF(VLOOKUP($B41,charge!$B:$D,3,FALSE)=painel!J$3,"Ok"," - "),"n/a")</f>
        <v xml:space="preserve"> - </v>
      </c>
      <c r="K41" s="143" t="str">
        <f>_xlfn.IFNA(IF(VLOOKUP($B41,charge!$B:$D,3,FALSE)=painel!K$3,"Ok"," - "),"n/a")</f>
        <v xml:space="preserve"> - </v>
      </c>
      <c r="L41" s="143" t="str">
        <f>_xlfn.IFNA(IF(VLOOKUP($B41,charge!$B:$D,3,FALSE)=painel!L$3,"Ok"," - "),"n/a")</f>
        <v>Ok</v>
      </c>
      <c r="M41" s="143" t="str">
        <f>_xlfn.IFNA(IF(VLOOKUP($B41,charge!$B:$D,3,FALSE)=painel!M$3,"Ok"," - "),"n/a")</f>
        <v xml:space="preserve"> - </v>
      </c>
      <c r="N41" s="145">
        <f>vendas!K53</f>
        <v>45599</v>
      </c>
      <c r="O41" s="160" t="s">
        <v>240</v>
      </c>
      <c r="P41" s="154">
        <f>vendas!L51</f>
        <v>60</v>
      </c>
      <c r="Q41" s="145">
        <v>45636</v>
      </c>
      <c r="R41" s="160" t="s">
        <v>240</v>
      </c>
      <c r="S41" s="143" t="s">
        <v>241</v>
      </c>
      <c r="T41" s="145">
        <v>45636</v>
      </c>
      <c r="U41" s="143">
        <v>425</v>
      </c>
      <c r="V41" s="159">
        <v>689739.67</v>
      </c>
      <c r="W41" s="143">
        <f>VLOOKUP(B41,vendas!C:D,2,)</f>
        <v>320</v>
      </c>
      <c r="X41" s="154">
        <f t="shared" si="0"/>
        <v>2155.4364687500001</v>
      </c>
    </row>
    <row r="42" spans="2:24" x14ac:dyDescent="0.2">
      <c r="B42" s="143" t="s">
        <v>10</v>
      </c>
      <c r="C42" s="142" t="s">
        <v>1</v>
      </c>
      <c r="D42" s="143" t="str">
        <f>_xlfn.IFNA(IF(VLOOKUP($B42,charge!$B:$D,3,FALSE)=painel!D$3,"Ok"," - "),"n/a")</f>
        <v xml:space="preserve"> - </v>
      </c>
      <c r="E42" s="143" t="str">
        <f>_xlfn.IFNA(IF(VLOOKUP($B42,charge!$B:$D,3,FALSE)=painel!E$3,"Ok"," - "),"n/a")</f>
        <v xml:space="preserve"> - </v>
      </c>
      <c r="F42" s="143" t="str">
        <f>_xlfn.IFNA(IF(VLOOKUP($B42,charge!$B:$D,3,FALSE)=painel!F$3,"Ok"," - "),"n/a")</f>
        <v xml:space="preserve"> - </v>
      </c>
      <c r="G42" s="143" t="str">
        <f>_xlfn.IFNA(IF(VLOOKUP($B42,charge!$B:$D,3,FALSE)=painel!G$3,"Ok"," - "),"n/a")</f>
        <v xml:space="preserve"> - </v>
      </c>
      <c r="H42" s="143" t="str">
        <f>_xlfn.IFNA(IF(VLOOKUP($B42,charge!$B:$D,3,FALSE)=painel!H$3,"Ok"," - "),"n/a")</f>
        <v xml:space="preserve"> - </v>
      </c>
      <c r="I42" s="143" t="str">
        <f>_xlfn.IFNA(IF(VLOOKUP($B42,charge!$B:$D,3,FALSE)=painel!I$3,"Ok"," - "),"n/a")</f>
        <v xml:space="preserve"> - </v>
      </c>
      <c r="J42" s="143" t="str">
        <f>_xlfn.IFNA(IF(VLOOKUP($B42,charge!$B:$D,3,FALSE)=painel!J$3,"Ok"," - "),"n/a")</f>
        <v xml:space="preserve"> - </v>
      </c>
      <c r="K42" s="143" t="str">
        <f>_xlfn.IFNA(IF(VLOOKUP($B42,charge!$B:$D,3,FALSE)=painel!K$3,"Ok"," - "),"n/a")</f>
        <v xml:space="preserve"> - </v>
      </c>
      <c r="L42" s="143" t="str">
        <f>_xlfn.IFNA(IF(VLOOKUP($B42,charge!$B:$D,3,FALSE)=painel!L$3,"Ok"," - "),"n/a")</f>
        <v>Ok</v>
      </c>
      <c r="M42" s="143" t="str">
        <f>_xlfn.IFNA(IF(VLOOKUP($B42,charge!$B:$D,3,FALSE)=painel!M$3,"Ok"," - "),"n/a")</f>
        <v xml:space="preserve"> - </v>
      </c>
      <c r="N42" s="145">
        <f>vendas!K54</f>
        <v>45599</v>
      </c>
      <c r="O42" s="160" t="s">
        <v>240</v>
      </c>
      <c r="P42" s="154">
        <f>vendas!L52</f>
        <v>60</v>
      </c>
      <c r="Q42" s="145">
        <v>45636</v>
      </c>
      <c r="R42" s="160" t="s">
        <v>240</v>
      </c>
      <c r="S42" s="143" t="s">
        <v>241</v>
      </c>
      <c r="T42" s="145">
        <v>45636</v>
      </c>
      <c r="U42" s="143">
        <v>426</v>
      </c>
      <c r="V42" s="159">
        <v>689739.67</v>
      </c>
      <c r="W42" s="143">
        <f>VLOOKUP(B42,vendas!C:D,2,)</f>
        <v>320</v>
      </c>
      <c r="X42" s="154">
        <f t="shared" si="0"/>
        <v>2155.4364687500001</v>
      </c>
    </row>
    <row r="43" spans="2:24" x14ac:dyDescent="0.2">
      <c r="B43" s="143" t="s">
        <v>5</v>
      </c>
      <c r="C43" s="142" t="s">
        <v>1</v>
      </c>
      <c r="D43" s="143" t="str">
        <f>_xlfn.IFNA(IF(VLOOKUP($B43,charge!$B:$D,3,FALSE)=painel!D$3,"Ok"," - "),"n/a")</f>
        <v>Ok</v>
      </c>
      <c r="E43" s="143" t="str">
        <f>_xlfn.IFNA(IF(VLOOKUP($B43,charge!$B:$D,3,FALSE)=painel!E$3,"Ok"," - "),"n/a")</f>
        <v xml:space="preserve"> - </v>
      </c>
      <c r="F43" s="143" t="str">
        <f>_xlfn.IFNA(IF(VLOOKUP($B43,charge!$B:$D,3,FALSE)=painel!F$3,"Ok"," - "),"n/a")</f>
        <v xml:space="preserve"> - </v>
      </c>
      <c r="G43" s="143" t="str">
        <f>_xlfn.IFNA(IF(VLOOKUP($B43,charge!$B:$D,3,FALSE)=painel!G$3,"Ok"," - "),"n/a")</f>
        <v xml:space="preserve"> - </v>
      </c>
      <c r="H43" s="143" t="str">
        <f>_xlfn.IFNA(IF(VLOOKUP($B43,charge!$B:$D,3,FALSE)=painel!H$3,"Ok"," - "),"n/a")</f>
        <v xml:space="preserve"> - </v>
      </c>
      <c r="I43" s="143" t="str">
        <f>_xlfn.IFNA(IF(VLOOKUP($B43,charge!$B:$D,3,FALSE)=painel!I$3,"Ok"," - "),"n/a")</f>
        <v xml:space="preserve"> - </v>
      </c>
      <c r="J43" s="143" t="str">
        <f>_xlfn.IFNA(IF(VLOOKUP($B43,charge!$B:$D,3,FALSE)=painel!J$3,"Ok"," - "),"n/a")</f>
        <v xml:space="preserve"> - </v>
      </c>
      <c r="K43" s="143" t="str">
        <f>_xlfn.IFNA(IF(VLOOKUP($B43,charge!$B:$D,3,FALSE)=painel!K$3,"Ok"," - "),"n/a")</f>
        <v xml:space="preserve"> - </v>
      </c>
      <c r="L43" s="143" t="str">
        <f>_xlfn.IFNA(IF(VLOOKUP($B43,charge!$B:$D,3,FALSE)=painel!L$3,"Ok"," - "),"n/a")</f>
        <v xml:space="preserve"> - </v>
      </c>
      <c r="M43" s="143" t="str">
        <f>_xlfn.IFNA(IF(VLOOKUP($B43,charge!$B:$D,3,FALSE)=painel!M$3,"Ok"," - "),"n/a")</f>
        <v xml:space="preserve"> - </v>
      </c>
      <c r="N43" s="145">
        <f>vendas!K55</f>
        <v>45630</v>
      </c>
      <c r="O43" s="160" t="s">
        <v>240</v>
      </c>
      <c r="P43" s="154">
        <f>vendas!L53</f>
        <v>90</v>
      </c>
      <c r="Q43" s="145">
        <f t="shared" ref="Q43:Q53" si="3">N41+P43</f>
        <v>45689</v>
      </c>
      <c r="R43" s="160">
        <f t="shared" ref="R43:R66" ca="1" si="4">Q43-$O$2</f>
        <v>12</v>
      </c>
      <c r="S43" s="143"/>
      <c r="T43" s="143"/>
      <c r="V43" s="159"/>
      <c r="W43" s="143">
        <f>VLOOKUP(B43,vendas!C:D,2,)</f>
        <v>160</v>
      </c>
      <c r="X43" s="154">
        <f t="shared" si="0"/>
        <v>0</v>
      </c>
    </row>
    <row r="44" spans="2:24" x14ac:dyDescent="0.2">
      <c r="B44" s="143" t="s">
        <v>4</v>
      </c>
      <c r="C44" s="142" t="s">
        <v>1</v>
      </c>
      <c r="D44" s="143" t="str">
        <f>_xlfn.IFNA(IF(VLOOKUP($B44,charge!$B:$D,3,FALSE)=painel!D$3,"Ok"," - "),"n/a")</f>
        <v xml:space="preserve"> - </v>
      </c>
      <c r="E44" s="143" t="str">
        <f>_xlfn.IFNA(IF(VLOOKUP($B44,charge!$B:$D,3,FALSE)=painel!E$3,"Ok"," - "),"n/a")</f>
        <v xml:space="preserve"> - </v>
      </c>
      <c r="F44" s="143" t="str">
        <f>_xlfn.IFNA(IF(VLOOKUP($B44,charge!$B:$D,3,FALSE)=painel!F$3,"Ok"," - "),"n/a")</f>
        <v>Ok</v>
      </c>
      <c r="G44" s="143" t="str">
        <f>_xlfn.IFNA(IF(VLOOKUP($B44,charge!$B:$D,3,FALSE)=painel!G$3,"Ok"," - "),"n/a")</f>
        <v xml:space="preserve"> - </v>
      </c>
      <c r="H44" s="143" t="str">
        <f>_xlfn.IFNA(IF(VLOOKUP($B44,charge!$B:$D,3,FALSE)=painel!H$3,"Ok"," - "),"n/a")</f>
        <v xml:space="preserve"> - </v>
      </c>
      <c r="I44" s="143" t="str">
        <f>_xlfn.IFNA(IF(VLOOKUP($B44,charge!$B:$D,3,FALSE)=painel!I$3,"Ok"," - "),"n/a")</f>
        <v xml:space="preserve"> - </v>
      </c>
      <c r="J44" s="143" t="str">
        <f>_xlfn.IFNA(IF(VLOOKUP($B44,charge!$B:$D,3,FALSE)=painel!J$3,"Ok"," - "),"n/a")</f>
        <v xml:space="preserve"> - </v>
      </c>
      <c r="K44" s="143" t="str">
        <f>_xlfn.IFNA(IF(VLOOKUP($B44,charge!$B:$D,3,FALSE)=painel!K$3,"Ok"," - "),"n/a")</f>
        <v xml:space="preserve"> - </v>
      </c>
      <c r="L44" s="143" t="str">
        <f>_xlfn.IFNA(IF(VLOOKUP($B44,charge!$B:$D,3,FALSE)=painel!L$3,"Ok"," - "),"n/a")</f>
        <v xml:space="preserve"> - </v>
      </c>
      <c r="M44" s="143" t="str">
        <f>_xlfn.IFNA(IF(VLOOKUP($B44,charge!$B:$D,3,FALSE)=painel!M$3,"Ok"," - "),"n/a")</f>
        <v xml:space="preserve"> - </v>
      </c>
      <c r="N44" s="145">
        <f>vendas!K56</f>
        <v>45630</v>
      </c>
      <c r="O44" s="160" t="s">
        <v>240</v>
      </c>
      <c r="P44" s="154">
        <f>vendas!L54</f>
        <v>60</v>
      </c>
      <c r="Q44" s="145">
        <f t="shared" si="3"/>
        <v>45659</v>
      </c>
      <c r="R44" s="160">
        <f t="shared" ca="1" si="4"/>
        <v>-18</v>
      </c>
      <c r="S44" s="143"/>
      <c r="T44" s="143"/>
      <c r="V44" s="159"/>
      <c r="W44" s="143">
        <f>VLOOKUP(B44,vendas!C:D,2,)</f>
        <v>160</v>
      </c>
      <c r="X44" s="154">
        <f t="shared" si="0"/>
        <v>0</v>
      </c>
    </row>
    <row r="45" spans="2:24" x14ac:dyDescent="0.2">
      <c r="B45" s="143" t="s">
        <v>9</v>
      </c>
      <c r="C45" s="142" t="s">
        <v>1</v>
      </c>
      <c r="D45" s="143" t="str">
        <f>_xlfn.IFNA(IF(VLOOKUP($B45,charge!$B:$D,3,FALSE)=painel!D$3,"Ok"," - "),"n/a")</f>
        <v>Ok</v>
      </c>
      <c r="E45" s="143" t="str">
        <f>_xlfn.IFNA(IF(VLOOKUP($B45,charge!$B:$D,3,FALSE)=painel!E$3,"Ok"," - "),"n/a")</f>
        <v xml:space="preserve"> - </v>
      </c>
      <c r="F45" s="143" t="str">
        <f>_xlfn.IFNA(IF(VLOOKUP($B45,charge!$B:$D,3,FALSE)=painel!F$3,"Ok"," - "),"n/a")</f>
        <v xml:space="preserve"> - </v>
      </c>
      <c r="G45" s="143" t="str">
        <f>_xlfn.IFNA(IF(VLOOKUP($B45,charge!$B:$D,3,FALSE)=painel!G$3,"Ok"," - "),"n/a")</f>
        <v xml:space="preserve"> - </v>
      </c>
      <c r="H45" s="143" t="str">
        <f>_xlfn.IFNA(IF(VLOOKUP($B45,charge!$B:$D,3,FALSE)=painel!H$3,"Ok"," - "),"n/a")</f>
        <v xml:space="preserve"> - </v>
      </c>
      <c r="I45" s="143" t="str">
        <f>_xlfn.IFNA(IF(VLOOKUP($B45,charge!$B:$D,3,FALSE)=painel!I$3,"Ok"," - "),"n/a")</f>
        <v xml:space="preserve"> - </v>
      </c>
      <c r="J45" s="143" t="str">
        <f>_xlfn.IFNA(IF(VLOOKUP($B45,charge!$B:$D,3,FALSE)=painel!J$3,"Ok"," - "),"n/a")</f>
        <v xml:space="preserve"> - </v>
      </c>
      <c r="K45" s="143" t="str">
        <f>_xlfn.IFNA(IF(VLOOKUP($B45,charge!$B:$D,3,FALSE)=painel!K$3,"Ok"," - "),"n/a")</f>
        <v xml:space="preserve"> - </v>
      </c>
      <c r="L45" s="143" t="str">
        <f>_xlfn.IFNA(IF(VLOOKUP($B45,charge!$B:$D,3,FALSE)=painel!L$3,"Ok"," - "),"n/a")</f>
        <v xml:space="preserve"> - </v>
      </c>
      <c r="M45" s="143" t="str">
        <f>_xlfn.IFNA(IF(VLOOKUP($B45,charge!$B:$D,3,FALSE)=painel!M$3,"Ok"," - "),"n/a")</f>
        <v xml:space="preserve"> - </v>
      </c>
      <c r="N45" s="145">
        <f>vendas!K57</f>
        <v>45630</v>
      </c>
      <c r="O45" s="160" t="s">
        <v>240</v>
      </c>
      <c r="P45" s="154">
        <f>vendas!L55</f>
        <v>60</v>
      </c>
      <c r="Q45" s="145">
        <f t="shared" si="3"/>
        <v>45690</v>
      </c>
      <c r="R45" s="160">
        <f t="shared" ca="1" si="4"/>
        <v>13</v>
      </c>
      <c r="S45" s="143"/>
      <c r="T45" s="143"/>
      <c r="V45" s="159"/>
      <c r="W45" s="143">
        <f>VLOOKUP(B45,vendas!C:D,2,)</f>
        <v>320</v>
      </c>
      <c r="X45" s="154">
        <f t="shared" si="0"/>
        <v>0</v>
      </c>
    </row>
    <row r="46" spans="2:24" x14ac:dyDescent="0.2">
      <c r="B46" s="143" t="s">
        <v>8</v>
      </c>
      <c r="C46" s="142" t="s">
        <v>1</v>
      </c>
      <c r="D46" s="143" t="str">
        <f>_xlfn.IFNA(IF(VLOOKUP($B46,charge!$B:$D,3,FALSE)=painel!D$3,"Ok"," - "),"n/a")</f>
        <v>Ok</v>
      </c>
      <c r="E46" s="143" t="str">
        <f>_xlfn.IFNA(IF(VLOOKUP($B46,charge!$B:$D,3,FALSE)=painel!E$3,"Ok"," - "),"n/a")</f>
        <v xml:space="preserve"> - </v>
      </c>
      <c r="F46" s="143" t="str">
        <f>_xlfn.IFNA(IF(VLOOKUP($B46,charge!$B:$D,3,FALSE)=painel!F$3,"Ok"," - "),"n/a")</f>
        <v xml:space="preserve"> - </v>
      </c>
      <c r="G46" s="143" t="str">
        <f>_xlfn.IFNA(IF(VLOOKUP($B46,charge!$B:$D,3,FALSE)=painel!G$3,"Ok"," - "),"n/a")</f>
        <v xml:space="preserve"> - </v>
      </c>
      <c r="H46" s="143" t="str">
        <f>_xlfn.IFNA(IF(VLOOKUP($B46,charge!$B:$D,3,FALSE)=painel!H$3,"Ok"," - "),"n/a")</f>
        <v xml:space="preserve"> - </v>
      </c>
      <c r="I46" s="143" t="str">
        <f>_xlfn.IFNA(IF(VLOOKUP($B46,charge!$B:$D,3,FALSE)=painel!I$3,"Ok"," - "),"n/a")</f>
        <v xml:space="preserve"> - </v>
      </c>
      <c r="J46" s="143" t="str">
        <f>_xlfn.IFNA(IF(VLOOKUP($B46,charge!$B:$D,3,FALSE)=painel!J$3,"Ok"," - "),"n/a")</f>
        <v xml:space="preserve"> - </v>
      </c>
      <c r="K46" s="143" t="str">
        <f>_xlfn.IFNA(IF(VLOOKUP($B46,charge!$B:$D,3,FALSE)=painel!K$3,"Ok"," - "),"n/a")</f>
        <v xml:space="preserve"> - </v>
      </c>
      <c r="L46" s="143" t="str">
        <f>_xlfn.IFNA(IF(VLOOKUP($B46,charge!$B:$D,3,FALSE)=painel!L$3,"Ok"," - "),"n/a")</f>
        <v xml:space="preserve"> - </v>
      </c>
      <c r="M46" s="143" t="str">
        <f>_xlfn.IFNA(IF(VLOOKUP($B46,charge!$B:$D,3,FALSE)=painel!M$3,"Ok"," - "),"n/a")</f>
        <v xml:space="preserve"> - </v>
      </c>
      <c r="N46" s="145">
        <f>vendas!K58</f>
        <v>45687</v>
      </c>
      <c r="O46" s="160" t="s">
        <v>240</v>
      </c>
      <c r="P46" s="154">
        <f>vendas!L56</f>
        <v>90</v>
      </c>
      <c r="Q46" s="145">
        <f t="shared" si="3"/>
        <v>45720</v>
      </c>
      <c r="R46" s="160">
        <f t="shared" ca="1" si="4"/>
        <v>43</v>
      </c>
      <c r="S46" s="143"/>
      <c r="T46" s="143"/>
      <c r="V46" s="159"/>
      <c r="W46" s="143">
        <f>VLOOKUP(B46,vendas!C:D,2,)</f>
        <v>320</v>
      </c>
      <c r="X46" s="154">
        <f t="shared" si="0"/>
        <v>0</v>
      </c>
    </row>
    <row r="47" spans="2:24" x14ac:dyDescent="0.2">
      <c r="B47" s="143" t="s">
        <v>7</v>
      </c>
      <c r="C47" s="142" t="s">
        <v>1</v>
      </c>
      <c r="D47" s="143" t="str">
        <f>_xlfn.IFNA(IF(VLOOKUP($B47,charge!$B:$D,3,FALSE)=painel!D$3,"Ok"," - "),"n/a")</f>
        <v>Ok</v>
      </c>
      <c r="E47" s="143" t="str">
        <f>_xlfn.IFNA(IF(VLOOKUP($B47,charge!$B:$D,3,FALSE)=painel!E$3,"Ok"," - "),"n/a")</f>
        <v xml:space="preserve"> - </v>
      </c>
      <c r="F47" s="143" t="str">
        <f>_xlfn.IFNA(IF(VLOOKUP($B47,charge!$B:$D,3,FALSE)=painel!F$3,"Ok"," - "),"n/a")</f>
        <v xml:space="preserve"> - </v>
      </c>
      <c r="G47" s="143" t="str">
        <f>_xlfn.IFNA(IF(VLOOKUP($B47,charge!$B:$D,3,FALSE)=painel!G$3,"Ok"," - "),"n/a")</f>
        <v xml:space="preserve"> - </v>
      </c>
      <c r="H47" s="143" t="str">
        <f>_xlfn.IFNA(IF(VLOOKUP($B47,charge!$B:$D,3,FALSE)=painel!H$3,"Ok"," - "),"n/a")</f>
        <v xml:space="preserve"> - </v>
      </c>
      <c r="I47" s="143" t="str">
        <f>_xlfn.IFNA(IF(VLOOKUP($B47,charge!$B:$D,3,FALSE)=painel!I$3,"Ok"," - "),"n/a")</f>
        <v xml:space="preserve"> - </v>
      </c>
      <c r="J47" s="143" t="str">
        <f>_xlfn.IFNA(IF(VLOOKUP($B47,charge!$B:$D,3,FALSE)=painel!J$3,"Ok"," - "),"n/a")</f>
        <v xml:space="preserve"> - </v>
      </c>
      <c r="K47" s="143" t="str">
        <f>_xlfn.IFNA(IF(VLOOKUP($B47,charge!$B:$D,3,FALSE)=painel!K$3,"Ok"," - "),"n/a")</f>
        <v xml:space="preserve"> - </v>
      </c>
      <c r="L47" s="143" t="str">
        <f>_xlfn.IFNA(IF(VLOOKUP($B47,charge!$B:$D,3,FALSE)=painel!L$3,"Ok"," - "),"n/a")</f>
        <v xml:space="preserve"> - </v>
      </c>
      <c r="M47" s="143" t="str">
        <f>_xlfn.IFNA(IF(VLOOKUP($B47,charge!$B:$D,3,FALSE)=painel!M$3,"Ok"," - "),"n/a")</f>
        <v xml:space="preserve"> - </v>
      </c>
      <c r="N47" s="145">
        <f>vendas!K59</f>
        <v>45687</v>
      </c>
      <c r="O47" s="160" t="s">
        <v>240</v>
      </c>
      <c r="P47" s="154">
        <f>vendas!L57</f>
        <v>90</v>
      </c>
      <c r="Q47" s="145">
        <f t="shared" si="3"/>
        <v>45720</v>
      </c>
      <c r="R47" s="160">
        <f t="shared" ca="1" si="4"/>
        <v>43</v>
      </c>
      <c r="S47" s="143"/>
      <c r="T47" s="143"/>
      <c r="V47" s="159"/>
      <c r="W47" s="143">
        <f>VLOOKUP(B47,vendas!C:D,2,)</f>
        <v>320</v>
      </c>
      <c r="X47" s="154">
        <f t="shared" si="0"/>
        <v>0</v>
      </c>
    </row>
    <row r="48" spans="2:24" x14ac:dyDescent="0.2">
      <c r="B48" s="143" t="s">
        <v>5</v>
      </c>
      <c r="C48" s="142" t="s">
        <v>1</v>
      </c>
      <c r="D48" s="143" t="str">
        <f>_xlfn.IFNA(IF(VLOOKUP($B48,charge!$B:$D,3,FALSE)=painel!D$3,"Ok"," - "),"n/a")</f>
        <v>Ok</v>
      </c>
      <c r="E48" s="143" t="str">
        <f>_xlfn.IFNA(IF(VLOOKUP($B48,charge!$B:$D,3,FALSE)=painel!E$3,"Ok"," - "),"n/a")</f>
        <v xml:space="preserve"> - </v>
      </c>
      <c r="F48" s="143" t="str">
        <f>_xlfn.IFNA(IF(VLOOKUP($B48,charge!$B:$D,3,FALSE)=painel!F$3,"Ok"," - "),"n/a")</f>
        <v xml:space="preserve"> - </v>
      </c>
      <c r="G48" s="143" t="str">
        <f>_xlfn.IFNA(IF(VLOOKUP($B48,charge!$B:$D,3,FALSE)=painel!G$3,"Ok"," - "),"n/a")</f>
        <v xml:space="preserve"> - </v>
      </c>
      <c r="H48" s="143" t="str">
        <f>_xlfn.IFNA(IF(VLOOKUP($B48,charge!$B:$D,3,FALSE)=painel!H$3,"Ok"," - "),"n/a")</f>
        <v xml:space="preserve"> - </v>
      </c>
      <c r="I48" s="143" t="str">
        <f>_xlfn.IFNA(IF(VLOOKUP($B48,charge!$B:$D,3,FALSE)=painel!I$3,"Ok"," - "),"n/a")</f>
        <v xml:space="preserve"> - </v>
      </c>
      <c r="J48" s="143" t="str">
        <f>_xlfn.IFNA(IF(VLOOKUP($B48,charge!$B:$D,3,FALSE)=painel!J$3,"Ok"," - "),"n/a")</f>
        <v xml:space="preserve"> - </v>
      </c>
      <c r="K48" s="143" t="str">
        <f>_xlfn.IFNA(IF(VLOOKUP($B48,charge!$B:$D,3,FALSE)=painel!K$3,"Ok"," - "),"n/a")</f>
        <v xml:space="preserve"> - </v>
      </c>
      <c r="L48" s="143" t="str">
        <f>_xlfn.IFNA(IF(VLOOKUP($B48,charge!$B:$D,3,FALSE)=painel!L$3,"Ok"," - "),"n/a")</f>
        <v xml:space="preserve"> - </v>
      </c>
      <c r="M48" s="143" t="str">
        <f>_xlfn.IFNA(IF(VLOOKUP($B48,charge!$B:$D,3,FALSE)=painel!M$3,"Ok"," - "),"n/a")</f>
        <v xml:space="preserve"> - </v>
      </c>
      <c r="N48" s="145">
        <f>vendas!K60</f>
        <v>45687</v>
      </c>
      <c r="O48" s="160">
        <f t="shared" ref="O48:O53" ca="1" si="5">N46-$O$2</f>
        <v>10</v>
      </c>
      <c r="P48" s="154">
        <f>vendas!L58</f>
        <v>90</v>
      </c>
      <c r="Q48" s="145">
        <f t="shared" si="3"/>
        <v>45777</v>
      </c>
      <c r="R48" s="160">
        <f t="shared" ca="1" si="4"/>
        <v>100</v>
      </c>
      <c r="S48" s="143"/>
      <c r="T48" s="143"/>
      <c r="V48" s="159"/>
      <c r="W48" s="143">
        <f>VLOOKUP(B48,vendas!C:D,2,)</f>
        <v>160</v>
      </c>
      <c r="X48" s="154">
        <f t="shared" si="0"/>
        <v>0</v>
      </c>
    </row>
    <row r="49" spans="2:24" x14ac:dyDescent="0.2">
      <c r="B49" s="143" t="s">
        <v>4</v>
      </c>
      <c r="C49" s="142" t="s">
        <v>1</v>
      </c>
      <c r="D49" s="143" t="str">
        <f>_xlfn.IFNA(IF(VLOOKUP($B49,charge!$B:$D,3,FALSE)=painel!D$3,"Ok"," - "),"n/a")</f>
        <v xml:space="preserve"> - </v>
      </c>
      <c r="E49" s="143" t="str">
        <f>_xlfn.IFNA(IF(VLOOKUP($B49,charge!$B:$D,3,FALSE)=painel!E$3,"Ok"," - "),"n/a")</f>
        <v xml:space="preserve"> - </v>
      </c>
      <c r="F49" s="143" t="str">
        <f>_xlfn.IFNA(IF(VLOOKUP($B49,charge!$B:$D,3,FALSE)=painel!F$3,"Ok"," - "),"n/a")</f>
        <v>Ok</v>
      </c>
      <c r="G49" s="143" t="str">
        <f>_xlfn.IFNA(IF(VLOOKUP($B49,charge!$B:$D,3,FALSE)=painel!G$3,"Ok"," - "),"n/a")</f>
        <v xml:space="preserve"> - </v>
      </c>
      <c r="H49" s="143" t="str">
        <f>_xlfn.IFNA(IF(VLOOKUP($B49,charge!$B:$D,3,FALSE)=painel!H$3,"Ok"," - "),"n/a")</f>
        <v xml:space="preserve"> - </v>
      </c>
      <c r="I49" s="143" t="str">
        <f>_xlfn.IFNA(IF(VLOOKUP($B49,charge!$B:$D,3,FALSE)=painel!I$3,"Ok"," - "),"n/a")</f>
        <v xml:space="preserve"> - </v>
      </c>
      <c r="J49" s="143" t="str">
        <f>_xlfn.IFNA(IF(VLOOKUP($B49,charge!$B:$D,3,FALSE)=painel!J$3,"Ok"," - "),"n/a")</f>
        <v xml:space="preserve"> - </v>
      </c>
      <c r="K49" s="143" t="str">
        <f>_xlfn.IFNA(IF(VLOOKUP($B49,charge!$B:$D,3,FALSE)=painel!K$3,"Ok"," - "),"n/a")</f>
        <v xml:space="preserve"> - </v>
      </c>
      <c r="L49" s="143" t="str">
        <f>_xlfn.IFNA(IF(VLOOKUP($B49,charge!$B:$D,3,FALSE)=painel!L$3,"Ok"," - "),"n/a")</f>
        <v xml:space="preserve"> - </v>
      </c>
      <c r="M49" s="143" t="str">
        <f>_xlfn.IFNA(IF(VLOOKUP($B49,charge!$B:$D,3,FALSE)=painel!M$3,"Ok"," - "),"n/a")</f>
        <v xml:space="preserve"> - </v>
      </c>
      <c r="N49" s="145">
        <f>vendas!K61</f>
        <v>45687</v>
      </c>
      <c r="O49" s="160">
        <f t="shared" ca="1" si="5"/>
        <v>10</v>
      </c>
      <c r="P49" s="154">
        <f>vendas!L59</f>
        <v>60</v>
      </c>
      <c r="Q49" s="145">
        <f t="shared" si="3"/>
        <v>45747</v>
      </c>
      <c r="R49" s="160">
        <f t="shared" ca="1" si="4"/>
        <v>70</v>
      </c>
      <c r="S49" s="143"/>
      <c r="T49" s="143"/>
      <c r="V49" s="159"/>
      <c r="W49" s="143">
        <f>VLOOKUP(B49,vendas!C:D,2,)</f>
        <v>160</v>
      </c>
      <c r="X49" s="154">
        <f t="shared" si="0"/>
        <v>0</v>
      </c>
    </row>
    <row r="50" spans="2:24" x14ac:dyDescent="0.2">
      <c r="B50" s="143" t="s">
        <v>6</v>
      </c>
      <c r="C50" s="142" t="s">
        <v>1</v>
      </c>
      <c r="D50" s="143" t="str">
        <f>_xlfn.IFNA(IF(VLOOKUP($B50,charge!$B:$D,3,FALSE)=painel!D$3,"Ok"," - "),"n/a")</f>
        <v>n/a</v>
      </c>
      <c r="E50" s="143" t="str">
        <f>_xlfn.IFNA(IF(VLOOKUP($B50,charge!$B:$D,3,FALSE)=painel!E$3,"Ok"," - "),"n/a")</f>
        <v>n/a</v>
      </c>
      <c r="F50" s="143" t="str">
        <f>_xlfn.IFNA(IF(VLOOKUP($B50,charge!$B:$D,3,FALSE)=painel!F$3,"Ok"," - "),"n/a")</f>
        <v>n/a</v>
      </c>
      <c r="G50" s="143" t="str">
        <f>_xlfn.IFNA(IF(VLOOKUP($B50,charge!$B:$D,3,FALSE)=painel!G$3,"Ok"," - "),"n/a")</f>
        <v>n/a</v>
      </c>
      <c r="H50" s="143" t="str">
        <f>_xlfn.IFNA(IF(VLOOKUP($B50,charge!$B:$D,3,FALSE)=painel!H$3,"Ok"," - "),"n/a")</f>
        <v>n/a</v>
      </c>
      <c r="I50" s="143" t="str">
        <f>_xlfn.IFNA(IF(VLOOKUP($B50,charge!$B:$D,3,FALSE)=painel!I$3,"Ok"," - "),"n/a")</f>
        <v>n/a</v>
      </c>
      <c r="J50" s="143" t="str">
        <f>_xlfn.IFNA(IF(VLOOKUP($B50,charge!$B:$D,3,FALSE)=painel!J$3,"Ok"," - "),"n/a")</f>
        <v>n/a</v>
      </c>
      <c r="K50" s="143" t="str">
        <f>_xlfn.IFNA(IF(VLOOKUP($B50,charge!$B:$D,3,FALSE)=painel!K$3,"Ok"," - "),"n/a")</f>
        <v>n/a</v>
      </c>
      <c r="L50" s="143" t="str">
        <f>_xlfn.IFNA(IF(VLOOKUP($B50,charge!$B:$D,3,FALSE)=painel!L$3,"Ok"," - "),"n/a")</f>
        <v>n/a</v>
      </c>
      <c r="M50" s="143" t="str">
        <f>_xlfn.IFNA(IF(VLOOKUP($B50,charge!$B:$D,3,FALSE)=painel!M$3,"Ok"," - "),"n/a")</f>
        <v>n/a</v>
      </c>
      <c r="N50" s="145">
        <f>vendas!K62</f>
        <v>45716</v>
      </c>
      <c r="O50" s="160">
        <f t="shared" ca="1" si="5"/>
        <v>10</v>
      </c>
      <c r="P50" s="154">
        <f>vendas!L60</f>
        <v>60</v>
      </c>
      <c r="Q50" s="145">
        <f t="shared" si="3"/>
        <v>45747</v>
      </c>
      <c r="R50" s="160">
        <f t="shared" ca="1" si="4"/>
        <v>70</v>
      </c>
      <c r="S50" s="143"/>
      <c r="T50" s="143"/>
      <c r="V50" s="159"/>
      <c r="W50" s="143">
        <f>VLOOKUP(B50,vendas!C:D,2,)</f>
        <v>320</v>
      </c>
      <c r="X50" s="154">
        <f t="shared" si="0"/>
        <v>0</v>
      </c>
    </row>
    <row r="51" spans="2:24" x14ac:dyDescent="0.2">
      <c r="B51" s="143" t="s">
        <v>3</v>
      </c>
      <c r="C51" s="142" t="s">
        <v>1</v>
      </c>
      <c r="D51" s="143" t="str">
        <f>_xlfn.IFNA(IF(VLOOKUP($B51,charge!$B:$D,3,FALSE)=painel!D$3,"Ok"," - "),"n/a")</f>
        <v>n/a</v>
      </c>
      <c r="E51" s="143" t="str">
        <f>_xlfn.IFNA(IF(VLOOKUP($B51,charge!$B:$D,3,FALSE)=painel!E$3,"Ok"," - "),"n/a")</f>
        <v>n/a</v>
      </c>
      <c r="F51" s="143" t="str">
        <f>_xlfn.IFNA(IF(VLOOKUP($B51,charge!$B:$D,3,FALSE)=painel!F$3,"Ok"," - "),"n/a")</f>
        <v>n/a</v>
      </c>
      <c r="G51" s="143" t="str">
        <f>_xlfn.IFNA(IF(VLOOKUP($B51,charge!$B:$D,3,FALSE)=painel!G$3,"Ok"," - "),"n/a")</f>
        <v>n/a</v>
      </c>
      <c r="H51" s="143" t="str">
        <f>_xlfn.IFNA(IF(VLOOKUP($B51,charge!$B:$D,3,FALSE)=painel!H$3,"Ok"," - "),"n/a")</f>
        <v>n/a</v>
      </c>
      <c r="I51" s="143" t="str">
        <f>_xlfn.IFNA(IF(VLOOKUP($B51,charge!$B:$D,3,FALSE)=painel!I$3,"Ok"," - "),"n/a")</f>
        <v>n/a</v>
      </c>
      <c r="J51" s="143" t="str">
        <f>_xlfn.IFNA(IF(VLOOKUP($B51,charge!$B:$D,3,FALSE)=painel!J$3,"Ok"," - "),"n/a")</f>
        <v>n/a</v>
      </c>
      <c r="K51" s="143" t="str">
        <f>_xlfn.IFNA(IF(VLOOKUP($B51,charge!$B:$D,3,FALSE)=painel!K$3,"Ok"," - "),"n/a")</f>
        <v>n/a</v>
      </c>
      <c r="L51" s="143" t="str">
        <f>_xlfn.IFNA(IF(VLOOKUP($B51,charge!$B:$D,3,FALSE)=painel!L$3,"Ok"," - "),"n/a")</f>
        <v>n/a</v>
      </c>
      <c r="M51" s="143" t="str">
        <f>_xlfn.IFNA(IF(VLOOKUP($B51,charge!$B:$D,3,FALSE)=painel!M$3,"Ok"," - "),"n/a")</f>
        <v>n/a</v>
      </c>
      <c r="N51" s="145">
        <f>vendas!K63</f>
        <v>45746</v>
      </c>
      <c r="O51" s="160">
        <f t="shared" ca="1" si="5"/>
        <v>10</v>
      </c>
      <c r="P51" s="154">
        <f>vendas!L61</f>
        <v>60</v>
      </c>
      <c r="Q51" s="145">
        <f t="shared" si="3"/>
        <v>45747</v>
      </c>
      <c r="R51" s="160">
        <f t="shared" ca="1" si="4"/>
        <v>70</v>
      </c>
      <c r="S51" s="143"/>
      <c r="T51" s="143"/>
      <c r="V51" s="159"/>
      <c r="W51" s="143">
        <f>VLOOKUP(B51,vendas!C:D,2,)</f>
        <v>320</v>
      </c>
      <c r="X51" s="154">
        <f t="shared" si="0"/>
        <v>0</v>
      </c>
    </row>
    <row r="52" spans="2:24" x14ac:dyDescent="0.2">
      <c r="B52" s="143" t="s">
        <v>2</v>
      </c>
      <c r="C52" s="142" t="s">
        <v>1</v>
      </c>
      <c r="D52" s="143" t="str">
        <f>_xlfn.IFNA(IF(VLOOKUP($B52,charge!$B:$D,3,FALSE)=painel!D$3,"Ok"," - "),"n/a")</f>
        <v>n/a</v>
      </c>
      <c r="E52" s="143" t="str">
        <f>_xlfn.IFNA(IF(VLOOKUP($B52,charge!$B:$D,3,FALSE)=painel!E$3,"Ok"," - "),"n/a")</f>
        <v>n/a</v>
      </c>
      <c r="F52" s="143" t="str">
        <f>_xlfn.IFNA(IF(VLOOKUP($B52,charge!$B:$D,3,FALSE)=painel!F$3,"Ok"," - "),"n/a")</f>
        <v>n/a</v>
      </c>
      <c r="G52" s="143" t="str">
        <f>_xlfn.IFNA(IF(VLOOKUP($B52,charge!$B:$D,3,FALSE)=painel!G$3,"Ok"," - "),"n/a")</f>
        <v>n/a</v>
      </c>
      <c r="H52" s="143" t="str">
        <f>_xlfn.IFNA(IF(VLOOKUP($B52,charge!$B:$D,3,FALSE)=painel!H$3,"Ok"," - "),"n/a")</f>
        <v>n/a</v>
      </c>
      <c r="I52" s="143" t="str">
        <f>_xlfn.IFNA(IF(VLOOKUP($B52,charge!$B:$D,3,FALSE)=painel!I$3,"Ok"," - "),"n/a")</f>
        <v>n/a</v>
      </c>
      <c r="J52" s="143" t="str">
        <f>_xlfn.IFNA(IF(VLOOKUP($B52,charge!$B:$D,3,FALSE)=painel!J$3,"Ok"," - "),"n/a")</f>
        <v>n/a</v>
      </c>
      <c r="K52" s="143" t="str">
        <f>_xlfn.IFNA(IF(VLOOKUP($B52,charge!$B:$D,3,FALSE)=painel!K$3,"Ok"," - "),"n/a")</f>
        <v>n/a</v>
      </c>
      <c r="L52" s="143" t="str">
        <f>_xlfn.IFNA(IF(VLOOKUP($B52,charge!$B:$D,3,FALSE)=painel!L$3,"Ok"," - "),"n/a")</f>
        <v>n/a</v>
      </c>
      <c r="M52" s="143" t="str">
        <f>_xlfn.IFNA(IF(VLOOKUP($B52,charge!$B:$D,3,FALSE)=painel!M$3,"Ok"," - "),"n/a")</f>
        <v>n/a</v>
      </c>
      <c r="N52" s="145">
        <f>vendas!K66</f>
        <v>45671</v>
      </c>
      <c r="O52" s="160">
        <f t="shared" ca="1" si="5"/>
        <v>39</v>
      </c>
      <c r="P52" s="154">
        <f>vendas!L62</f>
        <v>60</v>
      </c>
      <c r="Q52" s="145">
        <f t="shared" si="3"/>
        <v>45776</v>
      </c>
      <c r="R52" s="160">
        <f t="shared" ca="1" si="4"/>
        <v>99</v>
      </c>
      <c r="S52" s="143"/>
      <c r="T52" s="143"/>
      <c r="V52" s="159"/>
      <c r="W52" s="143">
        <f>VLOOKUP(B52,vendas!C:D,2,)</f>
        <v>320</v>
      </c>
      <c r="X52" s="154">
        <f t="shared" si="0"/>
        <v>0</v>
      </c>
    </row>
    <row r="53" spans="2:24" x14ac:dyDescent="0.2">
      <c r="B53" s="143" t="s">
        <v>0</v>
      </c>
      <c r="C53" s="142" t="s">
        <v>1</v>
      </c>
      <c r="D53" s="143" t="str">
        <f>_xlfn.IFNA(IF(VLOOKUP($B53,charge!$B:$D,3,FALSE)=painel!D$3,"Ok"," - "),"n/a")</f>
        <v>n/a</v>
      </c>
      <c r="E53" s="143" t="str">
        <f>_xlfn.IFNA(IF(VLOOKUP($B53,charge!$B:$D,3,FALSE)=painel!E$3,"Ok"," - "),"n/a")</f>
        <v>n/a</v>
      </c>
      <c r="F53" s="143" t="str">
        <f>_xlfn.IFNA(IF(VLOOKUP($B53,charge!$B:$D,3,FALSE)=painel!F$3,"Ok"," - "),"n/a")</f>
        <v>n/a</v>
      </c>
      <c r="G53" s="143" t="str">
        <f>_xlfn.IFNA(IF(VLOOKUP($B53,charge!$B:$D,3,FALSE)=painel!G$3,"Ok"," - "),"n/a")</f>
        <v>n/a</v>
      </c>
      <c r="H53" s="143" t="str">
        <f>_xlfn.IFNA(IF(VLOOKUP($B53,charge!$B:$D,3,FALSE)=painel!H$3,"Ok"," - "),"n/a")</f>
        <v>n/a</v>
      </c>
      <c r="I53" s="143" t="str">
        <f>_xlfn.IFNA(IF(VLOOKUP($B53,charge!$B:$D,3,FALSE)=painel!I$3,"Ok"," - "),"n/a")</f>
        <v>n/a</v>
      </c>
      <c r="J53" s="143" t="str">
        <f>_xlfn.IFNA(IF(VLOOKUP($B53,charge!$B:$D,3,FALSE)=painel!J$3,"Ok"," - "),"n/a")</f>
        <v>n/a</v>
      </c>
      <c r="K53" s="143" t="str">
        <f>_xlfn.IFNA(IF(VLOOKUP($B53,charge!$B:$D,3,FALSE)=painel!K$3,"Ok"," - "),"n/a")</f>
        <v>n/a</v>
      </c>
      <c r="L53" s="143" t="str">
        <f>_xlfn.IFNA(IF(VLOOKUP($B53,charge!$B:$D,3,FALSE)=painel!L$3,"Ok"," - "),"n/a")</f>
        <v>n/a</v>
      </c>
      <c r="M53" s="143" t="str">
        <f>_xlfn.IFNA(IF(VLOOKUP($B53,charge!$B:$D,3,FALSE)=painel!M$3,"Ok"," - "),"n/a")</f>
        <v>n/a</v>
      </c>
      <c r="N53" s="145">
        <f>vendas!K67</f>
        <v>45687</v>
      </c>
      <c r="O53" s="160">
        <f t="shared" ca="1" si="5"/>
        <v>69</v>
      </c>
      <c r="P53" s="154">
        <f>vendas!L63</f>
        <v>60</v>
      </c>
      <c r="Q53" s="145">
        <f t="shared" si="3"/>
        <v>45806</v>
      </c>
      <c r="R53" s="160">
        <f t="shared" ca="1" si="4"/>
        <v>129</v>
      </c>
      <c r="S53" s="143"/>
      <c r="T53" s="143"/>
      <c r="V53" s="159"/>
      <c r="W53" s="143">
        <f>VLOOKUP(B53,vendas!C:D,2,)</f>
        <v>320</v>
      </c>
      <c r="X53" s="154">
        <f t="shared" si="0"/>
        <v>0</v>
      </c>
    </row>
    <row r="54" spans="2:24" x14ac:dyDescent="0.2">
      <c r="B54" s="143" t="s">
        <v>25</v>
      </c>
      <c r="C54" s="142" t="s">
        <v>24</v>
      </c>
      <c r="D54" s="143" t="str">
        <f>_xlfn.IFNA(IF(VLOOKUP($B54,charge!$B:$D,3,FALSE)=painel!D$3,"Ok"," - "),"n/a")</f>
        <v>n/a</v>
      </c>
      <c r="E54" s="143" t="str">
        <f>_xlfn.IFNA(IF(VLOOKUP($B54,charge!$B:$D,3,FALSE)=painel!E$3,"Ok"," - "),"n/a")</f>
        <v>n/a</v>
      </c>
      <c r="F54" s="143" t="str">
        <f>_xlfn.IFNA(IF(VLOOKUP($B54,charge!$B:$D,3,FALSE)=painel!F$3,"Ok"," - "),"n/a")</f>
        <v>n/a</v>
      </c>
      <c r="G54" s="143" t="str">
        <f>_xlfn.IFNA(IF(VLOOKUP($B54,charge!$B:$D,3,FALSE)=painel!G$3,"Ok"," - "),"n/a")</f>
        <v>n/a</v>
      </c>
      <c r="H54" s="143" t="str">
        <f>_xlfn.IFNA(IF(VLOOKUP($B54,charge!$B:$D,3,FALSE)=painel!H$3,"Ok"," - "),"n/a")</f>
        <v>n/a</v>
      </c>
      <c r="I54" s="143" t="str">
        <f>_xlfn.IFNA(IF(VLOOKUP($B54,charge!$B:$D,3,FALSE)=painel!I$3,"Ok"," - "),"n/a")</f>
        <v>n/a</v>
      </c>
      <c r="J54" s="143" t="str">
        <f>_xlfn.IFNA(IF(VLOOKUP($B54,charge!$B:$D,3,FALSE)=painel!J$3,"Ok"," - "),"n/a")</f>
        <v>n/a</v>
      </c>
      <c r="K54" s="143" t="str">
        <f>_xlfn.IFNA(IF(VLOOKUP($B54,charge!$B:$D,3,FALSE)=painel!K$3,"Ok"," - "),"n/a")</f>
        <v>n/a</v>
      </c>
      <c r="L54" s="143" t="str">
        <f>_xlfn.IFNA(IF(VLOOKUP($B54,charge!$B:$D,3,FALSE)=painel!L$3,"Ok"," - "),"n/a")</f>
        <v>n/a</v>
      </c>
      <c r="M54" s="143" t="str">
        <f>_xlfn.IFNA(IF(VLOOKUP($B54,charge!$B:$D,3,FALSE)=painel!M$3,"Ok"," - "),"n/a")</f>
        <v>n/a</v>
      </c>
      <c r="N54" s="145">
        <f>vendas!K70</f>
        <v>45666</v>
      </c>
      <c r="O54" s="160" t="s">
        <v>240</v>
      </c>
      <c r="P54" s="155" t="str">
        <f>vendas!L66</f>
        <v>4x</v>
      </c>
      <c r="Q54" s="145">
        <f>N52</f>
        <v>45671</v>
      </c>
      <c r="R54" s="160" t="s">
        <v>242</v>
      </c>
      <c r="S54" s="143" t="s">
        <v>241</v>
      </c>
      <c r="T54" s="143"/>
      <c r="V54" s="159"/>
      <c r="W54" s="143">
        <f>VLOOKUP(B54,vendas!C:D,2,)</f>
        <v>320</v>
      </c>
      <c r="X54" s="154">
        <f t="shared" si="0"/>
        <v>0</v>
      </c>
    </row>
    <row r="55" spans="2:24" x14ac:dyDescent="0.2">
      <c r="B55" s="143" t="s">
        <v>26</v>
      </c>
      <c r="C55" s="142" t="s">
        <v>24</v>
      </c>
      <c r="D55" s="143" t="str">
        <f>_xlfn.IFNA(IF(VLOOKUP($B55,charge!$B:$D,3,FALSE)=painel!D$3,"Ok"," - "),"n/a")</f>
        <v>Ok</v>
      </c>
      <c r="E55" s="143" t="str">
        <f>_xlfn.IFNA(IF(VLOOKUP($B55,charge!$B:$D,3,FALSE)=painel!E$3,"Ok"," - "),"n/a")</f>
        <v xml:space="preserve"> - </v>
      </c>
      <c r="F55" s="143" t="str">
        <f>_xlfn.IFNA(IF(VLOOKUP($B55,charge!$B:$D,3,FALSE)=painel!F$3,"Ok"," - "),"n/a")</f>
        <v xml:space="preserve"> - </v>
      </c>
      <c r="G55" s="143" t="str">
        <f>_xlfn.IFNA(IF(VLOOKUP($B55,charge!$B:$D,3,FALSE)=painel!G$3,"Ok"," - "),"n/a")</f>
        <v xml:space="preserve"> - </v>
      </c>
      <c r="H55" s="143" t="str">
        <f>_xlfn.IFNA(IF(VLOOKUP($B55,charge!$B:$D,3,FALSE)=painel!H$3,"Ok"," - "),"n/a")</f>
        <v xml:space="preserve"> - </v>
      </c>
      <c r="I55" s="143" t="str">
        <f>_xlfn.IFNA(IF(VLOOKUP($B55,charge!$B:$D,3,FALSE)=painel!I$3,"Ok"," - "),"n/a")</f>
        <v xml:space="preserve"> - </v>
      </c>
      <c r="J55" s="143" t="str">
        <f>_xlfn.IFNA(IF(VLOOKUP($B55,charge!$B:$D,3,FALSE)=painel!J$3,"Ok"," - "),"n/a")</f>
        <v xml:space="preserve"> - </v>
      </c>
      <c r="K55" s="143" t="str">
        <f>_xlfn.IFNA(IF(VLOOKUP($B55,charge!$B:$D,3,FALSE)=painel!K$3,"Ok"," - "),"n/a")</f>
        <v xml:space="preserve"> - </v>
      </c>
      <c r="L55" s="143" t="str">
        <f>_xlfn.IFNA(IF(VLOOKUP($B55,charge!$B:$D,3,FALSE)=painel!L$3,"Ok"," - "),"n/a")</f>
        <v xml:space="preserve"> - </v>
      </c>
      <c r="M55" s="143" t="str">
        <f>_xlfn.IFNA(IF(VLOOKUP($B55,charge!$B:$D,3,FALSE)=painel!M$3,"Ok"," - "),"n/a")</f>
        <v xml:space="preserve"> - </v>
      </c>
      <c r="N55" s="145">
        <f>vendas!K73</f>
        <v>45681</v>
      </c>
      <c r="O55" s="160">
        <f ca="1">N53-$O$2</f>
        <v>10</v>
      </c>
      <c r="P55" s="155" t="str">
        <f>vendas!L67</f>
        <v>4x</v>
      </c>
      <c r="Q55" s="145">
        <f>N53</f>
        <v>45687</v>
      </c>
      <c r="R55" s="160">
        <f t="shared" ca="1" si="4"/>
        <v>10</v>
      </c>
      <c r="S55" s="143"/>
      <c r="T55" s="143"/>
      <c r="V55" s="159"/>
      <c r="W55" s="143">
        <f>VLOOKUP(B55,vendas!C:D,2,)</f>
        <v>320</v>
      </c>
      <c r="X55" s="154">
        <f t="shared" si="0"/>
        <v>0</v>
      </c>
    </row>
    <row r="56" spans="2:24" x14ac:dyDescent="0.2">
      <c r="B56" s="143" t="s">
        <v>28</v>
      </c>
      <c r="C56" s="142" t="s">
        <v>23</v>
      </c>
      <c r="D56" s="143" t="str">
        <f>_xlfn.IFNA(IF(VLOOKUP($B56,charge!$B:$D,3,FALSE)=painel!D$3,"Ok"," - "),"n/a")</f>
        <v>Ok</v>
      </c>
      <c r="E56" s="143" t="str">
        <f>_xlfn.IFNA(IF(VLOOKUP($B56,charge!$B:$D,3,FALSE)=painel!E$3,"Ok"," - "),"n/a")</f>
        <v xml:space="preserve"> - </v>
      </c>
      <c r="F56" s="143" t="str">
        <f>_xlfn.IFNA(IF(VLOOKUP($B56,charge!$B:$D,3,FALSE)=painel!F$3,"Ok"," - "),"n/a")</f>
        <v xml:space="preserve"> - </v>
      </c>
      <c r="G56" s="143" t="str">
        <f>_xlfn.IFNA(IF(VLOOKUP($B56,charge!$B:$D,3,FALSE)=painel!G$3,"Ok"," - "),"n/a")</f>
        <v xml:space="preserve"> - </v>
      </c>
      <c r="H56" s="143" t="str">
        <f>_xlfn.IFNA(IF(VLOOKUP($B56,charge!$B:$D,3,FALSE)=painel!H$3,"Ok"," - "),"n/a")</f>
        <v xml:space="preserve"> - </v>
      </c>
      <c r="I56" s="143" t="str">
        <f>_xlfn.IFNA(IF(VLOOKUP($B56,charge!$B:$D,3,FALSE)=painel!I$3,"Ok"," - "),"n/a")</f>
        <v xml:space="preserve"> - </v>
      </c>
      <c r="J56" s="143" t="str">
        <f>_xlfn.IFNA(IF(VLOOKUP($B56,charge!$B:$D,3,FALSE)=painel!J$3,"Ok"," - "),"n/a")</f>
        <v xml:space="preserve"> - </v>
      </c>
      <c r="K56" s="143" t="str">
        <f>_xlfn.IFNA(IF(VLOOKUP($B56,charge!$B:$D,3,FALSE)=painel!K$3,"Ok"," - "),"n/a")</f>
        <v xml:space="preserve"> - </v>
      </c>
      <c r="L56" s="143" t="str">
        <f>_xlfn.IFNA(IF(VLOOKUP($B56,charge!$B:$D,3,FALSE)=painel!L$3,"Ok"," - "),"n/a")</f>
        <v xml:space="preserve"> - </v>
      </c>
      <c r="M56" s="143" t="str">
        <f>_xlfn.IFNA(IF(VLOOKUP($B56,charge!$B:$D,3,FALSE)=painel!M$3,"Ok"," - "),"n/a")</f>
        <v xml:space="preserve"> - </v>
      </c>
      <c r="N56" s="145">
        <f>vendas!K74</f>
        <v>45681</v>
      </c>
      <c r="O56" s="160" t="s">
        <v>240</v>
      </c>
      <c r="P56" s="155" t="str">
        <f>vendas!L70</f>
        <v>CAD</v>
      </c>
      <c r="Q56" s="145">
        <f>N54</f>
        <v>45666</v>
      </c>
      <c r="R56" s="160">
        <f t="shared" ca="1" si="4"/>
        <v>-11</v>
      </c>
      <c r="S56" s="143"/>
      <c r="T56" s="143"/>
      <c r="V56" s="159"/>
      <c r="W56" s="143">
        <f>VLOOKUP(B56,vendas!C:D,2,)</f>
        <v>320</v>
      </c>
      <c r="X56" s="154">
        <f t="shared" si="0"/>
        <v>0</v>
      </c>
    </row>
    <row r="57" spans="2:24" x14ac:dyDescent="0.2">
      <c r="B57" s="143" t="s">
        <v>94</v>
      </c>
      <c r="C57" s="142" t="s">
        <v>93</v>
      </c>
      <c r="D57" s="143" t="str">
        <f>_xlfn.IFNA(IF(VLOOKUP($B57,charge!$B:$D,3,FALSE)=painel!D$3,"Ok"," - "),"n/a")</f>
        <v>n/a</v>
      </c>
      <c r="E57" s="143" t="str">
        <f>_xlfn.IFNA(IF(VLOOKUP($B57,charge!$B:$D,3,FALSE)=painel!E$3,"Ok"," - "),"n/a")</f>
        <v>n/a</v>
      </c>
      <c r="F57" s="143" t="str">
        <f>_xlfn.IFNA(IF(VLOOKUP($B57,charge!$B:$D,3,FALSE)=painel!F$3,"Ok"," - "),"n/a")</f>
        <v>n/a</v>
      </c>
      <c r="G57" s="143" t="str">
        <f>_xlfn.IFNA(IF(VLOOKUP($B57,charge!$B:$D,3,FALSE)=painel!G$3,"Ok"," - "),"n/a")</f>
        <v>n/a</v>
      </c>
      <c r="H57" s="143" t="str">
        <f>_xlfn.IFNA(IF(VLOOKUP($B57,charge!$B:$D,3,FALSE)=painel!H$3,"Ok"," - "),"n/a")</f>
        <v>n/a</v>
      </c>
      <c r="I57" s="143" t="str">
        <f>_xlfn.IFNA(IF(VLOOKUP($B57,charge!$B:$D,3,FALSE)=painel!I$3,"Ok"," - "),"n/a")</f>
        <v>n/a</v>
      </c>
      <c r="J57" s="143" t="str">
        <f>_xlfn.IFNA(IF(VLOOKUP($B57,charge!$B:$D,3,FALSE)=painel!J$3,"Ok"," - "),"n/a")</f>
        <v>n/a</v>
      </c>
      <c r="K57" s="143" t="str">
        <f>_xlfn.IFNA(IF(VLOOKUP($B57,charge!$B:$D,3,FALSE)=painel!K$3,"Ok"," - "),"n/a")</f>
        <v>n/a</v>
      </c>
      <c r="L57" s="143" t="str">
        <f>_xlfn.IFNA(IF(VLOOKUP($B57,charge!$B:$D,3,FALSE)=painel!L$3,"Ok"," - "),"n/a")</f>
        <v>n/a</v>
      </c>
      <c r="M57" s="143" t="str">
        <f>_xlfn.IFNA(IF(VLOOKUP($B57,charge!$B:$D,3,FALSE)=painel!M$3,"Ok"," - "),"n/a")</f>
        <v>n/a</v>
      </c>
      <c r="N57" s="145">
        <f>vendas!K75</f>
        <v>45681</v>
      </c>
      <c r="O57" s="160">
        <f ca="1">N55-$O$2</f>
        <v>4</v>
      </c>
      <c r="P57" s="154">
        <f>vendas!L73</f>
        <v>60</v>
      </c>
      <c r="Q57" s="145">
        <f>N55+P57</f>
        <v>45741</v>
      </c>
      <c r="R57" s="160">
        <f t="shared" ca="1" si="4"/>
        <v>64</v>
      </c>
      <c r="S57" s="143"/>
      <c r="T57" s="143"/>
      <c r="V57" s="159"/>
      <c r="W57" s="143">
        <f>VLOOKUP(B57,vendas!C:D,2,)</f>
        <v>320</v>
      </c>
      <c r="X57" s="154">
        <f t="shared" si="0"/>
        <v>0</v>
      </c>
    </row>
    <row r="58" spans="2:24" x14ac:dyDescent="0.2">
      <c r="B58" s="143" t="s">
        <v>147</v>
      </c>
      <c r="C58" s="142" t="s">
        <v>93</v>
      </c>
      <c r="D58" s="143" t="str">
        <f>_xlfn.IFNA(IF(VLOOKUP($B58,charge!$B:$D,3,FALSE)=painel!D$3,"Ok"," - "),"n/a")</f>
        <v>n/a</v>
      </c>
      <c r="E58" s="143" t="str">
        <f>_xlfn.IFNA(IF(VLOOKUP($B58,charge!$B:$D,3,FALSE)=painel!E$3,"Ok"," - "),"n/a")</f>
        <v>n/a</v>
      </c>
      <c r="F58" s="143" t="str">
        <f>_xlfn.IFNA(IF(VLOOKUP($B58,charge!$B:$D,3,FALSE)=painel!F$3,"Ok"," - "),"n/a")</f>
        <v>n/a</v>
      </c>
      <c r="G58" s="143" t="str">
        <f>_xlfn.IFNA(IF(VLOOKUP($B58,charge!$B:$D,3,FALSE)=painel!G$3,"Ok"," - "),"n/a")</f>
        <v>n/a</v>
      </c>
      <c r="H58" s="143" t="str">
        <f>_xlfn.IFNA(IF(VLOOKUP($B58,charge!$B:$D,3,FALSE)=painel!H$3,"Ok"," - "),"n/a")</f>
        <v>n/a</v>
      </c>
      <c r="I58" s="143" t="str">
        <f>_xlfn.IFNA(IF(VLOOKUP($B58,charge!$B:$D,3,FALSE)=painel!I$3,"Ok"," - "),"n/a")</f>
        <v>n/a</v>
      </c>
      <c r="J58" s="143" t="str">
        <f>_xlfn.IFNA(IF(VLOOKUP($B58,charge!$B:$D,3,FALSE)=painel!J$3,"Ok"," - "),"n/a")</f>
        <v>n/a</v>
      </c>
      <c r="K58" s="143" t="str">
        <f>_xlfn.IFNA(IF(VLOOKUP($B58,charge!$B:$D,3,FALSE)=painel!K$3,"Ok"," - "),"n/a")</f>
        <v>n/a</v>
      </c>
      <c r="L58" s="143" t="str">
        <f>_xlfn.IFNA(IF(VLOOKUP($B58,charge!$B:$D,3,FALSE)=painel!L$3,"Ok"," - "),"n/a")</f>
        <v>n/a</v>
      </c>
      <c r="M58" s="143" t="str">
        <f>_xlfn.IFNA(IF(VLOOKUP($B58,charge!$B:$D,3,FALSE)=painel!M$3,"Ok"," - "),"n/a")</f>
        <v>n/a</v>
      </c>
      <c r="N58" s="145">
        <f>vendas!K81</f>
        <v>45656</v>
      </c>
      <c r="O58" s="160">
        <f ca="1">N56-$O$2</f>
        <v>4</v>
      </c>
      <c r="P58" s="154">
        <f>vendas!L74</f>
        <v>60</v>
      </c>
      <c r="Q58" s="145">
        <f>N56+P58</f>
        <v>45741</v>
      </c>
      <c r="R58" s="160">
        <f t="shared" ca="1" si="4"/>
        <v>64</v>
      </c>
      <c r="S58" s="143"/>
      <c r="T58" s="143"/>
      <c r="V58" s="159"/>
      <c r="W58" s="143">
        <f>VLOOKUP(B58,vendas!C:D,2,)</f>
        <v>320</v>
      </c>
      <c r="X58" s="154">
        <f t="shared" si="0"/>
        <v>0</v>
      </c>
    </row>
    <row r="59" spans="2:24" x14ac:dyDescent="0.2">
      <c r="B59" s="143" t="s">
        <v>148</v>
      </c>
      <c r="C59" s="142" t="s">
        <v>93</v>
      </c>
      <c r="D59" s="143" t="str">
        <f>_xlfn.IFNA(IF(VLOOKUP($B59,charge!$B:$D,3,FALSE)=painel!D$3,"Ok"," - "),"n/a")</f>
        <v>n/a</v>
      </c>
      <c r="E59" s="143" t="str">
        <f>_xlfn.IFNA(IF(VLOOKUP($B59,charge!$B:$D,3,FALSE)=painel!E$3,"Ok"," - "),"n/a")</f>
        <v>n/a</v>
      </c>
      <c r="F59" s="143" t="str">
        <f>_xlfn.IFNA(IF(VLOOKUP($B59,charge!$B:$D,3,FALSE)=painel!F$3,"Ok"," - "),"n/a")</f>
        <v>n/a</v>
      </c>
      <c r="G59" s="143" t="str">
        <f>_xlfn.IFNA(IF(VLOOKUP($B59,charge!$B:$D,3,FALSE)=painel!G$3,"Ok"," - "),"n/a")</f>
        <v>n/a</v>
      </c>
      <c r="H59" s="143" t="str">
        <f>_xlfn.IFNA(IF(VLOOKUP($B59,charge!$B:$D,3,FALSE)=painel!H$3,"Ok"," - "),"n/a")</f>
        <v>n/a</v>
      </c>
      <c r="I59" s="143" t="str">
        <f>_xlfn.IFNA(IF(VLOOKUP($B59,charge!$B:$D,3,FALSE)=painel!I$3,"Ok"," - "),"n/a")</f>
        <v>n/a</v>
      </c>
      <c r="J59" s="143" t="str">
        <f>_xlfn.IFNA(IF(VLOOKUP($B59,charge!$B:$D,3,FALSE)=painel!J$3,"Ok"," - "),"n/a")</f>
        <v>n/a</v>
      </c>
      <c r="K59" s="143" t="str">
        <f>_xlfn.IFNA(IF(VLOOKUP($B59,charge!$B:$D,3,FALSE)=painel!K$3,"Ok"," - "),"n/a")</f>
        <v>n/a</v>
      </c>
      <c r="L59" s="143" t="str">
        <f>_xlfn.IFNA(IF(VLOOKUP($B59,charge!$B:$D,3,FALSE)=painel!L$3,"Ok"," - "),"n/a")</f>
        <v>n/a</v>
      </c>
      <c r="M59" s="143" t="str">
        <f>_xlfn.IFNA(IF(VLOOKUP($B59,charge!$B:$D,3,FALSE)=painel!M$3,"Ok"," - "),"n/a")</f>
        <v>n/a</v>
      </c>
      <c r="N59" s="145">
        <f>vendas!K82</f>
        <v>45656</v>
      </c>
      <c r="O59" s="160">
        <f ca="1">N57-$O$2</f>
        <v>4</v>
      </c>
      <c r="P59" s="154">
        <f>vendas!L75</f>
        <v>60</v>
      </c>
      <c r="Q59" s="145">
        <f>N57+P59</f>
        <v>45741</v>
      </c>
      <c r="R59" s="160">
        <f t="shared" ca="1" si="4"/>
        <v>64</v>
      </c>
      <c r="S59" s="143"/>
      <c r="T59" s="143"/>
      <c r="V59" s="159"/>
      <c r="W59" s="143">
        <f>VLOOKUP(B59,vendas!C:D,2,)</f>
        <v>223</v>
      </c>
      <c r="X59" s="154">
        <f t="shared" si="0"/>
        <v>0</v>
      </c>
    </row>
    <row r="60" spans="2:24" x14ac:dyDescent="0.2">
      <c r="B60" s="143" t="s">
        <v>54</v>
      </c>
      <c r="C60" s="142" t="s">
        <v>53</v>
      </c>
      <c r="D60" s="143" t="str">
        <f>_xlfn.IFNA(IF(VLOOKUP($B60,charge!$B:$D,3,FALSE)=painel!D$3,"Ok"," - "),"n/a")</f>
        <v>n/a</v>
      </c>
      <c r="E60" s="143" t="str">
        <f>_xlfn.IFNA(IF(VLOOKUP($B60,charge!$B:$D,3,FALSE)=painel!E$3,"Ok"," - "),"n/a")</f>
        <v>n/a</v>
      </c>
      <c r="F60" s="143" t="str">
        <f>_xlfn.IFNA(IF(VLOOKUP($B60,charge!$B:$D,3,FALSE)=painel!F$3,"Ok"," - "),"n/a")</f>
        <v>n/a</v>
      </c>
      <c r="G60" s="143" t="str">
        <f>_xlfn.IFNA(IF(VLOOKUP($B60,charge!$B:$D,3,FALSE)=painel!G$3,"Ok"," - "),"n/a")</f>
        <v>n/a</v>
      </c>
      <c r="H60" s="143" t="str">
        <f>_xlfn.IFNA(IF(VLOOKUP($B60,charge!$B:$D,3,FALSE)=painel!H$3,"Ok"," - "),"n/a")</f>
        <v>n/a</v>
      </c>
      <c r="I60" s="143" t="str">
        <f>_xlfn.IFNA(IF(VLOOKUP($B60,charge!$B:$D,3,FALSE)=painel!I$3,"Ok"," - "),"n/a")</f>
        <v>n/a</v>
      </c>
      <c r="J60" s="143" t="str">
        <f>_xlfn.IFNA(IF(VLOOKUP($B60,charge!$B:$D,3,FALSE)=painel!J$3,"Ok"," - "),"n/a")</f>
        <v>n/a</v>
      </c>
      <c r="K60" s="143" t="str">
        <f>_xlfn.IFNA(IF(VLOOKUP($B60,charge!$B:$D,3,FALSE)=painel!K$3,"Ok"," - "),"n/a")</f>
        <v>n/a</v>
      </c>
      <c r="L60" s="143" t="str">
        <f>_xlfn.IFNA(IF(VLOOKUP($B60,charge!$B:$D,3,FALSE)=painel!L$3,"Ok"," - "),"n/a")</f>
        <v>n/a</v>
      </c>
      <c r="M60" s="143" t="str">
        <f>_xlfn.IFNA(IF(VLOOKUP($B60,charge!$B:$D,3,FALSE)=painel!M$3,"Ok"," - "),"n/a")</f>
        <v>n/a</v>
      </c>
      <c r="N60" s="145">
        <f>vendas!K85</f>
        <v>45631</v>
      </c>
      <c r="O60" s="160" t="s">
        <v>240</v>
      </c>
      <c r="P60" s="155" t="str">
        <f>vendas!L81</f>
        <v>1+3</v>
      </c>
      <c r="Q60" s="145">
        <v>45639</v>
      </c>
      <c r="R60" s="160" t="s">
        <v>359</v>
      </c>
      <c r="S60" s="143" t="s">
        <v>241</v>
      </c>
      <c r="T60" s="145">
        <v>45639</v>
      </c>
      <c r="U60" s="143">
        <v>531</v>
      </c>
      <c r="V60" s="159">
        <f>4986.02</f>
        <v>4986.0200000000004</v>
      </c>
      <c r="W60" s="143">
        <f>VLOOKUP(B60,vendas!C:D,2,)</f>
        <v>4</v>
      </c>
      <c r="X60" s="154">
        <f t="shared" si="0"/>
        <v>1246.5050000000001</v>
      </c>
    </row>
    <row r="61" spans="2:24" x14ac:dyDescent="0.2">
      <c r="B61" s="143" t="s">
        <v>55</v>
      </c>
      <c r="C61" s="142" t="s">
        <v>53</v>
      </c>
      <c r="D61" s="143" t="str">
        <f>_xlfn.IFNA(IF(VLOOKUP($B61,charge!$B:$D,3,FALSE)=painel!D$3,"Ok"," - "),"n/a")</f>
        <v>n/a</v>
      </c>
      <c r="E61" s="143" t="str">
        <f>_xlfn.IFNA(IF(VLOOKUP($B61,charge!$B:$D,3,FALSE)=painel!E$3,"Ok"," - "),"n/a")</f>
        <v>n/a</v>
      </c>
      <c r="F61" s="143" t="str">
        <f>_xlfn.IFNA(IF(VLOOKUP($B61,charge!$B:$D,3,FALSE)=painel!F$3,"Ok"," - "),"n/a")</f>
        <v>n/a</v>
      </c>
      <c r="G61" s="143" t="str">
        <f>_xlfn.IFNA(IF(VLOOKUP($B61,charge!$B:$D,3,FALSE)=painel!G$3,"Ok"," - "),"n/a")</f>
        <v>n/a</v>
      </c>
      <c r="H61" s="143" t="str">
        <f>_xlfn.IFNA(IF(VLOOKUP($B61,charge!$B:$D,3,FALSE)=painel!H$3,"Ok"," - "),"n/a")</f>
        <v>n/a</v>
      </c>
      <c r="I61" s="143" t="str">
        <f>_xlfn.IFNA(IF(VLOOKUP($B61,charge!$B:$D,3,FALSE)=painel!I$3,"Ok"," - "),"n/a")</f>
        <v>n/a</v>
      </c>
      <c r="J61" s="143" t="str">
        <f>_xlfn.IFNA(IF(VLOOKUP($B61,charge!$B:$D,3,FALSE)=painel!J$3,"Ok"," - "),"n/a")</f>
        <v>n/a</v>
      </c>
      <c r="K61" s="143" t="str">
        <f>_xlfn.IFNA(IF(VLOOKUP($B61,charge!$B:$D,3,FALSE)=painel!K$3,"Ok"," - "),"n/a")</f>
        <v>n/a</v>
      </c>
      <c r="L61" s="143" t="str">
        <f>_xlfn.IFNA(IF(VLOOKUP($B61,charge!$B:$D,3,FALSE)=painel!L$3,"Ok"," - "),"n/a")</f>
        <v>n/a</v>
      </c>
      <c r="M61" s="143" t="str">
        <f>_xlfn.IFNA(IF(VLOOKUP($B61,charge!$B:$D,3,FALSE)=painel!M$3,"Ok"," - "),"n/a")</f>
        <v>n/a</v>
      </c>
      <c r="N61" s="145">
        <f>vendas!K88</f>
        <v>45632</v>
      </c>
      <c r="O61" s="160" t="s">
        <v>240</v>
      </c>
      <c r="P61" s="155" t="str">
        <f>vendas!L82</f>
        <v>1+3</v>
      </c>
      <c r="Q61" s="145">
        <v>45639</v>
      </c>
      <c r="R61" s="160" t="s">
        <v>359</v>
      </c>
      <c r="S61" s="143" t="s">
        <v>241</v>
      </c>
      <c r="T61" s="145">
        <v>45639</v>
      </c>
      <c r="U61" s="143">
        <v>531</v>
      </c>
      <c r="V61" s="159">
        <f>4986.02</f>
        <v>4986.0200000000004</v>
      </c>
      <c r="W61" s="143">
        <f>VLOOKUP(B61,vendas!C:D,2,)</f>
        <v>4</v>
      </c>
      <c r="X61" s="154">
        <f t="shared" si="0"/>
        <v>1246.5050000000001</v>
      </c>
    </row>
    <row r="62" spans="2:24" x14ac:dyDescent="0.2">
      <c r="B62" s="143" t="s">
        <v>83</v>
      </c>
      <c r="C62" s="142" t="s">
        <v>70</v>
      </c>
      <c r="D62" s="143" t="str">
        <f>_xlfn.IFNA(IF(VLOOKUP($B62,charge!$B:$D,3,FALSE)=painel!D$3,"Ok"," - "),"n/a")</f>
        <v>n/a</v>
      </c>
      <c r="E62" s="143" t="str">
        <f>_xlfn.IFNA(IF(VLOOKUP($B62,charge!$B:$D,3,FALSE)=painel!E$3,"Ok"," - "),"n/a")</f>
        <v>n/a</v>
      </c>
      <c r="F62" s="143" t="str">
        <f>_xlfn.IFNA(IF(VLOOKUP($B62,charge!$B:$D,3,FALSE)=painel!F$3,"Ok"," - "),"n/a")</f>
        <v>n/a</v>
      </c>
      <c r="G62" s="143" t="str">
        <f>_xlfn.IFNA(IF(VLOOKUP($B62,charge!$B:$D,3,FALSE)=painel!G$3,"Ok"," - "),"n/a")</f>
        <v>n/a</v>
      </c>
      <c r="H62" s="143" t="str">
        <f>_xlfn.IFNA(IF(VLOOKUP($B62,charge!$B:$D,3,FALSE)=painel!H$3,"Ok"," - "),"n/a")</f>
        <v>n/a</v>
      </c>
      <c r="I62" s="143" t="str">
        <f>_xlfn.IFNA(IF(VLOOKUP($B62,charge!$B:$D,3,FALSE)=painel!I$3,"Ok"," - "),"n/a")</f>
        <v>n/a</v>
      </c>
      <c r="J62" s="143" t="str">
        <f>_xlfn.IFNA(IF(VLOOKUP($B62,charge!$B:$D,3,FALSE)=painel!J$3,"Ok"," - "),"n/a")</f>
        <v>n/a</v>
      </c>
      <c r="K62" s="143" t="str">
        <f>_xlfn.IFNA(IF(VLOOKUP($B62,charge!$B:$D,3,FALSE)=painel!K$3,"Ok"," - "),"n/a")</f>
        <v>n/a</v>
      </c>
      <c r="L62" s="143" t="str">
        <f>_xlfn.IFNA(IF(VLOOKUP($B62,charge!$B:$D,3,FALSE)=painel!L$3,"Ok"," - "),"n/a")</f>
        <v>n/a</v>
      </c>
      <c r="M62" s="143" t="str">
        <f>_xlfn.IFNA(IF(VLOOKUP($B62,charge!$B:$D,3,FALSE)=painel!M$3,"Ok"," - "),"n/a")</f>
        <v>n/a</v>
      </c>
      <c r="N62" s="145">
        <f>vendas!K91</f>
        <v>45679</v>
      </c>
      <c r="O62" s="160" t="s">
        <v>240</v>
      </c>
      <c r="P62" s="155" t="str">
        <f>vendas!L85</f>
        <v>CAD</v>
      </c>
      <c r="Q62" s="145">
        <f>N60</f>
        <v>45631</v>
      </c>
      <c r="R62" s="160" t="s">
        <v>240</v>
      </c>
      <c r="S62" s="143" t="s">
        <v>241</v>
      </c>
      <c r="T62" s="145">
        <v>45996</v>
      </c>
      <c r="U62" s="143">
        <v>524</v>
      </c>
      <c r="V62" s="159">
        <v>1036712.5</v>
      </c>
      <c r="W62" s="143">
        <f>VLOOKUP(B62,vendas!C:D,2,)</f>
        <v>500</v>
      </c>
      <c r="X62" s="154">
        <f t="shared" si="0"/>
        <v>2073.4250000000002</v>
      </c>
    </row>
    <row r="63" spans="2:24" x14ac:dyDescent="0.2">
      <c r="B63" s="143" t="s">
        <v>87</v>
      </c>
      <c r="C63" s="142" t="s">
        <v>86</v>
      </c>
      <c r="D63" s="143" t="str">
        <f>_xlfn.IFNA(IF(VLOOKUP($B63,charge!$B:$D,3,FALSE)=painel!D$3,"Ok"," - "),"n/a")</f>
        <v>n/a</v>
      </c>
      <c r="E63" s="143" t="str">
        <f>_xlfn.IFNA(IF(VLOOKUP($B63,charge!$B:$D,3,FALSE)=painel!E$3,"Ok"," - "),"n/a")</f>
        <v>n/a</v>
      </c>
      <c r="F63" s="143" t="str">
        <f>_xlfn.IFNA(IF(VLOOKUP($B63,charge!$B:$D,3,FALSE)=painel!F$3,"Ok"," - "),"n/a")</f>
        <v>n/a</v>
      </c>
      <c r="G63" s="143" t="str">
        <f>_xlfn.IFNA(IF(VLOOKUP($B63,charge!$B:$D,3,FALSE)=painel!G$3,"Ok"," - "),"n/a")</f>
        <v>n/a</v>
      </c>
      <c r="H63" s="143" t="str">
        <f>_xlfn.IFNA(IF(VLOOKUP($B63,charge!$B:$D,3,FALSE)=painel!H$3,"Ok"," - "),"n/a")</f>
        <v>n/a</v>
      </c>
      <c r="I63" s="143" t="str">
        <f>_xlfn.IFNA(IF(VLOOKUP($B63,charge!$B:$D,3,FALSE)=painel!I$3,"Ok"," - "),"n/a")</f>
        <v>n/a</v>
      </c>
      <c r="J63" s="143" t="str">
        <f>_xlfn.IFNA(IF(VLOOKUP($B63,charge!$B:$D,3,FALSE)=painel!J$3,"Ok"," - "),"n/a")</f>
        <v>n/a</v>
      </c>
      <c r="K63" s="143" t="str">
        <f>_xlfn.IFNA(IF(VLOOKUP($B63,charge!$B:$D,3,FALSE)=painel!K$3,"Ok"," - "),"n/a")</f>
        <v>n/a</v>
      </c>
      <c r="L63" s="143" t="str">
        <f>_xlfn.IFNA(IF(VLOOKUP($B63,charge!$B:$D,3,FALSE)=painel!L$3,"Ok"," - "),"n/a")</f>
        <v>n/a</v>
      </c>
      <c r="M63" s="143" t="str">
        <f>_xlfn.IFNA(IF(VLOOKUP($B63,charge!$B:$D,3,FALSE)=painel!M$3,"Ok"," - "),"n/a")</f>
        <v>n/a</v>
      </c>
      <c r="N63" s="145">
        <f>vendas!K94</f>
        <v>45687</v>
      </c>
      <c r="O63" s="160" t="s">
        <v>240</v>
      </c>
      <c r="P63" s="155" t="str">
        <f>vendas!L88</f>
        <v>50% + 4</v>
      </c>
      <c r="Q63" s="145">
        <f>N61</f>
        <v>45632</v>
      </c>
      <c r="R63" s="160" t="s">
        <v>245</v>
      </c>
      <c r="S63" s="143" t="s">
        <v>241</v>
      </c>
      <c r="T63" s="145">
        <v>45632</v>
      </c>
      <c r="U63" s="143">
        <v>523</v>
      </c>
      <c r="V63" s="159">
        <v>22000</v>
      </c>
      <c r="W63" s="143">
        <f>VLOOKUP(B63,vendas!C:D,2,)</f>
        <v>20</v>
      </c>
      <c r="X63" s="154">
        <f t="shared" si="0"/>
        <v>1100</v>
      </c>
    </row>
    <row r="64" spans="2:24" x14ac:dyDescent="0.2">
      <c r="B64" s="143" t="s">
        <v>91</v>
      </c>
      <c r="C64" s="142" t="s">
        <v>89</v>
      </c>
      <c r="D64" s="143" t="str">
        <f>_xlfn.IFNA(IF(VLOOKUP($B64,charge!$B:$D,3,FALSE)=painel!D$3,"Ok"," - "),"n/a")</f>
        <v>Ok</v>
      </c>
      <c r="E64" s="143" t="str">
        <f>_xlfn.IFNA(IF(VLOOKUP($B64,charge!$B:$D,3,FALSE)=painel!E$3,"Ok"," - "),"n/a")</f>
        <v xml:space="preserve"> - </v>
      </c>
      <c r="F64" s="143" t="str">
        <f>_xlfn.IFNA(IF(VLOOKUP($B64,charge!$B:$D,3,FALSE)=painel!F$3,"Ok"," - "),"n/a")</f>
        <v xml:space="preserve"> - </v>
      </c>
      <c r="G64" s="143" t="str">
        <f>_xlfn.IFNA(IF(VLOOKUP($B64,charge!$B:$D,3,FALSE)=painel!G$3,"Ok"," - "),"n/a")</f>
        <v xml:space="preserve"> - </v>
      </c>
      <c r="H64" s="143" t="str">
        <f>_xlfn.IFNA(IF(VLOOKUP($B64,charge!$B:$D,3,FALSE)=painel!H$3,"Ok"," - "),"n/a")</f>
        <v xml:space="preserve"> - </v>
      </c>
      <c r="I64" s="143" t="str">
        <f>_xlfn.IFNA(IF(VLOOKUP($B64,charge!$B:$D,3,FALSE)=painel!I$3,"Ok"," - "),"n/a")</f>
        <v xml:space="preserve"> - </v>
      </c>
      <c r="J64" s="143" t="str">
        <f>_xlfn.IFNA(IF(VLOOKUP($B64,charge!$B:$D,3,FALSE)=painel!J$3,"Ok"," - "),"n/a")</f>
        <v xml:space="preserve"> - </v>
      </c>
      <c r="K64" s="143" t="str">
        <f>_xlfn.IFNA(IF(VLOOKUP($B64,charge!$B:$D,3,FALSE)=painel!K$3,"Ok"," - "),"n/a")</f>
        <v xml:space="preserve"> - </v>
      </c>
      <c r="L64" s="143" t="str">
        <f>_xlfn.IFNA(IF(VLOOKUP($B64,charge!$B:$D,3,FALSE)=painel!L$3,"Ok"," - "),"n/a")</f>
        <v xml:space="preserve"> - </v>
      </c>
      <c r="M64" s="143" t="str">
        <f>_xlfn.IFNA(IF(VLOOKUP($B64,charge!$B:$D,3,FALSE)=painel!M$3,"Ok"," - "),"n/a")</f>
        <v xml:space="preserve"> - </v>
      </c>
      <c r="N64" s="145">
        <f>vendas!K95</f>
        <v>45687</v>
      </c>
      <c r="O64" s="160">
        <f ca="1">N62-$O$2</f>
        <v>2</v>
      </c>
      <c r="P64" s="154" t="s">
        <v>237</v>
      </c>
      <c r="Q64" s="145">
        <f>N62+P64</f>
        <v>45724</v>
      </c>
      <c r="R64" s="160">
        <f t="shared" ca="1" si="4"/>
        <v>47</v>
      </c>
      <c r="S64" s="143"/>
      <c r="T64" s="143"/>
      <c r="V64" s="159"/>
      <c r="W64" s="143">
        <f>VLOOKUP(B64,vendas!C:D,2,)</f>
        <v>500</v>
      </c>
      <c r="X64" s="154">
        <f t="shared" si="0"/>
        <v>0</v>
      </c>
    </row>
    <row r="65" spans="2:24" x14ac:dyDescent="0.2">
      <c r="B65" s="143" t="s">
        <v>154</v>
      </c>
      <c r="C65" s="142" t="s">
        <v>152</v>
      </c>
      <c r="D65" s="143" t="str">
        <f>_xlfn.IFNA(IF(VLOOKUP($B65,charge!$B:$D,3,FALSE)=painel!D$3,"Ok"," - "),"n/a")</f>
        <v>n/a</v>
      </c>
      <c r="E65" s="143" t="str">
        <f>_xlfn.IFNA(IF(VLOOKUP($B65,charge!$B:$D,3,FALSE)=painel!E$3,"Ok"," - "),"n/a")</f>
        <v>n/a</v>
      </c>
      <c r="F65" s="143" t="str">
        <f>_xlfn.IFNA(IF(VLOOKUP($B65,charge!$B:$D,3,FALSE)=painel!F$3,"Ok"," - "),"n/a")</f>
        <v>n/a</v>
      </c>
      <c r="G65" s="143" t="str">
        <f>_xlfn.IFNA(IF(VLOOKUP($B65,charge!$B:$D,3,FALSE)=painel!G$3,"Ok"," - "),"n/a")</f>
        <v>n/a</v>
      </c>
      <c r="H65" s="143" t="str">
        <f>_xlfn.IFNA(IF(VLOOKUP($B65,charge!$B:$D,3,FALSE)=painel!H$3,"Ok"," - "),"n/a")</f>
        <v>n/a</v>
      </c>
      <c r="I65" s="143" t="str">
        <f>_xlfn.IFNA(IF(VLOOKUP($B65,charge!$B:$D,3,FALSE)=painel!I$3,"Ok"," - "),"n/a")</f>
        <v>n/a</v>
      </c>
      <c r="J65" s="143" t="str">
        <f>_xlfn.IFNA(IF(VLOOKUP($B65,charge!$B:$D,3,FALSE)=painel!J$3,"Ok"," - "),"n/a")</f>
        <v>n/a</v>
      </c>
      <c r="K65" s="143" t="str">
        <f>_xlfn.IFNA(IF(VLOOKUP($B65,charge!$B:$D,3,FALSE)=painel!K$3,"Ok"," - "),"n/a")</f>
        <v>n/a</v>
      </c>
      <c r="L65" s="143" t="str">
        <f>_xlfn.IFNA(IF(VLOOKUP($B65,charge!$B:$D,3,FALSE)=painel!L$3,"Ok"," - "),"n/a")</f>
        <v>n/a</v>
      </c>
      <c r="M65" s="143" t="str">
        <f>_xlfn.IFNA(IF(VLOOKUP($B65,charge!$B:$D,3,FALSE)=painel!M$3,"Ok"," - "),"n/a")</f>
        <v>n/a</v>
      </c>
      <c r="O65" s="160">
        <f ca="1">N63-$O$2</f>
        <v>10</v>
      </c>
      <c r="P65" s="155" t="str">
        <f>vendas!L94</f>
        <v>6x</v>
      </c>
      <c r="Q65" s="145">
        <f>N63</f>
        <v>45687</v>
      </c>
      <c r="R65" s="160">
        <f t="shared" ca="1" si="4"/>
        <v>10</v>
      </c>
      <c r="S65" s="143"/>
      <c r="T65" s="143"/>
      <c r="V65" s="159"/>
      <c r="W65" s="143">
        <f>VLOOKUP(B65,vendas!C:D,2,)</f>
        <v>0.5</v>
      </c>
      <c r="X65" s="154">
        <f t="shared" si="0"/>
        <v>0</v>
      </c>
    </row>
    <row r="66" spans="2:24" x14ac:dyDescent="0.2">
      <c r="B66" s="143" t="s">
        <v>155</v>
      </c>
      <c r="C66" s="142" t="s">
        <v>152</v>
      </c>
      <c r="D66" s="143" t="str">
        <f>_xlfn.IFNA(IF(VLOOKUP($B66,charge!$B:$D,3,FALSE)=painel!D$3,"Ok"," - "),"n/a")</f>
        <v>n/a</v>
      </c>
      <c r="E66" s="143" t="str">
        <f>_xlfn.IFNA(IF(VLOOKUP($B66,charge!$B:$D,3,FALSE)=painel!E$3,"Ok"," - "),"n/a")</f>
        <v>n/a</v>
      </c>
      <c r="F66" s="143" t="str">
        <f>_xlfn.IFNA(IF(VLOOKUP($B66,charge!$B:$D,3,FALSE)=painel!F$3,"Ok"," - "),"n/a")</f>
        <v>n/a</v>
      </c>
      <c r="G66" s="143" t="str">
        <f>_xlfn.IFNA(IF(VLOOKUP($B66,charge!$B:$D,3,FALSE)=painel!G$3,"Ok"," - "),"n/a")</f>
        <v>n/a</v>
      </c>
      <c r="H66" s="143" t="str">
        <f>_xlfn.IFNA(IF(VLOOKUP($B66,charge!$B:$D,3,FALSE)=painel!H$3,"Ok"," - "),"n/a")</f>
        <v>n/a</v>
      </c>
      <c r="I66" s="143" t="str">
        <f>_xlfn.IFNA(IF(VLOOKUP($B66,charge!$B:$D,3,FALSE)=painel!I$3,"Ok"," - "),"n/a")</f>
        <v>n/a</v>
      </c>
      <c r="J66" s="143" t="str">
        <f>_xlfn.IFNA(IF(VLOOKUP($B66,charge!$B:$D,3,FALSE)=painel!J$3,"Ok"," - "),"n/a")</f>
        <v>n/a</v>
      </c>
      <c r="K66" s="143" t="str">
        <f>_xlfn.IFNA(IF(VLOOKUP($B66,charge!$B:$D,3,FALSE)=painel!K$3,"Ok"," - "),"n/a")</f>
        <v>n/a</v>
      </c>
      <c r="L66" s="143" t="str">
        <f>_xlfn.IFNA(IF(VLOOKUP($B66,charge!$B:$D,3,FALSE)=painel!L$3,"Ok"," - "),"n/a")</f>
        <v>n/a</v>
      </c>
      <c r="M66" s="143" t="str">
        <f>_xlfn.IFNA(IF(VLOOKUP($B66,charge!$B:$D,3,FALSE)=painel!M$3,"Ok"," - "),"n/a")</f>
        <v>n/a</v>
      </c>
      <c r="O66" s="160">
        <f ca="1">N64-$O$2</f>
        <v>10</v>
      </c>
      <c r="P66" s="155" t="str">
        <f>vendas!L95</f>
        <v>6x</v>
      </c>
      <c r="Q66" s="145">
        <f>N64</f>
        <v>45687</v>
      </c>
      <c r="R66" s="160">
        <f t="shared" ca="1" si="4"/>
        <v>10</v>
      </c>
      <c r="S66" s="143"/>
      <c r="T66" s="143"/>
      <c r="V66" s="159"/>
      <c r="W66" s="143">
        <f>VLOOKUP(B66,vendas!C:D,2,)</f>
        <v>7</v>
      </c>
      <c r="X66" s="154">
        <f t="shared" ref="X66" si="6">V66/W66</f>
        <v>0</v>
      </c>
    </row>
    <row r="67" spans="2:24" x14ac:dyDescent="0.2">
      <c r="V67" s="159"/>
    </row>
  </sheetData>
  <autoFilter ref="B3:Y66" xr:uid="{D48ADAC6-460A-D441-A570-4EE22FB7557A}"/>
  <pageMargins left="0.7" right="0.7" top="0.75" bottom="0.75" header="0.3" footer="0.3"/>
  <ignoredErrors>
    <ignoredError sqref="P64" numberStoredAsText="1"/>
    <ignoredError sqref="Q6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5DF4-A576-264D-ABF9-0BA23E690C38}">
  <sheetPr>
    <pageSetUpPr fitToPage="1"/>
  </sheetPr>
  <dimension ref="A1:Z72"/>
  <sheetViews>
    <sheetView topLeftCell="A34" workbookViewId="0">
      <selection activeCell="K56" sqref="K56"/>
    </sheetView>
  </sheetViews>
  <sheetFormatPr baseColWidth="10" defaultColWidth="8.83203125" defaultRowHeight="15" x14ac:dyDescent="0.2"/>
  <cols>
    <col min="1" max="1" width="8.83203125" style="166"/>
    <col min="2" max="2" width="10.6640625" style="166" bestFit="1" customWidth="1"/>
    <col min="3" max="3" width="44.5" style="166" bestFit="1" customWidth="1"/>
    <col min="4" max="4" width="13.83203125" style="166" bestFit="1" customWidth="1"/>
    <col min="5" max="5" width="45" style="166" hidden="1" customWidth="1"/>
    <col min="6" max="6" width="12.5" style="166" hidden="1" customWidth="1"/>
    <col min="7" max="7" width="10.83203125" style="166" bestFit="1" customWidth="1"/>
    <col min="8" max="8" width="10.33203125" style="166" bestFit="1" customWidth="1"/>
    <col min="9" max="9" width="14.33203125" style="166" bestFit="1" customWidth="1"/>
    <col min="10" max="10" width="11.5" style="166" bestFit="1" customWidth="1"/>
    <col min="11" max="11" width="10.5" style="166" bestFit="1" customWidth="1"/>
    <col min="12" max="12" width="10.5" style="166" customWidth="1"/>
    <col min="13" max="13" width="16" style="166" bestFit="1" customWidth="1"/>
    <col min="14" max="14" width="11.6640625" style="166" hidden="1" customWidth="1"/>
    <col min="15" max="15" width="10.6640625" style="166" hidden="1" customWidth="1"/>
    <col min="16" max="16" width="12.5" style="166" bestFit="1" customWidth="1"/>
    <col min="17" max="17" width="11.6640625" style="166" bestFit="1" customWidth="1"/>
    <col min="18" max="18" width="10.1640625" style="166" bestFit="1" customWidth="1"/>
    <col min="19" max="19" width="10.5" style="167" bestFit="1" customWidth="1"/>
    <col min="20" max="20" width="9.5" style="166" bestFit="1" customWidth="1"/>
    <col min="21" max="21" width="10" style="166" bestFit="1" customWidth="1"/>
    <col min="22" max="16384" width="8.83203125" style="166"/>
  </cols>
  <sheetData>
    <row r="1" spans="1:19" x14ac:dyDescent="0.2">
      <c r="A1" s="165" t="s">
        <v>267</v>
      </c>
    </row>
    <row r="2" spans="1:19" ht="16" thickBot="1" x14ac:dyDescent="0.25"/>
    <row r="3" spans="1:19" x14ac:dyDescent="0.2">
      <c r="A3" s="168" t="s">
        <v>268</v>
      </c>
      <c r="B3" s="169" t="s">
        <v>269</v>
      </c>
      <c r="C3" s="169" t="s">
        <v>270</v>
      </c>
      <c r="D3" s="169" t="s">
        <v>243</v>
      </c>
      <c r="E3" s="169" t="s">
        <v>271</v>
      </c>
      <c r="F3" s="169" t="s">
        <v>272</v>
      </c>
      <c r="G3" s="169" t="s">
        <v>273</v>
      </c>
      <c r="H3" s="169" t="s">
        <v>274</v>
      </c>
      <c r="I3" s="169" t="s">
        <v>275</v>
      </c>
      <c r="J3" s="170" t="s">
        <v>276</v>
      </c>
      <c r="K3" s="170" t="s">
        <v>277</v>
      </c>
      <c r="L3" s="170" t="s">
        <v>278</v>
      </c>
      <c r="M3" s="169" t="s">
        <v>279</v>
      </c>
      <c r="N3" s="242" t="s">
        <v>280</v>
      </c>
      <c r="O3" s="242"/>
      <c r="P3" s="168" t="s">
        <v>281</v>
      </c>
      <c r="Q3" s="171" t="s">
        <v>282</v>
      </c>
      <c r="R3" s="171" t="s">
        <v>283</v>
      </c>
    </row>
    <row r="4" spans="1:19" x14ac:dyDescent="0.2">
      <c r="A4" s="172">
        <v>1</v>
      </c>
      <c r="B4" s="173">
        <v>44958</v>
      </c>
      <c r="C4" s="166" t="s">
        <v>284</v>
      </c>
      <c r="D4" s="174">
        <v>44</v>
      </c>
      <c r="E4" s="166" t="s">
        <v>285</v>
      </c>
      <c r="F4" s="166" t="s">
        <v>286</v>
      </c>
      <c r="G4" s="166">
        <v>31800</v>
      </c>
      <c r="H4" s="175">
        <v>18.6767</v>
      </c>
      <c r="I4" s="175">
        <f t="shared" ref="I4:I24" si="0">+G4*H4</f>
        <v>593919.06000000006</v>
      </c>
      <c r="J4" s="176"/>
      <c r="K4" s="176"/>
      <c r="L4" s="176"/>
      <c r="M4" s="177">
        <f t="shared" ref="M4:M9" si="1">+I4-J4-K4</f>
        <v>593919.06000000006</v>
      </c>
      <c r="N4" s="178"/>
      <c r="O4" s="178"/>
      <c r="P4" s="179">
        <f t="shared" ref="P4:P9" si="2">+M4*0.85</f>
        <v>504831.20100000006</v>
      </c>
      <c r="Q4" s="180">
        <f t="shared" ref="Q4:Q9" si="3">+M4*0.15</f>
        <v>89087.859000000011</v>
      </c>
      <c r="R4" s="181"/>
    </row>
    <row r="5" spans="1:19" x14ac:dyDescent="0.2">
      <c r="A5" s="172">
        <v>2</v>
      </c>
      <c r="B5" s="173">
        <v>44958</v>
      </c>
      <c r="C5" s="166" t="s">
        <v>284</v>
      </c>
      <c r="D5" s="174">
        <v>45</v>
      </c>
      <c r="E5" s="166" t="s">
        <v>285</v>
      </c>
      <c r="F5" s="166" t="s">
        <v>287</v>
      </c>
      <c r="G5" s="166">
        <v>31902</v>
      </c>
      <c r="H5" s="175">
        <v>18.6767</v>
      </c>
      <c r="I5" s="175">
        <f t="shared" si="0"/>
        <v>595824.0834</v>
      </c>
      <c r="J5" s="176"/>
      <c r="K5" s="176"/>
      <c r="L5" s="176"/>
      <c r="M5" s="177">
        <f t="shared" si="1"/>
        <v>595824.0834</v>
      </c>
      <c r="N5" s="178"/>
      <c r="O5" s="178"/>
      <c r="P5" s="179">
        <f t="shared" si="2"/>
        <v>506450.47089</v>
      </c>
      <c r="Q5" s="180">
        <f t="shared" si="3"/>
        <v>89373.612509999992</v>
      </c>
      <c r="R5" s="181"/>
    </row>
    <row r="6" spans="1:19" x14ac:dyDescent="0.2">
      <c r="A6" s="172">
        <v>3</v>
      </c>
      <c r="B6" s="173">
        <v>44958</v>
      </c>
      <c r="C6" s="166" t="s">
        <v>284</v>
      </c>
      <c r="D6" s="174">
        <v>46</v>
      </c>
      <c r="E6" s="166" t="s">
        <v>285</v>
      </c>
      <c r="F6" s="166" t="s">
        <v>288</v>
      </c>
      <c r="G6" s="166">
        <v>24000</v>
      </c>
      <c r="H6" s="175">
        <v>18.6767</v>
      </c>
      <c r="I6" s="175">
        <f t="shared" si="0"/>
        <v>448240.8</v>
      </c>
      <c r="J6" s="176"/>
      <c r="K6" s="176"/>
      <c r="L6" s="176"/>
      <c r="M6" s="177">
        <f t="shared" si="1"/>
        <v>448240.8</v>
      </c>
      <c r="N6" s="178"/>
      <c r="O6" s="178"/>
      <c r="P6" s="179">
        <f t="shared" si="2"/>
        <v>381004.68</v>
      </c>
      <c r="Q6" s="180">
        <f t="shared" si="3"/>
        <v>67236.12</v>
      </c>
      <c r="R6" s="181"/>
    </row>
    <row r="7" spans="1:19" x14ac:dyDescent="0.2">
      <c r="A7" s="172">
        <v>3</v>
      </c>
      <c r="B7" s="173">
        <v>44958</v>
      </c>
      <c r="C7" s="166" t="s">
        <v>284</v>
      </c>
      <c r="D7" s="174">
        <v>48</v>
      </c>
      <c r="E7" s="166" t="s">
        <v>285</v>
      </c>
      <c r="F7" s="166" t="s">
        <v>288</v>
      </c>
      <c r="G7" s="166">
        <v>6222</v>
      </c>
      <c r="H7" s="175">
        <v>17.789000000000001</v>
      </c>
      <c r="I7" s="175">
        <f t="shared" si="0"/>
        <v>110683.15800000001</v>
      </c>
      <c r="J7" s="176"/>
      <c r="K7" s="176"/>
      <c r="L7" s="176"/>
      <c r="M7" s="177">
        <f t="shared" si="1"/>
        <v>110683.15800000001</v>
      </c>
      <c r="N7" s="178"/>
      <c r="O7" s="178"/>
      <c r="P7" s="179">
        <f t="shared" si="2"/>
        <v>94080.684300000008</v>
      </c>
      <c r="Q7" s="180">
        <f t="shared" si="3"/>
        <v>16602.473700000002</v>
      </c>
      <c r="R7" s="181"/>
    </row>
    <row r="8" spans="1:19" x14ac:dyDescent="0.2">
      <c r="A8" s="172">
        <v>4</v>
      </c>
      <c r="B8" s="173">
        <v>44958</v>
      </c>
      <c r="C8" s="166" t="s">
        <v>284</v>
      </c>
      <c r="D8" s="174">
        <v>47</v>
      </c>
      <c r="E8" s="166" t="s">
        <v>285</v>
      </c>
      <c r="F8" s="166" t="s">
        <v>289</v>
      </c>
      <c r="G8" s="166">
        <v>31620</v>
      </c>
      <c r="H8" s="175">
        <v>17.789000000000001</v>
      </c>
      <c r="I8" s="175">
        <f t="shared" si="0"/>
        <v>562488.18000000005</v>
      </c>
      <c r="J8" s="176"/>
      <c r="K8" s="176"/>
      <c r="L8" s="176"/>
      <c r="M8" s="177">
        <f t="shared" si="1"/>
        <v>562488.18000000005</v>
      </c>
      <c r="N8" s="178"/>
      <c r="O8" s="178"/>
      <c r="P8" s="179">
        <f t="shared" si="2"/>
        <v>478114.95300000004</v>
      </c>
      <c r="Q8" s="180">
        <f t="shared" si="3"/>
        <v>84373.226999999999</v>
      </c>
      <c r="R8" s="181"/>
    </row>
    <row r="9" spans="1:19" x14ac:dyDescent="0.2">
      <c r="A9" s="172">
        <v>5</v>
      </c>
      <c r="B9" s="173">
        <v>44958</v>
      </c>
      <c r="C9" s="166" t="s">
        <v>284</v>
      </c>
      <c r="D9" s="174">
        <v>50</v>
      </c>
      <c r="E9" s="166" t="s">
        <v>285</v>
      </c>
      <c r="F9" s="166" t="s">
        <v>290</v>
      </c>
      <c r="G9" s="166">
        <v>31740</v>
      </c>
      <c r="H9" s="175">
        <v>18.6767</v>
      </c>
      <c r="I9" s="175">
        <f t="shared" si="0"/>
        <v>592798.45799999998</v>
      </c>
      <c r="J9" s="176"/>
      <c r="K9" s="176"/>
      <c r="L9" s="176"/>
      <c r="M9" s="177">
        <f t="shared" si="1"/>
        <v>592798.45799999998</v>
      </c>
      <c r="N9" s="178"/>
      <c r="O9" s="178"/>
      <c r="P9" s="179">
        <f t="shared" si="2"/>
        <v>503878.68929999997</v>
      </c>
      <c r="Q9" s="180">
        <f t="shared" si="3"/>
        <v>88919.768700000001</v>
      </c>
      <c r="R9" s="181"/>
    </row>
    <row r="10" spans="1:19" x14ac:dyDescent="0.2">
      <c r="A10" s="172">
        <v>1</v>
      </c>
      <c r="B10" s="167">
        <v>45152</v>
      </c>
      <c r="C10" s="166" t="s">
        <v>291</v>
      </c>
      <c r="D10" s="174">
        <v>57</v>
      </c>
      <c r="E10" s="166" t="s">
        <v>292</v>
      </c>
      <c r="F10" s="166" t="s">
        <v>293</v>
      </c>
      <c r="G10" s="182">
        <v>4800</v>
      </c>
      <c r="H10" s="175">
        <v>17.666699999999999</v>
      </c>
      <c r="I10" s="175">
        <f t="shared" si="0"/>
        <v>84800.159999999989</v>
      </c>
      <c r="J10" s="182">
        <f>+I10*0.015</f>
        <v>1272.0023999999999</v>
      </c>
      <c r="K10" s="182"/>
      <c r="L10" s="182"/>
      <c r="M10" s="183">
        <f>+I10-J10-K10</f>
        <v>83528.157599999991</v>
      </c>
      <c r="N10" s="175"/>
      <c r="O10" s="167"/>
      <c r="P10" s="179">
        <f>+M10*0.85</f>
        <v>70998.933959999995</v>
      </c>
      <c r="Q10" s="184">
        <f>+M10*0.15</f>
        <v>12529.223639999998</v>
      </c>
      <c r="R10" s="180" t="s">
        <v>240</v>
      </c>
      <c r="S10" s="167">
        <v>45195</v>
      </c>
    </row>
    <row r="11" spans="1:19" x14ac:dyDescent="0.2">
      <c r="A11" s="172">
        <v>2</v>
      </c>
      <c r="B11" s="167">
        <v>45154</v>
      </c>
      <c r="C11" s="166" t="s">
        <v>291</v>
      </c>
      <c r="D11" s="174">
        <v>58</v>
      </c>
      <c r="E11" s="166" t="s">
        <v>292</v>
      </c>
      <c r="F11" s="166" t="s">
        <v>293</v>
      </c>
      <c r="G11" s="182">
        <v>30</v>
      </c>
      <c r="H11" s="175">
        <v>17.666699999999999</v>
      </c>
      <c r="I11" s="175">
        <f t="shared" si="0"/>
        <v>530.00099999999998</v>
      </c>
      <c r="J11" s="182">
        <f>+I11*0.015</f>
        <v>7.9500149999999996</v>
      </c>
      <c r="K11" s="182"/>
      <c r="L11" s="182"/>
      <c r="M11" s="183">
        <f t="shared" ref="M11:M16" si="4">+I11-J11-K11</f>
        <v>522.05098499999997</v>
      </c>
      <c r="N11" s="175"/>
      <c r="O11" s="167"/>
      <c r="P11" s="179">
        <f t="shared" ref="P11:P50" si="5">+M11*0.85</f>
        <v>443.74333724999997</v>
      </c>
      <c r="Q11" s="184">
        <f t="shared" ref="Q11:Q20" si="6">+M11*0.15</f>
        <v>78.307647749999987</v>
      </c>
      <c r="R11" s="180" t="s">
        <v>240</v>
      </c>
      <c r="S11" s="167">
        <v>45195</v>
      </c>
    </row>
    <row r="12" spans="1:19" x14ac:dyDescent="0.2">
      <c r="A12" s="172">
        <v>3</v>
      </c>
      <c r="B12" s="167">
        <v>45198</v>
      </c>
      <c r="C12" s="166" t="s">
        <v>294</v>
      </c>
      <c r="D12" s="174"/>
      <c r="G12" s="175">
        <v>120</v>
      </c>
      <c r="H12" s="175">
        <v>25</v>
      </c>
      <c r="I12" s="175">
        <f t="shared" si="0"/>
        <v>3000</v>
      </c>
      <c r="J12" s="182"/>
      <c r="K12" s="182"/>
      <c r="L12" s="182"/>
      <c r="M12" s="183">
        <f t="shared" si="4"/>
        <v>3000</v>
      </c>
      <c r="N12" s="175"/>
      <c r="P12" s="179">
        <f t="shared" si="5"/>
        <v>2550</v>
      </c>
      <c r="Q12" s="184">
        <f t="shared" si="6"/>
        <v>450</v>
      </c>
      <c r="R12" s="180" t="s">
        <v>240</v>
      </c>
      <c r="S12" s="167">
        <v>45209</v>
      </c>
    </row>
    <row r="13" spans="1:19" x14ac:dyDescent="0.2">
      <c r="A13" s="172">
        <v>4</v>
      </c>
      <c r="B13" s="167">
        <v>45267</v>
      </c>
      <c r="C13" s="166" t="s">
        <v>295</v>
      </c>
      <c r="D13" s="174">
        <v>163</v>
      </c>
      <c r="E13" s="166" t="s">
        <v>296</v>
      </c>
      <c r="F13" s="166" t="s">
        <v>297</v>
      </c>
      <c r="G13" s="182">
        <f>240*60</f>
        <v>14400</v>
      </c>
      <c r="H13" s="175">
        <f>954.77387/60</f>
        <v>15.912897833333334</v>
      </c>
      <c r="I13" s="175">
        <f t="shared" si="0"/>
        <v>229145.72880000001</v>
      </c>
      <c r="J13" s="182">
        <f>+I13*0.005</f>
        <v>1145.728644</v>
      </c>
      <c r="K13" s="182"/>
      <c r="L13" s="182"/>
      <c r="M13" s="183">
        <f t="shared" si="4"/>
        <v>228000.00015600002</v>
      </c>
      <c r="N13" s="175"/>
      <c r="P13" s="179">
        <f t="shared" si="5"/>
        <v>193800.00013260002</v>
      </c>
      <c r="Q13" s="184">
        <f t="shared" si="6"/>
        <v>34200.000023400004</v>
      </c>
      <c r="R13" s="180" t="s">
        <v>240</v>
      </c>
      <c r="S13" s="167">
        <v>45302</v>
      </c>
    </row>
    <row r="14" spans="1:19" x14ac:dyDescent="0.2">
      <c r="A14" s="172">
        <v>5</v>
      </c>
      <c r="B14" s="167">
        <v>45267</v>
      </c>
      <c r="C14" s="166" t="s">
        <v>295</v>
      </c>
      <c r="D14" s="174">
        <v>164</v>
      </c>
      <c r="E14" s="166" t="s">
        <v>296</v>
      </c>
      <c r="F14" s="166" t="s">
        <v>298</v>
      </c>
      <c r="G14" s="182">
        <f>543*60</f>
        <v>32580</v>
      </c>
      <c r="H14" s="175">
        <f>954.77387/60</f>
        <v>15.912897833333334</v>
      </c>
      <c r="I14" s="175">
        <f t="shared" si="0"/>
        <v>518442.21141000005</v>
      </c>
      <c r="J14" s="182">
        <f>+I14*0.005</f>
        <v>2592.2110570500004</v>
      </c>
      <c r="K14" s="182"/>
      <c r="L14" s="182"/>
      <c r="M14" s="183">
        <f t="shared" si="4"/>
        <v>515850.00035295007</v>
      </c>
      <c r="N14" s="175"/>
      <c r="P14" s="179">
        <f t="shared" si="5"/>
        <v>438472.50030000752</v>
      </c>
      <c r="Q14" s="184">
        <f t="shared" si="6"/>
        <v>77377.500052942501</v>
      </c>
      <c r="R14" s="180" t="s">
        <v>240</v>
      </c>
      <c r="S14" s="167">
        <v>45302</v>
      </c>
    </row>
    <row r="15" spans="1:19" x14ac:dyDescent="0.2">
      <c r="A15" s="172">
        <v>6</v>
      </c>
      <c r="B15" s="167">
        <v>45300</v>
      </c>
      <c r="C15" s="166" t="s">
        <v>291</v>
      </c>
      <c r="D15" s="174">
        <v>239</v>
      </c>
      <c r="E15" s="166" t="s">
        <v>292</v>
      </c>
      <c r="F15" s="166" t="s">
        <v>299</v>
      </c>
      <c r="G15" s="182">
        <v>30000</v>
      </c>
      <c r="H15" s="175">
        <v>20.75</v>
      </c>
      <c r="I15" s="175">
        <f t="shared" si="0"/>
        <v>622500</v>
      </c>
      <c r="J15" s="182">
        <f>+I15*0.01549251</f>
        <v>9644.0874750000003</v>
      </c>
      <c r="K15" s="182"/>
      <c r="L15" s="182"/>
      <c r="M15" s="183">
        <f t="shared" si="4"/>
        <v>612855.91252500005</v>
      </c>
      <c r="N15" s="175"/>
      <c r="P15" s="179">
        <f t="shared" si="5"/>
        <v>520927.52564625005</v>
      </c>
      <c r="Q15" s="184">
        <f t="shared" si="6"/>
        <v>91928.386878750011</v>
      </c>
      <c r="R15" s="180" t="s">
        <v>240</v>
      </c>
      <c r="S15" s="167">
        <v>45309</v>
      </c>
    </row>
    <row r="16" spans="1:19" x14ac:dyDescent="0.2">
      <c r="A16" s="172">
        <v>7</v>
      </c>
      <c r="B16" s="167">
        <v>45300</v>
      </c>
      <c r="C16" s="166" t="s">
        <v>291</v>
      </c>
      <c r="D16" s="174">
        <v>240</v>
      </c>
      <c r="E16" s="166" t="s">
        <v>292</v>
      </c>
      <c r="F16" s="166" t="s">
        <v>300</v>
      </c>
      <c r="G16" s="182">
        <v>30000</v>
      </c>
      <c r="H16" s="175">
        <v>20.75</v>
      </c>
      <c r="I16" s="175">
        <f t="shared" si="0"/>
        <v>622500</v>
      </c>
      <c r="J16" s="182">
        <f>+I16*0.01549251</f>
        <v>9644.0874750000003</v>
      </c>
      <c r="K16" s="182"/>
      <c r="L16" s="182"/>
      <c r="M16" s="183">
        <f t="shared" si="4"/>
        <v>612855.91252500005</v>
      </c>
      <c r="N16" s="175"/>
      <c r="P16" s="179">
        <f t="shared" si="5"/>
        <v>520927.52564625005</v>
      </c>
      <c r="Q16" s="184">
        <f t="shared" si="6"/>
        <v>91928.386878750011</v>
      </c>
      <c r="R16" s="180" t="s">
        <v>240</v>
      </c>
      <c r="S16" s="167">
        <v>45309</v>
      </c>
    </row>
    <row r="17" spans="1:26" x14ac:dyDescent="0.2">
      <c r="A17" s="172">
        <v>8</v>
      </c>
      <c r="B17" s="167">
        <v>45317</v>
      </c>
      <c r="C17" s="166" t="s">
        <v>301</v>
      </c>
      <c r="D17" s="174">
        <v>254</v>
      </c>
      <c r="E17" s="166" t="s">
        <v>302</v>
      </c>
      <c r="F17" s="166" t="s">
        <v>303</v>
      </c>
      <c r="G17" s="182">
        <v>27520</v>
      </c>
      <c r="H17" s="175">
        <v>17.8217</v>
      </c>
      <c r="I17" s="175">
        <f t="shared" si="0"/>
        <v>490453.18400000001</v>
      </c>
      <c r="J17" s="182">
        <f>+I17*0.015</f>
        <v>7356.7977599999995</v>
      </c>
      <c r="K17" s="182"/>
      <c r="L17" s="182">
        <v>4904.5200000000004</v>
      </c>
      <c r="M17" s="183">
        <f t="shared" ref="M17:M50" si="7">+I17-J17-K17+L17</f>
        <v>488000.90624000004</v>
      </c>
      <c r="N17" s="175"/>
      <c r="P17" s="179">
        <f t="shared" si="5"/>
        <v>414800.77030400001</v>
      </c>
      <c r="Q17" s="184">
        <f t="shared" si="6"/>
        <v>73200.135936000006</v>
      </c>
      <c r="R17" s="180" t="s">
        <v>240</v>
      </c>
      <c r="S17" s="167">
        <v>45320</v>
      </c>
    </row>
    <row r="18" spans="1:26" x14ac:dyDescent="0.2">
      <c r="A18" s="172">
        <v>9</v>
      </c>
      <c r="B18" s="167">
        <v>45327</v>
      </c>
      <c r="C18" s="166" t="s">
        <v>304</v>
      </c>
      <c r="D18" s="174">
        <v>261</v>
      </c>
      <c r="E18" s="166" t="s">
        <v>305</v>
      </c>
      <c r="F18" s="166" t="s">
        <v>306</v>
      </c>
      <c r="G18" s="182">
        <v>21180</v>
      </c>
      <c r="H18" s="175">
        <v>18.8333333</v>
      </c>
      <c r="I18" s="175">
        <f t="shared" si="0"/>
        <v>398889.99929399998</v>
      </c>
      <c r="J18" s="182">
        <f>+I18*0.015</f>
        <v>5983.3499894099996</v>
      </c>
      <c r="K18" s="182"/>
      <c r="L18" s="182"/>
      <c r="M18" s="183">
        <f t="shared" si="7"/>
        <v>392906.64930458996</v>
      </c>
      <c r="N18" s="175"/>
      <c r="P18" s="179">
        <f t="shared" si="5"/>
        <v>333970.65190890146</v>
      </c>
      <c r="Q18" s="184">
        <f t="shared" si="6"/>
        <v>58935.997395688493</v>
      </c>
      <c r="R18" s="180" t="s">
        <v>240</v>
      </c>
      <c r="S18" s="167">
        <v>45327</v>
      </c>
    </row>
    <row r="19" spans="1:26" x14ac:dyDescent="0.2">
      <c r="A19" s="172">
        <v>10</v>
      </c>
      <c r="B19" s="167">
        <v>45328</v>
      </c>
      <c r="C19" s="166" t="s">
        <v>307</v>
      </c>
      <c r="D19" s="174">
        <v>262</v>
      </c>
      <c r="E19" s="166" t="s">
        <v>308</v>
      </c>
      <c r="G19" s="182">
        <v>1320</v>
      </c>
      <c r="H19" s="175">
        <v>20.45</v>
      </c>
      <c r="I19" s="175">
        <f t="shared" si="0"/>
        <v>26994</v>
      </c>
      <c r="J19" s="182"/>
      <c r="K19" s="182"/>
      <c r="L19" s="182"/>
      <c r="M19" s="185">
        <f t="shared" si="7"/>
        <v>26994</v>
      </c>
      <c r="N19" s="175"/>
      <c r="P19" s="179">
        <f t="shared" si="5"/>
        <v>22944.899999999998</v>
      </c>
      <c r="Q19" s="180">
        <f t="shared" si="6"/>
        <v>4049.1</v>
      </c>
      <c r="R19" s="180"/>
      <c r="S19" s="167" t="s">
        <v>265</v>
      </c>
    </row>
    <row r="20" spans="1:26" x14ac:dyDescent="0.2">
      <c r="A20" s="172"/>
      <c r="B20" s="167">
        <v>45314</v>
      </c>
      <c r="C20" s="166" t="s">
        <v>307</v>
      </c>
      <c r="D20" s="174">
        <v>262</v>
      </c>
      <c r="E20" s="166" t="s">
        <v>308</v>
      </c>
      <c r="G20" s="182">
        <v>120</v>
      </c>
      <c r="H20" s="175">
        <v>20</v>
      </c>
      <c r="I20" s="175">
        <v>2494.25</v>
      </c>
      <c r="J20" s="182"/>
      <c r="K20" s="182"/>
      <c r="L20" s="182"/>
      <c r="M20" s="183">
        <f t="shared" si="7"/>
        <v>2494.25</v>
      </c>
      <c r="N20" s="175"/>
      <c r="P20" s="179">
        <f t="shared" si="5"/>
        <v>2120.1124999999997</v>
      </c>
      <c r="Q20" s="184">
        <f t="shared" si="6"/>
        <v>374.13749999999999</v>
      </c>
      <c r="R20" s="180" t="s">
        <v>240</v>
      </c>
      <c r="S20" s="167">
        <v>45420</v>
      </c>
    </row>
    <row r="21" spans="1:26" x14ac:dyDescent="0.2">
      <c r="A21" s="172">
        <v>11</v>
      </c>
      <c r="B21" s="167">
        <v>45337</v>
      </c>
      <c r="C21" s="166" t="s">
        <v>309</v>
      </c>
      <c r="D21" s="174">
        <v>263</v>
      </c>
      <c r="E21" s="166" t="s">
        <v>310</v>
      </c>
      <c r="F21" s="166" t="s">
        <v>311</v>
      </c>
      <c r="G21" s="182">
        <v>1800</v>
      </c>
      <c r="H21" s="175">
        <f t="shared" ref="H21" si="8">+I21/G21</f>
        <v>31.482333333333333</v>
      </c>
      <c r="I21" s="175">
        <v>56668.2</v>
      </c>
      <c r="J21" s="182"/>
      <c r="K21" s="182"/>
      <c r="L21" s="182"/>
      <c r="M21" s="186">
        <f t="shared" si="7"/>
        <v>56668.2</v>
      </c>
      <c r="N21" s="175"/>
      <c r="P21" s="179">
        <f t="shared" si="5"/>
        <v>48167.969999999994</v>
      </c>
      <c r="Q21" s="184">
        <f>+M21*0.15</f>
        <v>8500.23</v>
      </c>
      <c r="R21" s="180" t="s">
        <v>240</v>
      </c>
      <c r="S21" s="167">
        <v>45421</v>
      </c>
    </row>
    <row r="22" spans="1:26" x14ac:dyDescent="0.2">
      <c r="A22" s="172">
        <v>12</v>
      </c>
      <c r="B22" s="167">
        <v>45343</v>
      </c>
      <c r="C22" s="166" t="s">
        <v>312</v>
      </c>
      <c r="D22" s="174">
        <v>265</v>
      </c>
      <c r="E22" s="166" t="s">
        <v>313</v>
      </c>
      <c r="F22" s="166" t="s">
        <v>314</v>
      </c>
      <c r="G22" s="182">
        <v>7980</v>
      </c>
      <c r="H22" s="175">
        <v>20.94</v>
      </c>
      <c r="I22" s="175">
        <f t="shared" si="0"/>
        <v>167101.20000000001</v>
      </c>
      <c r="J22" s="182">
        <f>+I22*0.00750629</f>
        <v>1254.3100665480001</v>
      </c>
      <c r="K22" s="182"/>
      <c r="L22" s="182"/>
      <c r="M22" s="183">
        <f t="shared" si="7"/>
        <v>165846.88993345201</v>
      </c>
      <c r="N22" s="175"/>
      <c r="P22" s="179">
        <f t="shared" si="5"/>
        <v>140969.8564434342</v>
      </c>
      <c r="Q22" s="184">
        <f t="shared" ref="Q22:Q50" si="9">+M22*0.15</f>
        <v>24877.033490017802</v>
      </c>
      <c r="R22" s="180" t="s">
        <v>240</v>
      </c>
      <c r="S22" s="167">
        <v>45344</v>
      </c>
    </row>
    <row r="23" spans="1:26" x14ac:dyDescent="0.2">
      <c r="A23" s="172">
        <v>13</v>
      </c>
      <c r="B23" s="167">
        <v>45349</v>
      </c>
      <c r="C23" s="166" t="s">
        <v>307</v>
      </c>
      <c r="D23" s="174">
        <v>266</v>
      </c>
      <c r="E23" s="166" t="s">
        <v>308</v>
      </c>
      <c r="G23" s="182">
        <v>600</v>
      </c>
      <c r="H23" s="175">
        <v>20</v>
      </c>
      <c r="I23" s="175">
        <v>13400</v>
      </c>
      <c r="J23" s="182"/>
      <c r="K23" s="182"/>
      <c r="L23" s="182"/>
      <c r="M23" s="186">
        <f t="shared" si="7"/>
        <v>13400</v>
      </c>
      <c r="N23" s="175"/>
      <c r="P23" s="179">
        <f t="shared" si="5"/>
        <v>11390</v>
      </c>
      <c r="Q23" s="180">
        <f t="shared" si="9"/>
        <v>2010</v>
      </c>
      <c r="R23" s="180" t="s">
        <v>240</v>
      </c>
      <c r="T23" s="166" t="s">
        <v>315</v>
      </c>
      <c r="Z23" s="166" t="s">
        <v>316</v>
      </c>
    </row>
    <row r="24" spans="1:26" x14ac:dyDescent="0.2">
      <c r="A24" s="172">
        <v>14</v>
      </c>
      <c r="B24" s="167">
        <v>45349</v>
      </c>
      <c r="C24" s="166" t="s">
        <v>317</v>
      </c>
      <c r="D24" s="174">
        <v>267</v>
      </c>
      <c r="E24" s="166" t="s">
        <v>308</v>
      </c>
      <c r="G24" s="182">
        <v>1140</v>
      </c>
      <c r="H24" s="175">
        <v>20.83</v>
      </c>
      <c r="I24" s="175">
        <f t="shared" si="0"/>
        <v>23746.199999999997</v>
      </c>
      <c r="J24" s="182"/>
      <c r="K24" s="182"/>
      <c r="L24" s="182"/>
      <c r="M24" s="185">
        <f t="shared" si="7"/>
        <v>23746.199999999997</v>
      </c>
      <c r="N24" s="175"/>
      <c r="P24" s="179">
        <f t="shared" si="5"/>
        <v>20184.269999999997</v>
      </c>
      <c r="Q24" s="180">
        <f t="shared" si="9"/>
        <v>3561.9299999999994</v>
      </c>
      <c r="R24" s="180"/>
      <c r="T24" s="166" t="s">
        <v>318</v>
      </c>
      <c r="W24" s="166" t="s">
        <v>319</v>
      </c>
      <c r="Y24" s="166" t="s">
        <v>320</v>
      </c>
    </row>
    <row r="25" spans="1:26" x14ac:dyDescent="0.2">
      <c r="A25" s="172">
        <v>15</v>
      </c>
      <c r="B25" s="167">
        <v>45350</v>
      </c>
      <c r="C25" s="166" t="s">
        <v>321</v>
      </c>
      <c r="D25" s="174" t="s">
        <v>261</v>
      </c>
      <c r="E25" s="166" t="s">
        <v>322</v>
      </c>
      <c r="F25" s="166" t="s">
        <v>323</v>
      </c>
      <c r="G25" s="175">
        <f>363.38*60</f>
        <v>21802.799999999999</v>
      </c>
      <c r="H25" s="175">
        <f t="shared" ref="H25:H50" si="10">+I25/G25</f>
        <v>10.083333333333334</v>
      </c>
      <c r="I25" s="187">
        <v>219844.9</v>
      </c>
      <c r="J25" s="182"/>
      <c r="K25" s="182"/>
      <c r="L25" s="182"/>
      <c r="M25" s="183">
        <f t="shared" si="7"/>
        <v>219844.9</v>
      </c>
      <c r="N25" s="175"/>
      <c r="P25" s="179">
        <f t="shared" si="5"/>
        <v>186868.16499999998</v>
      </c>
      <c r="Q25" s="184">
        <f t="shared" si="9"/>
        <v>32976.735000000001</v>
      </c>
      <c r="R25" s="180" t="s">
        <v>240</v>
      </c>
      <c r="S25" s="167">
        <v>45352</v>
      </c>
    </row>
    <row r="26" spans="1:26" x14ac:dyDescent="0.2">
      <c r="A26" s="172">
        <v>16</v>
      </c>
      <c r="B26" s="167">
        <v>45363</v>
      </c>
      <c r="C26" s="166" t="s">
        <v>324</v>
      </c>
      <c r="D26" s="174" t="s">
        <v>262</v>
      </c>
      <c r="E26" s="166" t="s">
        <v>325</v>
      </c>
      <c r="G26" s="175">
        <f>(276+179)*60</f>
        <v>27300</v>
      </c>
      <c r="H26" s="175">
        <f t="shared" si="10"/>
        <v>16.666666666666668</v>
      </c>
      <c r="I26" s="188">
        <f>434525+20475</f>
        <v>455000</v>
      </c>
      <c r="J26" s="182"/>
      <c r="K26" s="182"/>
      <c r="L26" s="182"/>
      <c r="M26" s="183">
        <f t="shared" si="7"/>
        <v>455000</v>
      </c>
      <c r="N26" s="175"/>
      <c r="P26" s="179">
        <f t="shared" si="5"/>
        <v>386750</v>
      </c>
      <c r="Q26" s="184">
        <f t="shared" si="9"/>
        <v>68250</v>
      </c>
      <c r="R26" s="180" t="s">
        <v>240</v>
      </c>
      <c r="S26" s="167">
        <v>45364</v>
      </c>
    </row>
    <row r="27" spans="1:26" x14ac:dyDescent="0.2">
      <c r="A27" s="172">
        <v>17</v>
      </c>
      <c r="B27" s="167">
        <v>45366</v>
      </c>
      <c r="C27" s="166" t="s">
        <v>321</v>
      </c>
      <c r="D27" s="174">
        <v>271</v>
      </c>
      <c r="E27" s="166" t="s">
        <v>326</v>
      </c>
      <c r="F27" s="166" t="s">
        <v>327</v>
      </c>
      <c r="G27" s="175">
        <f>(168.62+0.8)*60</f>
        <v>10165.200000000001</v>
      </c>
      <c r="H27" s="175">
        <f t="shared" si="10"/>
        <v>10.114419785149332</v>
      </c>
      <c r="I27" s="182">
        <v>102815.1</v>
      </c>
      <c r="J27" s="182"/>
      <c r="K27" s="182"/>
      <c r="L27" s="182"/>
      <c r="M27" s="183">
        <f t="shared" si="7"/>
        <v>102815.1</v>
      </c>
      <c r="N27" s="175"/>
      <c r="P27" s="179">
        <f t="shared" si="5"/>
        <v>87392.835000000006</v>
      </c>
      <c r="Q27" s="184">
        <f t="shared" si="9"/>
        <v>15422.264999999999</v>
      </c>
      <c r="R27" s="180" t="s">
        <v>240</v>
      </c>
      <c r="S27" s="167">
        <v>45366</v>
      </c>
    </row>
    <row r="28" spans="1:26" x14ac:dyDescent="0.2">
      <c r="A28" s="172">
        <v>18</v>
      </c>
      <c r="B28" s="167">
        <v>45373</v>
      </c>
      <c r="C28" s="166" t="s">
        <v>328</v>
      </c>
      <c r="D28" s="174">
        <v>274</v>
      </c>
      <c r="E28" s="166" t="s">
        <v>329</v>
      </c>
      <c r="F28" s="166" t="s">
        <v>330</v>
      </c>
      <c r="G28" s="175">
        <v>19200</v>
      </c>
      <c r="H28" s="175">
        <f t="shared" si="10"/>
        <v>22.507865104166669</v>
      </c>
      <c r="I28" s="175">
        <v>432151.01</v>
      </c>
      <c r="J28" s="182"/>
      <c r="K28" s="182"/>
      <c r="L28" s="182"/>
      <c r="M28" s="183">
        <f t="shared" si="7"/>
        <v>432151.01</v>
      </c>
      <c r="N28" s="175"/>
      <c r="P28" s="179">
        <f t="shared" si="5"/>
        <v>367328.35849999997</v>
      </c>
      <c r="Q28" s="184">
        <f t="shared" si="9"/>
        <v>64822.6515</v>
      </c>
      <c r="R28" s="180" t="s">
        <v>240</v>
      </c>
      <c r="S28" s="167">
        <v>45427</v>
      </c>
    </row>
    <row r="29" spans="1:26" x14ac:dyDescent="0.2">
      <c r="A29" s="172">
        <v>19</v>
      </c>
      <c r="B29" s="167">
        <v>45373</v>
      </c>
      <c r="C29" s="166" t="s">
        <v>328</v>
      </c>
      <c r="D29" s="189">
        <v>275</v>
      </c>
      <c r="E29" s="166" t="s">
        <v>329</v>
      </c>
      <c r="F29" s="166" t="s">
        <v>331</v>
      </c>
      <c r="G29" s="175">
        <v>19200</v>
      </c>
      <c r="H29" s="175">
        <f t="shared" si="10"/>
        <v>22.818553298611111</v>
      </c>
      <c r="I29" s="175">
        <f>1314348.67*G29/57600</f>
        <v>438116.22333333333</v>
      </c>
      <c r="J29" s="182"/>
      <c r="K29" s="182"/>
      <c r="L29" s="182"/>
      <c r="M29" s="183">
        <f t="shared" si="7"/>
        <v>438116.22333333333</v>
      </c>
      <c r="N29" s="175"/>
      <c r="P29" s="179">
        <f t="shared" si="5"/>
        <v>372398.78983333334</v>
      </c>
      <c r="Q29" s="184">
        <f t="shared" si="9"/>
        <v>65717.433499999999</v>
      </c>
      <c r="R29" s="180" t="s">
        <v>240</v>
      </c>
      <c r="S29" s="167">
        <v>45490</v>
      </c>
    </row>
    <row r="30" spans="1:26" x14ac:dyDescent="0.2">
      <c r="A30" s="172">
        <v>20</v>
      </c>
      <c r="B30" s="167">
        <v>45373</v>
      </c>
      <c r="C30" s="166" t="s">
        <v>328</v>
      </c>
      <c r="D30" s="189">
        <v>276</v>
      </c>
      <c r="E30" s="166" t="s">
        <v>329</v>
      </c>
      <c r="F30" s="166" t="s">
        <v>330</v>
      </c>
      <c r="G30" s="175">
        <v>19200</v>
      </c>
      <c r="H30" s="175">
        <f t="shared" si="10"/>
        <v>22.818553298611111</v>
      </c>
      <c r="I30" s="175">
        <f>1314348.67*G30/57600</f>
        <v>438116.22333333333</v>
      </c>
      <c r="J30" s="182"/>
      <c r="K30" s="182"/>
      <c r="L30" s="182"/>
      <c r="M30" s="183">
        <f t="shared" si="7"/>
        <v>438116.22333333333</v>
      </c>
      <c r="N30" s="175"/>
      <c r="P30" s="179">
        <f t="shared" si="5"/>
        <v>372398.78983333334</v>
      </c>
      <c r="Q30" s="184">
        <f t="shared" si="9"/>
        <v>65717.433499999999</v>
      </c>
      <c r="R30" s="180" t="s">
        <v>240</v>
      </c>
      <c r="S30" s="167">
        <v>45490</v>
      </c>
    </row>
    <row r="31" spans="1:26" x14ac:dyDescent="0.2">
      <c r="A31" s="172">
        <v>21</v>
      </c>
      <c r="B31" s="167">
        <v>45400</v>
      </c>
      <c r="C31" s="166" t="s">
        <v>332</v>
      </c>
      <c r="D31" s="174">
        <v>279</v>
      </c>
      <c r="E31" s="166" t="s">
        <v>329</v>
      </c>
      <c r="F31" s="166" t="s">
        <v>333</v>
      </c>
      <c r="G31" s="175">
        <v>16800</v>
      </c>
      <c r="H31" s="175">
        <f t="shared" si="10"/>
        <v>18.154761904761905</v>
      </c>
      <c r="I31" s="175">
        <v>305000</v>
      </c>
      <c r="J31" s="182"/>
      <c r="K31" s="182"/>
      <c r="L31" s="182"/>
      <c r="M31" s="183">
        <f t="shared" si="7"/>
        <v>305000</v>
      </c>
      <c r="N31" s="175"/>
      <c r="P31" s="179">
        <f t="shared" si="5"/>
        <v>259250</v>
      </c>
      <c r="Q31" s="184">
        <f t="shared" si="9"/>
        <v>45750</v>
      </c>
      <c r="R31" s="180" t="s">
        <v>240</v>
      </c>
      <c r="S31" s="167">
        <v>45547</v>
      </c>
      <c r="U31" s="166" t="s">
        <v>334</v>
      </c>
    </row>
    <row r="32" spans="1:26" x14ac:dyDescent="0.2">
      <c r="A32" s="172">
        <v>21</v>
      </c>
      <c r="B32" s="167">
        <v>45400</v>
      </c>
      <c r="C32" s="166" t="s">
        <v>332</v>
      </c>
      <c r="D32" s="174">
        <v>279</v>
      </c>
      <c r="E32" s="166" t="s">
        <v>329</v>
      </c>
      <c r="F32" s="166" t="s">
        <v>333</v>
      </c>
      <c r="G32" s="175"/>
      <c r="H32" s="175">
        <f>+I32/G31</f>
        <v>10.369371428571428</v>
      </c>
      <c r="I32" s="175">
        <v>174205.44</v>
      </c>
      <c r="J32" s="182"/>
      <c r="K32" s="182"/>
      <c r="L32" s="182"/>
      <c r="M32" s="183">
        <f t="shared" si="7"/>
        <v>174205.44</v>
      </c>
      <c r="N32" s="175"/>
      <c r="P32" s="179">
        <f t="shared" si="5"/>
        <v>148074.62400000001</v>
      </c>
      <c r="Q32" s="180">
        <f t="shared" si="9"/>
        <v>26130.815999999999</v>
      </c>
      <c r="R32" s="180" t="s">
        <v>240</v>
      </c>
      <c r="S32" s="167">
        <v>45610</v>
      </c>
    </row>
    <row r="33" spans="1:21" x14ac:dyDescent="0.2">
      <c r="A33" s="172">
        <v>22</v>
      </c>
      <c r="B33" s="167">
        <v>45421</v>
      </c>
      <c r="C33" s="166" t="s">
        <v>328</v>
      </c>
      <c r="D33" s="189">
        <v>283</v>
      </c>
      <c r="E33" s="166" t="s">
        <v>329</v>
      </c>
      <c r="F33" s="166" t="s">
        <v>335</v>
      </c>
      <c r="G33" s="175">
        <v>19200</v>
      </c>
      <c r="H33" s="175">
        <f t="shared" si="10"/>
        <v>22.818553298611111</v>
      </c>
      <c r="I33" s="175">
        <f>1314348.67*G33/57600</f>
        <v>438116.22333333333</v>
      </c>
      <c r="J33" s="182"/>
      <c r="K33" s="182"/>
      <c r="L33" s="182"/>
      <c r="M33" s="183">
        <f t="shared" si="7"/>
        <v>438116.22333333333</v>
      </c>
      <c r="N33" s="175"/>
      <c r="P33" s="179">
        <f t="shared" si="5"/>
        <v>372398.78983333334</v>
      </c>
      <c r="Q33" s="184">
        <f t="shared" si="9"/>
        <v>65717.433499999999</v>
      </c>
      <c r="R33" s="180" t="s">
        <v>240</v>
      </c>
      <c r="S33" s="167">
        <v>45490</v>
      </c>
    </row>
    <row r="34" spans="1:21" x14ac:dyDescent="0.2">
      <c r="A34" s="172">
        <v>23</v>
      </c>
      <c r="B34" s="167">
        <v>45432</v>
      </c>
      <c r="C34" s="166" t="s">
        <v>332</v>
      </c>
      <c r="D34" s="174">
        <v>286</v>
      </c>
      <c r="E34" s="166" t="s">
        <v>329</v>
      </c>
      <c r="F34" s="166" t="s">
        <v>336</v>
      </c>
      <c r="G34" s="175">
        <f>16800+2400</f>
        <v>19200</v>
      </c>
      <c r="H34" s="175">
        <f t="shared" si="10"/>
        <v>27.860240104166667</v>
      </c>
      <c r="I34" s="175">
        <v>534916.61</v>
      </c>
      <c r="J34" s="182"/>
      <c r="K34" s="182"/>
      <c r="L34" s="182"/>
      <c r="M34" s="175">
        <f t="shared" si="7"/>
        <v>534916.61</v>
      </c>
      <c r="N34" s="175"/>
      <c r="P34" s="179">
        <f t="shared" si="5"/>
        <v>454679.11849999998</v>
      </c>
      <c r="Q34" s="180">
        <f t="shared" si="9"/>
        <v>80237.491499999989</v>
      </c>
      <c r="R34" s="180"/>
    </row>
    <row r="35" spans="1:21" x14ac:dyDescent="0.2">
      <c r="A35" s="172">
        <v>24</v>
      </c>
      <c r="B35" s="167">
        <v>45456</v>
      </c>
      <c r="C35" s="166" t="s">
        <v>328</v>
      </c>
      <c r="D35" s="174">
        <v>288</v>
      </c>
      <c r="E35" s="166" t="s">
        <v>329</v>
      </c>
      <c r="F35" s="166" t="s">
        <v>337</v>
      </c>
      <c r="G35" s="175">
        <v>19200</v>
      </c>
      <c r="H35" s="175">
        <f t="shared" si="10"/>
        <v>29.833108333333335</v>
      </c>
      <c r="I35" s="175">
        <v>572795.68000000005</v>
      </c>
      <c r="J35" s="182"/>
      <c r="K35" s="182"/>
      <c r="L35" s="182"/>
      <c r="M35" s="183">
        <f t="shared" si="7"/>
        <v>572795.68000000005</v>
      </c>
      <c r="N35" s="175"/>
      <c r="P35" s="179">
        <f t="shared" si="5"/>
        <v>486876.32800000004</v>
      </c>
      <c r="Q35" s="180">
        <f t="shared" si="9"/>
        <v>85919.351999999999</v>
      </c>
      <c r="R35" s="180" t="s">
        <v>240</v>
      </c>
      <c r="S35" s="167">
        <v>45603</v>
      </c>
    </row>
    <row r="36" spans="1:21" x14ac:dyDescent="0.2">
      <c r="A36" s="172">
        <v>25</v>
      </c>
      <c r="B36" s="167">
        <v>45470</v>
      </c>
      <c r="C36" s="166" t="s">
        <v>338</v>
      </c>
      <c r="D36" s="174">
        <v>306</v>
      </c>
      <c r="E36" s="166" t="s">
        <v>339</v>
      </c>
      <c r="F36" s="166" t="s">
        <v>340</v>
      </c>
      <c r="G36" s="175">
        <v>3000</v>
      </c>
      <c r="H36" s="175">
        <f t="shared" si="10"/>
        <v>27.570666666666668</v>
      </c>
      <c r="I36" s="175">
        <v>82712</v>
      </c>
      <c r="J36" s="182">
        <f>+I36*0.015</f>
        <v>1240.68</v>
      </c>
      <c r="K36" s="182"/>
      <c r="L36" s="182"/>
      <c r="M36" s="183">
        <f t="shared" si="7"/>
        <v>81471.320000000007</v>
      </c>
      <c r="N36" s="175"/>
      <c r="P36" s="179">
        <f t="shared" si="5"/>
        <v>69250.622000000003</v>
      </c>
      <c r="Q36" s="184">
        <f t="shared" si="9"/>
        <v>12220.698</v>
      </c>
      <c r="R36" s="180" t="s">
        <v>240</v>
      </c>
      <c r="S36" s="167">
        <v>45471</v>
      </c>
      <c r="U36" s="175"/>
    </row>
    <row r="37" spans="1:21" x14ac:dyDescent="0.2">
      <c r="A37" s="172">
        <v>26</v>
      </c>
      <c r="B37" s="167">
        <v>45483</v>
      </c>
      <c r="C37" s="166" t="s">
        <v>328</v>
      </c>
      <c r="D37" s="174">
        <v>322</v>
      </c>
      <c r="E37" s="166" t="s">
        <v>329</v>
      </c>
      <c r="F37" s="166" t="s">
        <v>341</v>
      </c>
      <c r="G37" s="175">
        <v>19200</v>
      </c>
      <c r="H37" s="175">
        <f t="shared" si="10"/>
        <v>30.166121875000002</v>
      </c>
      <c r="I37" s="175">
        <v>579189.54</v>
      </c>
      <c r="J37" s="182"/>
      <c r="K37" s="182"/>
      <c r="L37" s="182"/>
      <c r="M37" s="183">
        <f t="shared" si="7"/>
        <v>579189.54</v>
      </c>
      <c r="N37" s="175"/>
      <c r="P37" s="179">
        <f t="shared" si="5"/>
        <v>492311.109</v>
      </c>
      <c r="Q37" s="180">
        <f t="shared" si="9"/>
        <v>86878.430999999997</v>
      </c>
      <c r="R37" s="180" t="s">
        <v>240</v>
      </c>
      <c r="S37" s="167">
        <v>45603</v>
      </c>
    </row>
    <row r="38" spans="1:21" x14ac:dyDescent="0.2">
      <c r="A38" s="172">
        <v>27</v>
      </c>
      <c r="B38" s="167">
        <v>45485</v>
      </c>
      <c r="C38" s="166" t="s">
        <v>342</v>
      </c>
      <c r="D38" s="174" t="s">
        <v>263</v>
      </c>
      <c r="E38" s="166" t="s">
        <v>343</v>
      </c>
      <c r="F38" s="166" t="s">
        <v>344</v>
      </c>
      <c r="G38" s="175">
        <f>8280+10</f>
        <v>8290</v>
      </c>
      <c r="H38" s="175">
        <f t="shared" si="10"/>
        <v>25.460667068757537</v>
      </c>
      <c r="I38" s="175">
        <f>210814.32+254.61</f>
        <v>211068.93</v>
      </c>
      <c r="J38" s="182">
        <f>+I38*0.006200249</f>
        <v>1308.6799221635699</v>
      </c>
      <c r="K38" s="182"/>
      <c r="L38" s="182"/>
      <c r="M38" s="183">
        <f t="shared" si="7"/>
        <v>209760.25007783642</v>
      </c>
      <c r="N38" s="175"/>
      <c r="P38" s="179">
        <f t="shared" si="5"/>
        <v>178296.21256616095</v>
      </c>
      <c r="Q38" s="184">
        <f t="shared" si="9"/>
        <v>31464.037511675462</v>
      </c>
      <c r="R38" s="180" t="s">
        <v>240</v>
      </c>
      <c r="S38" s="167">
        <v>45485</v>
      </c>
      <c r="T38" s="190"/>
      <c r="U38" s="190"/>
    </row>
    <row r="39" spans="1:21" x14ac:dyDescent="0.2">
      <c r="A39" s="172">
        <v>28</v>
      </c>
      <c r="B39" s="167">
        <v>45555</v>
      </c>
      <c r="C39" s="166" t="s">
        <v>328</v>
      </c>
      <c r="D39" s="174">
        <v>424</v>
      </c>
      <c r="E39" s="166" t="s">
        <v>329</v>
      </c>
      <c r="F39" s="166" t="s">
        <v>335</v>
      </c>
      <c r="G39" s="175">
        <v>19200</v>
      </c>
      <c r="H39" s="175">
        <f t="shared" si="10"/>
        <v>35.923940972222219</v>
      </c>
      <c r="I39" s="175">
        <f>2069219/3</f>
        <v>689739.66666666663</v>
      </c>
      <c r="J39" s="175"/>
      <c r="K39" s="175"/>
      <c r="L39" s="175"/>
      <c r="M39" s="175">
        <f t="shared" si="7"/>
        <v>689739.66666666663</v>
      </c>
      <c r="N39" s="175"/>
      <c r="P39" s="179">
        <f t="shared" si="5"/>
        <v>586278.71666666667</v>
      </c>
      <c r="Q39" s="180">
        <f t="shared" si="9"/>
        <v>103460.95</v>
      </c>
      <c r="R39" s="180" t="s">
        <v>240</v>
      </c>
      <c r="S39" s="167">
        <v>45636</v>
      </c>
    </row>
    <row r="40" spans="1:21" x14ac:dyDescent="0.2">
      <c r="A40" s="172">
        <v>29</v>
      </c>
      <c r="B40" s="167">
        <v>45555</v>
      </c>
      <c r="C40" s="166" t="s">
        <v>328</v>
      </c>
      <c r="D40" s="174">
        <v>425</v>
      </c>
      <c r="E40" s="166" t="s">
        <v>329</v>
      </c>
      <c r="F40" s="166" t="s">
        <v>345</v>
      </c>
      <c r="G40" s="175">
        <v>19200</v>
      </c>
      <c r="H40" s="175">
        <f t="shared" si="10"/>
        <v>35.923940972222219</v>
      </c>
      <c r="I40" s="175">
        <f>2069219/3</f>
        <v>689739.66666666663</v>
      </c>
      <c r="J40" s="175"/>
      <c r="K40" s="175"/>
      <c r="L40" s="175"/>
      <c r="M40" s="175">
        <f t="shared" si="7"/>
        <v>689739.66666666663</v>
      </c>
      <c r="N40" s="175"/>
      <c r="P40" s="179">
        <f t="shared" si="5"/>
        <v>586278.71666666667</v>
      </c>
      <c r="Q40" s="180">
        <f t="shared" si="9"/>
        <v>103460.95</v>
      </c>
      <c r="R40" s="180" t="s">
        <v>240</v>
      </c>
      <c r="S40" s="167">
        <v>45636</v>
      </c>
    </row>
    <row r="41" spans="1:21" x14ac:dyDescent="0.2">
      <c r="A41" s="172">
        <v>30</v>
      </c>
      <c r="B41" s="167">
        <v>45555</v>
      </c>
      <c r="C41" s="166" t="s">
        <v>328</v>
      </c>
      <c r="D41" s="174">
        <v>426</v>
      </c>
      <c r="E41" s="166" t="s">
        <v>329</v>
      </c>
      <c r="F41" s="166" t="s">
        <v>345</v>
      </c>
      <c r="G41" s="175">
        <v>19200</v>
      </c>
      <c r="H41" s="175">
        <f t="shared" si="10"/>
        <v>35.923940972222219</v>
      </c>
      <c r="I41" s="175">
        <f>2069219/3</f>
        <v>689739.66666666663</v>
      </c>
      <c r="J41" s="175"/>
      <c r="K41" s="175"/>
      <c r="L41" s="175"/>
      <c r="M41" s="175">
        <f t="shared" si="7"/>
        <v>689739.66666666663</v>
      </c>
      <c r="N41" s="175"/>
      <c r="P41" s="179">
        <f t="shared" si="5"/>
        <v>586278.71666666667</v>
      </c>
      <c r="Q41" s="180">
        <f t="shared" si="9"/>
        <v>103460.95</v>
      </c>
      <c r="R41" s="180" t="s">
        <v>240</v>
      </c>
      <c r="S41" s="167">
        <v>45636</v>
      </c>
    </row>
    <row r="42" spans="1:21" x14ac:dyDescent="0.2">
      <c r="A42" s="172">
        <v>31</v>
      </c>
      <c r="B42" s="167">
        <v>45589</v>
      </c>
      <c r="C42" s="166" t="s">
        <v>328</v>
      </c>
      <c r="D42" s="174">
        <v>470</v>
      </c>
      <c r="G42" s="175">
        <v>19200</v>
      </c>
      <c r="H42" s="175">
        <f t="shared" si="10"/>
        <v>31.1677</v>
      </c>
      <c r="I42" s="175">
        <v>598419.84</v>
      </c>
      <c r="J42" s="175"/>
      <c r="K42" s="175"/>
      <c r="L42" s="175"/>
      <c r="M42" s="175">
        <f t="shared" si="7"/>
        <v>598419.84</v>
      </c>
      <c r="N42" s="175"/>
      <c r="P42" s="179">
        <f t="shared" si="5"/>
        <v>508656.86399999994</v>
      </c>
      <c r="Q42" s="180">
        <f t="shared" si="9"/>
        <v>89762.975999999995</v>
      </c>
      <c r="R42" s="180"/>
    </row>
    <row r="43" spans="1:21" x14ac:dyDescent="0.2">
      <c r="A43" s="172">
        <v>32</v>
      </c>
      <c r="B43" s="167">
        <v>45610</v>
      </c>
      <c r="C43" s="166" t="s">
        <v>328</v>
      </c>
      <c r="D43" s="174">
        <v>504</v>
      </c>
      <c r="G43" s="175">
        <v>19200</v>
      </c>
      <c r="H43" s="175">
        <f t="shared" si="10"/>
        <v>23.221690104166669</v>
      </c>
      <c r="I43" s="175">
        <v>445856.45</v>
      </c>
      <c r="J43" s="175"/>
      <c r="K43" s="175"/>
      <c r="L43" s="175"/>
      <c r="M43" s="175">
        <f t="shared" si="7"/>
        <v>445856.45</v>
      </c>
      <c r="N43" s="175"/>
      <c r="P43" s="179">
        <f t="shared" si="5"/>
        <v>378977.98249999998</v>
      </c>
      <c r="Q43" s="180">
        <f t="shared" si="9"/>
        <v>66878.467499999999</v>
      </c>
      <c r="R43" s="180"/>
    </row>
    <row r="44" spans="1:21" x14ac:dyDescent="0.2">
      <c r="A44" s="172">
        <v>33</v>
      </c>
      <c r="B44" s="167">
        <v>45610</v>
      </c>
      <c r="C44" s="166" t="s">
        <v>328</v>
      </c>
      <c r="D44" s="174">
        <v>506</v>
      </c>
      <c r="G44" s="175">
        <v>19200</v>
      </c>
      <c r="H44" s="175">
        <f t="shared" si="10"/>
        <v>23.221690104166669</v>
      </c>
      <c r="I44" s="175">
        <v>445856.45</v>
      </c>
      <c r="J44" s="175"/>
      <c r="K44" s="175"/>
      <c r="L44" s="175"/>
      <c r="M44" s="175">
        <f t="shared" si="7"/>
        <v>445856.45</v>
      </c>
      <c r="N44" s="175"/>
      <c r="P44" s="179">
        <f t="shared" si="5"/>
        <v>378977.98249999998</v>
      </c>
      <c r="Q44" s="180">
        <f t="shared" si="9"/>
        <v>66878.467499999999</v>
      </c>
      <c r="R44" s="180"/>
    </row>
    <row r="45" spans="1:21" x14ac:dyDescent="0.2">
      <c r="A45" s="172">
        <v>34</v>
      </c>
      <c r="B45" s="167">
        <v>45610</v>
      </c>
      <c r="C45" s="166" t="s">
        <v>328</v>
      </c>
      <c r="D45" s="174">
        <v>507</v>
      </c>
      <c r="G45" s="175">
        <v>19200</v>
      </c>
      <c r="H45" s="175">
        <f t="shared" si="10"/>
        <v>23.221690104166669</v>
      </c>
      <c r="I45" s="175">
        <v>445856.45</v>
      </c>
      <c r="J45" s="175"/>
      <c r="K45" s="175"/>
      <c r="L45" s="175"/>
      <c r="M45" s="175">
        <f t="shared" si="7"/>
        <v>445856.45</v>
      </c>
      <c r="N45" s="175"/>
      <c r="P45" s="179">
        <f t="shared" si="5"/>
        <v>378977.98249999998</v>
      </c>
      <c r="Q45" s="180">
        <f t="shared" si="9"/>
        <v>66878.467499999999</v>
      </c>
      <c r="R45" s="180"/>
    </row>
    <row r="46" spans="1:21" x14ac:dyDescent="0.2">
      <c r="A46" s="172">
        <v>35</v>
      </c>
      <c r="B46" s="167">
        <v>45625</v>
      </c>
      <c r="C46" s="166" t="s">
        <v>346</v>
      </c>
      <c r="D46" s="174">
        <v>517</v>
      </c>
      <c r="G46" s="175">
        <v>19200</v>
      </c>
      <c r="H46" s="175">
        <f t="shared" si="10"/>
        <v>19.456130208333335</v>
      </c>
      <c r="I46" s="175">
        <v>373557.7</v>
      </c>
      <c r="J46" s="175"/>
      <c r="K46" s="175"/>
      <c r="L46" s="175"/>
      <c r="M46" s="175">
        <f t="shared" si="7"/>
        <v>373557.7</v>
      </c>
      <c r="N46" s="175"/>
      <c r="P46" s="179">
        <f t="shared" si="5"/>
        <v>317524.04499999998</v>
      </c>
      <c r="Q46" s="180">
        <f t="shared" si="9"/>
        <v>56033.654999999999</v>
      </c>
      <c r="R46" s="180"/>
    </row>
    <row r="47" spans="1:21" x14ac:dyDescent="0.2">
      <c r="A47" s="172">
        <v>36</v>
      </c>
      <c r="B47" s="167">
        <v>45629</v>
      </c>
      <c r="C47" s="166" t="s">
        <v>347</v>
      </c>
      <c r="D47" s="174">
        <v>523</v>
      </c>
      <c r="G47" s="175">
        <v>600</v>
      </c>
      <c r="H47" s="175">
        <f t="shared" si="10"/>
        <v>36.666666666666664</v>
      </c>
      <c r="I47" s="175">
        <v>22000</v>
      </c>
      <c r="J47" s="175"/>
      <c r="K47" s="175"/>
      <c r="L47" s="175"/>
      <c r="M47" s="175">
        <f t="shared" si="7"/>
        <v>22000</v>
      </c>
      <c r="N47" s="175"/>
      <c r="P47" s="179">
        <f t="shared" si="5"/>
        <v>18700</v>
      </c>
      <c r="Q47" s="180">
        <f t="shared" si="9"/>
        <v>3300</v>
      </c>
      <c r="R47" s="180" t="s">
        <v>240</v>
      </c>
      <c r="S47" s="167">
        <v>45632</v>
      </c>
    </row>
    <row r="48" spans="1:21" x14ac:dyDescent="0.2">
      <c r="A48" s="172"/>
      <c r="B48" s="167">
        <v>45629</v>
      </c>
      <c r="C48" s="166" t="s">
        <v>347</v>
      </c>
      <c r="D48" s="174">
        <v>523</v>
      </c>
      <c r="G48" s="175">
        <v>600</v>
      </c>
      <c r="H48" s="175">
        <f t="shared" si="10"/>
        <v>36.666666666666664</v>
      </c>
      <c r="I48" s="175">
        <v>22000</v>
      </c>
      <c r="J48" s="175"/>
      <c r="K48" s="175"/>
      <c r="L48" s="175"/>
      <c r="M48" s="175">
        <f t="shared" si="7"/>
        <v>22000</v>
      </c>
      <c r="N48" s="175"/>
      <c r="P48" s="179">
        <f t="shared" si="5"/>
        <v>18700</v>
      </c>
      <c r="Q48" s="180">
        <f t="shared" si="9"/>
        <v>3300</v>
      </c>
      <c r="R48" s="180"/>
    </row>
    <row r="49" spans="1:22" x14ac:dyDescent="0.2">
      <c r="A49" s="172">
        <v>37</v>
      </c>
      <c r="B49" s="167">
        <v>45631</v>
      </c>
      <c r="C49" s="166" t="s">
        <v>304</v>
      </c>
      <c r="D49" s="174">
        <v>524</v>
      </c>
      <c r="G49" s="175">
        <v>30000</v>
      </c>
      <c r="H49" s="175">
        <f t="shared" si="10"/>
        <v>35.083333333333336</v>
      </c>
      <c r="I49" s="175">
        <v>1052500</v>
      </c>
      <c r="J49" s="175">
        <f>+I49*0.015</f>
        <v>15787.5</v>
      </c>
      <c r="K49" s="175"/>
      <c r="L49" s="175"/>
      <c r="M49" s="175">
        <f t="shared" si="7"/>
        <v>1036712.5</v>
      </c>
      <c r="N49" s="175"/>
      <c r="P49" s="179">
        <f t="shared" si="5"/>
        <v>881205.625</v>
      </c>
      <c r="Q49" s="180">
        <f t="shared" si="9"/>
        <v>155506.875</v>
      </c>
      <c r="R49" s="180" t="s">
        <v>240</v>
      </c>
      <c r="S49" s="167" t="s">
        <v>348</v>
      </c>
    </row>
    <row r="50" spans="1:22" x14ac:dyDescent="0.2">
      <c r="A50" s="172">
        <v>38</v>
      </c>
      <c r="B50" s="167">
        <v>45635</v>
      </c>
      <c r="C50" s="166" t="s">
        <v>349</v>
      </c>
      <c r="D50" s="174">
        <v>528</v>
      </c>
      <c r="G50" s="175">
        <v>30000</v>
      </c>
      <c r="H50" s="175">
        <f t="shared" si="10"/>
        <v>37.878700000000002</v>
      </c>
      <c r="I50" s="175">
        <v>1136361</v>
      </c>
      <c r="J50" s="175"/>
      <c r="K50" s="175"/>
      <c r="L50" s="175"/>
      <c r="M50" s="175">
        <f t="shared" si="7"/>
        <v>1136361</v>
      </c>
      <c r="N50" s="175"/>
      <c r="P50" s="179">
        <f t="shared" si="5"/>
        <v>965906.85</v>
      </c>
      <c r="Q50" s="180">
        <f t="shared" si="9"/>
        <v>170454.15</v>
      </c>
      <c r="R50" s="180"/>
    </row>
    <row r="51" spans="1:22" x14ac:dyDescent="0.2">
      <c r="A51" s="172"/>
      <c r="B51" s="167"/>
      <c r="D51" s="174"/>
      <c r="G51" s="175"/>
      <c r="H51" s="175"/>
      <c r="I51" s="175"/>
      <c r="J51" s="175"/>
      <c r="K51" s="175"/>
      <c r="L51" s="175"/>
      <c r="M51" s="175"/>
      <c r="N51" s="175"/>
      <c r="P51" s="179"/>
      <c r="Q51" s="180"/>
      <c r="R51" s="180"/>
      <c r="T51" s="166">
        <f>G31/60</f>
        <v>280</v>
      </c>
      <c r="U51" s="191">
        <f>(M31+M32)</f>
        <v>479205.44</v>
      </c>
      <c r="V51" s="166">
        <f>U51/T51</f>
        <v>1711.4480000000001</v>
      </c>
    </row>
    <row r="52" spans="1:22" x14ac:dyDescent="0.2">
      <c r="A52" s="172"/>
      <c r="B52" s="167"/>
      <c r="D52" s="174"/>
      <c r="G52" s="175"/>
      <c r="H52" s="175"/>
      <c r="I52" s="175"/>
      <c r="J52" s="175"/>
      <c r="K52" s="175"/>
      <c r="L52" s="175"/>
      <c r="M52" s="175"/>
      <c r="N52" s="175"/>
      <c r="P52" s="179"/>
      <c r="Q52" s="180"/>
      <c r="R52" s="180"/>
      <c r="T52" s="166">
        <f>G34/60</f>
        <v>320</v>
      </c>
    </row>
    <row r="53" spans="1:22" x14ac:dyDescent="0.2">
      <c r="A53" s="172"/>
      <c r="B53" s="167"/>
      <c r="D53" s="174"/>
      <c r="G53" s="175"/>
      <c r="H53" s="175"/>
      <c r="I53" s="175"/>
      <c r="J53" s="175"/>
      <c r="K53" s="175"/>
      <c r="L53" s="175"/>
      <c r="M53" s="175"/>
      <c r="N53" s="175"/>
      <c r="P53" s="179"/>
      <c r="Q53" s="180"/>
      <c r="R53" s="180"/>
    </row>
    <row r="54" spans="1:22" ht="16" thickBot="1" x14ac:dyDescent="0.25">
      <c r="A54" s="192"/>
      <c r="B54" s="193"/>
      <c r="C54" s="193"/>
      <c r="D54" s="193"/>
      <c r="E54" s="193"/>
      <c r="F54" s="193"/>
      <c r="G54" s="194">
        <f>SUM(G10:G53)</f>
        <v>610148</v>
      </c>
      <c r="H54" s="194">
        <f>+I54/G54</f>
        <v>24.348748016061673</v>
      </c>
      <c r="I54" s="194">
        <f t="shared" ref="I54:P54" si="11">SUM(I10:I53)</f>
        <v>14856339.904503997</v>
      </c>
      <c r="J54" s="194">
        <f t="shared" si="11"/>
        <v>57237.384804171568</v>
      </c>
      <c r="K54" s="194">
        <f t="shared" si="11"/>
        <v>0</v>
      </c>
      <c r="L54" s="194">
        <f t="shared" si="11"/>
        <v>4904.5200000000004</v>
      </c>
      <c r="M54" s="194">
        <f t="shared" si="11"/>
        <v>14804007.039699826</v>
      </c>
      <c r="N54" s="194">
        <f t="shared" si="11"/>
        <v>0</v>
      </c>
      <c r="O54" s="193">
        <f t="shared" si="11"/>
        <v>0</v>
      </c>
      <c r="P54" s="195">
        <f t="shared" si="11"/>
        <v>12583405.983744852</v>
      </c>
      <c r="Q54" s="196">
        <f>SUM(Q10:Q53)</f>
        <v>2220601.0559549746</v>
      </c>
      <c r="R54" s="196"/>
    </row>
    <row r="55" spans="1:22" x14ac:dyDescent="0.2">
      <c r="G55" s="175"/>
      <c r="H55" s="175"/>
      <c r="I55" s="175"/>
    </row>
    <row r="56" spans="1:22" x14ac:dyDescent="0.2">
      <c r="G56" s="175">
        <f>+G54/60</f>
        <v>10169.133333333333</v>
      </c>
      <c r="H56" s="175"/>
      <c r="I56" s="175"/>
    </row>
    <row r="57" spans="1:22" x14ac:dyDescent="0.2">
      <c r="A57" s="165" t="s">
        <v>350</v>
      </c>
    </row>
    <row r="58" spans="1:22" ht="16" thickBot="1" x14ac:dyDescent="0.25"/>
    <row r="59" spans="1:22" x14ac:dyDescent="0.2">
      <c r="A59" s="168" t="s">
        <v>268</v>
      </c>
      <c r="B59" s="169" t="s">
        <v>269</v>
      </c>
      <c r="C59" s="169" t="s">
        <v>270</v>
      </c>
      <c r="D59" s="169" t="s">
        <v>243</v>
      </c>
      <c r="E59" s="169" t="s">
        <v>271</v>
      </c>
      <c r="F59" s="169" t="s">
        <v>272</v>
      </c>
      <c r="G59" s="171" t="s">
        <v>273</v>
      </c>
      <c r="H59" s="197"/>
      <c r="I59" s="197"/>
      <c r="J59" s="197"/>
      <c r="K59" s="197"/>
      <c r="L59" s="197"/>
      <c r="M59" s="197"/>
      <c r="N59" s="243"/>
      <c r="O59" s="243"/>
      <c r="P59" s="197"/>
      <c r="Q59" s="197"/>
      <c r="R59" s="197"/>
    </row>
    <row r="60" spans="1:22" x14ac:dyDescent="0.2">
      <c r="A60" s="172">
        <v>1</v>
      </c>
      <c r="B60" s="167">
        <v>45071</v>
      </c>
      <c r="C60" s="166" t="s">
        <v>351</v>
      </c>
      <c r="D60" s="174"/>
      <c r="G60" s="180">
        <v>130</v>
      </c>
      <c r="H60" s="198"/>
      <c r="I60" s="198"/>
      <c r="J60" s="198"/>
      <c r="K60" s="198"/>
      <c r="L60" s="198"/>
      <c r="M60" s="198"/>
      <c r="N60" s="198"/>
      <c r="O60" s="199"/>
      <c r="P60" s="198"/>
      <c r="Q60" s="198"/>
      <c r="R60" s="198"/>
    </row>
    <row r="61" spans="1:22" x14ac:dyDescent="0.2">
      <c r="A61" s="172">
        <v>2</v>
      </c>
      <c r="B61" s="167">
        <v>45260</v>
      </c>
      <c r="C61" s="166" t="s">
        <v>352</v>
      </c>
      <c r="D61" s="174"/>
      <c r="G61" s="180">
        <v>13870</v>
      </c>
      <c r="H61" s="198"/>
      <c r="I61" s="198"/>
      <c r="J61" s="198"/>
      <c r="K61" s="198"/>
      <c r="L61" s="198"/>
      <c r="M61" s="198"/>
      <c r="N61" s="198"/>
      <c r="O61" s="199"/>
      <c r="P61" s="198"/>
      <c r="Q61" s="198"/>
      <c r="R61" s="198"/>
    </row>
    <row r="62" spans="1:22" x14ac:dyDescent="0.2">
      <c r="A62" s="172">
        <v>3</v>
      </c>
      <c r="B62" s="167">
        <v>45260</v>
      </c>
      <c r="C62" s="166" t="s">
        <v>352</v>
      </c>
      <c r="D62" s="174"/>
      <c r="G62" s="180">
        <v>4130</v>
      </c>
      <c r="H62" s="198"/>
      <c r="I62" s="198"/>
      <c r="J62" s="198"/>
      <c r="K62" s="198"/>
      <c r="L62" s="198"/>
      <c r="M62" s="198"/>
      <c r="N62" s="198"/>
      <c r="O62" s="197"/>
      <c r="P62" s="198"/>
      <c r="Q62" s="198"/>
      <c r="R62" s="198"/>
    </row>
    <row r="63" spans="1:22" x14ac:dyDescent="0.2">
      <c r="A63" s="172"/>
      <c r="B63" s="167"/>
      <c r="D63" s="174"/>
      <c r="G63" s="180"/>
      <c r="H63" s="198"/>
      <c r="I63" s="198"/>
      <c r="J63" s="198"/>
      <c r="K63" s="198"/>
      <c r="L63" s="198"/>
      <c r="M63" s="198"/>
      <c r="N63" s="198"/>
      <c r="O63" s="197"/>
      <c r="P63" s="198"/>
      <c r="Q63" s="198"/>
      <c r="R63" s="198"/>
    </row>
    <row r="64" spans="1:22" x14ac:dyDescent="0.2">
      <c r="A64" s="172"/>
      <c r="B64" s="167"/>
      <c r="D64" s="174"/>
      <c r="G64" s="180"/>
      <c r="H64" s="198"/>
      <c r="I64" s="198"/>
      <c r="J64" s="198"/>
      <c r="K64" s="198"/>
      <c r="L64" s="198"/>
      <c r="M64" s="198"/>
      <c r="N64" s="198"/>
      <c r="O64" s="197"/>
      <c r="P64" s="198"/>
      <c r="Q64" s="198"/>
      <c r="R64" s="198"/>
    </row>
    <row r="65" spans="1:18" x14ac:dyDescent="0.2">
      <c r="A65" s="172"/>
      <c r="B65" s="167"/>
      <c r="D65" s="174"/>
      <c r="G65" s="180"/>
      <c r="H65" s="198"/>
      <c r="I65" s="198"/>
      <c r="J65" s="198"/>
      <c r="K65" s="198"/>
      <c r="L65" s="198"/>
      <c r="M65" s="198"/>
      <c r="N65" s="198"/>
      <c r="O65" s="197"/>
      <c r="P65" s="198"/>
      <c r="Q65" s="198"/>
      <c r="R65" s="198"/>
    </row>
    <row r="66" spans="1:18" ht="16" thickBot="1" x14ac:dyDescent="0.25">
      <c r="A66" s="192"/>
      <c r="B66" s="193"/>
      <c r="C66" s="193"/>
      <c r="D66" s="193"/>
      <c r="E66" s="193"/>
      <c r="F66" s="193"/>
      <c r="G66" s="196">
        <f>SUM(G60:G65)</f>
        <v>18130</v>
      </c>
      <c r="H66" s="198"/>
      <c r="I66" s="198"/>
      <c r="J66" s="198"/>
      <c r="K66" s="198"/>
      <c r="L66" s="198"/>
      <c r="M66" s="198"/>
      <c r="N66" s="198"/>
      <c r="O66" s="197"/>
      <c r="P66" s="198"/>
      <c r="Q66" s="198"/>
      <c r="R66" s="198"/>
    </row>
    <row r="67" spans="1:18" x14ac:dyDescent="0.2">
      <c r="G67" s="175"/>
      <c r="H67" s="198"/>
      <c r="I67" s="198"/>
      <c r="J67" s="197"/>
      <c r="K67" s="197"/>
      <c r="L67" s="197"/>
      <c r="M67" s="197"/>
      <c r="N67" s="197"/>
      <c r="O67" s="197"/>
      <c r="P67" s="197"/>
      <c r="Q67" s="197"/>
      <c r="R67" s="197"/>
    </row>
    <row r="68" spans="1:18" x14ac:dyDescent="0.2">
      <c r="G68" s="175">
        <f>+G54+G66</f>
        <v>628278</v>
      </c>
      <c r="H68" s="175"/>
      <c r="I68" s="175"/>
    </row>
    <row r="69" spans="1:18" x14ac:dyDescent="0.2">
      <c r="G69" s="175"/>
      <c r="H69" s="175"/>
      <c r="I69" s="175"/>
    </row>
    <row r="70" spans="1:18" x14ac:dyDescent="0.2">
      <c r="G70" s="175"/>
      <c r="H70" s="175"/>
      <c r="I70" s="175"/>
    </row>
    <row r="71" spans="1:18" x14ac:dyDescent="0.2">
      <c r="G71" s="175"/>
      <c r="H71" s="175"/>
      <c r="I71" s="175"/>
    </row>
    <row r="72" spans="1:18" x14ac:dyDescent="0.2">
      <c r="G72" s="175"/>
      <c r="H72" s="175"/>
      <c r="I72" s="175"/>
    </row>
  </sheetData>
  <autoFilter ref="A3:Z52" xr:uid="{00000000-0009-0000-0000-000001000000}">
    <filterColumn colId="13" showButton="0"/>
  </autoFilter>
  <mergeCells count="2">
    <mergeCell ref="N3:O3"/>
    <mergeCell ref="N59:O59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101" t="s">
        <v>138</v>
      </c>
    </row>
    <row r="4" spans="2:13" x14ac:dyDescent="0.2">
      <c r="B4" s="100">
        <v>45635</v>
      </c>
    </row>
    <row r="8" spans="2:13" ht="17" thickBot="1" x14ac:dyDescent="0.25"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</row>
    <row r="9" spans="2:13" x14ac:dyDescent="0.2">
      <c r="B9" s="244"/>
      <c r="C9" s="245"/>
      <c r="D9" s="57"/>
      <c r="E9" s="57" t="s">
        <v>103</v>
      </c>
      <c r="F9" s="57" t="s">
        <v>104</v>
      </c>
      <c r="G9" s="57" t="s">
        <v>105</v>
      </c>
      <c r="H9" s="57" t="s">
        <v>106</v>
      </c>
      <c r="I9" s="57" t="s">
        <v>107</v>
      </c>
      <c r="J9" s="57" t="s">
        <v>108</v>
      </c>
      <c r="K9" s="57" t="s">
        <v>109</v>
      </c>
      <c r="L9" s="57" t="s">
        <v>110</v>
      </c>
      <c r="M9" s="58" t="s">
        <v>111</v>
      </c>
    </row>
    <row r="10" spans="2:13" x14ac:dyDescent="0.2"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</row>
    <row r="11" spans="2:13" x14ac:dyDescent="0.2">
      <c r="B11" s="59"/>
      <c r="C11" s="60" t="s">
        <v>112</v>
      </c>
      <c r="D11" s="60"/>
      <c r="E11" s="62" t="s">
        <v>113</v>
      </c>
      <c r="F11" s="60"/>
      <c r="G11" s="63" t="s">
        <v>114</v>
      </c>
      <c r="H11" s="60"/>
      <c r="I11" s="64" t="s">
        <v>115</v>
      </c>
      <c r="J11" s="65" t="s">
        <v>116</v>
      </c>
      <c r="K11" s="66" t="s">
        <v>117</v>
      </c>
      <c r="L11" s="60"/>
      <c r="M11" s="61"/>
    </row>
    <row r="12" spans="2:13" x14ac:dyDescent="0.2">
      <c r="B12" s="59"/>
      <c r="C12" s="60"/>
      <c r="D12" s="60"/>
      <c r="E12" s="60"/>
      <c r="F12" s="60"/>
      <c r="G12" s="63" t="s">
        <v>118</v>
      </c>
      <c r="H12" s="60"/>
      <c r="I12" s="67" t="s">
        <v>114</v>
      </c>
      <c r="J12" s="60"/>
      <c r="K12" s="60"/>
      <c r="L12" s="60"/>
      <c r="M12" s="61"/>
    </row>
    <row r="13" spans="2:13" x14ac:dyDescent="0.2">
      <c r="B13" s="59" t="s">
        <v>119</v>
      </c>
      <c r="C13" s="60"/>
      <c r="D13" s="60"/>
      <c r="E13" s="60"/>
      <c r="F13" s="60"/>
      <c r="G13" s="60"/>
      <c r="H13" s="68" t="s">
        <v>117</v>
      </c>
      <c r="I13" s="67" t="s">
        <v>118</v>
      </c>
      <c r="J13" s="60"/>
      <c r="K13" s="60"/>
      <c r="L13" s="60"/>
      <c r="M13" s="61"/>
    </row>
    <row r="14" spans="2:13" x14ac:dyDescent="0.2">
      <c r="B14" s="59"/>
      <c r="C14" s="60"/>
      <c r="D14" s="60"/>
      <c r="E14" s="60"/>
      <c r="F14" s="60"/>
      <c r="G14" s="60"/>
      <c r="H14" s="68" t="s">
        <v>120</v>
      </c>
      <c r="I14" s="60"/>
      <c r="J14" s="60"/>
      <c r="K14" s="60"/>
      <c r="L14" s="60"/>
      <c r="M14" s="61"/>
    </row>
    <row r="15" spans="2:13" x14ac:dyDescent="0.2">
      <c r="B15" s="59"/>
      <c r="C15" s="60"/>
      <c r="D15" s="60"/>
      <c r="E15" s="60"/>
      <c r="F15" s="60"/>
      <c r="G15" s="60"/>
      <c r="H15" s="68" t="s">
        <v>121</v>
      </c>
      <c r="I15" s="60"/>
      <c r="J15" s="60"/>
      <c r="K15" s="60"/>
      <c r="L15" s="60"/>
      <c r="M15" s="61"/>
    </row>
    <row r="16" spans="2:13" x14ac:dyDescent="0.2"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1"/>
    </row>
    <row r="17" spans="2:15" x14ac:dyDescent="0.2">
      <c r="B17" s="59"/>
      <c r="C17" s="60" t="s">
        <v>122</v>
      </c>
      <c r="D17" s="60"/>
      <c r="E17" s="60"/>
      <c r="F17" s="60"/>
      <c r="G17" s="69">
        <v>331504.26</v>
      </c>
      <c r="H17" s="60"/>
      <c r="I17" s="70">
        <v>49771.14</v>
      </c>
      <c r="J17" s="70">
        <v>56755.53</v>
      </c>
      <c r="K17" s="71">
        <v>212418.4</v>
      </c>
      <c r="L17" s="72">
        <v>88964.12</v>
      </c>
      <c r="M17" s="73">
        <v>105049.37</v>
      </c>
      <c r="O17" s="74"/>
    </row>
    <row r="18" spans="2:15" x14ac:dyDescent="0.2">
      <c r="B18" s="59"/>
      <c r="C18" s="60"/>
      <c r="D18" s="60"/>
      <c r="E18" s="60"/>
      <c r="F18" s="60"/>
      <c r="G18" s="74"/>
      <c r="H18" s="60"/>
      <c r="I18" s="75"/>
      <c r="J18" s="76">
        <v>106209.2</v>
      </c>
      <c r="K18" s="77">
        <v>58478.34</v>
      </c>
      <c r="L18" s="77">
        <v>65462.73</v>
      </c>
      <c r="M18" s="61"/>
    </row>
    <row r="19" spans="2:15" x14ac:dyDescent="0.2">
      <c r="B19" s="59"/>
      <c r="C19" s="60"/>
      <c r="D19" s="60"/>
      <c r="E19" s="60"/>
      <c r="F19" s="60"/>
      <c r="G19" s="74"/>
      <c r="H19" s="60"/>
      <c r="I19" s="75"/>
      <c r="J19" s="75"/>
      <c r="K19" s="76">
        <v>123141.04</v>
      </c>
      <c r="L19" s="75"/>
      <c r="M19" s="61"/>
    </row>
    <row r="20" spans="2:15" ht="17" thickBot="1" x14ac:dyDescent="0.25">
      <c r="B20" s="78"/>
      <c r="C20" s="79"/>
      <c r="D20" s="79"/>
      <c r="E20" s="79"/>
      <c r="F20" s="79"/>
      <c r="G20" s="79"/>
      <c r="H20" s="79"/>
      <c r="I20" s="79"/>
      <c r="J20" s="80"/>
      <c r="K20" s="81">
        <v>98589.87</v>
      </c>
      <c r="L20" s="79"/>
      <c r="M20" s="82"/>
    </row>
    <row r="21" spans="2:15" x14ac:dyDescent="0.2"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1"/>
    </row>
    <row r="22" spans="2:15" x14ac:dyDescent="0.2">
      <c r="B22" s="59"/>
      <c r="C22" s="60" t="s">
        <v>112</v>
      </c>
      <c r="D22" s="60"/>
      <c r="E22" s="60"/>
      <c r="F22" s="60"/>
      <c r="G22" s="60"/>
      <c r="H22" s="83" t="s">
        <v>123</v>
      </c>
      <c r="I22" s="60"/>
      <c r="J22" s="60"/>
      <c r="K22" s="60"/>
      <c r="L22" s="60"/>
      <c r="M22" s="61"/>
    </row>
    <row r="23" spans="2:15" x14ac:dyDescent="0.2">
      <c r="B23" s="59" t="s">
        <v>124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1"/>
    </row>
    <row r="24" spans="2:15" x14ac:dyDescent="0.2">
      <c r="B24" s="59"/>
      <c r="C24" s="60" t="s">
        <v>122</v>
      </c>
      <c r="D24" s="60"/>
      <c r="E24" s="60"/>
      <c r="F24" s="60"/>
      <c r="G24" s="75"/>
      <c r="H24" s="84">
        <v>113511.06</v>
      </c>
      <c r="I24" s="60"/>
      <c r="J24" s="60"/>
      <c r="K24" s="60"/>
      <c r="L24" s="60"/>
      <c r="M24" s="61"/>
    </row>
    <row r="25" spans="2:15" ht="17" thickBot="1" x14ac:dyDescent="0.25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82"/>
    </row>
    <row r="26" spans="2:15" x14ac:dyDescent="0.2">
      <c r="B26" s="56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8"/>
    </row>
    <row r="27" spans="2:15" x14ac:dyDescent="0.2">
      <c r="B27" s="59"/>
      <c r="C27" s="60" t="s">
        <v>112</v>
      </c>
      <c r="D27" s="60"/>
      <c r="E27" s="60"/>
      <c r="F27" s="60"/>
      <c r="G27" s="60" t="s">
        <v>125</v>
      </c>
      <c r="H27" s="60"/>
      <c r="I27" s="60" t="s">
        <v>125</v>
      </c>
      <c r="J27" s="60"/>
      <c r="K27" s="60"/>
      <c r="L27" s="60"/>
      <c r="M27" s="61"/>
    </row>
    <row r="28" spans="2:15" x14ac:dyDescent="0.2">
      <c r="B28" s="59" t="s">
        <v>126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1"/>
    </row>
    <row r="29" spans="2:15" x14ac:dyDescent="0.2">
      <c r="B29" s="59"/>
      <c r="C29" s="60" t="s">
        <v>122</v>
      </c>
      <c r="D29" s="60"/>
      <c r="E29" s="60"/>
      <c r="F29" s="60"/>
      <c r="G29" s="60"/>
      <c r="H29" s="85">
        <v>26000</v>
      </c>
      <c r="I29" s="85">
        <v>26000</v>
      </c>
      <c r="J29" s="85">
        <v>26000</v>
      </c>
      <c r="K29" s="85">
        <v>26000</v>
      </c>
      <c r="L29" s="60"/>
      <c r="M29" s="61"/>
    </row>
    <row r="30" spans="2:15" ht="17" thickBot="1" x14ac:dyDescent="0.25">
      <c r="B30" s="78"/>
      <c r="C30" s="79"/>
      <c r="D30" s="79"/>
      <c r="E30" s="79"/>
      <c r="F30" s="79"/>
      <c r="G30" s="79"/>
      <c r="H30" s="79"/>
      <c r="I30" s="79"/>
      <c r="J30" s="86">
        <v>26000</v>
      </c>
      <c r="K30" s="86">
        <v>26000</v>
      </c>
      <c r="L30" s="86">
        <v>26000</v>
      </c>
      <c r="M30" s="87">
        <v>26000</v>
      </c>
    </row>
    <row r="31" spans="2:15" x14ac:dyDescent="0.2">
      <c r="B31" s="59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1"/>
    </row>
    <row r="32" spans="2:15" x14ac:dyDescent="0.2">
      <c r="B32" s="59"/>
      <c r="C32" s="60" t="s">
        <v>112</v>
      </c>
      <c r="D32" s="60"/>
      <c r="E32" s="60"/>
      <c r="F32" s="60"/>
      <c r="G32" s="60"/>
      <c r="H32" s="60"/>
      <c r="I32" s="60"/>
      <c r="J32" s="60"/>
      <c r="K32" s="60"/>
      <c r="L32" s="60"/>
      <c r="M32" s="61"/>
    </row>
    <row r="33" spans="2:15" x14ac:dyDescent="0.2">
      <c r="B33" s="59" t="s">
        <v>127</v>
      </c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</row>
    <row r="34" spans="2:15" x14ac:dyDescent="0.2">
      <c r="B34" s="59"/>
      <c r="C34" s="60" t="s">
        <v>122</v>
      </c>
      <c r="D34" s="60"/>
      <c r="E34" s="60"/>
      <c r="F34" s="60"/>
      <c r="G34" s="60"/>
      <c r="H34" s="60"/>
      <c r="I34" s="60"/>
      <c r="J34" s="75"/>
      <c r="K34" s="60"/>
      <c r="L34" s="60"/>
      <c r="M34" s="61"/>
      <c r="O34" s="74"/>
    </row>
    <row r="35" spans="2:15" ht="17" thickBot="1" x14ac:dyDescent="0.25">
      <c r="B35" s="78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82"/>
    </row>
    <row r="36" spans="2:15" x14ac:dyDescent="0.2">
      <c r="B36" s="56"/>
      <c r="C36" s="60"/>
      <c r="D36" s="57"/>
      <c r="E36" s="57"/>
      <c r="F36" s="57"/>
      <c r="G36" s="57"/>
      <c r="H36" s="57"/>
      <c r="I36" s="57"/>
      <c r="J36" s="57"/>
      <c r="K36" s="57"/>
      <c r="L36" s="57"/>
      <c r="M36" s="58"/>
    </row>
    <row r="37" spans="2:15" x14ac:dyDescent="0.2">
      <c r="B37" s="59"/>
      <c r="C37" s="60" t="s">
        <v>112</v>
      </c>
      <c r="D37" s="60"/>
      <c r="E37" s="60"/>
      <c r="F37" s="60"/>
      <c r="G37" s="60"/>
      <c r="H37" s="60"/>
      <c r="I37" s="60"/>
      <c r="J37" s="60"/>
      <c r="K37" s="60"/>
      <c r="L37" s="60"/>
      <c r="M37" s="61"/>
    </row>
    <row r="38" spans="2:15" x14ac:dyDescent="0.2">
      <c r="B38" s="59" t="s">
        <v>128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1"/>
    </row>
    <row r="39" spans="2:15" x14ac:dyDescent="0.2">
      <c r="B39" s="59"/>
      <c r="C39" s="60" t="s">
        <v>122</v>
      </c>
      <c r="D39" s="60"/>
      <c r="E39" s="60"/>
      <c r="F39" s="60"/>
      <c r="G39" s="60"/>
      <c r="H39" s="75"/>
      <c r="I39" s="60"/>
      <c r="J39" s="60"/>
      <c r="K39" s="60"/>
      <c r="L39" s="60"/>
      <c r="M39" s="61"/>
    </row>
    <row r="40" spans="2:15" ht="17" thickBot="1" x14ac:dyDescent="0.25">
      <c r="B40" s="78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82"/>
    </row>
    <row r="41" spans="2:15" x14ac:dyDescent="0.2">
      <c r="N41" s="88"/>
      <c r="O41" s="88"/>
    </row>
    <row r="42" spans="2:15" x14ac:dyDescent="0.2">
      <c r="G42" s="89">
        <f>SUM(G17)</f>
        <v>331504.26</v>
      </c>
      <c r="H42" s="89">
        <f>SUM(H24+H29+H39)</f>
        <v>139511.06</v>
      </c>
      <c r="I42" s="89">
        <f>SUM(I17+I18+I29)</f>
        <v>75771.14</v>
      </c>
      <c r="J42" s="89">
        <f>SUM(J17+J18+J20+J29+J30+J34)</f>
        <v>214964.72999999998</v>
      </c>
      <c r="K42" s="89">
        <f>SUM(K17+K18+K29+K30)</f>
        <v>322896.74</v>
      </c>
      <c r="L42" s="89">
        <f>SUM(L17+L18+L30)</f>
        <v>180426.85</v>
      </c>
      <c r="M42" s="89">
        <f>SUM(M17+M30)</f>
        <v>131049.37</v>
      </c>
      <c r="N42" s="90"/>
      <c r="O42" s="91"/>
    </row>
    <row r="43" spans="2:15" x14ac:dyDescent="0.2">
      <c r="B43" s="92"/>
      <c r="C43" s="246" t="s">
        <v>129</v>
      </c>
      <c r="D43" s="246"/>
    </row>
    <row r="44" spans="2:15" x14ac:dyDescent="0.2">
      <c r="B44" s="93"/>
      <c r="C44" t="s">
        <v>130</v>
      </c>
    </row>
    <row r="45" spans="2:15" x14ac:dyDescent="0.2">
      <c r="B45" s="94"/>
      <c r="C45" s="246" t="s">
        <v>131</v>
      </c>
      <c r="D45" s="246"/>
    </row>
    <row r="46" spans="2:15" x14ac:dyDescent="0.2">
      <c r="B46" s="95"/>
      <c r="C46" t="s">
        <v>132</v>
      </c>
      <c r="I46" s="88" t="s">
        <v>133</v>
      </c>
      <c r="J46" s="88" t="s">
        <v>134</v>
      </c>
    </row>
    <row r="47" spans="2:15" x14ac:dyDescent="0.2">
      <c r="B47" s="96"/>
      <c r="C47" t="s">
        <v>135</v>
      </c>
      <c r="I47" s="90">
        <f>SUM(G42:M42)</f>
        <v>1396124.15</v>
      </c>
      <c r="J47" s="90">
        <f>SUM(I47*5.77)</f>
        <v>8055636.3454999989</v>
      </c>
    </row>
    <row r="48" spans="2:15" x14ac:dyDescent="0.2">
      <c r="B48" s="97"/>
      <c r="C48" t="s">
        <v>135</v>
      </c>
    </row>
    <row r="49" spans="2:3" x14ac:dyDescent="0.2">
      <c r="B49" s="98"/>
      <c r="C49" t="s">
        <v>136</v>
      </c>
    </row>
    <row r="50" spans="2:3" x14ac:dyDescent="0.2">
      <c r="B50" s="99"/>
      <c r="C50" t="s">
        <v>137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Sheet2</vt:lpstr>
      <vt:lpstr>vendas</vt:lpstr>
      <vt:lpstr>charge</vt:lpstr>
      <vt:lpstr>painel</vt:lpstr>
      <vt:lpstr>VENDA CAFÉ</vt:lpstr>
      <vt:lpstr>CashFlow_Edson_Luiz</vt:lpstr>
      <vt:lpstr>'VENDA CAFÉ'!Print_Area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2024-12-04T18:06:43Z</cp:lastPrinted>
  <dcterms:created xsi:type="dcterms:W3CDTF">2024-11-20T00:40:58Z</dcterms:created>
  <dcterms:modified xsi:type="dcterms:W3CDTF">2025-01-20T18:07:45Z</dcterms:modified>
</cp:coreProperties>
</file>