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rotocastro/PycharmProjects/Vendas Cafe/"/>
    </mc:Choice>
  </mc:AlternateContent>
  <xr:revisionPtr revIDLastSave="0" documentId="13_ncr:1_{C4CFE3D4-EEA6-7A40-BB5C-4B318C62E307}" xr6:coauthVersionLast="47" xr6:coauthVersionMax="47" xr10:uidLastSave="{00000000-0000-0000-0000-000000000000}"/>
  <bookViews>
    <workbookView xWindow="4440" yWindow="800" windowWidth="24960" windowHeight="18080" activeTab="1" xr2:uid="{AC82ADC5-E628-F847-8939-89BAF5623AE6}"/>
  </bookViews>
  <sheets>
    <sheet name="Sheet2 (2)" sheetId="16" state="hidden" r:id="rId1"/>
    <sheet name="Sheet2" sheetId="2" r:id="rId2"/>
    <sheet name="futuros" sheetId="14" r:id="rId3"/>
    <sheet name="medias_historicas" sheetId="12" state="hidden" r:id="rId4"/>
    <sheet name="medias_diarias" sheetId="15" r:id="rId5"/>
    <sheet name="VENDA CAFÉ 220125" sheetId="7" state="hidden" r:id="rId6"/>
    <sheet name="DU-E" sheetId="8" state="hidden" r:id="rId7"/>
    <sheet name="hedgedez25" sheetId="10" state="hidden" r:id="rId8"/>
    <sheet name="CashFlow_Edson_Luiz" sheetId="3" state="hidden" r:id="rId9"/>
  </sheets>
  <definedNames>
    <definedName name="_xlnm._FilterDatabase" localSheetId="1" hidden="1">Sheet2!$A$1:$Q$52</definedName>
    <definedName name="_xlnm._FilterDatabase" localSheetId="5" hidden="1">'VENDA CAFÉ 220125'!$A$3:$Z$61</definedName>
    <definedName name="LITRAGEM" localSheetId="7">#REF!</definedName>
    <definedName name="LITRAGEM" localSheetId="5">#REF!</definedName>
    <definedName name="LITRAGEM">#REF!</definedName>
    <definedName name="_xlnm.Print_Area" localSheetId="5">'VENDA CAFÉ 220125'!$A$1:$S$69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" i="2" l="1"/>
  <c r="Q18" i="2"/>
  <c r="P10" i="2"/>
  <c r="Q10" i="2"/>
  <c r="D27" i="16"/>
  <c r="D58" i="16"/>
  <c r="D25" i="16"/>
  <c r="I57" i="16"/>
  <c r="I58" i="16" s="1"/>
  <c r="N58" i="16" s="1"/>
  <c r="Q58" i="16" s="1"/>
  <c r="I25" i="16"/>
  <c r="I26" i="16" s="1"/>
  <c r="O26" i="16"/>
  <c r="O58" i="16" s="1"/>
  <c r="O27" i="16"/>
  <c r="K57" i="16"/>
  <c r="K58" i="16"/>
  <c r="O25" i="16"/>
  <c r="O57" i="16" s="1"/>
  <c r="G57" i="16"/>
  <c r="D57" i="16" s="1"/>
  <c r="G26" i="16"/>
  <c r="D26" i="16" s="1"/>
  <c r="K48" i="16"/>
  <c r="N25" i="16" l="1"/>
  <c r="N57" i="16"/>
  <c r="Q57" i="16" s="1"/>
  <c r="Q59" i="16" s="1"/>
  <c r="N26" i="16"/>
  <c r="Q26" i="16" s="1"/>
  <c r="D59" i="16"/>
  <c r="Q25" i="16"/>
  <c r="D28" i="16"/>
  <c r="I27" i="16"/>
  <c r="N27" i="16" s="1"/>
  <c r="Q27" i="16" s="1"/>
  <c r="N59" i="16" l="1"/>
  <c r="Q28" i="16"/>
  <c r="N28" i="16"/>
  <c r="E50" i="16" l="1"/>
  <c r="E19" i="16"/>
  <c r="P17" i="16"/>
  <c r="Q17" i="16" s="1"/>
  <c r="P18" i="16"/>
  <c r="Q18" i="16" s="1"/>
  <c r="P48" i="16"/>
  <c r="Q48" i="16" s="1"/>
  <c r="P49" i="16"/>
  <c r="Q49" i="16" s="1"/>
  <c r="P5" i="16"/>
  <c r="Q5" i="16" s="1"/>
  <c r="L16" i="16"/>
  <c r="M16" i="16" s="1"/>
  <c r="N16" i="16" s="1"/>
  <c r="K16" i="16"/>
  <c r="L15" i="16"/>
  <c r="M15" i="16" s="1"/>
  <c r="N15" i="16" s="1"/>
  <c r="K15" i="16"/>
  <c r="L14" i="16"/>
  <c r="M14" i="16" s="1"/>
  <c r="N14" i="16" s="1"/>
  <c r="K14" i="16"/>
  <c r="L13" i="16"/>
  <c r="M13" i="16" s="1"/>
  <c r="N13" i="16" s="1"/>
  <c r="K13" i="16"/>
  <c r="L12" i="16"/>
  <c r="M12" i="16" s="1"/>
  <c r="N12" i="16" s="1"/>
  <c r="K12" i="16"/>
  <c r="L11" i="16"/>
  <c r="M11" i="16" s="1"/>
  <c r="N11" i="16" s="1"/>
  <c r="K11" i="16"/>
  <c r="N49" i="16"/>
  <c r="K49" i="16"/>
  <c r="N48" i="16"/>
  <c r="N18" i="16"/>
  <c r="K18" i="16"/>
  <c r="N17" i="16"/>
  <c r="K17" i="16"/>
  <c r="L10" i="16"/>
  <c r="M10" i="16" s="1"/>
  <c r="N10" i="16" s="1"/>
  <c r="K10" i="16"/>
  <c r="L9" i="16"/>
  <c r="M9" i="16" s="1"/>
  <c r="N9" i="16" s="1"/>
  <c r="K9" i="16"/>
  <c r="K8" i="16"/>
  <c r="K7" i="16"/>
  <c r="L6" i="16"/>
  <c r="L7" i="16" s="1"/>
  <c r="K6" i="16"/>
  <c r="N5" i="16"/>
  <c r="K5" i="16"/>
  <c r="K52" i="2"/>
  <c r="K51" i="2"/>
  <c r="K50" i="2"/>
  <c r="K49" i="2"/>
  <c r="K48" i="2"/>
  <c r="K47" i="2"/>
  <c r="K46" i="2"/>
  <c r="K45" i="2"/>
  <c r="K44" i="2"/>
  <c r="K43" i="2"/>
  <c r="N43" i="2"/>
  <c r="N44" i="2"/>
  <c r="N45" i="2"/>
  <c r="N46" i="2"/>
  <c r="M47" i="2"/>
  <c r="N47" i="2" s="1"/>
  <c r="L51" i="2"/>
  <c r="M51" i="2" s="1"/>
  <c r="N51" i="2" s="1"/>
  <c r="L52" i="2"/>
  <c r="M52" i="2" s="1"/>
  <c r="N52" i="2" s="1"/>
  <c r="L50" i="2"/>
  <c r="M50" i="2" s="1"/>
  <c r="N50" i="2" s="1"/>
  <c r="L49" i="2"/>
  <c r="M49" i="2" s="1"/>
  <c r="N49" i="2" s="1"/>
  <c r="L48" i="2"/>
  <c r="M48" i="2" s="1"/>
  <c r="N48" i="2" s="1"/>
  <c r="L47" i="2"/>
  <c r="L42" i="2"/>
  <c r="L41" i="2"/>
  <c r="P15" i="16" l="1"/>
  <c r="Q15" i="16" s="1"/>
  <c r="N50" i="16"/>
  <c r="M50" i="16" s="1"/>
  <c r="P12" i="16"/>
  <c r="Q12" i="16" s="1"/>
  <c r="Q50" i="16"/>
  <c r="P50" i="16" s="1"/>
  <c r="P16" i="16"/>
  <c r="Q16" i="16" s="1"/>
  <c r="P14" i="16"/>
  <c r="Q14" i="16" s="1"/>
  <c r="P10" i="16"/>
  <c r="Q10" i="16" s="1"/>
  <c r="P13" i="16"/>
  <c r="Q13" i="16" s="1"/>
  <c r="P9" i="16"/>
  <c r="Q9" i="16" s="1"/>
  <c r="P11" i="16"/>
  <c r="Q11" i="16" s="1"/>
  <c r="M6" i="16"/>
  <c r="L8" i="16"/>
  <c r="M8" i="16" s="1"/>
  <c r="M7" i="16"/>
  <c r="Q35" i="2"/>
  <c r="N7" i="16" l="1"/>
  <c r="P7" i="16"/>
  <c r="Q7" i="16" s="1"/>
  <c r="N8" i="16"/>
  <c r="P8" i="16"/>
  <c r="Q8" i="16" s="1"/>
  <c r="N6" i="16"/>
  <c r="P6" i="16"/>
  <c r="Q6" i="16" s="1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342" i="15"/>
  <c r="D343" i="15"/>
  <c r="D344" i="15"/>
  <c r="D345" i="15"/>
  <c r="D346" i="15"/>
  <c r="D347" i="15"/>
  <c r="D348" i="15"/>
  <c r="D349" i="15"/>
  <c r="D350" i="15"/>
  <c r="D351" i="15"/>
  <c r="D352" i="15"/>
  <c r="D353" i="15"/>
  <c r="D354" i="15"/>
  <c r="D355" i="15"/>
  <c r="D356" i="15"/>
  <c r="D357" i="15"/>
  <c r="D358" i="15"/>
  <c r="D359" i="15"/>
  <c r="D360" i="15"/>
  <c r="D361" i="15"/>
  <c r="D362" i="15"/>
  <c r="D363" i="15"/>
  <c r="D364" i="15"/>
  <c r="D365" i="15"/>
  <c r="D366" i="15"/>
  <c r="D367" i="15"/>
  <c r="D368" i="15"/>
  <c r="D369" i="15"/>
  <c r="D370" i="15"/>
  <c r="D371" i="15"/>
  <c r="D372" i="15"/>
  <c r="D373" i="15"/>
  <c r="D374" i="15"/>
  <c r="D375" i="15"/>
  <c r="D376" i="15"/>
  <c r="D377" i="15"/>
  <c r="D378" i="15"/>
  <c r="D379" i="15"/>
  <c r="D380" i="15"/>
  <c r="D381" i="15"/>
  <c r="D382" i="15"/>
  <c r="D383" i="15"/>
  <c r="D384" i="15"/>
  <c r="D385" i="15"/>
  <c r="D386" i="15"/>
  <c r="D387" i="15"/>
  <c r="D388" i="15"/>
  <c r="D389" i="15"/>
  <c r="D390" i="15"/>
  <c r="D391" i="15"/>
  <c r="D392" i="15"/>
  <c r="D393" i="15"/>
  <c r="D394" i="15"/>
  <c r="D395" i="15"/>
  <c r="D396" i="15"/>
  <c r="D397" i="15"/>
  <c r="D398" i="15"/>
  <c r="D399" i="15"/>
  <c r="D400" i="15"/>
  <c r="D401" i="15"/>
  <c r="D402" i="15"/>
  <c r="D403" i="15"/>
  <c r="D404" i="15"/>
  <c r="D405" i="15"/>
  <c r="D406" i="15"/>
  <c r="D407" i="15"/>
  <c r="D408" i="15"/>
  <c r="D409" i="15"/>
  <c r="D410" i="15"/>
  <c r="D411" i="15"/>
  <c r="D412" i="15"/>
  <c r="D413" i="15"/>
  <c r="D414" i="15"/>
  <c r="D415" i="15"/>
  <c r="D416" i="15"/>
  <c r="D417" i="15"/>
  <c r="D418" i="15"/>
  <c r="D419" i="15"/>
  <c r="D420" i="15"/>
  <c r="D421" i="15"/>
  <c r="D422" i="15"/>
  <c r="D423" i="15"/>
  <c r="D424" i="15"/>
  <c r="D425" i="15"/>
  <c r="D426" i="15"/>
  <c r="D427" i="15"/>
  <c r="D428" i="15"/>
  <c r="D429" i="15"/>
  <c r="D430" i="15"/>
  <c r="D431" i="15"/>
  <c r="D432" i="15"/>
  <c r="D433" i="15"/>
  <c r="D434" i="15"/>
  <c r="D435" i="15"/>
  <c r="D436" i="15"/>
  <c r="D437" i="15"/>
  <c r="D438" i="15"/>
  <c r="D439" i="15"/>
  <c r="D440" i="15"/>
  <c r="D441" i="15"/>
  <c r="D442" i="15"/>
  <c r="D443" i="15"/>
  <c r="D444" i="15"/>
  <c r="D445" i="15"/>
  <c r="D446" i="15"/>
  <c r="D447" i="15"/>
  <c r="D448" i="15"/>
  <c r="D449" i="15"/>
  <c r="D450" i="15"/>
  <c r="D451" i="15"/>
  <c r="D452" i="15"/>
  <c r="D453" i="15"/>
  <c r="D454" i="15"/>
  <c r="D455" i="15"/>
  <c r="D456" i="15"/>
  <c r="D457" i="15"/>
  <c r="D458" i="15"/>
  <c r="D459" i="15"/>
  <c r="D460" i="15"/>
  <c r="D461" i="15"/>
  <c r="D462" i="15"/>
  <c r="D463" i="15"/>
  <c r="D464" i="15"/>
  <c r="D465" i="15"/>
  <c r="D466" i="15"/>
  <c r="D467" i="15"/>
  <c r="D468" i="15"/>
  <c r="D469" i="15"/>
  <c r="D470" i="15"/>
  <c r="D471" i="15"/>
  <c r="D472" i="15"/>
  <c r="D473" i="15"/>
  <c r="D474" i="15"/>
  <c r="D475" i="15"/>
  <c r="D476" i="15"/>
  <c r="D477" i="15"/>
  <c r="D478" i="15"/>
  <c r="D479" i="15"/>
  <c r="D480" i="15"/>
  <c r="D481" i="15"/>
  <c r="D482" i="15"/>
  <c r="D483" i="15"/>
  <c r="D484" i="15"/>
  <c r="D485" i="15"/>
  <c r="D486" i="15"/>
  <c r="D487" i="15"/>
  <c r="D488" i="15"/>
  <c r="D489" i="15"/>
  <c r="D490" i="15"/>
  <c r="D491" i="15"/>
  <c r="D492" i="15"/>
  <c r="D493" i="15"/>
  <c r="D494" i="15"/>
  <c r="D495" i="15"/>
  <c r="D496" i="15"/>
  <c r="D497" i="15"/>
  <c r="D498" i="15"/>
  <c r="D499" i="15"/>
  <c r="D500" i="15"/>
  <c r="D501" i="15"/>
  <c r="D502" i="15"/>
  <c r="D503" i="15"/>
  <c r="D504" i="15"/>
  <c r="D505" i="15"/>
  <c r="D506" i="15"/>
  <c r="D507" i="15"/>
  <c r="D508" i="15"/>
  <c r="D509" i="15"/>
  <c r="D510" i="15"/>
  <c r="D511" i="15"/>
  <c r="D512" i="15"/>
  <c r="D513" i="15"/>
  <c r="D514" i="15"/>
  <c r="D515" i="15"/>
  <c r="D516" i="15"/>
  <c r="D517" i="15"/>
  <c r="D518" i="15"/>
  <c r="D519" i="15"/>
  <c r="D520" i="15"/>
  <c r="D521" i="15"/>
  <c r="D522" i="15"/>
  <c r="D523" i="15"/>
  <c r="D524" i="15"/>
  <c r="D525" i="15"/>
  <c r="D526" i="15"/>
  <c r="D527" i="15"/>
  <c r="D528" i="15"/>
  <c r="D529" i="15"/>
  <c r="D530" i="15"/>
  <c r="D531" i="15"/>
  <c r="D532" i="15"/>
  <c r="D533" i="15"/>
  <c r="D534" i="15"/>
  <c r="D535" i="15"/>
  <c r="D536" i="15"/>
  <c r="D537" i="15"/>
  <c r="D538" i="15"/>
  <c r="D539" i="15"/>
  <c r="D540" i="15"/>
  <c r="D541" i="15"/>
  <c r="D542" i="15"/>
  <c r="D543" i="15"/>
  <c r="D544" i="15"/>
  <c r="D545" i="15"/>
  <c r="D546" i="15"/>
  <c r="D547" i="15"/>
  <c r="D548" i="15"/>
  <c r="D549" i="15"/>
  <c r="D550" i="15"/>
  <c r="D551" i="15"/>
  <c r="D552" i="15"/>
  <c r="D553" i="15"/>
  <c r="D554" i="15"/>
  <c r="D555" i="15"/>
  <c r="D556" i="15"/>
  <c r="D557" i="15"/>
  <c r="D558" i="15"/>
  <c r="D559" i="15"/>
  <c r="D560" i="15"/>
  <c r="D561" i="15"/>
  <c r="D562" i="15"/>
  <c r="D563" i="15"/>
  <c r="D564" i="15"/>
  <c r="D565" i="15"/>
  <c r="D566" i="15"/>
  <c r="D567" i="15"/>
  <c r="D568" i="15"/>
  <c r="D569" i="15"/>
  <c r="D570" i="15"/>
  <c r="D571" i="15"/>
  <c r="D572" i="15"/>
  <c r="D573" i="15"/>
  <c r="D574" i="15"/>
  <c r="D575" i="15"/>
  <c r="D576" i="15"/>
  <c r="D577" i="15"/>
  <c r="D578" i="15"/>
  <c r="D579" i="15"/>
  <c r="D580" i="15"/>
  <c r="D581" i="15"/>
  <c r="D582" i="15"/>
  <c r="D583" i="15"/>
  <c r="D584" i="15"/>
  <c r="D585" i="15"/>
  <c r="D586" i="15"/>
  <c r="D587" i="15"/>
  <c r="D588" i="15"/>
  <c r="D589" i="15"/>
  <c r="D590" i="15"/>
  <c r="D591" i="15"/>
  <c r="D592" i="15"/>
  <c r="D593" i="15"/>
  <c r="D594" i="15"/>
  <c r="D595" i="15"/>
  <c r="D596" i="15"/>
  <c r="D597" i="15"/>
  <c r="D598" i="15"/>
  <c r="D599" i="15"/>
  <c r="D600" i="15"/>
  <c r="D601" i="15"/>
  <c r="D602" i="15"/>
  <c r="D603" i="15"/>
  <c r="D604" i="15"/>
  <c r="D605" i="15"/>
  <c r="D606" i="15"/>
  <c r="D607" i="15"/>
  <c r="D608" i="15"/>
  <c r="D609" i="15"/>
  <c r="D610" i="15"/>
  <c r="D611" i="15"/>
  <c r="D612" i="15"/>
  <c r="D613" i="15"/>
  <c r="D614" i="15"/>
  <c r="D615" i="15"/>
  <c r="D616" i="15"/>
  <c r="D617" i="15"/>
  <c r="D618" i="15"/>
  <c r="D619" i="15"/>
  <c r="D620" i="15"/>
  <c r="D621" i="15"/>
  <c r="D622" i="15"/>
  <c r="D623" i="15"/>
  <c r="D624" i="15"/>
  <c r="D625" i="15"/>
  <c r="D626" i="15"/>
  <c r="D627" i="15"/>
  <c r="D628" i="15"/>
  <c r="D629" i="15"/>
  <c r="D630" i="15"/>
  <c r="D631" i="15"/>
  <c r="D632" i="15"/>
  <c r="D633" i="15"/>
  <c r="D634" i="15"/>
  <c r="D635" i="15"/>
  <c r="D636" i="15"/>
  <c r="D637" i="15"/>
  <c r="D638" i="15"/>
  <c r="D639" i="15"/>
  <c r="D640" i="15"/>
  <c r="D641" i="15"/>
  <c r="D642" i="15"/>
  <c r="D643" i="15"/>
  <c r="D644" i="15"/>
  <c r="D645" i="15"/>
  <c r="D646" i="15"/>
  <c r="D647" i="15"/>
  <c r="D648" i="15"/>
  <c r="D649" i="15"/>
  <c r="D650" i="15"/>
  <c r="D651" i="15"/>
  <c r="D652" i="15"/>
  <c r="D653" i="15"/>
  <c r="D654" i="15"/>
  <c r="D655" i="15"/>
  <c r="D656" i="15"/>
  <c r="D657" i="15"/>
  <c r="D658" i="15"/>
  <c r="D659" i="15"/>
  <c r="D660" i="15"/>
  <c r="D661" i="15"/>
  <c r="D662" i="15"/>
  <c r="D663" i="15"/>
  <c r="D664" i="15"/>
  <c r="D665" i="15"/>
  <c r="D666" i="15"/>
  <c r="D667" i="15"/>
  <c r="D668" i="15"/>
  <c r="D669" i="15"/>
  <c r="D670" i="15"/>
  <c r="D671" i="15"/>
  <c r="D672" i="15"/>
  <c r="D673" i="15"/>
  <c r="D674" i="15"/>
  <c r="D675" i="15"/>
  <c r="D676" i="15"/>
  <c r="D677" i="15"/>
  <c r="D678" i="15"/>
  <c r="D679" i="15"/>
  <c r="D680" i="15"/>
  <c r="D681" i="15"/>
  <c r="D682" i="15"/>
  <c r="D683" i="15"/>
  <c r="D684" i="15"/>
  <c r="D685" i="15"/>
  <c r="D686" i="15"/>
  <c r="D687" i="15"/>
  <c r="D688" i="15"/>
  <c r="D689" i="15"/>
  <c r="D690" i="15"/>
  <c r="D691" i="15"/>
  <c r="D692" i="15"/>
  <c r="D693" i="15"/>
  <c r="D694" i="15"/>
  <c r="D695" i="15"/>
  <c r="D696" i="15"/>
  <c r="D697" i="15"/>
  <c r="D698" i="15"/>
  <c r="D699" i="15"/>
  <c r="D700" i="15"/>
  <c r="D701" i="15"/>
  <c r="D702" i="15"/>
  <c r="D703" i="15"/>
  <c r="D704" i="15"/>
  <c r="D705" i="15"/>
  <c r="D706" i="15"/>
  <c r="D707" i="15"/>
  <c r="D708" i="15"/>
  <c r="D709" i="15"/>
  <c r="D710" i="15"/>
  <c r="D711" i="15"/>
  <c r="D712" i="15"/>
  <c r="D713" i="15"/>
  <c r="D714" i="15"/>
  <c r="D715" i="15"/>
  <c r="D716" i="15"/>
  <c r="D717" i="15"/>
  <c r="D718" i="15"/>
  <c r="D719" i="15"/>
  <c r="D720" i="15"/>
  <c r="D721" i="15"/>
  <c r="D722" i="15"/>
  <c r="D723" i="15"/>
  <c r="D724" i="15"/>
  <c r="D725" i="15"/>
  <c r="D726" i="15"/>
  <c r="D727" i="15"/>
  <c r="D728" i="15"/>
  <c r="D729" i="15"/>
  <c r="D730" i="15"/>
  <c r="D731" i="15"/>
  <c r="D732" i="15"/>
  <c r="D733" i="15"/>
  <c r="D734" i="15"/>
  <c r="D735" i="15"/>
  <c r="D736" i="15"/>
  <c r="D737" i="15"/>
  <c r="D738" i="15"/>
  <c r="D739" i="15"/>
  <c r="D740" i="15"/>
  <c r="D741" i="15"/>
  <c r="D742" i="15"/>
  <c r="D743" i="15"/>
  <c r="D744" i="15"/>
  <c r="D745" i="15"/>
  <c r="D746" i="15"/>
  <c r="D747" i="15"/>
  <c r="D748" i="15"/>
  <c r="D749" i="15"/>
  <c r="D750" i="15"/>
  <c r="D751" i="15"/>
  <c r="D752" i="15"/>
  <c r="D753" i="15"/>
  <c r="D754" i="15"/>
  <c r="D755" i="15"/>
  <c r="D756" i="15"/>
  <c r="D757" i="15"/>
  <c r="D758" i="15"/>
  <c r="D759" i="15"/>
  <c r="D760" i="15"/>
  <c r="D761" i="15"/>
  <c r="D762" i="15"/>
  <c r="D763" i="15"/>
  <c r="D764" i="15"/>
  <c r="D765" i="15"/>
  <c r="D766" i="15"/>
  <c r="D767" i="15"/>
  <c r="D768" i="15"/>
  <c r="D769" i="15"/>
  <c r="D770" i="15"/>
  <c r="D771" i="15"/>
  <c r="D772" i="15"/>
  <c r="D773" i="15"/>
  <c r="D774" i="15"/>
  <c r="D775" i="15"/>
  <c r="D776" i="15"/>
  <c r="D777" i="15"/>
  <c r="D778" i="15"/>
  <c r="D779" i="15"/>
  <c r="D780" i="15"/>
  <c r="D781" i="15"/>
  <c r="D782" i="15"/>
  <c r="D783" i="15"/>
  <c r="D784" i="15"/>
  <c r="D785" i="15"/>
  <c r="D786" i="15"/>
  <c r="D787" i="15"/>
  <c r="D788" i="15"/>
  <c r="D789" i="15"/>
  <c r="D790" i="15"/>
  <c r="D791" i="15"/>
  <c r="D792" i="15"/>
  <c r="D793" i="15"/>
  <c r="D794" i="15"/>
  <c r="D795" i="15"/>
  <c r="D796" i="15"/>
  <c r="D797" i="15"/>
  <c r="D798" i="15"/>
  <c r="D799" i="15"/>
  <c r="D800" i="15"/>
  <c r="D801" i="15"/>
  <c r="D802" i="15"/>
  <c r="D803" i="15"/>
  <c r="D804" i="15"/>
  <c r="D805" i="15"/>
  <c r="D806" i="15"/>
  <c r="D807" i="15"/>
  <c r="D808" i="15"/>
  <c r="D809" i="15"/>
  <c r="D810" i="15"/>
  <c r="D811" i="15"/>
  <c r="D812" i="15"/>
  <c r="D813" i="15"/>
  <c r="D814" i="15"/>
  <c r="D815" i="15"/>
  <c r="D816" i="15"/>
  <c r="D817" i="15"/>
  <c r="D818" i="15"/>
  <c r="D819" i="15"/>
  <c r="D820" i="15"/>
  <c r="D821" i="15"/>
  <c r="D822" i="15"/>
  <c r="D823" i="15"/>
  <c r="D824" i="15"/>
  <c r="D825" i="15"/>
  <c r="D826" i="15"/>
  <c r="D827" i="15"/>
  <c r="D828" i="15"/>
  <c r="D829" i="15"/>
  <c r="D830" i="15"/>
  <c r="D831" i="15"/>
  <c r="D832" i="15"/>
  <c r="D833" i="15"/>
  <c r="D834" i="15"/>
  <c r="D835" i="15"/>
  <c r="D836" i="15"/>
  <c r="D837" i="15"/>
  <c r="D838" i="15"/>
  <c r="D839" i="15"/>
  <c r="D840" i="15"/>
  <c r="D841" i="15"/>
  <c r="D842" i="15"/>
  <c r="D843" i="15"/>
  <c r="D844" i="15"/>
  <c r="D845" i="15"/>
  <c r="D846" i="15"/>
  <c r="D847" i="15"/>
  <c r="D848" i="15"/>
  <c r="D849" i="15"/>
  <c r="D850" i="15"/>
  <c r="D851" i="15"/>
  <c r="D852" i="15"/>
  <c r="D853" i="15"/>
  <c r="D854" i="15"/>
  <c r="D855" i="15"/>
  <c r="D856" i="15"/>
  <c r="D857" i="15"/>
  <c r="D858" i="15"/>
  <c r="D859" i="15"/>
  <c r="D860" i="15"/>
  <c r="D861" i="15"/>
  <c r="D862" i="15"/>
  <c r="D863" i="15"/>
  <c r="D864" i="15"/>
  <c r="D865" i="15"/>
  <c r="D866" i="15"/>
  <c r="D867" i="15"/>
  <c r="D868" i="15"/>
  <c r="D869" i="15"/>
  <c r="D870" i="15"/>
  <c r="D871" i="15"/>
  <c r="D872" i="15"/>
  <c r="D873" i="15"/>
  <c r="D874" i="15"/>
  <c r="D875" i="15"/>
  <c r="D876" i="15"/>
  <c r="D877" i="15"/>
  <c r="D878" i="15"/>
  <c r="D879" i="15"/>
  <c r="D880" i="15"/>
  <c r="D881" i="15"/>
  <c r="D882" i="15"/>
  <c r="D2" i="15"/>
  <c r="L38" i="2"/>
  <c r="L39" i="2" s="1"/>
  <c r="L40" i="2" s="1"/>
  <c r="M40" i="2" s="1"/>
  <c r="M42" i="2"/>
  <c r="N3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" i="2"/>
  <c r="N19" i="16" l="1"/>
  <c r="M19" i="16" s="1"/>
  <c r="Q19" i="16"/>
  <c r="P19" i="16" s="1"/>
  <c r="M41" i="2"/>
  <c r="M39" i="2"/>
  <c r="M38" i="2"/>
  <c r="N38" i="2" s="1"/>
  <c r="N41" i="2"/>
  <c r="N39" i="2" l="1"/>
  <c r="N42" i="2"/>
  <c r="N40" i="2"/>
  <c r="C3" i="14"/>
  <c r="C4" i="14"/>
  <c r="C5" i="14"/>
  <c r="C6" i="14"/>
  <c r="C7" i="14"/>
  <c r="C8" i="14"/>
  <c r="C9" i="14"/>
  <c r="C10" i="14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2" i="12"/>
  <c r="K42" i="2" l="1"/>
  <c r="K41" i="2"/>
  <c r="K40" i="2"/>
  <c r="K39" i="2"/>
  <c r="K38" i="2"/>
  <c r="K37" i="2"/>
  <c r="Q36" i="2" l="1"/>
  <c r="O11" i="2"/>
  <c r="P11" i="2" s="1"/>
  <c r="Q11" i="2" s="1"/>
  <c r="O20" i="2" l="1"/>
  <c r="P2" i="2" l="1"/>
  <c r="P13" i="2"/>
  <c r="Q13" i="2" s="1"/>
  <c r="P12" i="2"/>
  <c r="Q12" i="2" s="1"/>
  <c r="P20" i="2" l="1"/>
  <c r="Q20" i="2" s="1"/>
  <c r="P6" i="2"/>
  <c r="Q6" i="2" s="1"/>
  <c r="P5" i="2"/>
  <c r="Q5" i="2" s="1"/>
  <c r="P9" i="2"/>
  <c r="Q9" i="2" s="1"/>
  <c r="P8" i="2"/>
  <c r="Q8" i="2" s="1"/>
  <c r="P7" i="2"/>
  <c r="Q7" i="2" s="1"/>
  <c r="I25" i="2" l="1"/>
  <c r="I8" i="2"/>
  <c r="I9" i="2" s="1"/>
  <c r="P17" i="2"/>
  <c r="Q17" i="2" s="1"/>
  <c r="P16" i="2"/>
  <c r="Q16" i="2" s="1"/>
  <c r="P18" i="2"/>
  <c r="O19" i="2"/>
  <c r="P19" i="2" s="1"/>
  <c r="P4" i="2"/>
  <c r="Q4" i="2" s="1"/>
  <c r="P3" i="2"/>
  <c r="Q3" i="2" s="1"/>
  <c r="Q2" i="2"/>
  <c r="Q25" i="2"/>
  <c r="Q26" i="2"/>
  <c r="Q27" i="2"/>
  <c r="Q28" i="2"/>
  <c r="Q29" i="2"/>
  <c r="Q30" i="2"/>
  <c r="Q31" i="2"/>
  <c r="Q32" i="2"/>
  <c r="Q33" i="2"/>
  <c r="Q34" i="2"/>
  <c r="Q24" i="2"/>
  <c r="L12" i="8" l="1"/>
  <c r="E25" i="10" l="1"/>
  <c r="E24" i="10"/>
  <c r="C10" i="10"/>
  <c r="C11" i="10" s="1"/>
  <c r="C12" i="10" s="1"/>
  <c r="C13" i="10" s="1"/>
  <c r="C14" i="10" s="1"/>
  <c r="C8" i="10"/>
  <c r="C7" i="10"/>
  <c r="C6" i="10" s="1"/>
  <c r="C5" i="10" s="1"/>
  <c r="C4" i="10" s="1"/>
  <c r="B7" i="10"/>
  <c r="I3" i="10"/>
  <c r="J3" i="10" s="1"/>
  <c r="K3" i="10" s="1"/>
  <c r="L3" i="10" s="1"/>
  <c r="G3" i="10"/>
  <c r="F3" i="10"/>
  <c r="E3" i="10" s="1"/>
  <c r="D3" i="10" s="1"/>
  <c r="N29" i="8" l="1"/>
  <c r="N28" i="8"/>
  <c r="N26" i="8"/>
  <c r="L25" i="8"/>
  <c r="N25" i="8" s="1"/>
  <c r="N24" i="8"/>
  <c r="N23" i="8"/>
  <c r="N22" i="8"/>
  <c r="M21" i="8"/>
  <c r="L21" i="8"/>
  <c r="N21" i="8" s="1"/>
  <c r="N34" i="8" l="1"/>
  <c r="O8" i="8"/>
  <c r="N8" i="8"/>
  <c r="Q8" i="8" s="1"/>
  <c r="O3" i="8"/>
  <c r="L6" i="8"/>
  <c r="N3" i="8"/>
  <c r="O6" i="8" l="1"/>
  <c r="P6" i="8" s="1"/>
  <c r="N6" i="8"/>
  <c r="E12" i="8"/>
  <c r="I12" i="8" s="1"/>
  <c r="E11" i="8"/>
  <c r="I11" i="8" s="1"/>
  <c r="J11" i="8" s="1"/>
  <c r="E10" i="8"/>
  <c r="I10" i="8" s="1"/>
  <c r="J10" i="8" s="1"/>
  <c r="E9" i="8"/>
  <c r="I9" i="8" s="1"/>
  <c r="J9" i="8" s="1"/>
  <c r="E8" i="8"/>
  <c r="I8" i="8" s="1"/>
  <c r="J8" i="8" s="1"/>
  <c r="E7" i="8"/>
  <c r="I7" i="8" s="1"/>
  <c r="J7" i="8" s="1"/>
  <c r="E6" i="8"/>
  <c r="I6" i="8" s="1"/>
  <c r="J6" i="8" s="1"/>
  <c r="E5" i="8"/>
  <c r="I5" i="8" s="1"/>
  <c r="J5" i="8" s="1"/>
  <c r="E4" i="8"/>
  <c r="I4" i="8" s="1"/>
  <c r="J4" i="8" s="1"/>
  <c r="E3" i="8"/>
  <c r="I3" i="8" s="1"/>
  <c r="J3" i="8" s="1"/>
  <c r="Q3" i="8" s="1"/>
  <c r="Q6" i="8" l="1"/>
  <c r="J12" i="8"/>
  <c r="G81" i="7"/>
  <c r="O69" i="7"/>
  <c r="N69" i="7"/>
  <c r="L69" i="7"/>
  <c r="K69" i="7"/>
  <c r="M61" i="7"/>
  <c r="Q61" i="7" s="1"/>
  <c r="H61" i="7"/>
  <c r="M60" i="7"/>
  <c r="Q60" i="7" s="1"/>
  <c r="H60" i="7"/>
  <c r="M59" i="7"/>
  <c r="P59" i="7" s="1"/>
  <c r="H59" i="7"/>
  <c r="M58" i="7"/>
  <c r="Q58" i="7" s="1"/>
  <c r="H58" i="7"/>
  <c r="M57" i="7"/>
  <c r="Q57" i="7" s="1"/>
  <c r="H57" i="7"/>
  <c r="M56" i="7"/>
  <c r="Q56" i="7" s="1"/>
  <c r="H56" i="7"/>
  <c r="M55" i="7"/>
  <c r="Q55" i="7" s="1"/>
  <c r="H55" i="7"/>
  <c r="M54" i="7"/>
  <c r="Q54" i="7" s="1"/>
  <c r="H54" i="7"/>
  <c r="M53" i="7"/>
  <c r="P53" i="7" s="1"/>
  <c r="H53" i="7"/>
  <c r="J52" i="7"/>
  <c r="M52" i="7" s="1"/>
  <c r="H52" i="7"/>
  <c r="M51" i="7"/>
  <c r="Q51" i="7" s="1"/>
  <c r="H51" i="7"/>
  <c r="M50" i="7"/>
  <c r="Q50" i="7" s="1"/>
  <c r="H50" i="7"/>
  <c r="M49" i="7"/>
  <c r="P49" i="7" s="1"/>
  <c r="H49" i="7"/>
  <c r="M48" i="7"/>
  <c r="Q48" i="7" s="1"/>
  <c r="H48" i="7"/>
  <c r="M47" i="7"/>
  <c r="Q47" i="7" s="1"/>
  <c r="H47" i="7"/>
  <c r="M46" i="7"/>
  <c r="Q46" i="7" s="1"/>
  <c r="H46" i="7"/>
  <c r="M45" i="7"/>
  <c r="P45" i="7" s="1"/>
  <c r="H45" i="7"/>
  <c r="M44" i="7"/>
  <c r="Q44" i="7" s="1"/>
  <c r="H44" i="7"/>
  <c r="M43" i="7"/>
  <c r="Q43" i="7" s="1"/>
  <c r="I43" i="7"/>
  <c r="H43" i="7"/>
  <c r="I42" i="7"/>
  <c r="H42" i="7" s="1"/>
  <c r="M41" i="7"/>
  <c r="Q41" i="7" s="1"/>
  <c r="I41" i="7"/>
  <c r="H41" i="7"/>
  <c r="J40" i="7"/>
  <c r="M40" i="7" s="1"/>
  <c r="I40" i="7"/>
  <c r="H40" i="7"/>
  <c r="G40" i="7"/>
  <c r="M39" i="7"/>
  <c r="P39" i="7" s="1"/>
  <c r="H39" i="7"/>
  <c r="J38" i="7"/>
  <c r="M38" i="7" s="1"/>
  <c r="Q38" i="7" s="1"/>
  <c r="H38" i="7"/>
  <c r="M37" i="7"/>
  <c r="P37" i="7" s="1"/>
  <c r="H37" i="7"/>
  <c r="M36" i="7"/>
  <c r="Q36" i="7" s="1"/>
  <c r="G36" i="7"/>
  <c r="H36" i="7" s="1"/>
  <c r="I35" i="7"/>
  <c r="M35" i="7" s="1"/>
  <c r="M34" i="7"/>
  <c r="Q34" i="7" s="1"/>
  <c r="H34" i="7"/>
  <c r="M33" i="7"/>
  <c r="Q33" i="7" s="1"/>
  <c r="H33" i="7"/>
  <c r="I32" i="7"/>
  <c r="H32" i="7" s="1"/>
  <c r="I31" i="7"/>
  <c r="M31" i="7" s="1"/>
  <c r="Q31" i="7" s="1"/>
  <c r="M30" i="7"/>
  <c r="P30" i="7" s="1"/>
  <c r="H30" i="7"/>
  <c r="M29" i="7"/>
  <c r="Q29" i="7" s="1"/>
  <c r="G29" i="7"/>
  <c r="H29" i="7" s="1"/>
  <c r="M28" i="7"/>
  <c r="P28" i="7" s="1"/>
  <c r="I28" i="7"/>
  <c r="H28" i="7"/>
  <c r="G28" i="7"/>
  <c r="M27" i="7"/>
  <c r="Q27" i="7" s="1"/>
  <c r="G27" i="7"/>
  <c r="H27" i="7" s="1"/>
  <c r="M26" i="7"/>
  <c r="Q26" i="7" s="1"/>
  <c r="H26" i="7"/>
  <c r="M25" i="7"/>
  <c r="Q25" i="7" s="1"/>
  <c r="H25" i="7"/>
  <c r="M24" i="7"/>
  <c r="Q24" i="7" s="1"/>
  <c r="H24" i="7"/>
  <c r="M23" i="7"/>
  <c r="Q23" i="7" s="1"/>
  <c r="I22" i="7"/>
  <c r="M21" i="7"/>
  <c r="Q21" i="7" s="1"/>
  <c r="H21" i="7"/>
  <c r="M20" i="7"/>
  <c r="Q20" i="7" s="1"/>
  <c r="I19" i="7"/>
  <c r="M19" i="7" s="1"/>
  <c r="Q19" i="7" s="1"/>
  <c r="I18" i="7"/>
  <c r="I17" i="7"/>
  <c r="J17" i="7" s="1"/>
  <c r="I16" i="7"/>
  <c r="J16" i="7" s="1"/>
  <c r="I15" i="7"/>
  <c r="J15" i="7" s="1"/>
  <c r="H14" i="7"/>
  <c r="G14" i="7"/>
  <c r="I14" i="7" s="1"/>
  <c r="I13" i="7"/>
  <c r="J13" i="7" s="1"/>
  <c r="M13" i="7" s="1"/>
  <c r="H13" i="7"/>
  <c r="G13" i="7"/>
  <c r="I12" i="7"/>
  <c r="M12" i="7" s="1"/>
  <c r="I11" i="7"/>
  <c r="I10" i="7"/>
  <c r="I9" i="7"/>
  <c r="M9" i="7" s="1"/>
  <c r="Q9" i="7" s="1"/>
  <c r="I8" i="7"/>
  <c r="M8" i="7" s="1"/>
  <c r="P8" i="7" s="1"/>
  <c r="I7" i="7"/>
  <c r="M7" i="7" s="1"/>
  <c r="Q7" i="7" s="1"/>
  <c r="I6" i="7"/>
  <c r="M6" i="7" s="1"/>
  <c r="P6" i="7" s="1"/>
  <c r="I5" i="7"/>
  <c r="M5" i="7" s="1"/>
  <c r="Q5" i="7" s="1"/>
  <c r="I4" i="7"/>
  <c r="M4" i="7" s="1"/>
  <c r="P4" i="7" s="1"/>
  <c r="H31" i="7" l="1"/>
  <c r="Q37" i="7"/>
  <c r="Q53" i="7"/>
  <c r="P43" i="7"/>
  <c r="P35" i="7"/>
  <c r="Q35" i="7"/>
  <c r="H35" i="7"/>
  <c r="P25" i="7"/>
  <c r="P51" i="7"/>
  <c r="P58" i="7"/>
  <c r="P60" i="7"/>
  <c r="Q45" i="7"/>
  <c r="P55" i="7"/>
  <c r="P61" i="7"/>
  <c r="P33" i="7"/>
  <c r="M17" i="7"/>
  <c r="Q28" i="7"/>
  <c r="P36" i="7"/>
  <c r="I69" i="7"/>
  <c r="P57" i="7"/>
  <c r="Q59" i="7"/>
  <c r="P20" i="7"/>
  <c r="Q30" i="7"/>
  <c r="Q49" i="7"/>
  <c r="P26" i="7"/>
  <c r="P23" i="7"/>
  <c r="P56" i="7"/>
  <c r="P54" i="7"/>
  <c r="P47" i="7"/>
  <c r="J10" i="7"/>
  <c r="M10" i="7" s="1"/>
  <c r="P21" i="7"/>
  <c r="P24" i="7"/>
  <c r="M15" i="7"/>
  <c r="Q15" i="7" s="1"/>
  <c r="P29" i="7"/>
  <c r="Q13" i="7"/>
  <c r="P13" i="7"/>
  <c r="J14" i="7"/>
  <c r="M14" i="7" s="1"/>
  <c r="Q12" i="7"/>
  <c r="P12" i="7"/>
  <c r="Q52" i="7"/>
  <c r="P52" i="7"/>
  <c r="P40" i="7"/>
  <c r="Q40" i="7"/>
  <c r="G69" i="7"/>
  <c r="P19" i="7"/>
  <c r="P27" i="7"/>
  <c r="M32" i="7"/>
  <c r="Q4" i="7"/>
  <c r="Q6" i="7"/>
  <c r="Q8" i="7"/>
  <c r="M16" i="7"/>
  <c r="P34" i="7"/>
  <c r="Q39" i="7"/>
  <c r="J18" i="7"/>
  <c r="M18" i="7" s="1"/>
  <c r="J22" i="7"/>
  <c r="M22" i="7" s="1"/>
  <c r="P44" i="7"/>
  <c r="P46" i="7"/>
  <c r="P48" i="7"/>
  <c r="P50" i="7"/>
  <c r="P5" i="7"/>
  <c r="P7" i="7"/>
  <c r="P9" i="7"/>
  <c r="J11" i="7"/>
  <c r="M11" i="7" s="1"/>
  <c r="P31" i="7"/>
  <c r="P38" i="7"/>
  <c r="P41" i="7"/>
  <c r="M42" i="7"/>
  <c r="P15" i="7" l="1"/>
  <c r="Q17" i="7"/>
  <c r="P17" i="7"/>
  <c r="P11" i="7"/>
  <c r="Q11" i="7"/>
  <c r="Q18" i="7"/>
  <c r="P18" i="7"/>
  <c r="Q32" i="7"/>
  <c r="P32" i="7"/>
  <c r="P14" i="7"/>
  <c r="Q14" i="7"/>
  <c r="Q22" i="7"/>
  <c r="P22" i="7"/>
  <c r="J69" i="7"/>
  <c r="P10" i="7"/>
  <c r="M69" i="7"/>
  <c r="Q10" i="7"/>
  <c r="Q42" i="7"/>
  <c r="P42" i="7"/>
  <c r="Q16" i="7"/>
  <c r="P16" i="7"/>
  <c r="G83" i="7"/>
  <c r="G71" i="7"/>
  <c r="H69" i="7"/>
  <c r="Q69" i="7" l="1"/>
  <c r="P69" i="7"/>
  <c r="M42" i="3" l="1"/>
  <c r="L42" i="3"/>
  <c r="K42" i="3"/>
  <c r="J42" i="3"/>
  <c r="I42" i="3"/>
  <c r="H42" i="3"/>
  <c r="I47" i="3" s="1"/>
  <c r="J47" i="3" s="1"/>
  <c r="G42" i="3"/>
  <c r="B9" i="10" l="1"/>
  <c r="E21" i="10" l="1"/>
  <c r="I14" i="10"/>
  <c r="E5" i="10"/>
  <c r="F12" i="10"/>
  <c r="I7" i="10"/>
  <c r="H24" i="10"/>
  <c r="E10" i="10"/>
  <c r="J7" i="10"/>
  <c r="L14" i="10"/>
  <c r="L7" i="10"/>
  <c r="D4" i="10"/>
  <c r="E11" i="10"/>
  <c r="J9" i="10"/>
  <c r="J6" i="10"/>
  <c r="K11" i="10"/>
  <c r="J4" i="10"/>
  <c r="J8" i="10"/>
  <c r="K12" i="10"/>
  <c r="F11" i="10"/>
  <c r="G7" i="10"/>
  <c r="G5" i="10"/>
  <c r="F10" i="10"/>
  <c r="I13" i="10"/>
  <c r="E8" i="10"/>
  <c r="F8" i="10"/>
  <c r="E6" i="10"/>
  <c r="F6" i="10"/>
  <c r="H6" i="10"/>
  <c r="K9" i="10"/>
  <c r="K7" i="10"/>
  <c r="K5" i="10"/>
  <c r="H10" i="10"/>
  <c r="G6" i="10"/>
  <c r="K8" i="10"/>
  <c r="G11" i="10"/>
  <c r="E13" i="10"/>
  <c r="D7" i="10"/>
  <c r="I9" i="10"/>
  <c r="E12" i="10"/>
  <c r="K14" i="10"/>
  <c r="H9" i="10"/>
  <c r="F14" i="10"/>
  <c r="K6" i="10"/>
  <c r="D13" i="10"/>
  <c r="G8" i="10"/>
  <c r="I4" i="10"/>
  <c r="H8" i="10"/>
  <c r="L4" i="10"/>
  <c r="F9" i="10"/>
  <c r="J5" i="10"/>
  <c r="E4" i="10"/>
  <c r="K10" i="10"/>
  <c r="D10" i="10"/>
  <c r="G14" i="10"/>
  <c r="K4" i="10"/>
  <c r="E7" i="10"/>
  <c r="L9" i="10"/>
  <c r="J24" i="10"/>
  <c r="J12" i="10"/>
  <c r="D6" i="10"/>
  <c r="I8" i="10"/>
  <c r="H13" i="10"/>
  <c r="D5" i="10"/>
  <c r="H11" i="10"/>
  <c r="G9" i="10"/>
  <c r="G10" i="10"/>
  <c r="K13" i="10"/>
  <c r="H7" i="10"/>
  <c r="L13" i="10"/>
  <c r="E9" i="10"/>
  <c r="G13" i="10"/>
  <c r="H5" i="10"/>
  <c r="D12" i="10"/>
  <c r="J14" i="10"/>
  <c r="E14" i="10"/>
  <c r="D11" i="10"/>
  <c r="L12" i="10"/>
  <c r="L10" i="10"/>
  <c r="L11" i="10"/>
  <c r="I10" i="10"/>
  <c r="F5" i="10"/>
  <c r="H12" i="10"/>
  <c r="F7" i="10"/>
  <c r="J13" i="10"/>
  <c r="L24" i="10"/>
  <c r="L6" i="10"/>
  <c r="D14" i="10"/>
  <c r="L8" i="10"/>
  <c r="I6" i="10"/>
  <c r="D9" i="10"/>
  <c r="H4" i="10"/>
  <c r="I11" i="10"/>
  <c r="J11" i="10"/>
  <c r="H14" i="10"/>
  <c r="G12" i="10"/>
  <c r="I12" i="10"/>
  <c r="F4" i="10"/>
  <c r="J10" i="10"/>
  <c r="F13" i="10"/>
  <c r="D8" i="10"/>
  <c r="G4" i="10"/>
  <c r="I5" i="10"/>
  <c r="L5" i="10"/>
  <c r="E22" i="10" l="1"/>
  <c r="L23" i="10" s="1"/>
  <c r="L25" i="10" s="1"/>
  <c r="H23" i="10" l="1"/>
  <c r="H25" i="10" s="1"/>
  <c r="J23" i="10"/>
  <c r="J25" i="10" s="1"/>
  <c r="P8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tc={E3D98B5E-7837-8841-B2F2-BBA413DD5825}</author>
  </authors>
  <commentList>
    <comment ref="I12" authorId="0" shapeId="0" xr:uid="{E3D98B5E-7837-8841-B2F2-BBA413DD5825}">
      <text>
        <t>[Threaded comment]
Your version of Excel allows you to read this threaded comment; however, any edits to it will get removed if the file is opened in a newer version of Excel. Learn more: https://go.microsoft.com/fwlink/?linkid=870924
Comment:
    diferença de depósito acima de 11365.47 usd</t>
      </text>
    </comment>
  </commentList>
</comments>
</file>

<file path=xl/sharedStrings.xml><?xml version="1.0" encoding="utf-8"?>
<sst xmlns="http://schemas.openxmlformats.org/spreadsheetml/2006/main" count="790" uniqueCount="315">
  <si>
    <t>026/24</t>
  </si>
  <si>
    <t>Unroasted</t>
  </si>
  <si>
    <t>029/24</t>
  </si>
  <si>
    <t>023/24</t>
  </si>
  <si>
    <t>028/24</t>
  </si>
  <si>
    <t>027/24</t>
  </si>
  <si>
    <t>025/24</t>
  </si>
  <si>
    <t>035/24</t>
  </si>
  <si>
    <t>030/24</t>
  </si>
  <si>
    <t>024/24</t>
  </si>
  <si>
    <t>022/24</t>
  </si>
  <si>
    <t>019/24</t>
  </si>
  <si>
    <t>018/24</t>
  </si>
  <si>
    <t>Diferencial</t>
  </si>
  <si>
    <t># Sacas</t>
  </si>
  <si>
    <t>Código</t>
  </si>
  <si>
    <t>Cliente</t>
  </si>
  <si>
    <t>Preço (u$/sc)</t>
  </si>
  <si>
    <t>Data BL</t>
  </si>
  <si>
    <t>Southland</t>
  </si>
  <si>
    <t>031/24</t>
  </si>
  <si>
    <t>032/24</t>
  </si>
  <si>
    <t>021/24</t>
  </si>
  <si>
    <t>Contratos</t>
  </si>
  <si>
    <t>Los Baristas</t>
  </si>
  <si>
    <t>033/24</t>
  </si>
  <si>
    <t>034/24</t>
  </si>
  <si>
    <t>16/18</t>
  </si>
  <si>
    <t>14/16</t>
  </si>
  <si>
    <t>Grinders</t>
  </si>
  <si>
    <t>Escolha</t>
  </si>
  <si>
    <t>Louis Dreyfus</t>
  </si>
  <si>
    <t>Vários</t>
  </si>
  <si>
    <t>Moka</t>
  </si>
  <si>
    <t>Fine Cup</t>
  </si>
  <si>
    <t>Benedictos</t>
  </si>
  <si>
    <t>Ortu Sollis</t>
  </si>
  <si>
    <t>Petrus</t>
  </si>
  <si>
    <t>Brasilis</t>
  </si>
  <si>
    <t>Essentia</t>
  </si>
  <si>
    <t>Natural</t>
  </si>
  <si>
    <t>036/24</t>
  </si>
  <si>
    <t>Exportação</t>
  </si>
  <si>
    <t>037/24</t>
  </si>
  <si>
    <t>Melitta</t>
  </si>
  <si>
    <t>038/24</t>
  </si>
  <si>
    <t>Emporia GMBH</t>
  </si>
  <si>
    <t>039/24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</si>
  <si>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</si>
  <si>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</si>
  <si>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</si>
  <si>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</si>
  <si>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</si>
  <si>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</si>
  <si>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</si>
  <si>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</si>
  <si>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</si>
  <si>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VENDA/EMBARQUE</t>
  </si>
  <si>
    <t>960 SACAS NY + 10 BL 60</t>
  </si>
  <si>
    <t>160 SACAS NY + 25 BL 90</t>
  </si>
  <si>
    <t>640 SACAS NY + 10 BL 60</t>
  </si>
  <si>
    <t>320 SACAS NY - 28 BL 60</t>
  </si>
  <si>
    <t>320 SACAS NY + 10 BL 60</t>
  </si>
  <si>
    <t>160 SACAS NY - 8 BL 60</t>
  </si>
  <si>
    <t>UNROSTED</t>
  </si>
  <si>
    <t>320 SACAS NY + 50 BL 90</t>
  </si>
  <si>
    <t>320 SACAS NY - 8 BL 90</t>
  </si>
  <si>
    <t>RECEBIMENTO</t>
  </si>
  <si>
    <t>320 SACOS NY + 25 A VISTA</t>
  </si>
  <si>
    <t>XORXOS</t>
  </si>
  <si>
    <t>320 SACAS $ 325,00 BL 30/60/90/120</t>
  </si>
  <si>
    <t>SOUTHLAND</t>
  </si>
  <si>
    <t>EXPORTACAO</t>
  </si>
  <si>
    <t>RESIDUO</t>
  </si>
  <si>
    <t>EMBARCADO E FIXADO</t>
  </si>
  <si>
    <t>EMARCADO E NÃO FIXADO TRAVA 243,16</t>
  </si>
  <si>
    <t>ESTUFADO TRAVA 240,91</t>
  </si>
  <si>
    <t>TRAVA 240,91</t>
  </si>
  <si>
    <t xml:space="preserve">DOLAR </t>
  </si>
  <si>
    <t>REAIS</t>
  </si>
  <si>
    <t>TRAVA 338,17</t>
  </si>
  <si>
    <t>TRAVA 284,30 REF MARCO TELA SEM TRAVA</t>
  </si>
  <si>
    <t>TRAVA 243,16</t>
  </si>
  <si>
    <t>Data</t>
  </si>
  <si>
    <t>040/24</t>
  </si>
  <si>
    <t>041/24</t>
  </si>
  <si>
    <t>55 Coffee</t>
  </si>
  <si>
    <t>042/24</t>
  </si>
  <si>
    <t>043/24</t>
  </si>
  <si>
    <t>Mercado Interno</t>
  </si>
  <si>
    <t>Preço (R$/sc)</t>
  </si>
  <si>
    <t>Xorxios</t>
  </si>
  <si>
    <t>OK</t>
  </si>
  <si>
    <t>NF</t>
  </si>
  <si>
    <t>Londe e Ribeiro</t>
  </si>
  <si>
    <t>268/270</t>
  </si>
  <si>
    <t>111818/111830</t>
  </si>
  <si>
    <t>323/329</t>
  </si>
  <si>
    <t>RECUSADO</t>
  </si>
  <si>
    <t>VENDAS CAFÉ SAFRA 2023/2024</t>
  </si>
  <si>
    <t>QUANT</t>
  </si>
  <si>
    <t>DATA</t>
  </si>
  <si>
    <t>CLIENTE</t>
  </si>
  <si>
    <t>TRANSPORTADOR</t>
  </si>
  <si>
    <t>PLACA</t>
  </si>
  <si>
    <t>QUANT. KG</t>
  </si>
  <si>
    <t>PREÇO/KG</t>
  </si>
  <si>
    <t>RECEITA TOTAL</t>
  </si>
  <si>
    <t>FUNRURAL</t>
  </si>
  <si>
    <t>COMISSÃO</t>
  </si>
  <si>
    <t>PREMIO</t>
  </si>
  <si>
    <t>RECEITA LIQUIDA</t>
  </si>
  <si>
    <t>DEPOSITOS</t>
  </si>
  <si>
    <t>EDSON</t>
  </si>
  <si>
    <t>MAURICIO</t>
  </si>
  <si>
    <t>SITUAÇÃO</t>
  </si>
  <si>
    <t>OLAM AGRICOLA LTDA</t>
  </si>
  <si>
    <t>FH &amp; MARTINS TRANSPORTES LTDA</t>
  </si>
  <si>
    <t>GVK6532</t>
  </si>
  <si>
    <t>GXM3495</t>
  </si>
  <si>
    <t>BTR7755</t>
  </si>
  <si>
    <t>HDI5D13</t>
  </si>
  <si>
    <t>MDI2107</t>
  </si>
  <si>
    <t>EXPERIMENTAL AGRICOLA DO BRASIL LTDA (ILLY)</t>
  </si>
  <si>
    <t>RODOCOFFEE LTDA</t>
  </si>
  <si>
    <t>KEU7764</t>
  </si>
  <si>
    <t>DANIEL CARVALHO</t>
  </si>
  <si>
    <t>CAFEBRAS COMERCIO DE CAFES DO BRASIL S/A</t>
  </si>
  <si>
    <t>TRANSPARENCY LOGISTICA E TRANSPORTES LTDA</t>
  </si>
  <si>
    <t>KTN4A79</t>
  </si>
  <si>
    <t>QXV6H94</t>
  </si>
  <si>
    <t>BXJ3679</t>
  </si>
  <si>
    <t>HJS2432</t>
  </si>
  <si>
    <t>GRANO TRADING EXPORT. E IMPORT. LTDA</t>
  </si>
  <si>
    <t>TRANSCOFFE TRANSPORTADORA LTDA</t>
  </si>
  <si>
    <t>RNE2C88</t>
  </si>
  <si>
    <t>LOUIS DREYFUS COMPANY BRASIL S.A.</t>
  </si>
  <si>
    <t>TRANSPORTADORA EUROCAFE EIRELI</t>
  </si>
  <si>
    <t>MWF6H33</t>
  </si>
  <si>
    <t xml:space="preserve">55 COFFEE HUB PRODUTOS E SERVIÇOS </t>
  </si>
  <si>
    <t>RODONAVES</t>
  </si>
  <si>
    <t>ABEX EXPORTAÇÃO E COMERCIO DE CAFÉ LTDA</t>
  </si>
  <si>
    <t>LAURO PINTO DA MOTA</t>
  </si>
  <si>
    <t>HNM3F03</t>
  </si>
  <si>
    <t>SUCAFINA BRASIL INDUSTRIA, COM. E EXPORTAÇÃO LTDA</t>
  </si>
  <si>
    <t>SOUZA E RABELO TRANSPORTES LTDA-ME</t>
  </si>
  <si>
    <t>GPY6207</t>
  </si>
  <si>
    <t>15/05 2.800,00 - 19/07 5.600,00 - 24/10 5.000,00</t>
  </si>
  <si>
    <t>realizado</t>
  </si>
  <si>
    <t>CSG MARKETING LTDA</t>
  </si>
  <si>
    <t>LONDE E RIBEIRO AGRONEGOCIOS LTDA</t>
  </si>
  <si>
    <t>DANIEL DENIS EUZEBIO</t>
  </si>
  <si>
    <t>GSH6627</t>
  </si>
  <si>
    <t>GARDINGO TRADE IMPORTAÇÃO E EXPORTAÇÃO LTDA</t>
  </si>
  <si>
    <t>COFFEETRANS TRANSPORTES LTDA</t>
  </si>
  <si>
    <t>WARLEM NUNES DA SILVA</t>
  </si>
  <si>
    <t>AQU5J91</t>
  </si>
  <si>
    <t>AW TRADING SP. Z.O.O.</t>
  </si>
  <si>
    <t>ATMA LOGISTICA E TRANSPORTES LTDA</t>
  </si>
  <si>
    <t>RMT1I17</t>
  </si>
  <si>
    <t>KQD0J21</t>
  </si>
  <si>
    <t>EMPORIA GMBH</t>
  </si>
  <si>
    <t>CPJ4128</t>
  </si>
  <si>
    <t>BRM0143</t>
  </si>
  <si>
    <t>BTS9B66</t>
  </si>
  <si>
    <t>BYH8834</t>
  </si>
  <si>
    <t>ITAH COMERCIAL EXPORTADORA LTDA</t>
  </si>
  <si>
    <t>ALESSANDRO FERREIRA DE CARVALHO</t>
  </si>
  <si>
    <t>HHK8G80</t>
  </si>
  <si>
    <t>SHF7A22</t>
  </si>
  <si>
    <t>EXPOCACCER - COOP CAFEICULTORES DO CERRADO</t>
  </si>
  <si>
    <t>VICENTE AUGUSTO LOURENÇO</t>
  </si>
  <si>
    <t>JLG2540</t>
  </si>
  <si>
    <t>SYF7A01</t>
  </si>
  <si>
    <t>SLM COFFEE PTY LTD T/AS</t>
  </si>
  <si>
    <t>MUNDO CAFÉ MAQUINAS E EQUIPAMENTOS LTDA</t>
  </si>
  <si>
    <t>05/12 E 06/12/2024</t>
  </si>
  <si>
    <t>MELITTA DO BRASIL INDUSTRIA E COMERCIO LTDA</t>
  </si>
  <si>
    <t>RETORNO CAFÉ SAFRA 2023/2024</t>
  </si>
  <si>
    <t>EDSON LUIZ IGNACIO</t>
  </si>
  <si>
    <t>CESAR</t>
  </si>
  <si>
    <t>044/24</t>
  </si>
  <si>
    <t>045/24</t>
  </si>
  <si>
    <t>046/24</t>
  </si>
  <si>
    <t>047/24</t>
  </si>
  <si>
    <t>Contrato</t>
  </si>
  <si>
    <t>305.000,00 12/09/2024</t>
  </si>
  <si>
    <t>174.205,44 14/11/2024</t>
  </si>
  <si>
    <t>02/01/25 5.5500,00</t>
  </si>
  <si>
    <t>LOS BARISTAS CASA DE CAFES LTDA</t>
  </si>
  <si>
    <t>13/12/24 4.986,02</t>
  </si>
  <si>
    <t>20/01/25 4.986,02</t>
  </si>
  <si>
    <t>XORXIOS, SL</t>
  </si>
  <si>
    <t>Invoice</t>
  </si>
  <si>
    <t>Ptax</t>
  </si>
  <si>
    <t>Nota Inicial</t>
  </si>
  <si>
    <t>Número NF</t>
  </si>
  <si>
    <t>Diferença DU-E</t>
  </si>
  <si>
    <t>DU-E</t>
  </si>
  <si>
    <t>Nota Complementar</t>
  </si>
  <si>
    <t>EDL 02/23</t>
  </si>
  <si>
    <t>Emporia</t>
  </si>
  <si>
    <t>027 e 28/24</t>
  </si>
  <si>
    <t>TX</t>
  </si>
  <si>
    <t>V.M.N.</t>
  </si>
  <si>
    <t>V.M.E.</t>
  </si>
  <si>
    <t>Número NF Comp.</t>
  </si>
  <si>
    <t>Fees</t>
  </si>
  <si>
    <t>À ver</t>
  </si>
  <si>
    <t>Variação Cambial</t>
  </si>
  <si>
    <t>ANO</t>
  </si>
  <si>
    <t>Número Documento</t>
  </si>
  <si>
    <t>Valor M. E.</t>
  </si>
  <si>
    <t>Tx. Cliente</t>
  </si>
  <si>
    <t>Valor M.N.</t>
  </si>
  <si>
    <t>Data M.N.</t>
  </si>
  <si>
    <t>Data M.E.</t>
  </si>
  <si>
    <t>Valor Nota</t>
  </si>
  <si>
    <t>TX Nota</t>
  </si>
  <si>
    <t>Variação cambial</t>
  </si>
  <si>
    <t>Unroasted 018, 019, 022</t>
  </si>
  <si>
    <t>424, 425 e 426</t>
  </si>
  <si>
    <t>Emporia 88USD</t>
  </si>
  <si>
    <t>Unroasted 016</t>
  </si>
  <si>
    <t>275, 276 e 283</t>
  </si>
  <si>
    <t>Southland 031/24</t>
  </si>
  <si>
    <t>Xorxios 021/24</t>
  </si>
  <si>
    <t>Data/Hora</t>
  </si>
  <si>
    <t>escala</t>
  </si>
  <si>
    <t>USD/KC DEZ25</t>
  </si>
  <si>
    <t>usd</t>
  </si>
  <si>
    <t>preço médio*</t>
  </si>
  <si>
    <t>* preço médio dos três contratos de hedge 17.70 @	179.00, 7.00 @196.10 e 10.60 @ 222.20.</t>
  </si>
  <si>
    <t>scs**</t>
  </si>
  <si>
    <t>** volume dos contratos em sacas</t>
  </si>
  <si>
    <t>Cenário A</t>
  </si>
  <si>
    <t>Cenário B</t>
  </si>
  <si>
    <t>Cenário C</t>
  </si>
  <si>
    <t>Produção</t>
  </si>
  <si>
    <t>scs</t>
  </si>
  <si>
    <t>Vende 10 mil a preço de tela, paga o</t>
  </si>
  <si>
    <t>Hedgeadas</t>
  </si>
  <si>
    <t>hedge. Saldo a:</t>
  </si>
  <si>
    <t>Saldo</t>
  </si>
  <si>
    <t>Receita (R$ M)</t>
  </si>
  <si>
    <t>Preço (c/lb)</t>
  </si>
  <si>
    <t>(-) Hedge</t>
  </si>
  <si>
    <t>Resultado (R$ M)</t>
  </si>
  <si>
    <t>mil dólares</t>
  </si>
  <si>
    <t>para cada 10 centavos no dólar</t>
  </si>
  <si>
    <t>mil reais</t>
  </si>
  <si>
    <t>para cada 10 pts no café</t>
  </si>
  <si>
    <t>janeiro</t>
  </si>
  <si>
    <t>PTAX</t>
  </si>
  <si>
    <t>Receita U$</t>
  </si>
  <si>
    <t>Receita R$</t>
  </si>
  <si>
    <t>050/24</t>
  </si>
  <si>
    <t>Mundo Café</t>
  </si>
  <si>
    <t>049/25</t>
  </si>
  <si>
    <t>051/25</t>
  </si>
  <si>
    <t>052/25</t>
  </si>
  <si>
    <t>053/25</t>
  </si>
  <si>
    <t>054/25</t>
  </si>
  <si>
    <t>055/25</t>
  </si>
  <si>
    <t>AW Trading - Unroasted</t>
  </si>
  <si>
    <t>Data Pagamento</t>
  </si>
  <si>
    <t>Parcelas</t>
  </si>
  <si>
    <t>BRL=X</t>
  </si>
  <si>
    <t>KC=F</t>
  </si>
  <si>
    <t>Saca (R$)</t>
  </si>
  <si>
    <t>data da última atualização</t>
  </si>
  <si>
    <t>Saca (U$)</t>
  </si>
  <si>
    <t>Preço (cts/lb) *</t>
  </si>
  <si>
    <t>Safra</t>
  </si>
  <si>
    <t>Mercado</t>
  </si>
  <si>
    <t>Peneira</t>
  </si>
  <si>
    <t>Qualidade</t>
  </si>
  <si>
    <t>NaN</t>
  </si>
  <si>
    <t>Spread Bancário</t>
  </si>
  <si>
    <t>048/24</t>
  </si>
  <si>
    <t>013/24</t>
  </si>
  <si>
    <t>011/24</t>
  </si>
  <si>
    <t>056/25</t>
  </si>
  <si>
    <t>057/25</t>
  </si>
  <si>
    <t>058/25</t>
  </si>
  <si>
    <t>059/25</t>
  </si>
  <si>
    <t>060/25</t>
  </si>
  <si>
    <t>061/25</t>
  </si>
  <si>
    <t>062/25</t>
  </si>
  <si>
    <t>063/25</t>
  </si>
  <si>
    <t>064/25</t>
  </si>
  <si>
    <t>065/25</t>
  </si>
  <si>
    <t>Gran Terroir</t>
  </si>
  <si>
    <t>Titulus</t>
  </si>
  <si>
    <t>Subtotal 2025</t>
  </si>
  <si>
    <t>Liq. (cts/lb)</t>
  </si>
  <si>
    <t>Vencimento</t>
  </si>
  <si>
    <t>Resultado U$</t>
  </si>
  <si>
    <t>Itaú BBA</t>
  </si>
  <si>
    <t>Rabobank</t>
  </si>
  <si>
    <t>Resultado R$</t>
  </si>
  <si>
    <t>Subtotal 2026</t>
  </si>
  <si>
    <t>Vendas Contratadas - Safra 2026</t>
  </si>
  <si>
    <t>Operações de NDF - Safra 2026</t>
  </si>
  <si>
    <t>Vendas Contratadas - Safra 2025</t>
  </si>
  <si>
    <t>Operações de NDF - Safra 2025</t>
  </si>
  <si>
    <t>Operação estruturada</t>
  </si>
  <si>
    <t>tipo</t>
  </si>
  <si>
    <t>strike (cts/lb)</t>
  </si>
  <si>
    <t>venda  de put</t>
  </si>
  <si>
    <t>compra de call</t>
  </si>
  <si>
    <t>vende call</t>
  </si>
  <si>
    <t>Sub-total Operação Estruturada</t>
  </si>
  <si>
    <t>compra de put</t>
  </si>
  <si>
    <t>venda de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</si>
</sst>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"/>
    <numFmt numFmtId="166" formatCode="0.0"/>
    <numFmt numFmtId="167" formatCode="_-[$$-409]* #,##0.00_ ;_-[$$-409]* \-#,##0.00\ ;_-[$$-409]* &quot;-&quot;??_ ;_-@_ "/>
    <numFmt numFmtId="168" formatCode="0.0%"/>
    <numFmt numFmtId="169" formatCode="#,##0_ ;[Red]\-#,##0\ "/>
  </numFmts>
  <fonts count="21" x14ac:knownFonts="1">
    <font>
      <sz val="12"/>
      <color theme="1"/>
      <name val="Aptos Narrow"/>
      <family val="2"/>
      <scheme val="minor"/>
    </font>
    <font>
      <sz val="10"/>
      <color theme="0"/>
      <name val="Aptos Narrow"/>
      <scheme val="minor"/>
    </font>
    <font>
      <sz val="10"/>
      <color theme="1"/>
      <name val="Aptos Narrow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2"/>
      <color theme="1"/>
      <name val="Aptos Narrow"/>
      <scheme val="minor"/>
    </font>
    <font>
      <b/>
      <sz val="10"/>
      <color rgb="FFFF0000"/>
      <name val="Aptos Narrow"/>
      <scheme val="minor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sz val="14"/>
      <color theme="0"/>
      <name val="Aptos Narrow"/>
      <scheme val="minor"/>
    </font>
    <font>
      <sz val="14"/>
      <name val="Aptos Narrow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4999237037263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21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1" borderId="0" xfId="0" applyFill="1" applyAlignment="1">
      <alignment horizontal="center"/>
    </xf>
    <xf numFmtId="4" fontId="0" fillId="6" borderId="0" xfId="0" applyNumberFormat="1" applyFill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8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4" fontId="0" fillId="10" borderId="5" xfId="0" applyNumberFormat="1" applyFill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11" borderId="0" xfId="0" applyNumberFormat="1" applyFill="1" applyAlignment="1">
      <alignment horizontal="center"/>
    </xf>
    <xf numFmtId="4" fontId="0" fillId="5" borderId="0" xfId="0" applyNumberFormat="1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4" fontId="0" fillId="2" borderId="7" xfId="0" applyNumberFormat="1" applyFill="1" applyBorder="1" applyAlignment="1">
      <alignment horizontal="center"/>
    </xf>
    <xf numFmtId="4" fontId="0" fillId="11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4" fontId="0" fillId="4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7" xfId="0" applyNumberFormat="1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3" fillId="0" borderId="0" xfId="0" applyNumberFormat="1" applyFont="1"/>
    <xf numFmtId="0" fontId="0" fillId="6" borderId="0" xfId="0" applyFill="1"/>
    <xf numFmtId="0" fontId="0" fillId="7" borderId="0" xfId="0" applyFill="1"/>
    <xf numFmtId="0" fontId="0" fillId="11" borderId="0" xfId="0" applyFill="1"/>
    <xf numFmtId="0" fontId="0" fillId="8" borderId="0" xfId="0" applyFill="1"/>
    <xf numFmtId="0" fontId="0" fillId="10" borderId="0" xfId="0" applyFill="1"/>
    <xf numFmtId="0" fontId="0" fillId="9" borderId="0" xfId="0" applyFill="1"/>
    <xf numFmtId="0" fontId="0" fillId="5" borderId="0" xfId="0" applyFill="1"/>
    <xf numFmtId="0" fontId="0" fillId="4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/>
    <xf numFmtId="0" fontId="8" fillId="0" borderId="0" xfId="1" applyFont="1"/>
    <xf numFmtId="0" fontId="7" fillId="0" borderId="0" xfId="1"/>
    <xf numFmtId="14" fontId="7" fillId="0" borderId="0" xfId="1" applyNumberFormat="1"/>
    <xf numFmtId="0" fontId="7" fillId="0" borderId="1" xfId="1" applyBorder="1"/>
    <xf numFmtId="0" fontId="7" fillId="0" borderId="2" xfId="1" applyBorder="1"/>
    <xf numFmtId="0" fontId="7" fillId="11" borderId="2" xfId="1" applyFill="1" applyBorder="1"/>
    <xf numFmtId="0" fontId="7" fillId="0" borderId="3" xfId="1" applyBorder="1"/>
    <xf numFmtId="0" fontId="7" fillId="0" borderId="4" xfId="1" applyBorder="1" applyAlignment="1">
      <alignment horizontal="center"/>
    </xf>
    <xf numFmtId="1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4" fontId="7" fillId="0" borderId="0" xfId="1" applyNumberFormat="1"/>
    <xf numFmtId="0" fontId="7" fillId="11" borderId="0" xfId="1" applyFill="1"/>
    <xf numFmtId="4" fontId="7" fillId="16" borderId="0" xfId="1" applyNumberFormat="1" applyFill="1"/>
    <xf numFmtId="4" fontId="7" fillId="0" borderId="0" xfId="1" applyNumberFormat="1" applyAlignment="1">
      <alignment horizontal="center"/>
    </xf>
    <xf numFmtId="4" fontId="7" fillId="0" borderId="4" xfId="1" applyNumberFormat="1" applyBorder="1"/>
    <xf numFmtId="4" fontId="7" fillId="0" borderId="5" xfId="1" applyNumberFormat="1" applyBorder="1"/>
    <xf numFmtId="0" fontId="7" fillId="0" borderId="5" xfId="1" applyBorder="1"/>
    <xf numFmtId="4" fontId="7" fillId="11" borderId="0" xfId="1" applyNumberFormat="1" applyFill="1"/>
    <xf numFmtId="4" fontId="7" fillId="6" borderId="0" xfId="1" applyNumberFormat="1" applyFill="1"/>
    <xf numFmtId="4" fontId="7" fillId="11" borderId="5" xfId="1" applyNumberFormat="1" applyFill="1" applyBorder="1"/>
    <xf numFmtId="4" fontId="9" fillId="0" borderId="0" xfId="1" applyNumberFormat="1" applyFont="1"/>
    <xf numFmtId="4" fontId="10" fillId="6" borderId="0" xfId="1" applyNumberFormat="1" applyFont="1" applyFill="1"/>
    <xf numFmtId="4" fontId="7" fillId="0" borderId="0" xfId="1" quotePrefix="1" applyNumberFormat="1"/>
    <xf numFmtId="4" fontId="7" fillId="11" borderId="0" xfId="1" quotePrefix="1" applyNumberFormat="1" applyFill="1"/>
    <xf numFmtId="0" fontId="7" fillId="11" borderId="0" xfId="1" applyFill="1" applyAlignment="1">
      <alignment horizontal="center"/>
    </xf>
    <xf numFmtId="2" fontId="7" fillId="0" borderId="0" xfId="1" applyNumberFormat="1"/>
    <xf numFmtId="0" fontId="7" fillId="0" borderId="6" xfId="1" applyBorder="1" applyAlignment="1">
      <alignment horizontal="center"/>
    </xf>
    <xf numFmtId="0" fontId="7" fillId="0" borderId="7" xfId="1" applyBorder="1"/>
    <xf numFmtId="4" fontId="7" fillId="0" borderId="7" xfId="1" applyNumberFormat="1" applyBorder="1"/>
    <xf numFmtId="4" fontId="7" fillId="0" borderId="6" xfId="1" applyNumberFormat="1" applyBorder="1"/>
    <xf numFmtId="4" fontId="7" fillId="0" borderId="8" xfId="1" applyNumberFormat="1" applyBorder="1"/>
    <xf numFmtId="0" fontId="7" fillId="2" borderId="0" xfId="1" applyFill="1"/>
    <xf numFmtId="4" fontId="7" fillId="2" borderId="0" xfId="1" applyNumberFormat="1" applyFill="1"/>
    <xf numFmtId="14" fontId="7" fillId="2" borderId="0" xfId="1" applyNumberFormat="1" applyFill="1"/>
    <xf numFmtId="0" fontId="2" fillId="2" borderId="0" xfId="0" applyFont="1" applyFill="1" applyAlignment="1">
      <alignment vertical="center"/>
    </xf>
    <xf numFmtId="0" fontId="7" fillId="11" borderId="4" xfId="1" applyFill="1" applyBorder="1" applyAlignment="1">
      <alignment horizontal="center"/>
    </xf>
    <xf numFmtId="14" fontId="7" fillId="11" borderId="0" xfId="1" applyNumberFormat="1" applyFill="1"/>
    <xf numFmtId="4" fontId="9" fillId="11" borderId="0" xfId="1" applyNumberFormat="1" applyFont="1" applyFill="1"/>
    <xf numFmtId="4" fontId="7" fillId="11" borderId="4" xfId="1" applyNumberFormat="1" applyFill="1" applyBorder="1"/>
    <xf numFmtId="0" fontId="7" fillId="15" borderId="4" xfId="1" applyFill="1" applyBorder="1" applyAlignment="1">
      <alignment horizontal="center"/>
    </xf>
    <xf numFmtId="14" fontId="7" fillId="15" borderId="0" xfId="1" applyNumberFormat="1" applyFill="1"/>
    <xf numFmtId="0" fontId="7" fillId="15" borderId="0" xfId="1" applyFill="1"/>
    <xf numFmtId="0" fontId="7" fillId="15" borderId="0" xfId="1" applyFill="1" applyAlignment="1">
      <alignment horizontal="center"/>
    </xf>
    <xf numFmtId="4" fontId="7" fillId="15" borderId="0" xfId="1" applyNumberFormat="1" applyFill="1"/>
    <xf numFmtId="4" fontId="7" fillId="15" borderId="4" xfId="1" applyNumberFormat="1" applyFill="1" applyBorder="1"/>
    <xf numFmtId="4" fontId="7" fillId="15" borderId="5" xfId="1" applyNumberFormat="1" applyFill="1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1" fontId="11" fillId="3" borderId="0" xfId="0" applyNumberFormat="1" applyFont="1" applyFill="1" applyAlignment="1">
      <alignment horizontal="center"/>
    </xf>
    <xf numFmtId="164" fontId="11" fillId="3" borderId="0" xfId="0" applyNumberFormat="1" applyFont="1" applyFill="1" applyAlignment="1">
      <alignment horizontal="center"/>
    </xf>
    <xf numFmtId="0" fontId="11" fillId="14" borderId="0" xfId="0" applyFont="1" applyFill="1" applyAlignment="1">
      <alignment horizontal="center"/>
    </xf>
    <xf numFmtId="4" fontId="0" fillId="15" borderId="0" xfId="0" applyNumberForma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1" fillId="13" borderId="0" xfId="0" applyFont="1" applyFill="1" applyAlignment="1">
      <alignment horizontal="center"/>
    </xf>
    <xf numFmtId="0" fontId="12" fillId="13" borderId="9" xfId="0" applyFont="1" applyFill="1" applyBorder="1" applyAlignment="1">
      <alignment horizontal="center" vertical="center" wrapText="1"/>
    </xf>
    <xf numFmtId="1" fontId="12" fillId="13" borderId="9" xfId="0" applyNumberFormat="1" applyFont="1" applyFill="1" applyBorder="1" applyAlignment="1">
      <alignment horizontal="center" vertical="center" wrapText="1"/>
    </xf>
    <xf numFmtId="0" fontId="12" fillId="13" borderId="9" xfId="0" applyFont="1" applyFill="1" applyBorder="1" applyAlignment="1">
      <alignment wrapText="1"/>
    </xf>
    <xf numFmtId="0" fontId="12" fillId="13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center" wrapText="1"/>
    </xf>
    <xf numFmtId="4" fontId="0" fillId="15" borderId="0" xfId="0" applyNumberFormat="1" applyFill="1" applyAlignment="1">
      <alignment vertical="center" wrapText="1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wrapText="1"/>
    </xf>
    <xf numFmtId="1" fontId="1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15" borderId="0" xfId="0" applyNumberForma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/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2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1" fontId="14" fillId="2" borderId="0" xfId="0" applyNumberFormat="1" applyFont="1" applyFill="1" applyAlignment="1">
      <alignment horizontal="center" vertical="center"/>
    </xf>
    <xf numFmtId="165" fontId="14" fillId="2" borderId="9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/>
    <xf numFmtId="166" fontId="15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166" fontId="0" fillId="2" borderId="0" xfId="0" applyNumberFormat="1" applyFill="1" applyAlignment="1">
      <alignment horizontal="center"/>
    </xf>
    <xf numFmtId="0" fontId="15" fillId="2" borderId="0" xfId="0" applyFont="1" applyFill="1" applyAlignment="1">
      <alignment horizontal="left"/>
    </xf>
    <xf numFmtId="2" fontId="0" fillId="2" borderId="0" xfId="0" applyNumberForma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vertical="center"/>
    </xf>
    <xf numFmtId="165" fontId="2" fillId="2" borderId="0" xfId="0" applyNumberFormat="1" applyFont="1" applyFill="1"/>
    <xf numFmtId="165" fontId="2" fillId="2" borderId="0" xfId="0" applyNumberFormat="1" applyFont="1" applyFill="1" applyAlignment="1">
      <alignment vertical="center"/>
    </xf>
    <xf numFmtId="0" fontId="12" fillId="15" borderId="9" xfId="0" applyFont="1" applyFill="1" applyBorder="1" applyAlignment="1">
      <alignment horizontal="center" wrapText="1"/>
    </xf>
    <xf numFmtId="2" fontId="2" fillId="2" borderId="0" xfId="0" applyNumberFormat="1" applyFont="1" applyFill="1"/>
    <xf numFmtId="0" fontId="1" fillId="12" borderId="0" xfId="0" applyFont="1" applyFill="1" applyAlignment="1">
      <alignment horizontal="center"/>
    </xf>
    <xf numFmtId="2" fontId="1" fillId="1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3" fontId="1" fillId="12" borderId="0" xfId="0" applyNumberFormat="1" applyFont="1" applyFill="1" applyAlignment="1">
      <alignment horizontal="center"/>
    </xf>
    <xf numFmtId="165" fontId="1" fillId="12" borderId="0" xfId="0" applyNumberFormat="1" applyFont="1" applyFill="1" applyAlignment="1">
      <alignment horizontal="center"/>
    </xf>
    <xf numFmtId="17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165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/>
    <xf numFmtId="14" fontId="2" fillId="2" borderId="0" xfId="0" applyNumberFormat="1" applyFont="1" applyFill="1" applyAlignment="1">
      <alignment horizontal="center"/>
    </xf>
    <xf numFmtId="14" fontId="1" fillId="1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4" fontId="16" fillId="2" borderId="0" xfId="0" applyNumberFormat="1" applyFont="1" applyFill="1" applyAlignment="1">
      <alignment horizontal="center"/>
    </xf>
    <xf numFmtId="0" fontId="17" fillId="2" borderId="0" xfId="0" applyFont="1" applyFill="1"/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/>
    <xf numFmtId="165" fontId="17" fillId="2" borderId="0" xfId="0" applyNumberFormat="1" applyFont="1" applyFill="1"/>
    <xf numFmtId="3" fontId="17" fillId="2" borderId="0" xfId="0" applyNumberFormat="1" applyFont="1" applyFill="1" applyAlignment="1">
      <alignment horizontal="center"/>
    </xf>
    <xf numFmtId="0" fontId="18" fillId="2" borderId="10" xfId="0" applyFont="1" applyFill="1" applyBorder="1"/>
    <xf numFmtId="0" fontId="17" fillId="2" borderId="10" xfId="0" applyFont="1" applyFill="1" applyBorder="1" applyAlignment="1">
      <alignment horizontal="center"/>
    </xf>
    <xf numFmtId="0" fontId="17" fillId="2" borderId="10" xfId="0" applyFont="1" applyFill="1" applyBorder="1"/>
    <xf numFmtId="0" fontId="19" fillId="12" borderId="0" xfId="0" applyFont="1" applyFill="1" applyAlignment="1">
      <alignment horizontal="center"/>
    </xf>
    <xf numFmtId="2" fontId="19" fillId="12" borderId="0" xfId="0" applyNumberFormat="1" applyFont="1" applyFill="1" applyAlignment="1">
      <alignment horizontal="center"/>
    </xf>
    <xf numFmtId="165" fontId="19" fillId="12" borderId="0" xfId="0" applyNumberFormat="1" applyFont="1" applyFill="1" applyAlignment="1">
      <alignment horizontal="center"/>
    </xf>
    <xf numFmtId="3" fontId="19" fillId="1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/>
    </xf>
    <xf numFmtId="17" fontId="17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165" fontId="17" fillId="2" borderId="0" xfId="0" applyNumberFormat="1" applyFont="1" applyFill="1" applyAlignment="1">
      <alignment horizontal="center"/>
    </xf>
    <xf numFmtId="0" fontId="18" fillId="17" borderId="0" xfId="0" applyFont="1" applyFill="1" applyAlignment="1">
      <alignment horizontal="center"/>
    </xf>
    <xf numFmtId="0" fontId="18" fillId="17" borderId="0" xfId="0" applyFont="1" applyFill="1" applyAlignment="1">
      <alignment horizontal="left"/>
    </xf>
    <xf numFmtId="17" fontId="18" fillId="17" borderId="0" xfId="0" applyNumberFormat="1" applyFont="1" applyFill="1" applyAlignment="1">
      <alignment horizontal="center"/>
    </xf>
    <xf numFmtId="2" fontId="18" fillId="17" borderId="0" xfId="0" applyNumberFormat="1" applyFont="1" applyFill="1" applyAlignment="1">
      <alignment horizontal="center"/>
    </xf>
    <xf numFmtId="1" fontId="18" fillId="17" borderId="0" xfId="0" applyNumberFormat="1" applyFont="1" applyFill="1" applyAlignment="1">
      <alignment horizontal="center"/>
    </xf>
    <xf numFmtId="165" fontId="18" fillId="17" borderId="0" xfId="0" applyNumberFormat="1" applyFont="1" applyFill="1" applyAlignment="1">
      <alignment horizontal="center"/>
    </xf>
    <xf numFmtId="3" fontId="18" fillId="17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0" xfId="0" applyFont="1" applyFill="1" applyAlignment="1">
      <alignment horizontal="left"/>
    </xf>
    <xf numFmtId="17" fontId="18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1" fontId="18" fillId="2" borderId="0" xfId="0" applyNumberFormat="1" applyFont="1" applyFill="1" applyAlignment="1">
      <alignment horizontal="center"/>
    </xf>
    <xf numFmtId="165" fontId="18" fillId="2" borderId="0" xfId="0" applyNumberFormat="1" applyFont="1" applyFill="1" applyAlignment="1">
      <alignment horizontal="center"/>
    </xf>
    <xf numFmtId="3" fontId="18" fillId="2" borderId="0" xfId="0" applyNumberFormat="1" applyFont="1" applyFill="1" applyAlignment="1">
      <alignment horizontal="center"/>
    </xf>
    <xf numFmtId="0" fontId="19" fillId="3" borderId="0" xfId="0" applyFont="1" applyFill="1"/>
    <xf numFmtId="0" fontId="19" fillId="3" borderId="0" xfId="0" applyFont="1" applyFill="1" applyAlignment="1">
      <alignment horizontal="center"/>
    </xf>
    <xf numFmtId="3" fontId="19" fillId="3" borderId="0" xfId="0" applyNumberFormat="1" applyFont="1" applyFill="1" applyAlignment="1">
      <alignment horizontal="center"/>
    </xf>
    <xf numFmtId="1" fontId="17" fillId="2" borderId="0" xfId="0" applyNumberFormat="1" applyFont="1" applyFill="1" applyAlignment="1">
      <alignment horizontal="center"/>
    </xf>
    <xf numFmtId="14" fontId="17" fillId="2" borderId="0" xfId="0" applyNumberFormat="1" applyFont="1" applyFill="1" applyAlignment="1">
      <alignment horizontal="center"/>
    </xf>
    <xf numFmtId="169" fontId="20" fillId="2" borderId="0" xfId="0" applyNumberFormat="1" applyFont="1" applyFill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2" fontId="17" fillId="2" borderId="10" xfId="0" applyNumberFormat="1" applyFont="1" applyFill="1" applyBorder="1" applyAlignment="1">
      <alignment horizontal="center"/>
    </xf>
    <xf numFmtId="0" fontId="18" fillId="17" borderId="11" xfId="0" applyFont="1" applyFill="1" applyBorder="1" applyAlignment="1">
      <alignment horizontal="center"/>
    </xf>
    <xf numFmtId="1" fontId="18" fillId="17" borderId="11" xfId="0" applyNumberFormat="1" applyFont="1" applyFill="1" applyBorder="1" applyAlignment="1">
      <alignment horizontal="center"/>
    </xf>
    <xf numFmtId="0" fontId="18" fillId="2" borderId="10" xfId="0" applyFont="1" applyFill="1" applyBorder="1" applyAlignment="1">
      <alignment horizontal="left"/>
    </xf>
    <xf numFmtId="3" fontId="18" fillId="2" borderId="10" xfId="0" applyNumberFormat="1" applyFont="1" applyFill="1" applyBorder="1" applyAlignment="1">
      <alignment horizontal="center"/>
    </xf>
    <xf numFmtId="166" fontId="17" fillId="2" borderId="0" xfId="0" applyNumberFormat="1" applyFont="1" applyFill="1" applyAlignment="1">
      <alignment horizontal="center"/>
    </xf>
    <xf numFmtId="0" fontId="18" fillId="17" borderId="0" xfId="0" applyFont="1" applyFill="1"/>
    <xf numFmtId="169" fontId="18" fillId="17" borderId="0" xfId="0" applyNumberFormat="1" applyFont="1" applyFill="1" applyAlignment="1">
      <alignment horizontal="center"/>
    </xf>
    <xf numFmtId="0" fontId="7" fillId="0" borderId="2" xfId="1" applyBorder="1" applyAlignment="1">
      <alignment horizontal="center"/>
    </xf>
    <xf numFmtId="0" fontId="7" fillId="2" borderId="0" xfId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/>
  </cellXfs>
  <cellStyles count="2">
    <cellStyle name="Normal" xfId="0" builtinId="0"/>
    <cellStyle name="Normal 2" xfId="1" xr:uid="{FBDE122D-F9BE-AE4A-91C0-5CA92DAE08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35</xdr:row>
      <xdr:rowOff>56242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010D6040-3448-2F40-B170-35725948C737}"/>
            </a:ext>
          </a:extLst>
        </xdr:cNvPr>
        <xdr:cNvSpPr>
          <a:spLocks noChangeAspect="1" noChangeArrowheads="1"/>
        </xdr:cNvSpPr>
      </xdr:nvSpPr>
      <xdr:spPr bwMode="auto">
        <a:xfrm>
          <a:off x="3136900" y="30721300"/>
          <a:ext cx="304800" cy="297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dolfo Castro" id="{13DA6435-8028-7E4E-8BAC-E13216844B55}" userId="cee4aa5b88c061f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2" dT="2025-02-05T10:37:41.33" personId="{13DA6435-8028-7E4E-8BAC-E13216844B55}" id="{E3D98B5E-7837-8841-B2F2-BBA413DD5825}">
    <text>diferença de depósito acima de 11365.47 usd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9D69-5462-9C4C-81AE-AC1D4E7D375B}">
  <sheetPr>
    <pageSetUpPr fitToPage="1"/>
  </sheetPr>
  <dimension ref="B2:T74"/>
  <sheetViews>
    <sheetView zoomScale="80" zoomScaleNormal="80" workbookViewId="0">
      <selection activeCell="Q42" sqref="B2:Q42"/>
    </sheetView>
  </sheetViews>
  <sheetFormatPr baseColWidth="10" defaultRowHeight="19" x14ac:dyDescent="0.25"/>
  <cols>
    <col min="1" max="1" width="10.83203125" style="166"/>
    <col min="2" max="2" width="12.5" style="166" customWidth="1"/>
    <col min="3" max="3" width="12.6640625" style="167" bestFit="1" customWidth="1"/>
    <col min="4" max="4" width="19.6640625" style="166" customWidth="1"/>
    <col min="5" max="5" width="11" style="167" bestFit="1" customWidth="1"/>
    <col min="6" max="6" width="10.83203125" style="167"/>
    <col min="7" max="9" width="11" style="167" bestFit="1" customWidth="1"/>
    <col min="10" max="10" width="12.5" style="167" customWidth="1"/>
    <col min="11" max="11" width="14.1640625" style="167" customWidth="1"/>
    <col min="12" max="12" width="15.6640625" style="167" customWidth="1"/>
    <col min="13" max="13" width="12.83203125" style="168" customWidth="1"/>
    <col min="14" max="14" width="13" style="166" customWidth="1"/>
    <col min="15" max="15" width="12.83203125" style="169" customWidth="1"/>
    <col min="16" max="16" width="15" style="170" customWidth="1"/>
    <col min="17" max="17" width="17" style="170" customWidth="1"/>
    <col min="18" max="16384" width="10.83203125" style="166"/>
  </cols>
  <sheetData>
    <row r="2" spans="2:20" x14ac:dyDescent="0.25">
      <c r="B2" s="171" t="s">
        <v>304</v>
      </c>
      <c r="C2" s="172"/>
      <c r="D2" s="173"/>
    </row>
    <row r="4" spans="2:20" x14ac:dyDescent="0.25">
      <c r="B4" s="174" t="s">
        <v>273</v>
      </c>
      <c r="C4" s="174" t="s">
        <v>15</v>
      </c>
      <c r="D4" s="174" t="s">
        <v>16</v>
      </c>
      <c r="E4" s="174" t="s">
        <v>14</v>
      </c>
      <c r="F4" s="174" t="s">
        <v>275</v>
      </c>
      <c r="G4" s="174" t="s">
        <v>276</v>
      </c>
      <c r="H4" s="174" t="s">
        <v>13</v>
      </c>
      <c r="I4" s="174" t="s">
        <v>18</v>
      </c>
      <c r="J4" s="174" t="s">
        <v>266</v>
      </c>
      <c r="K4" s="174" t="s">
        <v>265</v>
      </c>
      <c r="L4" s="174" t="s">
        <v>272</v>
      </c>
      <c r="M4" s="175" t="s">
        <v>17</v>
      </c>
      <c r="N4" s="174" t="s">
        <v>254</v>
      </c>
      <c r="O4" s="176" t="s">
        <v>253</v>
      </c>
      <c r="P4" s="177" t="s">
        <v>90</v>
      </c>
      <c r="Q4" s="177" t="s">
        <v>255</v>
      </c>
    </row>
    <row r="5" spans="2:20" x14ac:dyDescent="0.25">
      <c r="B5" s="167">
        <v>2025</v>
      </c>
      <c r="C5" s="167" t="s">
        <v>258</v>
      </c>
      <c r="D5" s="178" t="s">
        <v>264</v>
      </c>
      <c r="E5" s="167">
        <v>320</v>
      </c>
      <c r="F5" s="167" t="s">
        <v>27</v>
      </c>
      <c r="G5" s="167" t="s">
        <v>37</v>
      </c>
      <c r="H5" s="167">
        <v>0</v>
      </c>
      <c r="I5" s="179">
        <v>45870</v>
      </c>
      <c r="J5" s="167">
        <v>1</v>
      </c>
      <c r="K5" s="179">
        <f t="shared" ref="K5:K10" si="0">I5+60</f>
        <v>45930</v>
      </c>
      <c r="L5" s="179"/>
      <c r="M5" s="180">
        <v>505</v>
      </c>
      <c r="N5" s="170">
        <f>M5*E5</f>
        <v>161600</v>
      </c>
      <c r="O5" s="181">
        <v>5.7</v>
      </c>
      <c r="P5" s="170">
        <f>M5*O5</f>
        <v>2878.5</v>
      </c>
      <c r="Q5" s="170">
        <f>P5*E5</f>
        <v>921120</v>
      </c>
    </row>
    <row r="6" spans="2:20" x14ac:dyDescent="0.25">
      <c r="B6" s="167">
        <v>2025</v>
      </c>
      <c r="C6" s="167" t="s">
        <v>259</v>
      </c>
      <c r="D6" s="178" t="s">
        <v>264</v>
      </c>
      <c r="E6" s="167">
        <v>320</v>
      </c>
      <c r="F6" s="167" t="s">
        <v>27</v>
      </c>
      <c r="G6" s="167" t="s">
        <v>37</v>
      </c>
      <c r="H6" s="167">
        <v>30</v>
      </c>
      <c r="I6" s="179">
        <v>45901</v>
      </c>
      <c r="J6" s="167">
        <v>1</v>
      </c>
      <c r="K6" s="179">
        <f t="shared" si="0"/>
        <v>45961</v>
      </c>
      <c r="L6" s="180">
        <f>futuros!B5</f>
        <v>297.64999999999998</v>
      </c>
      <c r="M6" s="180">
        <f>(L6+H6)*1.3228</f>
        <v>433.41541999999998</v>
      </c>
      <c r="N6" s="170">
        <f>(E6*(M6+H6))</f>
        <v>148292.9344</v>
      </c>
      <c r="O6" s="181">
        <v>5.7</v>
      </c>
      <c r="P6" s="170">
        <f t="shared" ref="P6:P16" si="1">M6*O6</f>
        <v>2470.4678939999999</v>
      </c>
      <c r="Q6" s="170">
        <f t="shared" ref="Q6:Q16" si="2">P6*E6</f>
        <v>790549.72607999993</v>
      </c>
    </row>
    <row r="7" spans="2:20" x14ac:dyDescent="0.25">
      <c r="B7" s="167">
        <v>2025</v>
      </c>
      <c r="C7" s="167" t="s">
        <v>260</v>
      </c>
      <c r="D7" s="178" t="s">
        <v>264</v>
      </c>
      <c r="E7" s="167">
        <v>320</v>
      </c>
      <c r="F7" s="167" t="s">
        <v>27</v>
      </c>
      <c r="G7" s="167" t="s">
        <v>37</v>
      </c>
      <c r="H7" s="167">
        <v>30</v>
      </c>
      <c r="I7" s="179">
        <v>45931</v>
      </c>
      <c r="J7" s="167">
        <v>1</v>
      </c>
      <c r="K7" s="179">
        <f t="shared" si="0"/>
        <v>45991</v>
      </c>
      <c r="L7" s="180">
        <f>L6</f>
        <v>297.64999999999998</v>
      </c>
      <c r="M7" s="180">
        <f>(L7+H7)*1.3228</f>
        <v>433.41541999999998</v>
      </c>
      <c r="N7" s="170">
        <f>(E7*(M7+H7))</f>
        <v>148292.9344</v>
      </c>
      <c r="O7" s="181">
        <v>5.7</v>
      </c>
      <c r="P7" s="170">
        <f t="shared" si="1"/>
        <v>2470.4678939999999</v>
      </c>
      <c r="Q7" s="170">
        <f t="shared" si="2"/>
        <v>790549.72607999993</v>
      </c>
    </row>
    <row r="8" spans="2:20" x14ac:dyDescent="0.25">
      <c r="B8" s="167">
        <v>2025</v>
      </c>
      <c r="C8" s="167" t="s">
        <v>261</v>
      </c>
      <c r="D8" s="178" t="s">
        <v>264</v>
      </c>
      <c r="E8" s="167">
        <v>320</v>
      </c>
      <c r="F8" s="167" t="s">
        <v>27</v>
      </c>
      <c r="G8" s="167" t="s">
        <v>37</v>
      </c>
      <c r="H8" s="167">
        <v>30</v>
      </c>
      <c r="I8" s="179">
        <v>45962</v>
      </c>
      <c r="J8" s="167">
        <v>1</v>
      </c>
      <c r="K8" s="179">
        <f t="shared" si="0"/>
        <v>46022</v>
      </c>
      <c r="L8" s="180">
        <f>L7</f>
        <v>297.64999999999998</v>
      </c>
      <c r="M8" s="180">
        <f>(L8+H8)*1.3228</f>
        <v>433.41541999999998</v>
      </c>
      <c r="N8" s="170">
        <f>(E8*(M8+H8))</f>
        <v>148292.9344</v>
      </c>
      <c r="O8" s="181">
        <v>5.7</v>
      </c>
      <c r="P8" s="170">
        <f t="shared" si="1"/>
        <v>2470.4678939999999</v>
      </c>
      <c r="Q8" s="170">
        <f t="shared" si="2"/>
        <v>790549.72607999993</v>
      </c>
    </row>
    <row r="9" spans="2:20" x14ac:dyDescent="0.25">
      <c r="B9" s="167">
        <v>2025</v>
      </c>
      <c r="C9" s="167" t="s">
        <v>262</v>
      </c>
      <c r="D9" s="178" t="s">
        <v>264</v>
      </c>
      <c r="E9" s="167">
        <v>320</v>
      </c>
      <c r="F9" s="167" t="s">
        <v>27</v>
      </c>
      <c r="G9" s="167" t="s">
        <v>37</v>
      </c>
      <c r="H9" s="167">
        <v>30</v>
      </c>
      <c r="I9" s="179">
        <v>45992</v>
      </c>
      <c r="J9" s="167">
        <v>1</v>
      </c>
      <c r="K9" s="179">
        <f t="shared" si="0"/>
        <v>46052</v>
      </c>
      <c r="L9" s="180">
        <f>futuros!B5</f>
        <v>297.64999999999998</v>
      </c>
      <c r="M9" s="180">
        <f>(L9+H9)*1.3228</f>
        <v>433.41541999999998</v>
      </c>
      <c r="N9" s="170">
        <f>(E9*(M9+H9))</f>
        <v>148292.9344</v>
      </c>
      <c r="O9" s="181">
        <v>5.7</v>
      </c>
      <c r="P9" s="170">
        <f t="shared" si="1"/>
        <v>2470.4678939999999</v>
      </c>
      <c r="Q9" s="170">
        <f t="shared" si="2"/>
        <v>790549.72607999993</v>
      </c>
    </row>
    <row r="10" spans="2:20" x14ac:dyDescent="0.25">
      <c r="B10" s="167">
        <v>2025</v>
      </c>
      <c r="C10" s="167" t="s">
        <v>263</v>
      </c>
      <c r="D10" s="178" t="s">
        <v>264</v>
      </c>
      <c r="E10" s="167">
        <v>320</v>
      </c>
      <c r="F10" s="167" t="s">
        <v>27</v>
      </c>
      <c r="G10" s="167" t="s">
        <v>37</v>
      </c>
      <c r="H10" s="167">
        <v>30</v>
      </c>
      <c r="I10" s="179">
        <v>46054</v>
      </c>
      <c r="J10" s="167">
        <v>1</v>
      </c>
      <c r="K10" s="179">
        <f t="shared" si="0"/>
        <v>46114</v>
      </c>
      <c r="L10" s="180">
        <f>futuros!B6</f>
        <v>291.64999999999998</v>
      </c>
      <c r="M10" s="180">
        <f>(L10+H10)*1.3228</f>
        <v>425.47861999999998</v>
      </c>
      <c r="N10" s="170">
        <f>(E10*(M10+H10))</f>
        <v>145753.15839999999</v>
      </c>
      <c r="O10" s="181">
        <v>5.7</v>
      </c>
      <c r="P10" s="170">
        <f t="shared" si="1"/>
        <v>2425.228134</v>
      </c>
      <c r="Q10" s="170">
        <f t="shared" si="2"/>
        <v>776073.00288000004</v>
      </c>
    </row>
    <row r="11" spans="2:20" x14ac:dyDescent="0.25">
      <c r="B11" s="167">
        <v>2025</v>
      </c>
      <c r="C11" s="167" t="s">
        <v>286</v>
      </c>
      <c r="D11" s="178" t="s">
        <v>264</v>
      </c>
      <c r="E11" s="167">
        <v>320</v>
      </c>
      <c r="F11" s="167" t="s">
        <v>27</v>
      </c>
      <c r="G11" s="167" t="s">
        <v>37</v>
      </c>
      <c r="H11" s="167">
        <v>28</v>
      </c>
      <c r="I11" s="179">
        <v>45901</v>
      </c>
      <c r="J11" s="167">
        <v>1</v>
      </c>
      <c r="K11" s="179">
        <f t="shared" ref="K11:K16" si="3">I11+60</f>
        <v>45961</v>
      </c>
      <c r="L11" s="180">
        <f>futuros!B5</f>
        <v>297.64999999999998</v>
      </c>
      <c r="M11" s="180">
        <f t="shared" ref="M11:M16" si="4">(L11+H11)*1.3228</f>
        <v>430.76981999999998</v>
      </c>
      <c r="N11" s="170">
        <f t="shared" ref="N11:N16" si="5">(E11*(M11+H11))</f>
        <v>146806.34239999999</v>
      </c>
      <c r="O11" s="181">
        <v>5.7</v>
      </c>
      <c r="P11" s="170">
        <f t="shared" si="1"/>
        <v>2455.3879739999998</v>
      </c>
      <c r="Q11" s="170">
        <f t="shared" si="2"/>
        <v>785724.15167999989</v>
      </c>
    </row>
    <row r="12" spans="2:20" x14ac:dyDescent="0.25">
      <c r="B12" s="167">
        <v>2025</v>
      </c>
      <c r="C12" s="167" t="s">
        <v>287</v>
      </c>
      <c r="D12" s="178" t="s">
        <v>264</v>
      </c>
      <c r="E12" s="167">
        <v>320</v>
      </c>
      <c r="F12" s="167" t="s">
        <v>27</v>
      </c>
      <c r="G12" s="167" t="s">
        <v>37</v>
      </c>
      <c r="H12" s="167">
        <v>28</v>
      </c>
      <c r="I12" s="179">
        <v>45962</v>
      </c>
      <c r="J12" s="167">
        <v>1</v>
      </c>
      <c r="K12" s="179">
        <f t="shared" si="3"/>
        <v>46022</v>
      </c>
      <c r="L12" s="180">
        <f>futuros!B5</f>
        <v>297.64999999999998</v>
      </c>
      <c r="M12" s="180">
        <f t="shared" si="4"/>
        <v>430.76981999999998</v>
      </c>
      <c r="N12" s="170">
        <f t="shared" si="5"/>
        <v>146806.34239999999</v>
      </c>
      <c r="O12" s="181">
        <v>5.7</v>
      </c>
      <c r="P12" s="170">
        <f t="shared" si="1"/>
        <v>2455.3879739999998</v>
      </c>
      <c r="Q12" s="170">
        <f t="shared" si="2"/>
        <v>785724.15167999989</v>
      </c>
    </row>
    <row r="13" spans="2:20" s="169" customFormat="1" x14ac:dyDescent="0.25">
      <c r="B13" s="167">
        <v>2025</v>
      </c>
      <c r="C13" s="167" t="s">
        <v>288</v>
      </c>
      <c r="D13" s="178" t="s">
        <v>264</v>
      </c>
      <c r="E13" s="167">
        <v>320</v>
      </c>
      <c r="F13" s="167" t="s">
        <v>27</v>
      </c>
      <c r="G13" s="167" t="s">
        <v>37</v>
      </c>
      <c r="H13" s="167">
        <v>28</v>
      </c>
      <c r="I13" s="179">
        <v>46023</v>
      </c>
      <c r="J13" s="167">
        <v>1</v>
      </c>
      <c r="K13" s="179">
        <f t="shared" si="3"/>
        <v>46083</v>
      </c>
      <c r="L13" s="180">
        <f>futuros!B6</f>
        <v>291.64999999999998</v>
      </c>
      <c r="M13" s="180">
        <f t="shared" si="4"/>
        <v>422.83301999999998</v>
      </c>
      <c r="N13" s="170">
        <f t="shared" si="5"/>
        <v>144266.56639999998</v>
      </c>
      <c r="O13" s="181">
        <v>5.7</v>
      </c>
      <c r="P13" s="170">
        <f t="shared" si="1"/>
        <v>2410.1482139999998</v>
      </c>
      <c r="Q13" s="170">
        <f t="shared" si="2"/>
        <v>771247.42848</v>
      </c>
      <c r="R13" s="166"/>
      <c r="S13" s="166"/>
      <c r="T13" s="166"/>
    </row>
    <row r="14" spans="2:20" s="169" customFormat="1" x14ac:dyDescent="0.25">
      <c r="B14" s="167">
        <v>2025</v>
      </c>
      <c r="C14" s="167" t="s">
        <v>289</v>
      </c>
      <c r="D14" s="178" t="s">
        <v>264</v>
      </c>
      <c r="E14" s="167">
        <v>320</v>
      </c>
      <c r="F14" s="167" t="s">
        <v>27</v>
      </c>
      <c r="G14" s="167" t="s">
        <v>37</v>
      </c>
      <c r="H14" s="167">
        <v>28</v>
      </c>
      <c r="I14" s="179">
        <v>46082</v>
      </c>
      <c r="J14" s="167">
        <v>1</v>
      </c>
      <c r="K14" s="179">
        <f t="shared" si="3"/>
        <v>46142</v>
      </c>
      <c r="L14" s="180">
        <f>futuros!B7</f>
        <v>286.8</v>
      </c>
      <c r="M14" s="180">
        <f t="shared" si="4"/>
        <v>416.41744</v>
      </c>
      <c r="N14" s="170">
        <f t="shared" si="5"/>
        <v>142213.5808</v>
      </c>
      <c r="O14" s="181">
        <v>5.7</v>
      </c>
      <c r="P14" s="170">
        <f t="shared" si="1"/>
        <v>2373.5794080000001</v>
      </c>
      <c r="Q14" s="170">
        <f t="shared" si="2"/>
        <v>759545.41055999999</v>
      </c>
      <c r="R14" s="166"/>
      <c r="S14" s="166"/>
      <c r="T14" s="166"/>
    </row>
    <row r="15" spans="2:20" s="169" customFormat="1" x14ac:dyDescent="0.25">
      <c r="B15" s="167">
        <v>2025</v>
      </c>
      <c r="C15" s="167" t="s">
        <v>290</v>
      </c>
      <c r="D15" s="178" t="s">
        <v>264</v>
      </c>
      <c r="E15" s="167">
        <v>320</v>
      </c>
      <c r="F15" s="167" t="s">
        <v>29</v>
      </c>
      <c r="G15" s="167" t="s">
        <v>32</v>
      </c>
      <c r="H15" s="167">
        <v>-22</v>
      </c>
      <c r="I15" s="179">
        <v>45992</v>
      </c>
      <c r="J15" s="167">
        <v>1</v>
      </c>
      <c r="K15" s="179">
        <f t="shared" si="3"/>
        <v>46052</v>
      </c>
      <c r="L15" s="180">
        <f>futuros!B6</f>
        <v>291.64999999999998</v>
      </c>
      <c r="M15" s="180">
        <f t="shared" si="4"/>
        <v>356.69301999999999</v>
      </c>
      <c r="N15" s="170">
        <f t="shared" si="5"/>
        <v>107101.76639999999</v>
      </c>
      <c r="O15" s="181">
        <v>5.7</v>
      </c>
      <c r="P15" s="170">
        <f t="shared" si="1"/>
        <v>2033.150214</v>
      </c>
      <c r="Q15" s="170">
        <f t="shared" si="2"/>
        <v>650608.06848000002</v>
      </c>
      <c r="R15" s="166"/>
      <c r="S15" s="166"/>
      <c r="T15" s="166"/>
    </row>
    <row r="16" spans="2:20" s="169" customFormat="1" x14ac:dyDescent="0.25">
      <c r="B16" s="167">
        <v>2025</v>
      </c>
      <c r="C16" s="167" t="s">
        <v>291</v>
      </c>
      <c r="D16" s="178" t="s">
        <v>264</v>
      </c>
      <c r="E16" s="167">
        <v>320</v>
      </c>
      <c r="F16" s="167" t="s">
        <v>27</v>
      </c>
      <c r="G16" s="167" t="s">
        <v>293</v>
      </c>
      <c r="H16" s="167">
        <v>53</v>
      </c>
      <c r="I16" s="179">
        <v>45931</v>
      </c>
      <c r="J16" s="167">
        <v>1</v>
      </c>
      <c r="K16" s="179">
        <f t="shared" si="3"/>
        <v>45991</v>
      </c>
      <c r="L16" s="180">
        <f>futuros!B5</f>
        <v>297.64999999999998</v>
      </c>
      <c r="M16" s="180">
        <f t="shared" si="4"/>
        <v>463.83981999999997</v>
      </c>
      <c r="N16" s="170">
        <f t="shared" si="5"/>
        <v>165388.74239999999</v>
      </c>
      <c r="O16" s="181">
        <v>5.7</v>
      </c>
      <c r="P16" s="170">
        <f t="shared" si="1"/>
        <v>2643.886974</v>
      </c>
      <c r="Q16" s="170">
        <f t="shared" si="2"/>
        <v>846043.83168000006</v>
      </c>
      <c r="R16" s="166"/>
      <c r="S16" s="166"/>
      <c r="T16" s="166"/>
    </row>
    <row r="17" spans="2:17" x14ac:dyDescent="0.25">
      <c r="B17" s="167">
        <v>2025</v>
      </c>
      <c r="C17" s="167" t="s">
        <v>282</v>
      </c>
      <c r="D17" s="178" t="s">
        <v>19</v>
      </c>
      <c r="E17" s="167">
        <v>320</v>
      </c>
      <c r="F17" s="167" t="s">
        <v>27</v>
      </c>
      <c r="G17" s="167" t="s">
        <v>39</v>
      </c>
      <c r="H17" s="167">
        <v>0</v>
      </c>
      <c r="I17" s="179">
        <v>45962</v>
      </c>
      <c r="J17" s="167">
        <v>4</v>
      </c>
      <c r="K17" s="179">
        <f>I17+120</f>
        <v>46082</v>
      </c>
      <c r="M17" s="180">
        <v>488</v>
      </c>
      <c r="N17" s="170">
        <f>(E17*(M17+H17))</f>
        <v>156160</v>
      </c>
      <c r="O17" s="181">
        <v>5.7</v>
      </c>
      <c r="P17" s="170">
        <f>M17*O17</f>
        <v>2781.6</v>
      </c>
      <c r="Q17" s="170">
        <f>P17*E17</f>
        <v>890112</v>
      </c>
    </row>
    <row r="18" spans="2:17" x14ac:dyDescent="0.25">
      <c r="B18" s="167">
        <v>2025</v>
      </c>
      <c r="C18" s="167" t="s">
        <v>283</v>
      </c>
      <c r="D18" s="178" t="s">
        <v>19</v>
      </c>
      <c r="E18" s="167">
        <v>320</v>
      </c>
      <c r="F18" s="167" t="s">
        <v>27</v>
      </c>
      <c r="G18" s="167" t="s">
        <v>292</v>
      </c>
      <c r="H18" s="167">
        <v>0</v>
      </c>
      <c r="I18" s="179">
        <v>45962</v>
      </c>
      <c r="J18" s="167">
        <v>4</v>
      </c>
      <c r="K18" s="179">
        <f>I18+120</f>
        <v>46082</v>
      </c>
      <c r="M18" s="180">
        <v>500</v>
      </c>
      <c r="N18" s="170">
        <f>(E18*(M18+H18))</f>
        <v>160000</v>
      </c>
      <c r="O18" s="181">
        <v>5.7</v>
      </c>
      <c r="P18" s="170">
        <f>M18*O18</f>
        <v>2850</v>
      </c>
      <c r="Q18" s="170">
        <f>P18*E18</f>
        <v>912000</v>
      </c>
    </row>
    <row r="19" spans="2:17" x14ac:dyDescent="0.25">
      <c r="B19" s="182" t="s">
        <v>294</v>
      </c>
      <c r="C19" s="182"/>
      <c r="D19" s="183"/>
      <c r="E19" s="182">
        <f>SUM(E5:E18)</f>
        <v>4480</v>
      </c>
      <c r="F19" s="182"/>
      <c r="G19" s="182"/>
      <c r="H19" s="182"/>
      <c r="I19" s="184"/>
      <c r="J19" s="182"/>
      <c r="K19" s="184"/>
      <c r="L19" s="182"/>
      <c r="M19" s="185">
        <f>N19/E19</f>
        <v>461.89023142857144</v>
      </c>
      <c r="N19" s="186">
        <f>SUM(N5:N18)</f>
        <v>2069268.2368000001</v>
      </c>
      <c r="O19" s="187"/>
      <c r="P19" s="188">
        <f>Q19/E19</f>
        <v>2513.4814619999997</v>
      </c>
      <c r="Q19" s="186">
        <f>SUM(Q5:Q18)</f>
        <v>11260396.949759999</v>
      </c>
    </row>
    <row r="20" spans="2:17" x14ac:dyDescent="0.25">
      <c r="B20" s="189"/>
      <c r="C20" s="189"/>
      <c r="D20" s="190"/>
      <c r="E20" s="189"/>
      <c r="F20" s="189"/>
      <c r="G20" s="189"/>
      <c r="H20" s="189"/>
      <c r="I20" s="191"/>
      <c r="J20" s="189"/>
      <c r="K20" s="191"/>
      <c r="L20" s="189"/>
      <c r="M20" s="192"/>
      <c r="N20" s="193"/>
      <c r="O20" s="194"/>
      <c r="P20" s="195"/>
      <c r="Q20" s="189"/>
    </row>
    <row r="21" spans="2:17" x14ac:dyDescent="0.25">
      <c r="B21" s="189"/>
      <c r="C21" s="189"/>
      <c r="D21" s="190"/>
      <c r="E21" s="189"/>
      <c r="F21" s="189"/>
      <c r="G21" s="189"/>
      <c r="H21" s="189"/>
      <c r="I21" s="191"/>
      <c r="J21" s="189"/>
      <c r="K21" s="191"/>
      <c r="L21" s="189"/>
      <c r="M21" s="192"/>
      <c r="N21" s="193"/>
      <c r="O21" s="194"/>
      <c r="P21" s="195"/>
      <c r="Q21" s="189"/>
    </row>
    <row r="22" spans="2:17" x14ac:dyDescent="0.25">
      <c r="B22" s="171" t="s">
        <v>305</v>
      </c>
      <c r="C22" s="172"/>
      <c r="D22" s="173"/>
      <c r="E22" s="189"/>
      <c r="F22" s="189"/>
      <c r="G22" s="189"/>
      <c r="H22" s="189"/>
      <c r="I22" s="191"/>
      <c r="J22" s="189"/>
      <c r="K22" s="191"/>
      <c r="L22" s="189"/>
      <c r="M22" s="192"/>
      <c r="N22" s="193"/>
      <c r="O22" s="194"/>
      <c r="P22" s="195"/>
      <c r="Q22" s="189"/>
    </row>
    <row r="23" spans="2:17" x14ac:dyDescent="0.25">
      <c r="D23" s="167">
        <v>283.5</v>
      </c>
    </row>
    <row r="24" spans="2:17" x14ac:dyDescent="0.25">
      <c r="B24" s="196" t="s">
        <v>16</v>
      </c>
      <c r="C24" s="197" t="s">
        <v>15</v>
      </c>
      <c r="D24" s="197" t="s">
        <v>14</v>
      </c>
      <c r="E24" s="197"/>
      <c r="F24" s="197"/>
      <c r="G24" s="197" t="s">
        <v>23</v>
      </c>
      <c r="H24" s="197" t="s">
        <v>272</v>
      </c>
      <c r="I24" s="197" t="s">
        <v>295</v>
      </c>
      <c r="J24" s="197"/>
      <c r="K24" s="197"/>
      <c r="L24" s="197" t="s">
        <v>296</v>
      </c>
      <c r="M24" s="197"/>
      <c r="N24" s="198" t="s">
        <v>297</v>
      </c>
      <c r="O24" s="197" t="s">
        <v>253</v>
      </c>
      <c r="P24" s="197"/>
      <c r="Q24" s="198" t="s">
        <v>300</v>
      </c>
    </row>
    <row r="25" spans="2:17" x14ac:dyDescent="0.25">
      <c r="B25" s="166" t="s">
        <v>298</v>
      </c>
      <c r="C25" s="167">
        <v>25852</v>
      </c>
      <c r="D25" s="199">
        <f>$D$23*G25</f>
        <v>5017.95</v>
      </c>
      <c r="E25" s="199"/>
      <c r="F25" s="199"/>
      <c r="G25" s="180">
        <v>17.7</v>
      </c>
      <c r="H25" s="180">
        <v>179</v>
      </c>
      <c r="I25" s="180">
        <f>futuros!B5</f>
        <v>297.64999999999998</v>
      </c>
      <c r="K25" s="166"/>
      <c r="L25" s="200">
        <v>45973</v>
      </c>
      <c r="M25" s="166"/>
      <c r="N25" s="201">
        <f>(H25-I25)*1.3228*D25</f>
        <v>-787568.35644899984</v>
      </c>
      <c r="O25" s="181">
        <f>O5</f>
        <v>5.7</v>
      </c>
      <c r="Q25" s="201">
        <f>N25*O25</f>
        <v>-4489139.631759299</v>
      </c>
    </row>
    <row r="26" spans="2:17" x14ac:dyDescent="0.25">
      <c r="B26" s="166" t="s">
        <v>299</v>
      </c>
      <c r="C26" s="167">
        <v>507931308</v>
      </c>
      <c r="D26" s="199">
        <f>$D$23*G26</f>
        <v>1984.5</v>
      </c>
      <c r="E26" s="199"/>
      <c r="F26" s="199"/>
      <c r="G26" s="180">
        <f>262500/37500</f>
        <v>7</v>
      </c>
      <c r="H26" s="180">
        <v>196.1</v>
      </c>
      <c r="I26" s="180">
        <f>I25</f>
        <v>297.64999999999998</v>
      </c>
      <c r="K26" s="166"/>
      <c r="L26" s="200">
        <v>45973</v>
      </c>
      <c r="M26" s="166"/>
      <c r="N26" s="201">
        <f>(H26-I26)*1.3228*D26</f>
        <v>-266578.55972999998</v>
      </c>
      <c r="O26" s="181">
        <f>O6</f>
        <v>5.7</v>
      </c>
      <c r="Q26" s="201">
        <f t="shared" ref="Q26:Q27" si="6">N26*O26</f>
        <v>-1519497.7904609998</v>
      </c>
    </row>
    <row r="27" spans="2:17" x14ac:dyDescent="0.25">
      <c r="B27" s="173" t="s">
        <v>298</v>
      </c>
      <c r="C27" s="172">
        <v>47616</v>
      </c>
      <c r="D27" s="202">
        <f>$D$23*G27</f>
        <v>3005.1</v>
      </c>
      <c r="E27" s="202"/>
      <c r="F27" s="202"/>
      <c r="G27" s="203">
        <v>10.6</v>
      </c>
      <c r="H27" s="203">
        <v>222.2</v>
      </c>
      <c r="I27" s="203">
        <f>I26</f>
        <v>297.64999999999998</v>
      </c>
      <c r="K27" s="166"/>
      <c r="L27" s="200">
        <v>45980</v>
      </c>
      <c r="M27" s="166"/>
      <c r="N27" s="201">
        <f>(H27-I27)*1.3228*D27</f>
        <v>-299924.78682599997</v>
      </c>
      <c r="O27" s="181">
        <f>O7</f>
        <v>5.7</v>
      </c>
      <c r="Q27" s="201">
        <f t="shared" si="6"/>
        <v>-1709571.2849081999</v>
      </c>
    </row>
    <row r="28" spans="2:17" x14ac:dyDescent="0.25">
      <c r="B28" s="182" t="s">
        <v>294</v>
      </c>
      <c r="C28" s="182"/>
      <c r="D28" s="186">
        <f>SUM(D25:D27)</f>
        <v>10007.549999999999</v>
      </c>
      <c r="E28" s="182"/>
      <c r="F28" s="182"/>
      <c r="G28" s="182"/>
      <c r="H28" s="182"/>
      <c r="I28" s="182"/>
      <c r="J28" s="204"/>
      <c r="K28" s="205"/>
      <c r="L28" s="204"/>
      <c r="M28" s="205"/>
      <c r="N28" s="205">
        <f>SUM(N25:N27)</f>
        <v>-1354071.703005</v>
      </c>
      <c r="O28" s="204"/>
      <c r="P28" s="204"/>
      <c r="Q28" s="205">
        <f>SUM(Q25:Q27)</f>
        <v>-7718208.7071284987</v>
      </c>
    </row>
    <row r="29" spans="2:17" x14ac:dyDescent="0.25">
      <c r="B29" s="189"/>
      <c r="C29" s="189"/>
      <c r="D29" s="190"/>
      <c r="E29" s="189"/>
      <c r="F29" s="189"/>
      <c r="G29" s="189"/>
      <c r="H29" s="189"/>
      <c r="I29" s="191"/>
      <c r="J29" s="189"/>
      <c r="K29" s="191"/>
      <c r="L29" s="189"/>
      <c r="M29" s="192"/>
      <c r="N29" s="193"/>
      <c r="O29" s="194"/>
      <c r="P29" s="195"/>
      <c r="Q29" s="189"/>
    </row>
    <row r="30" spans="2:17" x14ac:dyDescent="0.25">
      <c r="B30" s="189"/>
      <c r="C30" s="189"/>
      <c r="D30" s="190"/>
      <c r="E30" s="189"/>
      <c r="F30" s="189"/>
      <c r="G30" s="189"/>
      <c r="H30" s="189"/>
      <c r="I30" s="191"/>
      <c r="J30" s="189"/>
      <c r="K30" s="191"/>
      <c r="L30" s="189"/>
      <c r="M30" s="192"/>
      <c r="N30" s="193"/>
      <c r="O30" s="194"/>
      <c r="P30" s="195"/>
      <c r="Q30" s="189"/>
    </row>
    <row r="31" spans="2:17" x14ac:dyDescent="0.25">
      <c r="B31" s="206" t="s">
        <v>306</v>
      </c>
      <c r="C31" s="207"/>
      <c r="D31" s="207"/>
      <c r="E31" s="207"/>
      <c r="F31" s="207"/>
      <c r="G31" s="207"/>
      <c r="H31" s="207"/>
      <c r="I31" s="173"/>
      <c r="J31" s="207"/>
      <c r="K31" s="166"/>
      <c r="L31" s="200"/>
      <c r="M31" s="192"/>
      <c r="N31" s="193"/>
      <c r="O31" s="194"/>
      <c r="P31" s="195"/>
      <c r="Q31" s="189"/>
    </row>
    <row r="32" spans="2:17" x14ac:dyDescent="0.25">
      <c r="D32" s="199"/>
      <c r="E32" s="199"/>
      <c r="F32" s="199"/>
      <c r="G32" s="180"/>
      <c r="K32" s="166"/>
      <c r="L32" s="200"/>
      <c r="M32" s="192"/>
      <c r="N32" s="193"/>
      <c r="O32" s="194"/>
      <c r="P32" s="195"/>
      <c r="Q32" s="189"/>
    </row>
    <row r="33" spans="2:17" x14ac:dyDescent="0.25">
      <c r="B33" s="196" t="s">
        <v>16</v>
      </c>
      <c r="C33" s="197" t="s">
        <v>15</v>
      </c>
      <c r="D33" s="197" t="s">
        <v>14</v>
      </c>
      <c r="E33" s="197" t="s">
        <v>307</v>
      </c>
      <c r="F33" s="197"/>
      <c r="G33" s="197"/>
      <c r="H33" s="197" t="s">
        <v>308</v>
      </c>
      <c r="I33" s="197"/>
      <c r="J33" s="197"/>
      <c r="K33" s="197"/>
      <c r="L33" s="197" t="s">
        <v>296</v>
      </c>
      <c r="M33" s="192"/>
      <c r="N33" s="193"/>
      <c r="O33" s="194"/>
      <c r="P33" s="195"/>
      <c r="Q33" s="189"/>
    </row>
    <row r="34" spans="2:17" x14ac:dyDescent="0.25">
      <c r="B34" s="166" t="s">
        <v>298</v>
      </c>
      <c r="D34" s="199">
        <v>9999.0499999999993</v>
      </c>
      <c r="E34" s="199" t="s">
        <v>309</v>
      </c>
      <c r="F34" s="170"/>
      <c r="G34" s="208"/>
      <c r="H34" s="180">
        <v>350</v>
      </c>
      <c r="I34" s="180"/>
      <c r="J34" s="170"/>
      <c r="K34" s="170"/>
      <c r="L34" s="200">
        <v>45821</v>
      </c>
      <c r="M34" s="192"/>
      <c r="N34" s="193"/>
      <c r="O34" s="194"/>
      <c r="P34" s="195"/>
      <c r="Q34" s="189"/>
    </row>
    <row r="35" spans="2:17" x14ac:dyDescent="0.25">
      <c r="B35" s="166" t="s">
        <v>298</v>
      </c>
      <c r="D35" s="199">
        <v>9999.0499999999993</v>
      </c>
      <c r="E35" s="199" t="s">
        <v>310</v>
      </c>
      <c r="F35" s="170"/>
      <c r="G35" s="208"/>
      <c r="H35" s="180">
        <v>360</v>
      </c>
      <c r="I35" s="180"/>
      <c r="J35" s="170"/>
      <c r="K35" s="170"/>
      <c r="L35" s="200">
        <v>45974</v>
      </c>
      <c r="M35" s="192"/>
      <c r="N35" s="193"/>
      <c r="O35" s="194"/>
      <c r="P35" s="195"/>
      <c r="Q35" s="189"/>
    </row>
    <row r="36" spans="2:17" x14ac:dyDescent="0.25">
      <c r="B36" s="166" t="s">
        <v>298</v>
      </c>
      <c r="D36" s="199">
        <v>9999.0499999999993</v>
      </c>
      <c r="E36" s="199" t="s">
        <v>311</v>
      </c>
      <c r="F36" s="170"/>
      <c r="G36" s="208"/>
      <c r="H36" s="180">
        <v>450</v>
      </c>
      <c r="I36" s="180"/>
      <c r="J36" s="170"/>
      <c r="K36" s="170"/>
      <c r="L36" s="200">
        <v>45974</v>
      </c>
      <c r="M36" s="192"/>
      <c r="N36" s="193"/>
      <c r="O36" s="194"/>
      <c r="P36" s="195"/>
      <c r="Q36" s="189"/>
    </row>
    <row r="37" spans="2:17" x14ac:dyDescent="0.25">
      <c r="B37" s="209" t="s">
        <v>312</v>
      </c>
      <c r="C37" s="182"/>
      <c r="D37" s="186"/>
      <c r="E37" s="186"/>
      <c r="F37" s="188"/>
      <c r="G37" s="182"/>
      <c r="H37" s="182"/>
      <c r="I37" s="210"/>
      <c r="J37" s="188"/>
      <c r="K37" s="188"/>
      <c r="L37" s="182"/>
      <c r="M37" s="192"/>
      <c r="N37" s="193"/>
      <c r="O37" s="194"/>
      <c r="P37" s="195"/>
      <c r="Q37" s="189"/>
    </row>
    <row r="38" spans="2:17" x14ac:dyDescent="0.25">
      <c r="B38" s="166" t="s">
        <v>298</v>
      </c>
      <c r="D38" s="199">
        <v>2500</v>
      </c>
      <c r="E38" s="199" t="s">
        <v>309</v>
      </c>
      <c r="F38" s="170"/>
      <c r="G38" s="208"/>
      <c r="H38" s="180">
        <v>310</v>
      </c>
      <c r="I38" s="180"/>
      <c r="J38" s="170"/>
      <c r="K38" s="170"/>
      <c r="L38" s="200">
        <v>45974</v>
      </c>
      <c r="M38" s="192"/>
      <c r="N38" s="193"/>
      <c r="O38" s="194"/>
      <c r="P38" s="195"/>
      <c r="Q38" s="189"/>
    </row>
    <row r="39" spans="2:17" x14ac:dyDescent="0.25">
      <c r="B39" s="166" t="s">
        <v>298</v>
      </c>
      <c r="D39" s="199">
        <v>2500</v>
      </c>
      <c r="E39" s="199" t="s">
        <v>313</v>
      </c>
      <c r="F39" s="170"/>
      <c r="G39" s="208"/>
      <c r="H39" s="180">
        <v>375</v>
      </c>
      <c r="I39" s="180"/>
      <c r="J39" s="170"/>
      <c r="K39" s="170"/>
      <c r="L39" s="200">
        <v>45974</v>
      </c>
      <c r="M39" s="192"/>
      <c r="N39" s="193"/>
      <c r="O39" s="194"/>
      <c r="P39" s="195"/>
      <c r="Q39" s="189"/>
    </row>
    <row r="40" spans="2:17" x14ac:dyDescent="0.25">
      <c r="B40" s="166" t="s">
        <v>298</v>
      </c>
      <c r="D40" s="199">
        <v>2500</v>
      </c>
      <c r="E40" s="199" t="s">
        <v>314</v>
      </c>
      <c r="F40" s="170"/>
      <c r="G40" s="208"/>
      <c r="H40" s="180">
        <v>410</v>
      </c>
      <c r="I40" s="180"/>
      <c r="J40" s="170"/>
      <c r="K40" s="170"/>
      <c r="L40" s="200">
        <v>45974</v>
      </c>
      <c r="M40" s="192"/>
      <c r="N40" s="193"/>
      <c r="O40" s="194"/>
      <c r="P40" s="195"/>
      <c r="Q40" s="189"/>
    </row>
    <row r="41" spans="2:17" x14ac:dyDescent="0.25">
      <c r="B41" s="209" t="s">
        <v>312</v>
      </c>
      <c r="C41" s="182"/>
      <c r="D41" s="186"/>
      <c r="E41" s="186"/>
      <c r="F41" s="188"/>
      <c r="G41" s="182"/>
      <c r="H41" s="182"/>
      <c r="I41" s="210"/>
      <c r="J41" s="188"/>
      <c r="K41" s="188"/>
      <c r="L41" s="182"/>
      <c r="M41" s="192"/>
      <c r="N41" s="193"/>
      <c r="O41" s="194"/>
      <c r="P41" s="195"/>
      <c r="Q41" s="189"/>
    </row>
    <row r="42" spans="2:17" x14ac:dyDescent="0.25">
      <c r="C42" s="166"/>
      <c r="E42" s="166"/>
      <c r="F42" s="166"/>
      <c r="G42" s="166"/>
      <c r="H42" s="166"/>
      <c r="I42" s="166"/>
      <c r="J42" s="166"/>
      <c r="K42" s="166"/>
      <c r="L42" s="166"/>
      <c r="M42" s="166"/>
      <c r="O42" s="166"/>
      <c r="P42" s="166"/>
      <c r="Q42" s="166"/>
    </row>
    <row r="43" spans="2:17" x14ac:dyDescent="0.25">
      <c r="C43" s="166"/>
      <c r="E43" s="166"/>
      <c r="F43" s="166"/>
      <c r="G43" s="166"/>
      <c r="H43" s="166"/>
      <c r="I43" s="166"/>
      <c r="J43" s="166"/>
      <c r="K43" s="166"/>
      <c r="L43" s="166"/>
      <c r="M43" s="166"/>
      <c r="O43" s="166"/>
      <c r="P43" s="166"/>
      <c r="Q43" s="166"/>
    </row>
    <row r="44" spans="2:17" x14ac:dyDescent="0.25">
      <c r="C44" s="166"/>
      <c r="E44" s="166"/>
      <c r="F44" s="166"/>
      <c r="G44" s="166"/>
      <c r="H44" s="166"/>
      <c r="I44" s="166"/>
      <c r="J44" s="166"/>
      <c r="K44" s="166"/>
      <c r="L44" s="166"/>
      <c r="M44" s="166"/>
      <c r="O44" s="166"/>
      <c r="P44" s="166"/>
      <c r="Q44" s="166"/>
    </row>
    <row r="45" spans="2:17" x14ac:dyDescent="0.25">
      <c r="B45" s="171" t="s">
        <v>302</v>
      </c>
      <c r="C45" s="172"/>
      <c r="D45" s="173"/>
      <c r="E45" s="166"/>
      <c r="F45" s="166"/>
      <c r="G45" s="166"/>
      <c r="H45" s="166"/>
      <c r="I45" s="166"/>
      <c r="J45" s="166"/>
      <c r="K45" s="166"/>
      <c r="L45" s="166"/>
      <c r="M45" s="166"/>
      <c r="O45" s="166"/>
      <c r="P45" s="166"/>
      <c r="Q45" s="166"/>
    </row>
    <row r="47" spans="2:17" x14ac:dyDescent="0.25">
      <c r="B47" s="174" t="s">
        <v>273</v>
      </c>
      <c r="C47" s="174" t="s">
        <v>15</v>
      </c>
      <c r="D47" s="174" t="s">
        <v>16</v>
      </c>
      <c r="E47" s="174" t="s">
        <v>14</v>
      </c>
      <c r="F47" s="174" t="s">
        <v>275</v>
      </c>
      <c r="G47" s="174" t="s">
        <v>276</v>
      </c>
      <c r="H47" s="174" t="s">
        <v>13</v>
      </c>
      <c r="I47" s="174" t="s">
        <v>18</v>
      </c>
      <c r="J47" s="174" t="s">
        <v>266</v>
      </c>
      <c r="K47" s="174" t="s">
        <v>265</v>
      </c>
      <c r="L47" s="174" t="s">
        <v>272</v>
      </c>
      <c r="M47" s="175" t="s">
        <v>17</v>
      </c>
      <c r="N47" s="174" t="s">
        <v>254</v>
      </c>
      <c r="O47" s="176" t="s">
        <v>253</v>
      </c>
      <c r="P47" s="177" t="s">
        <v>90</v>
      </c>
      <c r="Q47" s="177" t="s">
        <v>255</v>
      </c>
    </row>
    <row r="48" spans="2:17" x14ac:dyDescent="0.25">
      <c r="B48" s="167">
        <v>2026</v>
      </c>
      <c r="C48" s="167" t="s">
        <v>284</v>
      </c>
      <c r="D48" s="178" t="s">
        <v>19</v>
      </c>
      <c r="E48" s="167">
        <v>320</v>
      </c>
      <c r="F48" s="167" t="s">
        <v>27</v>
      </c>
      <c r="G48" s="167" t="s">
        <v>39</v>
      </c>
      <c r="H48" s="167">
        <v>0</v>
      </c>
      <c r="I48" s="179">
        <v>46327</v>
      </c>
      <c r="J48" s="167">
        <v>4</v>
      </c>
      <c r="K48" s="179">
        <f>I48+120</f>
        <v>46447</v>
      </c>
      <c r="M48" s="180">
        <v>423</v>
      </c>
      <c r="N48" s="170">
        <f>(E48*(M48+H48))</f>
        <v>135360</v>
      </c>
      <c r="O48" s="181">
        <v>5.7</v>
      </c>
      <c r="P48" s="170">
        <f>M48*O48</f>
        <v>2411.1</v>
      </c>
      <c r="Q48" s="170">
        <f>P48*E48</f>
        <v>771552</v>
      </c>
    </row>
    <row r="49" spans="2:17" x14ac:dyDescent="0.25">
      <c r="B49" s="167">
        <v>2026</v>
      </c>
      <c r="C49" s="167" t="s">
        <v>285</v>
      </c>
      <c r="D49" s="178" t="s">
        <v>19</v>
      </c>
      <c r="E49" s="167">
        <v>320</v>
      </c>
      <c r="F49" s="167" t="s">
        <v>27</v>
      </c>
      <c r="G49" s="167" t="s">
        <v>292</v>
      </c>
      <c r="H49" s="167">
        <v>0</v>
      </c>
      <c r="I49" s="179">
        <v>46327</v>
      </c>
      <c r="J49" s="167">
        <v>4</v>
      </c>
      <c r="K49" s="179">
        <f>I49+120</f>
        <v>46447</v>
      </c>
      <c r="M49" s="180">
        <v>436</v>
      </c>
      <c r="N49" s="170">
        <f>(E49*(M49+H49))</f>
        <v>139520</v>
      </c>
      <c r="O49" s="181">
        <v>5.7</v>
      </c>
      <c r="P49" s="170">
        <f>M49*O49</f>
        <v>2485.2000000000003</v>
      </c>
      <c r="Q49" s="170">
        <f>P49*E49</f>
        <v>795264.00000000012</v>
      </c>
    </row>
    <row r="50" spans="2:17" x14ac:dyDescent="0.25">
      <c r="B50" s="182" t="s">
        <v>301</v>
      </c>
      <c r="C50" s="182"/>
      <c r="D50" s="183"/>
      <c r="E50" s="182">
        <f>SUM(E48:E49)</f>
        <v>640</v>
      </c>
      <c r="F50" s="182"/>
      <c r="G50" s="182"/>
      <c r="H50" s="182"/>
      <c r="I50" s="184"/>
      <c r="J50" s="182"/>
      <c r="K50" s="184"/>
      <c r="L50" s="182"/>
      <c r="M50" s="185">
        <f>N50/E50</f>
        <v>429.5</v>
      </c>
      <c r="N50" s="182">
        <f>SUM(N48:N49)</f>
        <v>274880</v>
      </c>
      <c r="O50" s="187"/>
      <c r="P50" s="188">
        <f>Q50/E50</f>
        <v>2448.15</v>
      </c>
      <c r="Q50" s="182">
        <f>SUM(Q48:Q49)</f>
        <v>1566816</v>
      </c>
    </row>
    <row r="51" spans="2:17" x14ac:dyDescent="0.25">
      <c r="C51" s="166"/>
      <c r="E51" s="166"/>
      <c r="F51" s="166"/>
      <c r="G51" s="166"/>
      <c r="H51" s="166"/>
      <c r="I51" s="166"/>
      <c r="J51" s="166"/>
      <c r="K51" s="166"/>
      <c r="L51" s="166"/>
      <c r="M51" s="166"/>
      <c r="O51" s="166"/>
      <c r="P51" s="166"/>
      <c r="Q51" s="166"/>
    </row>
    <row r="52" spans="2:17" x14ac:dyDescent="0.25">
      <c r="C52" s="166"/>
      <c r="E52" s="166"/>
      <c r="F52" s="166"/>
      <c r="G52" s="166"/>
      <c r="H52" s="166"/>
      <c r="I52" s="166"/>
      <c r="J52" s="166"/>
      <c r="K52" s="166"/>
      <c r="L52" s="166"/>
      <c r="M52" s="166"/>
      <c r="O52" s="166"/>
      <c r="P52" s="166"/>
      <c r="Q52" s="166"/>
    </row>
    <row r="53" spans="2:17" x14ac:dyDescent="0.25">
      <c r="C53" s="166"/>
      <c r="E53" s="166"/>
      <c r="F53" s="166"/>
      <c r="G53" s="166"/>
      <c r="H53" s="166"/>
      <c r="I53" s="166"/>
      <c r="J53" s="166"/>
      <c r="K53" s="166"/>
      <c r="L53" s="166"/>
      <c r="M53" s="166"/>
      <c r="O53" s="166"/>
      <c r="P53" s="166"/>
      <c r="Q53" s="166"/>
    </row>
    <row r="54" spans="2:17" x14ac:dyDescent="0.25">
      <c r="B54" s="171" t="s">
        <v>303</v>
      </c>
      <c r="C54" s="172"/>
      <c r="D54" s="173"/>
      <c r="E54" s="166"/>
      <c r="F54" s="166"/>
      <c r="G54" s="166"/>
      <c r="H54" s="166"/>
      <c r="I54" s="166"/>
      <c r="J54" s="166"/>
      <c r="K54" s="166"/>
      <c r="L54" s="166"/>
      <c r="M54" s="166"/>
      <c r="O54" s="166"/>
      <c r="P54" s="166"/>
      <c r="Q54" s="166"/>
    </row>
    <row r="55" spans="2:17" x14ac:dyDescent="0.25">
      <c r="D55" s="167">
        <v>283.5</v>
      </c>
    </row>
    <row r="56" spans="2:17" x14ac:dyDescent="0.25">
      <c r="B56" s="196" t="s">
        <v>16</v>
      </c>
      <c r="C56" s="197" t="s">
        <v>15</v>
      </c>
      <c r="D56" s="197" t="s">
        <v>14</v>
      </c>
      <c r="E56" s="197"/>
      <c r="F56" s="197"/>
      <c r="G56" s="197" t="s">
        <v>23</v>
      </c>
      <c r="H56" s="197" t="s">
        <v>272</v>
      </c>
      <c r="I56" s="197" t="s">
        <v>295</v>
      </c>
      <c r="J56" s="197"/>
      <c r="K56" s="197"/>
      <c r="L56" s="197" t="s">
        <v>296</v>
      </c>
      <c r="M56" s="197"/>
      <c r="N56" s="198" t="s">
        <v>297</v>
      </c>
      <c r="O56" s="197" t="s">
        <v>253</v>
      </c>
      <c r="P56" s="197"/>
      <c r="Q56" s="198" t="s">
        <v>300</v>
      </c>
    </row>
    <row r="57" spans="2:17" x14ac:dyDescent="0.25">
      <c r="B57" s="166" t="s">
        <v>299</v>
      </c>
      <c r="C57" s="167">
        <v>28133721</v>
      </c>
      <c r="D57" s="199">
        <f>$D$23*G57</f>
        <v>2551.5</v>
      </c>
      <c r="E57" s="199"/>
      <c r="F57" s="199"/>
      <c r="G57" s="180">
        <f>337500/37500</f>
        <v>9</v>
      </c>
      <c r="H57" s="180">
        <v>300.8</v>
      </c>
      <c r="I57" s="180">
        <f>futuros!B10</f>
        <v>270.8</v>
      </c>
      <c r="K57" s="181">
        <f>O8</f>
        <v>5.7</v>
      </c>
      <c r="L57" s="200">
        <v>46345</v>
      </c>
      <c r="M57" s="201"/>
      <c r="N57" s="201">
        <f>(H57-I57)*1.3228*D57</f>
        <v>101253.726</v>
      </c>
      <c r="O57" s="169">
        <f>O25</f>
        <v>5.7</v>
      </c>
      <c r="Q57" s="201">
        <f>N57*O57</f>
        <v>577146.23820000002</v>
      </c>
    </row>
    <row r="58" spans="2:17" x14ac:dyDescent="0.25">
      <c r="B58" s="166" t="s">
        <v>299</v>
      </c>
      <c r="C58" s="167">
        <v>28594897</v>
      </c>
      <c r="D58" s="199">
        <f>$D$23*G58</f>
        <v>2268</v>
      </c>
      <c r="E58" s="199"/>
      <c r="F58" s="199"/>
      <c r="G58" s="180">
        <v>8</v>
      </c>
      <c r="H58" s="180">
        <v>322.39999999999998</v>
      </c>
      <c r="I58" s="180">
        <f>I57</f>
        <v>270.8</v>
      </c>
      <c r="K58" s="181">
        <f>O9</f>
        <v>5.7</v>
      </c>
      <c r="L58" s="200">
        <v>46345</v>
      </c>
      <c r="M58" s="201"/>
      <c r="N58" s="201">
        <f>(H58-I58)*1.3228*D58</f>
        <v>154805.69663999989</v>
      </c>
      <c r="O58" s="169">
        <f>O26</f>
        <v>5.7</v>
      </c>
      <c r="Q58" s="201">
        <f>N58*O58</f>
        <v>882392.47084799944</v>
      </c>
    </row>
    <row r="59" spans="2:17" x14ac:dyDescent="0.25">
      <c r="B59" s="204" t="s">
        <v>301</v>
      </c>
      <c r="C59" s="204"/>
      <c r="D59" s="205">
        <f>SUM(D56:D58)</f>
        <v>4819.5</v>
      </c>
      <c r="E59" s="204"/>
      <c r="F59" s="204"/>
      <c r="G59" s="204"/>
      <c r="H59" s="204"/>
      <c r="I59" s="204"/>
      <c r="J59" s="204"/>
      <c r="K59" s="205"/>
      <c r="L59" s="204"/>
      <c r="M59" s="204"/>
      <c r="N59" s="205">
        <f>SUM(N56:N58)</f>
        <v>256059.42263999989</v>
      </c>
      <c r="O59" s="204"/>
      <c r="P59" s="204"/>
      <c r="Q59" s="205">
        <f>SUM(Q56:Q58)</f>
        <v>1459538.7090479995</v>
      </c>
    </row>
    <row r="64" spans="2:17" x14ac:dyDescent="0.25">
      <c r="C64" s="166"/>
      <c r="E64" s="166"/>
      <c r="F64" s="166"/>
      <c r="G64" s="166"/>
      <c r="H64" s="166"/>
      <c r="I64" s="166"/>
      <c r="J64" s="166"/>
      <c r="K64" s="166"/>
      <c r="L64" s="166"/>
    </row>
    <row r="65" spans="3:12" x14ac:dyDescent="0.25">
      <c r="C65" s="166"/>
      <c r="E65" s="166"/>
      <c r="F65" s="166"/>
      <c r="G65" s="166"/>
      <c r="H65" s="166"/>
      <c r="I65" s="166"/>
      <c r="J65" s="166"/>
      <c r="K65" s="166"/>
      <c r="L65" s="166"/>
    </row>
    <row r="66" spans="3:12" x14ac:dyDescent="0.25">
      <c r="C66" s="166"/>
      <c r="E66" s="166"/>
      <c r="F66" s="166"/>
      <c r="G66" s="166"/>
      <c r="H66" s="166"/>
      <c r="I66" s="166"/>
      <c r="J66" s="166"/>
      <c r="K66" s="166"/>
      <c r="L66" s="166"/>
    </row>
    <row r="67" spans="3:12" x14ac:dyDescent="0.25">
      <c r="C67" s="166"/>
      <c r="E67" s="166"/>
      <c r="F67" s="166"/>
      <c r="G67" s="166"/>
      <c r="H67" s="166"/>
      <c r="I67" s="166"/>
      <c r="J67" s="166"/>
      <c r="K67" s="166"/>
      <c r="L67" s="166"/>
    </row>
    <row r="68" spans="3:12" x14ac:dyDescent="0.25">
      <c r="C68" s="166"/>
      <c r="E68" s="166"/>
      <c r="F68" s="166"/>
      <c r="G68" s="166"/>
      <c r="H68" s="166"/>
      <c r="I68" s="166"/>
      <c r="J68" s="166"/>
      <c r="K68" s="166"/>
      <c r="L68" s="166"/>
    </row>
    <row r="69" spans="3:12" x14ac:dyDescent="0.25">
      <c r="C69" s="166"/>
      <c r="E69" s="166"/>
      <c r="F69" s="166"/>
      <c r="G69" s="166"/>
      <c r="H69" s="166"/>
      <c r="I69" s="166"/>
      <c r="J69" s="166"/>
      <c r="K69" s="166"/>
      <c r="L69" s="166"/>
    </row>
    <row r="70" spans="3:12" x14ac:dyDescent="0.25">
      <c r="C70" s="166"/>
      <c r="E70" s="166"/>
      <c r="F70" s="166"/>
      <c r="G70" s="166"/>
      <c r="H70" s="166"/>
      <c r="I70" s="166"/>
      <c r="J70" s="166"/>
      <c r="K70" s="166"/>
      <c r="L70" s="166"/>
    </row>
    <row r="71" spans="3:12" x14ac:dyDescent="0.25">
      <c r="C71" s="166"/>
      <c r="E71" s="166"/>
      <c r="F71" s="166"/>
      <c r="G71" s="166"/>
      <c r="H71" s="166"/>
      <c r="I71" s="166"/>
      <c r="J71" s="166"/>
      <c r="K71" s="166"/>
      <c r="L71" s="166"/>
    </row>
    <row r="72" spans="3:12" x14ac:dyDescent="0.25">
      <c r="C72" s="166"/>
      <c r="E72" s="166"/>
      <c r="F72" s="166"/>
      <c r="G72" s="166"/>
      <c r="H72" s="166"/>
      <c r="I72" s="166"/>
      <c r="J72" s="166"/>
      <c r="K72" s="166"/>
      <c r="L72" s="166"/>
    </row>
    <row r="73" spans="3:12" x14ac:dyDescent="0.25">
      <c r="C73" s="166"/>
      <c r="E73" s="166"/>
      <c r="F73" s="166"/>
      <c r="G73" s="166"/>
      <c r="H73" s="166"/>
      <c r="I73" s="166"/>
      <c r="J73" s="166"/>
      <c r="K73" s="166"/>
      <c r="L73" s="166"/>
    </row>
    <row r="74" spans="3:12" x14ac:dyDescent="0.25">
      <c r="C74" s="166"/>
      <c r="E74" s="166"/>
      <c r="F74" s="166"/>
      <c r="G74" s="166"/>
      <c r="H74" s="166"/>
      <c r="I74" s="166"/>
      <c r="J74" s="166"/>
      <c r="K74" s="166"/>
      <c r="L74" s="166"/>
    </row>
  </sheetData>
  <phoneticPr fontId="5" type="noConversion"/>
  <pageMargins left="0.7" right="0.7" top="0.75" bottom="0.75" header="0.3" footer="0.3"/>
  <pageSetup paperSize="9" scale="58" orientation="landscape" horizontalDpi="0" verticalDpi="0"/>
  <ignoredErrors>
    <ignoredError sqref="L14 N19:O19 P19:Q19 L10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115D-D1E6-C943-B0EC-2BC4BD1B44BA}">
  <sheetPr codeName="Sheet1"/>
  <dimension ref="A1:T56"/>
  <sheetViews>
    <sheetView tabSelected="1" zoomScale="80" zoomScaleNormal="80" workbookViewId="0">
      <selection activeCell="Q13" sqref="Q13"/>
    </sheetView>
  </sheetViews>
  <sheetFormatPr baseColWidth="10" defaultRowHeight="14" x14ac:dyDescent="0.2"/>
  <cols>
    <col min="1" max="1" width="15.5" style="1" customWidth="1"/>
    <col min="2" max="2" width="10.83203125" style="2"/>
    <col min="3" max="3" width="15.83203125" style="2" customWidth="1"/>
    <col min="4" max="4" width="19.6640625" style="1" customWidth="1"/>
    <col min="5" max="12" width="10.83203125" style="2"/>
    <col min="13" max="13" width="10.83203125" style="152"/>
    <col min="14" max="14" width="10.83203125" style="1"/>
    <col min="15" max="15" width="10.83203125" style="149"/>
    <col min="16" max="17" width="14" style="3" customWidth="1"/>
    <col min="18" max="16384" width="10.83203125" style="1"/>
  </cols>
  <sheetData>
    <row r="1" spans="1:17" x14ac:dyDescent="0.2">
      <c r="A1" s="153" t="s">
        <v>273</v>
      </c>
      <c r="B1" s="153" t="s">
        <v>15</v>
      </c>
      <c r="C1" s="153" t="s">
        <v>274</v>
      </c>
      <c r="D1" s="153" t="s">
        <v>16</v>
      </c>
      <c r="E1" s="153" t="s">
        <v>14</v>
      </c>
      <c r="F1" s="153" t="s">
        <v>275</v>
      </c>
      <c r="G1" s="153" t="s">
        <v>276</v>
      </c>
      <c r="H1" s="153" t="s">
        <v>13</v>
      </c>
      <c r="I1" s="153" t="s">
        <v>18</v>
      </c>
      <c r="J1" s="153" t="s">
        <v>266</v>
      </c>
      <c r="K1" s="153" t="s">
        <v>265</v>
      </c>
      <c r="L1" s="153" t="s">
        <v>272</v>
      </c>
      <c r="M1" s="154" t="s">
        <v>17</v>
      </c>
      <c r="N1" s="153" t="s">
        <v>254</v>
      </c>
      <c r="O1" s="157" t="s">
        <v>253</v>
      </c>
      <c r="P1" s="156" t="s">
        <v>90</v>
      </c>
      <c r="Q1" s="156" t="s">
        <v>255</v>
      </c>
    </row>
    <row r="2" spans="1:17" s="2" customFormat="1" x14ac:dyDescent="0.2">
      <c r="A2" s="2">
        <v>2024</v>
      </c>
      <c r="B2" s="2" t="s">
        <v>12</v>
      </c>
      <c r="C2" s="2" t="s">
        <v>42</v>
      </c>
      <c r="D2" s="159" t="s">
        <v>264</v>
      </c>
      <c r="E2" s="2">
        <v>320</v>
      </c>
      <c r="F2" s="2" t="s">
        <v>27</v>
      </c>
      <c r="G2" s="2" t="s">
        <v>34</v>
      </c>
      <c r="H2" s="2">
        <v>10</v>
      </c>
      <c r="I2" s="158">
        <v>45564</v>
      </c>
      <c r="J2" s="2">
        <v>1</v>
      </c>
      <c r="K2" s="158">
        <v>45627</v>
      </c>
      <c r="L2" s="155">
        <v>251.05</v>
      </c>
      <c r="M2" s="155">
        <v>345.31693999999999</v>
      </c>
      <c r="N2" s="3">
        <f t="shared" ref="N2:N23" si="0">M2*E2</f>
        <v>110501.42079999999</v>
      </c>
      <c r="O2" s="160">
        <v>5.8349509259259262</v>
      </c>
      <c r="P2" s="3">
        <f>M2*O2</f>
        <v>2014.9073987909073</v>
      </c>
      <c r="Q2" s="3">
        <f t="shared" ref="Q2:Q10" si="1">P2*E2</f>
        <v>644770.36761309032</v>
      </c>
    </row>
    <row r="3" spans="1:17" x14ac:dyDescent="0.2">
      <c r="A3" s="2">
        <v>2024</v>
      </c>
      <c r="B3" s="2" t="s">
        <v>11</v>
      </c>
      <c r="C3" s="2" t="s">
        <v>42</v>
      </c>
      <c r="D3" s="159" t="s">
        <v>264</v>
      </c>
      <c r="E3" s="2">
        <v>320</v>
      </c>
      <c r="F3" s="2" t="s">
        <v>27</v>
      </c>
      <c r="G3" s="2" t="s">
        <v>34</v>
      </c>
      <c r="H3" s="2">
        <v>10</v>
      </c>
      <c r="I3" s="158">
        <v>45564</v>
      </c>
      <c r="J3" s="2">
        <v>1</v>
      </c>
      <c r="K3" s="158">
        <v>45627</v>
      </c>
      <c r="L3" s="155">
        <v>251.05</v>
      </c>
      <c r="M3" s="155">
        <v>345.31693999999999</v>
      </c>
      <c r="N3" s="3">
        <f t="shared" si="0"/>
        <v>110501.42079999999</v>
      </c>
      <c r="O3" s="160">
        <v>5.8349509259259262</v>
      </c>
      <c r="P3" s="3">
        <f t="shared" ref="P3:P10" si="2">M3*O3</f>
        <v>2014.9073987909073</v>
      </c>
      <c r="Q3" s="3">
        <f t="shared" si="1"/>
        <v>644770.36761309032</v>
      </c>
    </row>
    <row r="4" spans="1:17" x14ac:dyDescent="0.2">
      <c r="A4" s="2">
        <v>2024</v>
      </c>
      <c r="B4" s="2" t="s">
        <v>10</v>
      </c>
      <c r="C4" s="2" t="s">
        <v>42</v>
      </c>
      <c r="D4" s="159" t="s">
        <v>264</v>
      </c>
      <c r="E4" s="2">
        <v>320</v>
      </c>
      <c r="F4" s="2" t="s">
        <v>27</v>
      </c>
      <c r="G4" s="2" t="s">
        <v>35</v>
      </c>
      <c r="H4" s="2">
        <v>10</v>
      </c>
      <c r="I4" s="158">
        <v>45564</v>
      </c>
      <c r="J4" s="2">
        <v>1</v>
      </c>
      <c r="K4" s="158">
        <v>45627</v>
      </c>
      <c r="L4" s="155">
        <v>251.05</v>
      </c>
      <c r="M4" s="155">
        <v>345.31693999999999</v>
      </c>
      <c r="N4" s="3">
        <f t="shared" si="0"/>
        <v>110501.42079999999</v>
      </c>
      <c r="O4" s="160">
        <v>5.8349509259259262</v>
      </c>
      <c r="P4" s="3">
        <f t="shared" si="2"/>
        <v>2014.9073987909073</v>
      </c>
      <c r="Q4" s="3">
        <f t="shared" si="1"/>
        <v>644770.36761309032</v>
      </c>
    </row>
    <row r="5" spans="1:17" x14ac:dyDescent="0.2">
      <c r="A5" s="2">
        <v>2024</v>
      </c>
      <c r="B5" s="2" t="s">
        <v>5</v>
      </c>
      <c r="C5" s="2" t="s">
        <v>42</v>
      </c>
      <c r="D5" s="159" t="s">
        <v>264</v>
      </c>
      <c r="E5" s="2">
        <v>160</v>
      </c>
      <c r="F5" s="2" t="s">
        <v>27</v>
      </c>
      <c r="G5" s="2" t="s">
        <v>36</v>
      </c>
      <c r="H5" s="2">
        <v>25</v>
      </c>
      <c r="I5" s="158">
        <v>45599</v>
      </c>
      <c r="J5" s="2">
        <v>1</v>
      </c>
      <c r="K5" s="158">
        <v>45658</v>
      </c>
      <c r="L5" s="155">
        <v>280.75</v>
      </c>
      <c r="M5" s="155">
        <v>404.4461</v>
      </c>
      <c r="N5" s="3">
        <f t="shared" si="0"/>
        <v>64711.376000000004</v>
      </c>
      <c r="O5" s="160">
        <v>5.7499741972351099</v>
      </c>
      <c r="P5" s="3">
        <f t="shared" si="2"/>
        <v>2325.554639172371</v>
      </c>
      <c r="Q5" s="3">
        <f t="shared" si="1"/>
        <v>372088.74226757936</v>
      </c>
    </row>
    <row r="6" spans="1:17" x14ac:dyDescent="0.2">
      <c r="A6" s="2">
        <v>2024</v>
      </c>
      <c r="B6" s="2" t="s">
        <v>4</v>
      </c>
      <c r="C6" s="2" t="s">
        <v>42</v>
      </c>
      <c r="D6" s="159" t="s">
        <v>264</v>
      </c>
      <c r="E6" s="2">
        <v>160</v>
      </c>
      <c r="F6" s="2" t="s">
        <v>28</v>
      </c>
      <c r="G6" s="2" t="s">
        <v>37</v>
      </c>
      <c r="H6" s="2">
        <v>-8</v>
      </c>
      <c r="I6" s="158">
        <v>45599</v>
      </c>
      <c r="J6" s="2">
        <v>1</v>
      </c>
      <c r="K6" s="158">
        <v>45658</v>
      </c>
      <c r="L6" s="155">
        <v>280.75</v>
      </c>
      <c r="M6" s="155">
        <v>360.7937</v>
      </c>
      <c r="N6" s="3">
        <f t="shared" si="0"/>
        <v>57726.991999999998</v>
      </c>
      <c r="O6" s="160">
        <v>5.7499741972351099</v>
      </c>
      <c r="P6" s="3">
        <f t="shared" si="2"/>
        <v>2074.5544655249851</v>
      </c>
      <c r="Q6" s="3">
        <f t="shared" si="1"/>
        <v>331928.71448399761</v>
      </c>
    </row>
    <row r="7" spans="1:17" x14ac:dyDescent="0.2">
      <c r="A7" s="2">
        <v>2024</v>
      </c>
      <c r="B7" s="2" t="s">
        <v>9</v>
      </c>
      <c r="C7" s="2" t="s">
        <v>42</v>
      </c>
      <c r="D7" s="159" t="s">
        <v>264</v>
      </c>
      <c r="E7" s="2">
        <v>320</v>
      </c>
      <c r="F7" s="2" t="s">
        <v>27</v>
      </c>
      <c r="G7" s="2" t="s">
        <v>37</v>
      </c>
      <c r="H7" s="2">
        <v>10</v>
      </c>
      <c r="I7" s="158">
        <v>45630</v>
      </c>
      <c r="J7" s="2">
        <v>1</v>
      </c>
      <c r="K7" s="158">
        <v>45689</v>
      </c>
      <c r="L7" s="155">
        <v>323.25</v>
      </c>
      <c r="M7" s="155">
        <v>440.82310000000001</v>
      </c>
      <c r="N7" s="3">
        <f t="shared" si="0"/>
        <v>141063.39199999999</v>
      </c>
      <c r="O7" s="160">
        <v>5.7669999035936632</v>
      </c>
      <c r="P7" s="3">
        <f t="shared" si="2"/>
        <v>2542.2267752018597</v>
      </c>
      <c r="Q7" s="3">
        <f t="shared" si="1"/>
        <v>813512.56806459511</v>
      </c>
    </row>
    <row r="8" spans="1:17" x14ac:dyDescent="0.2">
      <c r="A8" s="2">
        <v>2024</v>
      </c>
      <c r="B8" s="2" t="s">
        <v>8</v>
      </c>
      <c r="C8" s="2" t="s">
        <v>42</v>
      </c>
      <c r="D8" s="159" t="s">
        <v>264</v>
      </c>
      <c r="E8" s="2">
        <v>320</v>
      </c>
      <c r="F8" s="2" t="s">
        <v>27</v>
      </c>
      <c r="G8" s="2" t="s">
        <v>38</v>
      </c>
      <c r="H8" s="2">
        <v>50</v>
      </c>
      <c r="I8" s="158">
        <f>I7</f>
        <v>45630</v>
      </c>
      <c r="J8" s="2">
        <v>1</v>
      </c>
      <c r="K8" s="158">
        <v>45689</v>
      </c>
      <c r="L8" s="155">
        <v>323.25</v>
      </c>
      <c r="M8" s="155">
        <v>493.73509999999999</v>
      </c>
      <c r="N8" s="3">
        <f t="shared" si="0"/>
        <v>157995.23199999999</v>
      </c>
      <c r="O8" s="160">
        <v>5.7669999035936632</v>
      </c>
      <c r="P8" s="3">
        <f t="shared" si="2"/>
        <v>2847.3702741008078</v>
      </c>
      <c r="Q8" s="3">
        <f t="shared" si="1"/>
        <v>911158.48771225847</v>
      </c>
    </row>
    <row r="9" spans="1:17" x14ac:dyDescent="0.2">
      <c r="A9" s="2">
        <v>2024</v>
      </c>
      <c r="B9" s="2" t="s">
        <v>7</v>
      </c>
      <c r="C9" s="2" t="s">
        <v>42</v>
      </c>
      <c r="D9" s="159" t="s">
        <v>264</v>
      </c>
      <c r="E9" s="2">
        <v>320</v>
      </c>
      <c r="F9" s="2" t="s">
        <v>28</v>
      </c>
      <c r="G9" s="2" t="s">
        <v>39</v>
      </c>
      <c r="H9" s="2">
        <v>-8</v>
      </c>
      <c r="I9" s="158">
        <f>I8</f>
        <v>45630</v>
      </c>
      <c r="J9" s="2">
        <v>1</v>
      </c>
      <c r="K9" s="158">
        <v>45689</v>
      </c>
      <c r="L9" s="155">
        <v>323.25</v>
      </c>
      <c r="M9" s="155">
        <v>417.0127</v>
      </c>
      <c r="N9" s="3">
        <f t="shared" si="0"/>
        <v>133444.06400000001</v>
      </c>
      <c r="O9" s="160">
        <v>5.7669999035936632</v>
      </c>
      <c r="P9" s="3">
        <f t="shared" si="2"/>
        <v>2404.912200697333</v>
      </c>
      <c r="Q9" s="3">
        <f t="shared" si="1"/>
        <v>769571.90422314662</v>
      </c>
    </row>
    <row r="10" spans="1:17" x14ac:dyDescent="0.2">
      <c r="A10" s="2">
        <v>2024</v>
      </c>
      <c r="B10" s="2" t="s">
        <v>5</v>
      </c>
      <c r="C10" s="2" t="s">
        <v>42</v>
      </c>
      <c r="D10" s="159" t="s">
        <v>264</v>
      </c>
      <c r="E10" s="2">
        <v>160</v>
      </c>
      <c r="F10" s="2" t="s">
        <v>27</v>
      </c>
      <c r="G10" s="2" t="s">
        <v>36</v>
      </c>
      <c r="H10" s="2">
        <v>25</v>
      </c>
      <c r="I10" s="158">
        <v>45349</v>
      </c>
      <c r="J10" s="2">
        <v>1</v>
      </c>
      <c r="K10" s="158">
        <v>45778</v>
      </c>
      <c r="L10" s="155">
        <v>393.05</v>
      </c>
      <c r="M10" s="155">
        <v>557.75861999999995</v>
      </c>
      <c r="N10" s="3">
        <f t="shared" si="0"/>
        <v>89241.379199999996</v>
      </c>
      <c r="O10" s="160">
        <v>5.5049999999999999</v>
      </c>
      <c r="P10" s="3">
        <f t="shared" si="2"/>
        <v>3070.4612030999997</v>
      </c>
      <c r="Q10" s="3">
        <f t="shared" si="1"/>
        <v>491273.79249599995</v>
      </c>
    </row>
    <row r="11" spans="1:17" x14ac:dyDescent="0.2">
      <c r="A11" s="2">
        <v>2024</v>
      </c>
      <c r="B11" s="2" t="s">
        <v>4</v>
      </c>
      <c r="C11" s="2" t="s">
        <v>42</v>
      </c>
      <c r="D11" s="159" t="s">
        <v>264</v>
      </c>
      <c r="E11" s="2">
        <v>160</v>
      </c>
      <c r="F11" s="2" t="s">
        <v>27</v>
      </c>
      <c r="G11" s="2" t="s">
        <v>37</v>
      </c>
      <c r="H11" s="2">
        <v>-8</v>
      </c>
      <c r="I11" s="158">
        <v>45349</v>
      </c>
      <c r="J11" s="2">
        <v>1</v>
      </c>
      <c r="K11" s="158">
        <v>45748</v>
      </c>
      <c r="L11" s="155">
        <v>393.05</v>
      </c>
      <c r="M11" s="155">
        <v>526.34211999999991</v>
      </c>
      <c r="N11" s="3">
        <f t="shared" si="0"/>
        <v>84214.739199999982</v>
      </c>
      <c r="O11" s="160">
        <f>(499233.9/(SUM(N10:N11)/2))</f>
        <v>5.7563135230403049</v>
      </c>
      <c r="P11" s="3">
        <f t="shared" ref="P11:P13" si="3">M11*O11</f>
        <v>3029.7902631017023</v>
      </c>
      <c r="Q11" s="3">
        <f>P11*E11</f>
        <v>484766.44209627237</v>
      </c>
    </row>
    <row r="12" spans="1:17" x14ac:dyDescent="0.2">
      <c r="A12" s="2">
        <v>2024</v>
      </c>
      <c r="B12" s="2" t="s">
        <v>6</v>
      </c>
      <c r="C12" s="2" t="s">
        <v>42</v>
      </c>
      <c r="D12" s="159" t="s">
        <v>264</v>
      </c>
      <c r="E12" s="2">
        <v>320</v>
      </c>
      <c r="F12" s="2" t="s">
        <v>27</v>
      </c>
      <c r="G12" s="2" t="s">
        <v>37</v>
      </c>
      <c r="H12" s="2">
        <v>10</v>
      </c>
      <c r="I12" s="158">
        <v>45678</v>
      </c>
      <c r="J12" s="2">
        <v>1</v>
      </c>
      <c r="K12" s="158">
        <v>45717</v>
      </c>
      <c r="L12" s="155">
        <v>342</v>
      </c>
      <c r="M12" s="155">
        <v>465.62559999999996</v>
      </c>
      <c r="N12" s="3">
        <f t="shared" si="0"/>
        <v>149000.19199999998</v>
      </c>
      <c r="O12" s="160">
        <v>5.7249999999999996</v>
      </c>
      <c r="P12" s="3">
        <f t="shared" si="3"/>
        <v>2665.7065599999996</v>
      </c>
      <c r="Q12" s="3">
        <f>P12*E12</f>
        <v>853026.09919999982</v>
      </c>
    </row>
    <row r="13" spans="1:17" x14ac:dyDescent="0.2">
      <c r="A13" s="2">
        <v>2024</v>
      </c>
      <c r="B13" s="2" t="s">
        <v>3</v>
      </c>
      <c r="C13" s="2" t="s">
        <v>42</v>
      </c>
      <c r="D13" s="159" t="s">
        <v>264</v>
      </c>
      <c r="E13" s="2">
        <v>320</v>
      </c>
      <c r="F13" s="2" t="s">
        <v>27</v>
      </c>
      <c r="G13" s="2" t="s">
        <v>35</v>
      </c>
      <c r="H13" s="2">
        <v>10</v>
      </c>
      <c r="I13" s="158">
        <v>45678</v>
      </c>
      <c r="J13" s="2">
        <v>1</v>
      </c>
      <c r="K13" s="158">
        <v>45717</v>
      </c>
      <c r="L13" s="155">
        <v>342</v>
      </c>
      <c r="M13" s="155">
        <v>465.62559999999996</v>
      </c>
      <c r="N13" s="3">
        <f t="shared" si="0"/>
        <v>149000.19199999998</v>
      </c>
      <c r="O13" s="160">
        <v>5.7249999999999996</v>
      </c>
      <c r="P13" s="3">
        <f t="shared" si="3"/>
        <v>2665.7065599999996</v>
      </c>
      <c r="Q13" s="3">
        <f>P13*E13</f>
        <v>853026.09919999982</v>
      </c>
    </row>
    <row r="14" spans="1:17" x14ac:dyDescent="0.2">
      <c r="A14" s="2">
        <v>2024</v>
      </c>
      <c r="B14" s="2" t="s">
        <v>2</v>
      </c>
      <c r="C14" s="2" t="s">
        <v>42</v>
      </c>
      <c r="D14" s="159" t="s">
        <v>264</v>
      </c>
      <c r="E14" s="2">
        <v>320</v>
      </c>
      <c r="F14" s="2" t="s">
        <v>29</v>
      </c>
      <c r="G14" s="2" t="s">
        <v>39</v>
      </c>
      <c r="H14" s="2">
        <v>-28</v>
      </c>
      <c r="I14" s="158">
        <v>45746</v>
      </c>
      <c r="J14" s="2">
        <v>1</v>
      </c>
      <c r="K14" s="158">
        <v>45809</v>
      </c>
      <c r="L14" s="155">
        <v>370.95</v>
      </c>
      <c r="M14" s="155">
        <v>453.65425999999997</v>
      </c>
      <c r="N14" s="3">
        <f t="shared" si="0"/>
        <v>145169.36319999999</v>
      </c>
      <c r="O14" s="160"/>
    </row>
    <row r="15" spans="1:17" x14ac:dyDescent="0.2">
      <c r="A15" s="2">
        <v>2024</v>
      </c>
      <c r="B15" s="2" t="s">
        <v>0</v>
      </c>
      <c r="C15" s="2" t="s">
        <v>42</v>
      </c>
      <c r="D15" s="159" t="s">
        <v>264</v>
      </c>
      <c r="E15" s="2">
        <v>320</v>
      </c>
      <c r="F15" s="2" t="s">
        <v>27</v>
      </c>
      <c r="G15" s="2" t="s">
        <v>37</v>
      </c>
      <c r="H15" s="2">
        <v>10</v>
      </c>
      <c r="I15" s="158">
        <v>45746</v>
      </c>
      <c r="J15" s="2">
        <v>1</v>
      </c>
      <c r="K15" s="158">
        <v>45809</v>
      </c>
      <c r="L15" s="155">
        <v>329.5</v>
      </c>
      <c r="M15" s="155">
        <v>449.09059999999999</v>
      </c>
      <c r="N15" s="3">
        <f t="shared" si="0"/>
        <v>143708.992</v>
      </c>
      <c r="O15" s="160"/>
    </row>
    <row r="16" spans="1:17" x14ac:dyDescent="0.2">
      <c r="A16" s="2">
        <v>2024</v>
      </c>
      <c r="B16" s="2" t="s">
        <v>20</v>
      </c>
      <c r="C16" s="2" t="s">
        <v>42</v>
      </c>
      <c r="D16" s="159" t="s">
        <v>19</v>
      </c>
      <c r="E16" s="2">
        <v>320</v>
      </c>
      <c r="F16" s="2" t="s">
        <v>27</v>
      </c>
      <c r="G16" s="2" t="s">
        <v>37</v>
      </c>
      <c r="H16" s="2">
        <v>0</v>
      </c>
      <c r="I16" s="158">
        <v>45671</v>
      </c>
      <c r="J16" s="2">
        <v>4</v>
      </c>
      <c r="K16" s="158">
        <v>45748</v>
      </c>
      <c r="L16" s="155"/>
      <c r="M16" s="155">
        <v>325</v>
      </c>
      <c r="N16" s="3">
        <f t="shared" si="0"/>
        <v>104000</v>
      </c>
      <c r="O16" s="160">
        <v>5.8079999999999998</v>
      </c>
      <c r="P16" s="3">
        <f>M16*O16</f>
        <v>1887.6</v>
      </c>
      <c r="Q16" s="3">
        <f>P16*E16</f>
        <v>604032</v>
      </c>
    </row>
    <row r="17" spans="1:20" x14ac:dyDescent="0.2">
      <c r="A17" s="2">
        <v>2024</v>
      </c>
      <c r="B17" s="2" t="s">
        <v>21</v>
      </c>
      <c r="C17" s="2" t="s">
        <v>42</v>
      </c>
      <c r="D17" s="159" t="s">
        <v>19</v>
      </c>
      <c r="E17" s="2">
        <v>320</v>
      </c>
      <c r="F17" s="2" t="s">
        <v>32</v>
      </c>
      <c r="G17" s="2" t="s">
        <v>32</v>
      </c>
      <c r="H17" s="2">
        <v>0</v>
      </c>
      <c r="I17" s="158">
        <v>45702</v>
      </c>
      <c r="J17" s="2">
        <v>4</v>
      </c>
      <c r="K17" s="158">
        <v>45778</v>
      </c>
      <c r="L17" s="155"/>
      <c r="M17" s="155">
        <v>325</v>
      </c>
      <c r="N17" s="3">
        <f t="shared" si="0"/>
        <v>104000</v>
      </c>
      <c r="O17" s="160">
        <v>5.8079999999999998</v>
      </c>
      <c r="P17" s="3">
        <f>M17*O17</f>
        <v>1887.6</v>
      </c>
      <c r="Q17" s="3">
        <f>P17*E17</f>
        <v>604032</v>
      </c>
    </row>
    <row r="18" spans="1:20" x14ac:dyDescent="0.2">
      <c r="A18" s="2">
        <v>2024</v>
      </c>
      <c r="B18" s="2" t="s">
        <v>22</v>
      </c>
      <c r="C18" s="2" t="s">
        <v>42</v>
      </c>
      <c r="D18" s="159" t="s">
        <v>91</v>
      </c>
      <c r="E18" s="2">
        <v>320</v>
      </c>
      <c r="F18" s="2" t="s">
        <v>27</v>
      </c>
      <c r="G18" s="2" t="s">
        <v>40</v>
      </c>
      <c r="H18" s="2">
        <v>25</v>
      </c>
      <c r="I18" s="158">
        <v>45666</v>
      </c>
      <c r="J18" s="2">
        <v>1</v>
      </c>
      <c r="K18" s="158">
        <v>45658</v>
      </c>
      <c r="L18" s="155"/>
      <c r="M18" s="155">
        <v>468.27119999999996</v>
      </c>
      <c r="N18" s="3">
        <f t="shared" si="0"/>
        <v>149846.78399999999</v>
      </c>
      <c r="O18" s="160">
        <v>5.8236999999999997</v>
      </c>
      <c r="P18" s="3">
        <f>M18*O18</f>
        <v>2727.0709874399995</v>
      </c>
      <c r="Q18" s="3">
        <f t="shared" ref="Q18:Q19" si="4">P18*E18</f>
        <v>872662.71598079987</v>
      </c>
    </row>
    <row r="19" spans="1:20" x14ac:dyDescent="0.2">
      <c r="A19" s="2">
        <v>2023</v>
      </c>
      <c r="B19" s="2" t="s">
        <v>280</v>
      </c>
      <c r="C19" s="2" t="s">
        <v>42</v>
      </c>
      <c r="D19" s="159" t="s">
        <v>46</v>
      </c>
      <c r="E19" s="2">
        <v>280</v>
      </c>
      <c r="F19" s="2" t="s">
        <v>32</v>
      </c>
      <c r="G19" s="2" t="s">
        <v>32</v>
      </c>
      <c r="H19" s="2">
        <v>0</v>
      </c>
      <c r="I19" s="158">
        <v>45383</v>
      </c>
      <c r="J19" s="2">
        <v>2</v>
      </c>
      <c r="K19" s="158">
        <v>45597</v>
      </c>
      <c r="L19" s="155"/>
      <c r="M19" s="155">
        <v>316.81060714285712</v>
      </c>
      <c r="N19" s="3">
        <f t="shared" si="0"/>
        <v>88706.97</v>
      </c>
      <c r="O19" s="160">
        <f>5.76</f>
        <v>5.76</v>
      </c>
      <c r="P19" s="3">
        <f>M19*O19</f>
        <v>1824.8290971428569</v>
      </c>
      <c r="Q19" s="3">
        <f t="shared" si="4"/>
        <v>510952.14719999995</v>
      </c>
    </row>
    <row r="20" spans="1:20" x14ac:dyDescent="0.2">
      <c r="A20" s="2">
        <v>2023</v>
      </c>
      <c r="B20" s="2" t="s">
        <v>281</v>
      </c>
      <c r="C20" s="2" t="s">
        <v>42</v>
      </c>
      <c r="D20" s="159" t="s">
        <v>46</v>
      </c>
      <c r="E20" s="2">
        <v>320</v>
      </c>
      <c r="F20" s="2" t="s">
        <v>32</v>
      </c>
      <c r="G20" s="2" t="s">
        <v>32</v>
      </c>
      <c r="H20" s="2">
        <v>0</v>
      </c>
      <c r="I20" s="158">
        <v>45383</v>
      </c>
      <c r="J20" s="2">
        <v>2</v>
      </c>
      <c r="K20" s="158">
        <v>45748</v>
      </c>
      <c r="L20" s="155"/>
      <c r="M20" s="155">
        <v>326.8</v>
      </c>
      <c r="N20" s="3">
        <f t="shared" si="0"/>
        <v>104576</v>
      </c>
      <c r="O20" s="160">
        <f>(5.725*0.5+5.6337*0.5)</f>
        <v>5.6793499999999995</v>
      </c>
      <c r="P20" s="3">
        <f>M20*O20</f>
        <v>1856.0115799999999</v>
      </c>
      <c r="Q20" s="3">
        <f>P20*E20</f>
        <v>593923.70559999999</v>
      </c>
    </row>
    <row r="21" spans="1:20" x14ac:dyDescent="0.2">
      <c r="A21" s="2">
        <v>2024</v>
      </c>
      <c r="B21" s="2" t="s">
        <v>47</v>
      </c>
      <c r="C21" s="2" t="s">
        <v>42</v>
      </c>
      <c r="D21" s="159" t="s">
        <v>46</v>
      </c>
      <c r="E21" s="2">
        <v>320</v>
      </c>
      <c r="F21" s="2" t="s">
        <v>27</v>
      </c>
      <c r="G21" s="2" t="s">
        <v>39</v>
      </c>
      <c r="H21" s="2">
        <v>0</v>
      </c>
      <c r="I21" s="158">
        <v>45695</v>
      </c>
      <c r="J21" s="2">
        <v>1</v>
      </c>
      <c r="K21" s="158">
        <v>45809</v>
      </c>
      <c r="L21" s="155"/>
      <c r="M21" s="155">
        <v>413</v>
      </c>
      <c r="N21" s="3">
        <f t="shared" si="0"/>
        <v>132160</v>
      </c>
      <c r="O21" s="160"/>
    </row>
    <row r="22" spans="1:20" x14ac:dyDescent="0.2">
      <c r="A22" s="2">
        <v>2024</v>
      </c>
      <c r="B22" s="2" t="s">
        <v>84</v>
      </c>
      <c r="C22" s="2" t="s">
        <v>42</v>
      </c>
      <c r="D22" s="159" t="s">
        <v>46</v>
      </c>
      <c r="E22" s="2">
        <v>320</v>
      </c>
      <c r="F22" s="2" t="s">
        <v>27</v>
      </c>
      <c r="G22" s="2" t="s">
        <v>39</v>
      </c>
      <c r="H22" s="2">
        <v>0</v>
      </c>
      <c r="I22" s="158">
        <v>45695</v>
      </c>
      <c r="J22" s="2">
        <v>1</v>
      </c>
      <c r="K22" s="158">
        <v>45809</v>
      </c>
      <c r="L22" s="155"/>
      <c r="M22" s="155">
        <v>450</v>
      </c>
      <c r="N22" s="3">
        <f t="shared" si="0"/>
        <v>144000</v>
      </c>
      <c r="O22" s="160"/>
    </row>
    <row r="23" spans="1:20" x14ac:dyDescent="0.2">
      <c r="A23" s="2">
        <v>2024</v>
      </c>
      <c r="B23" s="2" t="s">
        <v>85</v>
      </c>
      <c r="C23" s="2" t="s">
        <v>42</v>
      </c>
      <c r="D23" s="159" t="s">
        <v>46</v>
      </c>
      <c r="E23" s="2">
        <v>223</v>
      </c>
      <c r="F23" s="2" t="s">
        <v>33</v>
      </c>
      <c r="G23" s="2" t="s">
        <v>32</v>
      </c>
      <c r="H23" s="2">
        <v>0</v>
      </c>
      <c r="I23" s="158">
        <v>45695</v>
      </c>
      <c r="J23" s="2">
        <v>1</v>
      </c>
      <c r="K23" s="158">
        <v>45809</v>
      </c>
      <c r="L23" s="155"/>
      <c r="M23" s="155">
        <v>409.35</v>
      </c>
      <c r="N23" s="3">
        <f t="shared" si="0"/>
        <v>91285.05</v>
      </c>
      <c r="O23" s="160"/>
    </row>
    <row r="24" spans="1:20" x14ac:dyDescent="0.2">
      <c r="A24" s="2">
        <v>2024</v>
      </c>
      <c r="B24" s="2" t="s">
        <v>25</v>
      </c>
      <c r="C24" s="2" t="s">
        <v>89</v>
      </c>
      <c r="D24" s="159" t="s">
        <v>24</v>
      </c>
      <c r="E24" s="2">
        <v>4</v>
      </c>
      <c r="F24" s="2" t="s">
        <v>32</v>
      </c>
      <c r="G24" s="2" t="s">
        <v>32</v>
      </c>
      <c r="H24" s="2">
        <v>0</v>
      </c>
      <c r="I24" s="158">
        <v>45656</v>
      </c>
      <c r="J24" s="2">
        <v>4</v>
      </c>
      <c r="K24" s="158">
        <v>45717</v>
      </c>
      <c r="L24" s="158"/>
      <c r="M24" s="155"/>
      <c r="N24" s="3"/>
      <c r="O24" s="160"/>
      <c r="P24" s="3">
        <v>2500</v>
      </c>
      <c r="Q24" s="3">
        <f t="shared" ref="Q24:Q36" si="5">E24*P24</f>
        <v>10000</v>
      </c>
    </row>
    <row r="25" spans="1:20" x14ac:dyDescent="0.2">
      <c r="A25" s="2">
        <v>2024</v>
      </c>
      <c r="B25" s="2" t="s">
        <v>26</v>
      </c>
      <c r="C25" s="2" t="s">
        <v>89</v>
      </c>
      <c r="D25" s="159" t="s">
        <v>24</v>
      </c>
      <c r="E25" s="2">
        <v>4</v>
      </c>
      <c r="F25" s="2" t="s">
        <v>32</v>
      </c>
      <c r="G25" s="2" t="s">
        <v>32</v>
      </c>
      <c r="H25" s="2">
        <v>0</v>
      </c>
      <c r="I25" s="158">
        <f>I24</f>
        <v>45656</v>
      </c>
      <c r="J25" s="2">
        <v>4</v>
      </c>
      <c r="K25" s="158">
        <v>45717</v>
      </c>
      <c r="L25" s="158"/>
      <c r="M25" s="155"/>
      <c r="N25" s="3"/>
      <c r="O25" s="160"/>
      <c r="P25" s="3">
        <v>2137</v>
      </c>
      <c r="Q25" s="3">
        <f t="shared" si="5"/>
        <v>8548</v>
      </c>
    </row>
    <row r="26" spans="1:20" x14ac:dyDescent="0.2">
      <c r="A26" s="2">
        <v>2024</v>
      </c>
      <c r="B26" s="2" t="s">
        <v>41</v>
      </c>
      <c r="C26" s="2" t="s">
        <v>89</v>
      </c>
      <c r="D26" s="159" t="s">
        <v>31</v>
      </c>
      <c r="E26" s="2">
        <v>500</v>
      </c>
      <c r="F26" s="2" t="s">
        <v>33</v>
      </c>
      <c r="G26" s="2" t="s">
        <v>40</v>
      </c>
      <c r="H26" s="2">
        <v>0</v>
      </c>
      <c r="I26" s="158">
        <v>45631</v>
      </c>
      <c r="J26" s="2">
        <v>1</v>
      </c>
      <c r="K26" s="158">
        <v>45631</v>
      </c>
      <c r="L26" s="158"/>
      <c r="M26" s="155"/>
      <c r="N26" s="3"/>
      <c r="O26" s="160"/>
      <c r="P26" s="3">
        <v>2105</v>
      </c>
      <c r="Q26" s="3">
        <f t="shared" si="5"/>
        <v>1052500</v>
      </c>
    </row>
    <row r="27" spans="1:20" x14ac:dyDescent="0.2">
      <c r="A27" s="2">
        <v>2024</v>
      </c>
      <c r="B27" s="2" t="s">
        <v>43</v>
      </c>
      <c r="C27" s="2" t="s">
        <v>89</v>
      </c>
      <c r="D27" s="159" t="s">
        <v>257</v>
      </c>
      <c r="E27" s="2">
        <v>20</v>
      </c>
      <c r="F27" s="2" t="s">
        <v>33</v>
      </c>
      <c r="G27" s="2" t="s">
        <v>34</v>
      </c>
      <c r="H27" s="2">
        <v>0</v>
      </c>
      <c r="I27" s="158">
        <v>45632</v>
      </c>
      <c r="J27" s="2">
        <v>1</v>
      </c>
      <c r="K27" s="158">
        <v>45632</v>
      </c>
      <c r="L27" s="158"/>
      <c r="M27" s="155"/>
      <c r="N27" s="3"/>
      <c r="O27" s="160"/>
      <c r="P27" s="3">
        <v>2200</v>
      </c>
      <c r="Q27" s="3">
        <f t="shared" si="5"/>
        <v>44000</v>
      </c>
      <c r="T27" s="161"/>
    </row>
    <row r="28" spans="1:20" x14ac:dyDescent="0.2">
      <c r="A28" s="2">
        <v>2024</v>
      </c>
      <c r="B28" s="2" t="s">
        <v>45</v>
      </c>
      <c r="C28" s="2" t="s">
        <v>89</v>
      </c>
      <c r="D28" s="159" t="s">
        <v>44</v>
      </c>
      <c r="E28" s="2">
        <v>500</v>
      </c>
      <c r="F28" s="2" t="s">
        <v>30</v>
      </c>
      <c r="G28" s="2" t="s">
        <v>32</v>
      </c>
      <c r="H28" s="2">
        <v>0</v>
      </c>
      <c r="I28" s="158">
        <v>45679</v>
      </c>
      <c r="J28" s="2">
        <v>1</v>
      </c>
      <c r="K28" s="158">
        <v>45679</v>
      </c>
      <c r="L28" s="158"/>
      <c r="M28" s="155"/>
      <c r="N28" s="3"/>
      <c r="O28" s="160"/>
      <c r="P28" s="3">
        <v>2000</v>
      </c>
      <c r="Q28" s="3">
        <f t="shared" si="5"/>
        <v>1000000</v>
      </c>
    </row>
    <row r="29" spans="1:20" x14ac:dyDescent="0.2">
      <c r="A29" s="2">
        <v>2024</v>
      </c>
      <c r="B29" s="2" t="s">
        <v>87</v>
      </c>
      <c r="C29" s="2" t="s">
        <v>89</v>
      </c>
      <c r="D29" s="159" t="s">
        <v>86</v>
      </c>
      <c r="E29" s="2">
        <v>0.5</v>
      </c>
      <c r="F29" s="2" t="s">
        <v>29</v>
      </c>
      <c r="G29" s="2" t="s">
        <v>32</v>
      </c>
      <c r="H29" s="2">
        <v>0</v>
      </c>
      <c r="I29" s="158">
        <v>45708</v>
      </c>
      <c r="J29" s="2">
        <v>4</v>
      </c>
      <c r="K29" s="158">
        <v>45839</v>
      </c>
      <c r="L29" s="158"/>
      <c r="M29" s="155"/>
      <c r="N29" s="3"/>
      <c r="O29" s="160"/>
      <c r="P29" s="3">
        <v>2293.33</v>
      </c>
      <c r="Q29" s="3">
        <f t="shared" si="5"/>
        <v>1146.665</v>
      </c>
    </row>
    <row r="30" spans="1:20" x14ac:dyDescent="0.2">
      <c r="A30" s="2">
        <v>2024</v>
      </c>
      <c r="B30" s="2" t="s">
        <v>88</v>
      </c>
      <c r="C30" s="2" t="s">
        <v>89</v>
      </c>
      <c r="D30" s="159" t="s">
        <v>86</v>
      </c>
      <c r="E30" s="2">
        <v>7</v>
      </c>
      <c r="F30" s="2" t="s">
        <v>33</v>
      </c>
      <c r="G30" s="2" t="s">
        <v>38</v>
      </c>
      <c r="H30" s="2">
        <v>0</v>
      </c>
      <c r="I30" s="158">
        <v>45708</v>
      </c>
      <c r="J30" s="2">
        <v>4</v>
      </c>
      <c r="K30" s="158">
        <v>45839</v>
      </c>
      <c r="L30" s="158"/>
      <c r="M30" s="155"/>
      <c r="N30" s="3"/>
      <c r="O30" s="160"/>
      <c r="P30" s="3">
        <v>2616.61</v>
      </c>
      <c r="Q30" s="3">
        <f t="shared" si="5"/>
        <v>18316.27</v>
      </c>
    </row>
    <row r="31" spans="1:20" x14ac:dyDescent="0.2">
      <c r="A31" s="2">
        <v>2024</v>
      </c>
      <c r="B31" s="2" t="s">
        <v>181</v>
      </c>
      <c r="C31" s="2" t="s">
        <v>89</v>
      </c>
      <c r="D31" s="159" t="s">
        <v>94</v>
      </c>
      <c r="E31" s="2">
        <v>486.3</v>
      </c>
      <c r="F31" s="2" t="s">
        <v>32</v>
      </c>
      <c r="G31" s="2" t="s">
        <v>32</v>
      </c>
      <c r="H31" s="2">
        <v>0</v>
      </c>
      <c r="I31" s="158">
        <v>45684</v>
      </c>
      <c r="J31" s="2">
        <v>1</v>
      </c>
      <c r="K31" s="158">
        <v>45684</v>
      </c>
      <c r="L31" s="158"/>
      <c r="M31" s="155"/>
      <c r="N31" s="3"/>
      <c r="O31" s="160"/>
      <c r="P31" s="3">
        <v>810</v>
      </c>
      <c r="Q31" s="3">
        <f t="shared" si="5"/>
        <v>393903</v>
      </c>
    </row>
    <row r="32" spans="1:20" x14ac:dyDescent="0.2">
      <c r="A32" s="2">
        <v>2024</v>
      </c>
      <c r="B32" s="2" t="s">
        <v>182</v>
      </c>
      <c r="C32" s="2" t="s">
        <v>89</v>
      </c>
      <c r="D32" s="159" t="s">
        <v>94</v>
      </c>
      <c r="E32" s="2">
        <v>632.20000000000005</v>
      </c>
      <c r="F32" s="2" t="s">
        <v>32</v>
      </c>
      <c r="G32" s="2" t="s">
        <v>32</v>
      </c>
      <c r="H32" s="2">
        <v>0</v>
      </c>
      <c r="I32" s="158">
        <v>45700</v>
      </c>
      <c r="J32" s="2">
        <v>1</v>
      </c>
      <c r="K32" s="158">
        <v>45700</v>
      </c>
      <c r="L32" s="158"/>
      <c r="M32" s="155"/>
      <c r="N32" s="3"/>
      <c r="O32" s="160"/>
      <c r="P32" s="3">
        <v>2220</v>
      </c>
      <c r="Q32" s="3">
        <f t="shared" si="5"/>
        <v>1403484</v>
      </c>
    </row>
    <row r="33" spans="1:17" x14ac:dyDescent="0.2">
      <c r="A33" s="2">
        <v>2024</v>
      </c>
      <c r="B33" s="2" t="s">
        <v>183</v>
      </c>
      <c r="C33" s="2" t="s">
        <v>89</v>
      </c>
      <c r="D33" s="159" t="s">
        <v>94</v>
      </c>
      <c r="E33" s="2">
        <v>363</v>
      </c>
      <c r="F33" s="2" t="s">
        <v>32</v>
      </c>
      <c r="G33" s="2" t="s">
        <v>32</v>
      </c>
      <c r="H33" s="2">
        <v>0</v>
      </c>
      <c r="I33" s="158">
        <v>45684</v>
      </c>
      <c r="J33" s="2">
        <v>1</v>
      </c>
      <c r="K33" s="158">
        <v>45684</v>
      </c>
      <c r="L33" s="158"/>
      <c r="N33" s="3"/>
      <c r="P33" s="3">
        <v>1750</v>
      </c>
      <c r="Q33" s="3">
        <f t="shared" si="5"/>
        <v>635250</v>
      </c>
    </row>
    <row r="34" spans="1:17" x14ac:dyDescent="0.2">
      <c r="A34" s="2">
        <v>2024</v>
      </c>
      <c r="B34" s="2" t="s">
        <v>184</v>
      </c>
      <c r="C34" s="2" t="s">
        <v>89</v>
      </c>
      <c r="D34" s="159" t="s">
        <v>94</v>
      </c>
      <c r="E34" s="2">
        <v>44.2</v>
      </c>
      <c r="F34" s="2" t="s">
        <v>32</v>
      </c>
      <c r="G34" s="2" t="s">
        <v>32</v>
      </c>
      <c r="H34" s="2">
        <v>0</v>
      </c>
      <c r="I34" s="158">
        <v>45700</v>
      </c>
      <c r="J34" s="2">
        <v>1</v>
      </c>
      <c r="K34" s="158">
        <v>45700</v>
      </c>
      <c r="L34" s="158"/>
      <c r="N34" s="3"/>
      <c r="P34" s="3">
        <v>2400</v>
      </c>
      <c r="Q34" s="3">
        <f t="shared" si="5"/>
        <v>106080</v>
      </c>
    </row>
    <row r="35" spans="1:17" x14ac:dyDescent="0.2">
      <c r="A35" s="2">
        <v>2024</v>
      </c>
      <c r="B35" s="2" t="s">
        <v>279</v>
      </c>
      <c r="C35" s="2" t="s">
        <v>89</v>
      </c>
      <c r="D35" s="159" t="s">
        <v>86</v>
      </c>
      <c r="E35" s="2">
        <v>7</v>
      </c>
      <c r="F35" s="2" t="s">
        <v>33</v>
      </c>
      <c r="G35" s="2" t="s">
        <v>35</v>
      </c>
      <c r="H35" s="2">
        <v>0</v>
      </c>
      <c r="I35" s="158">
        <v>45789</v>
      </c>
      <c r="J35" s="2">
        <v>6</v>
      </c>
      <c r="K35" s="158">
        <v>45789</v>
      </c>
      <c r="L35" s="158"/>
      <c r="N35" s="3"/>
      <c r="P35" s="3">
        <v>2616.61</v>
      </c>
      <c r="Q35" s="3">
        <f t="shared" ref="Q35" si="6">E35*P35</f>
        <v>18316.27</v>
      </c>
    </row>
    <row r="36" spans="1:17" x14ac:dyDescent="0.2">
      <c r="A36" s="2">
        <v>2024</v>
      </c>
      <c r="B36" s="2" t="s">
        <v>256</v>
      </c>
      <c r="C36" s="2" t="s">
        <v>89</v>
      </c>
      <c r="D36" s="159" t="s">
        <v>257</v>
      </c>
      <c r="E36" s="2">
        <v>5</v>
      </c>
      <c r="F36" s="2" t="s">
        <v>32</v>
      </c>
      <c r="G36" s="2" t="s">
        <v>32</v>
      </c>
      <c r="H36" s="2">
        <v>0</v>
      </c>
      <c r="I36" s="158">
        <v>45778</v>
      </c>
      <c r="J36" s="2">
        <v>4</v>
      </c>
      <c r="K36" s="158">
        <v>45870</v>
      </c>
      <c r="L36" s="158"/>
      <c r="N36" s="3"/>
      <c r="P36" s="3">
        <v>2700</v>
      </c>
      <c r="Q36" s="3">
        <f t="shared" si="5"/>
        <v>13500</v>
      </c>
    </row>
    <row r="37" spans="1:17" x14ac:dyDescent="0.2">
      <c r="A37" s="2">
        <v>2025</v>
      </c>
      <c r="B37" s="2" t="s">
        <v>258</v>
      </c>
      <c r="C37" s="2" t="s">
        <v>42</v>
      </c>
      <c r="D37" s="159" t="s">
        <v>264</v>
      </c>
      <c r="E37" s="2">
        <v>320</v>
      </c>
      <c r="F37" s="2" t="s">
        <v>27</v>
      </c>
      <c r="G37" s="2" t="s">
        <v>37</v>
      </c>
      <c r="H37" s="2">
        <v>0</v>
      </c>
      <c r="I37" s="158">
        <v>45870</v>
      </c>
      <c r="J37" s="2">
        <v>1</v>
      </c>
      <c r="K37" s="158">
        <f t="shared" ref="K37:K42" si="7">I37+60</f>
        <v>45930</v>
      </c>
      <c r="L37" s="158"/>
      <c r="M37" s="155">
        <v>505</v>
      </c>
      <c r="N37" s="3">
        <f>M37*E37</f>
        <v>161600</v>
      </c>
    </row>
    <row r="38" spans="1:17" x14ac:dyDescent="0.2">
      <c r="A38" s="2">
        <v>2025</v>
      </c>
      <c r="B38" s="2" t="s">
        <v>259</v>
      </c>
      <c r="C38" s="2" t="s">
        <v>42</v>
      </c>
      <c r="D38" s="159" t="s">
        <v>264</v>
      </c>
      <c r="E38" s="2">
        <v>320</v>
      </c>
      <c r="F38" s="2" t="s">
        <v>27</v>
      </c>
      <c r="G38" s="2" t="s">
        <v>37</v>
      </c>
      <c r="H38" s="2">
        <v>30</v>
      </c>
      <c r="I38" s="158">
        <v>45901</v>
      </c>
      <c r="J38" s="2">
        <v>1</v>
      </c>
      <c r="K38" s="158">
        <f t="shared" si="7"/>
        <v>45961</v>
      </c>
      <c r="L38" s="155">
        <f>futuros!B5</f>
        <v>297.64999999999998</v>
      </c>
      <c r="M38" s="155">
        <f>(L38+H38)*1.3228</f>
        <v>433.41541999999998</v>
      </c>
      <c r="N38" s="3">
        <f>(E38*(M38+H38))</f>
        <v>148292.9344</v>
      </c>
    </row>
    <row r="39" spans="1:17" x14ac:dyDescent="0.2">
      <c r="A39" s="2">
        <v>2025</v>
      </c>
      <c r="B39" s="2" t="s">
        <v>260</v>
      </c>
      <c r="C39" s="2" t="s">
        <v>42</v>
      </c>
      <c r="D39" s="159" t="s">
        <v>264</v>
      </c>
      <c r="E39" s="2">
        <v>320</v>
      </c>
      <c r="F39" s="2" t="s">
        <v>27</v>
      </c>
      <c r="G39" s="2" t="s">
        <v>37</v>
      </c>
      <c r="H39" s="2">
        <v>30</v>
      </c>
      <c r="I39" s="158">
        <v>45931</v>
      </c>
      <c r="J39" s="2">
        <v>1</v>
      </c>
      <c r="K39" s="158">
        <f t="shared" si="7"/>
        <v>45991</v>
      </c>
      <c r="L39" s="155">
        <f>L38</f>
        <v>297.64999999999998</v>
      </c>
      <c r="M39" s="155">
        <f>(L39+H39)*1.3228</f>
        <v>433.41541999999998</v>
      </c>
      <c r="N39" s="3">
        <f>(E39*(M39+H39))</f>
        <v>148292.9344</v>
      </c>
    </row>
    <row r="40" spans="1:17" x14ac:dyDescent="0.2">
      <c r="A40" s="2">
        <v>2025</v>
      </c>
      <c r="B40" s="2" t="s">
        <v>261</v>
      </c>
      <c r="C40" s="2" t="s">
        <v>42</v>
      </c>
      <c r="D40" s="159" t="s">
        <v>264</v>
      </c>
      <c r="E40" s="2">
        <v>320</v>
      </c>
      <c r="F40" s="2" t="s">
        <v>27</v>
      </c>
      <c r="G40" s="2" t="s">
        <v>37</v>
      </c>
      <c r="H40" s="2">
        <v>30</v>
      </c>
      <c r="I40" s="158">
        <v>45962</v>
      </c>
      <c r="J40" s="2">
        <v>1</v>
      </c>
      <c r="K40" s="158">
        <f t="shared" si="7"/>
        <v>46022</v>
      </c>
      <c r="L40" s="155">
        <f>L39</f>
        <v>297.64999999999998</v>
      </c>
      <c r="M40" s="155">
        <f>(L40+H40)*1.3228</f>
        <v>433.41541999999998</v>
      </c>
      <c r="N40" s="3">
        <f>(E40*(M40+H40))</f>
        <v>148292.9344</v>
      </c>
    </row>
    <row r="41" spans="1:17" x14ac:dyDescent="0.2">
      <c r="A41" s="2">
        <v>2025</v>
      </c>
      <c r="B41" s="2" t="s">
        <v>262</v>
      </c>
      <c r="C41" s="2" t="s">
        <v>42</v>
      </c>
      <c r="D41" s="159" t="s">
        <v>264</v>
      </c>
      <c r="E41" s="2">
        <v>320</v>
      </c>
      <c r="F41" s="2" t="s">
        <v>27</v>
      </c>
      <c r="G41" s="2" t="s">
        <v>37</v>
      </c>
      <c r="H41" s="2">
        <v>30</v>
      </c>
      <c r="I41" s="158">
        <v>45992</v>
      </c>
      <c r="J41" s="2">
        <v>1</v>
      </c>
      <c r="K41" s="158">
        <f t="shared" si="7"/>
        <v>46052</v>
      </c>
      <c r="L41" s="155">
        <f>futuros!B5</f>
        <v>297.64999999999998</v>
      </c>
      <c r="M41" s="155">
        <f>(L41+H41)*1.3228</f>
        <v>433.41541999999998</v>
      </c>
      <c r="N41" s="3">
        <f>(E41*(M41+H41))</f>
        <v>148292.9344</v>
      </c>
    </row>
    <row r="42" spans="1:17" x14ac:dyDescent="0.2">
      <c r="A42" s="2">
        <v>2025</v>
      </c>
      <c r="B42" s="2" t="s">
        <v>263</v>
      </c>
      <c r="C42" s="2" t="s">
        <v>42</v>
      </c>
      <c r="D42" s="159" t="s">
        <v>264</v>
      </c>
      <c r="E42" s="2">
        <v>320</v>
      </c>
      <c r="F42" s="2" t="s">
        <v>27</v>
      </c>
      <c r="G42" s="2" t="s">
        <v>37</v>
      </c>
      <c r="H42" s="2">
        <v>30</v>
      </c>
      <c r="I42" s="158">
        <v>46054</v>
      </c>
      <c r="J42" s="2">
        <v>1</v>
      </c>
      <c r="K42" s="158">
        <f t="shared" si="7"/>
        <v>46114</v>
      </c>
      <c r="L42" s="155">
        <f>futuros!B6</f>
        <v>291.64999999999998</v>
      </c>
      <c r="M42" s="155">
        <f>(L42+H42)*1.3228</f>
        <v>425.47861999999998</v>
      </c>
      <c r="N42" s="3">
        <f>(E42*(M42+H42))</f>
        <v>145753.15839999999</v>
      </c>
    </row>
    <row r="43" spans="1:17" x14ac:dyDescent="0.2">
      <c r="A43" s="2">
        <v>2025</v>
      </c>
      <c r="B43" s="2" t="s">
        <v>282</v>
      </c>
      <c r="C43" s="2" t="s">
        <v>42</v>
      </c>
      <c r="D43" s="159" t="s">
        <v>19</v>
      </c>
      <c r="E43" s="2">
        <v>320</v>
      </c>
      <c r="F43" s="2" t="s">
        <v>27</v>
      </c>
      <c r="G43" s="2" t="s">
        <v>39</v>
      </c>
      <c r="H43" s="2">
        <v>0</v>
      </c>
      <c r="I43" s="158">
        <v>45962</v>
      </c>
      <c r="J43" s="2">
        <v>4</v>
      </c>
      <c r="K43" s="158">
        <f>I43+120</f>
        <v>46082</v>
      </c>
      <c r="M43" s="155">
        <v>488</v>
      </c>
      <c r="N43" s="3">
        <f t="shared" ref="N43:N52" si="8">(E43*(M43+H43))</f>
        <v>156160</v>
      </c>
    </row>
    <row r="44" spans="1:17" x14ac:dyDescent="0.2">
      <c r="A44" s="2">
        <v>2025</v>
      </c>
      <c r="B44" s="2" t="s">
        <v>283</v>
      </c>
      <c r="C44" s="2" t="s">
        <v>42</v>
      </c>
      <c r="D44" s="159" t="s">
        <v>19</v>
      </c>
      <c r="E44" s="2">
        <v>320</v>
      </c>
      <c r="F44" s="2" t="s">
        <v>27</v>
      </c>
      <c r="G44" s="2" t="s">
        <v>292</v>
      </c>
      <c r="H44" s="2">
        <v>0</v>
      </c>
      <c r="I44" s="158">
        <v>45962</v>
      </c>
      <c r="J44" s="2">
        <v>4</v>
      </c>
      <c r="K44" s="158">
        <f>I44+120</f>
        <v>46082</v>
      </c>
      <c r="M44" s="155">
        <v>500</v>
      </c>
      <c r="N44" s="3">
        <f t="shared" si="8"/>
        <v>160000</v>
      </c>
    </row>
    <row r="45" spans="1:17" x14ac:dyDescent="0.2">
      <c r="A45" s="2">
        <v>2026</v>
      </c>
      <c r="B45" s="2" t="s">
        <v>284</v>
      </c>
      <c r="C45" s="2" t="s">
        <v>42</v>
      </c>
      <c r="D45" s="159" t="s">
        <v>19</v>
      </c>
      <c r="E45" s="2">
        <v>320</v>
      </c>
      <c r="F45" s="2" t="s">
        <v>27</v>
      </c>
      <c r="G45" s="2" t="s">
        <v>39</v>
      </c>
      <c r="H45" s="2">
        <v>0</v>
      </c>
      <c r="I45" s="158">
        <v>46327</v>
      </c>
      <c r="J45" s="2">
        <v>4</v>
      </c>
      <c r="K45" s="158">
        <f>I45+120</f>
        <v>46447</v>
      </c>
      <c r="M45" s="155">
        <v>423</v>
      </c>
      <c r="N45" s="3">
        <f t="shared" si="8"/>
        <v>135360</v>
      </c>
    </row>
    <row r="46" spans="1:17" x14ac:dyDescent="0.2">
      <c r="A46" s="2">
        <v>2026</v>
      </c>
      <c r="B46" s="2" t="s">
        <v>285</v>
      </c>
      <c r="C46" s="2" t="s">
        <v>42</v>
      </c>
      <c r="D46" s="159" t="s">
        <v>19</v>
      </c>
      <c r="E46" s="2">
        <v>320</v>
      </c>
      <c r="F46" s="2" t="s">
        <v>27</v>
      </c>
      <c r="G46" s="2" t="s">
        <v>292</v>
      </c>
      <c r="H46" s="2">
        <v>0</v>
      </c>
      <c r="I46" s="158">
        <v>46327</v>
      </c>
      <c r="J46" s="2">
        <v>4</v>
      </c>
      <c r="K46" s="158">
        <f>I46+120</f>
        <v>46447</v>
      </c>
      <c r="M46" s="155">
        <v>436</v>
      </c>
      <c r="N46" s="3">
        <f t="shared" si="8"/>
        <v>139520</v>
      </c>
    </row>
    <row r="47" spans="1:17" x14ac:dyDescent="0.2">
      <c r="A47" s="2">
        <v>2025</v>
      </c>
      <c r="B47" s="2" t="s">
        <v>286</v>
      </c>
      <c r="C47" s="2" t="s">
        <v>42</v>
      </c>
      <c r="D47" s="159" t="s">
        <v>264</v>
      </c>
      <c r="E47" s="2">
        <v>320</v>
      </c>
      <c r="F47" s="2" t="s">
        <v>27</v>
      </c>
      <c r="G47" s="2" t="s">
        <v>37</v>
      </c>
      <c r="H47" s="2">
        <v>28</v>
      </c>
      <c r="I47" s="158">
        <v>45901</v>
      </c>
      <c r="J47" s="2">
        <v>1</v>
      </c>
      <c r="K47" s="158">
        <f t="shared" ref="K47:K52" si="9">I47+60</f>
        <v>45961</v>
      </c>
      <c r="L47" s="155">
        <f>futuros!B5</f>
        <v>297.64999999999998</v>
      </c>
      <c r="M47" s="155">
        <f t="shared" ref="M47:M52" si="10">(L47+H47)*1.3228</f>
        <v>430.76981999999998</v>
      </c>
      <c r="N47" s="3">
        <f t="shared" si="8"/>
        <v>146806.34239999999</v>
      </c>
    </row>
    <row r="48" spans="1:17" x14ac:dyDescent="0.2">
      <c r="A48" s="2">
        <v>2025</v>
      </c>
      <c r="B48" s="2" t="s">
        <v>287</v>
      </c>
      <c r="C48" s="2" t="s">
        <v>42</v>
      </c>
      <c r="D48" s="159" t="s">
        <v>264</v>
      </c>
      <c r="E48" s="2">
        <v>320</v>
      </c>
      <c r="F48" s="2" t="s">
        <v>27</v>
      </c>
      <c r="G48" s="2" t="s">
        <v>37</v>
      </c>
      <c r="H48" s="2">
        <v>28</v>
      </c>
      <c r="I48" s="158">
        <v>45962</v>
      </c>
      <c r="J48" s="2">
        <v>1</v>
      </c>
      <c r="K48" s="158">
        <f t="shared" si="9"/>
        <v>46022</v>
      </c>
      <c r="L48" s="155">
        <f>futuros!B5</f>
        <v>297.64999999999998</v>
      </c>
      <c r="M48" s="155">
        <f t="shared" si="10"/>
        <v>430.76981999999998</v>
      </c>
      <c r="N48" s="3">
        <f t="shared" si="8"/>
        <v>146806.34239999999</v>
      </c>
    </row>
    <row r="49" spans="1:14" x14ac:dyDescent="0.2">
      <c r="A49" s="2">
        <v>2025</v>
      </c>
      <c r="B49" s="2" t="s">
        <v>288</v>
      </c>
      <c r="C49" s="2" t="s">
        <v>42</v>
      </c>
      <c r="D49" s="159" t="s">
        <v>264</v>
      </c>
      <c r="E49" s="2">
        <v>320</v>
      </c>
      <c r="F49" s="2" t="s">
        <v>27</v>
      </c>
      <c r="G49" s="2" t="s">
        <v>37</v>
      </c>
      <c r="H49" s="2">
        <v>28</v>
      </c>
      <c r="I49" s="158">
        <v>46023</v>
      </c>
      <c r="J49" s="2">
        <v>1</v>
      </c>
      <c r="K49" s="158">
        <f t="shared" si="9"/>
        <v>46083</v>
      </c>
      <c r="L49" s="155">
        <f>futuros!B6</f>
        <v>291.64999999999998</v>
      </c>
      <c r="M49" s="155">
        <f t="shared" si="10"/>
        <v>422.83301999999998</v>
      </c>
      <c r="N49" s="3">
        <f t="shared" si="8"/>
        <v>144266.56639999998</v>
      </c>
    </row>
    <row r="50" spans="1:14" x14ac:dyDescent="0.2">
      <c r="A50" s="2">
        <v>2025</v>
      </c>
      <c r="B50" s="2" t="s">
        <v>289</v>
      </c>
      <c r="C50" s="2" t="s">
        <v>42</v>
      </c>
      <c r="D50" s="159" t="s">
        <v>264</v>
      </c>
      <c r="E50" s="2">
        <v>320</v>
      </c>
      <c r="F50" s="2" t="s">
        <v>27</v>
      </c>
      <c r="G50" s="2" t="s">
        <v>37</v>
      </c>
      <c r="H50" s="2">
        <v>28</v>
      </c>
      <c r="I50" s="158">
        <v>46082</v>
      </c>
      <c r="J50" s="2">
        <v>1</v>
      </c>
      <c r="K50" s="158">
        <f t="shared" si="9"/>
        <v>46142</v>
      </c>
      <c r="L50" s="155">
        <f>futuros!B7</f>
        <v>286.8</v>
      </c>
      <c r="M50" s="155">
        <f t="shared" si="10"/>
        <v>416.41744</v>
      </c>
      <c r="N50" s="3">
        <f t="shared" si="8"/>
        <v>142213.5808</v>
      </c>
    </row>
    <row r="51" spans="1:14" x14ac:dyDescent="0.2">
      <c r="A51" s="2">
        <v>2025</v>
      </c>
      <c r="B51" s="2" t="s">
        <v>290</v>
      </c>
      <c r="C51" s="2" t="s">
        <v>42</v>
      </c>
      <c r="D51" s="159" t="s">
        <v>264</v>
      </c>
      <c r="E51" s="2">
        <v>320</v>
      </c>
      <c r="F51" s="2" t="s">
        <v>29</v>
      </c>
      <c r="G51" s="2" t="s">
        <v>32</v>
      </c>
      <c r="H51" s="2">
        <v>-22</v>
      </c>
      <c r="I51" s="158">
        <v>45992</v>
      </c>
      <c r="J51" s="2">
        <v>1</v>
      </c>
      <c r="K51" s="158">
        <f t="shared" si="9"/>
        <v>46052</v>
      </c>
      <c r="L51" s="155">
        <f>futuros!B6</f>
        <v>291.64999999999998</v>
      </c>
      <c r="M51" s="155">
        <f t="shared" si="10"/>
        <v>356.69301999999999</v>
      </c>
      <c r="N51" s="3">
        <f t="shared" si="8"/>
        <v>107101.76639999999</v>
      </c>
    </row>
    <row r="52" spans="1:14" x14ac:dyDescent="0.2">
      <c r="A52" s="2">
        <v>2025</v>
      </c>
      <c r="B52" s="2" t="s">
        <v>291</v>
      </c>
      <c r="C52" s="2" t="s">
        <v>42</v>
      </c>
      <c r="D52" s="159" t="s">
        <v>264</v>
      </c>
      <c r="E52" s="2">
        <v>320</v>
      </c>
      <c r="F52" s="2" t="s">
        <v>27</v>
      </c>
      <c r="G52" s="2" t="s">
        <v>293</v>
      </c>
      <c r="H52" s="2">
        <v>53</v>
      </c>
      <c r="I52" s="158">
        <v>45931</v>
      </c>
      <c r="J52" s="2">
        <v>1</v>
      </c>
      <c r="K52" s="158">
        <f t="shared" si="9"/>
        <v>45991</v>
      </c>
      <c r="L52" s="155">
        <f>futuros!B5</f>
        <v>297.64999999999998</v>
      </c>
      <c r="M52" s="155">
        <f t="shared" si="10"/>
        <v>463.83981999999997</v>
      </c>
      <c r="N52" s="3">
        <f t="shared" si="8"/>
        <v>165388.74239999999</v>
      </c>
    </row>
    <row r="53" spans="1:14" x14ac:dyDescent="0.2">
      <c r="N53" s="3"/>
    </row>
    <row r="54" spans="1:14" x14ac:dyDescent="0.2">
      <c r="N54" s="3"/>
    </row>
    <row r="55" spans="1:14" x14ac:dyDescent="0.2">
      <c r="N55" s="3"/>
    </row>
    <row r="56" spans="1:14" x14ac:dyDescent="0.2">
      <c r="N56" s="3"/>
    </row>
  </sheetData>
  <autoFilter ref="A1:Q52" xr:uid="{E433115D-D1E6-C943-B0EC-2BC4BD1B44BA}"/>
  <phoneticPr fontId="5" type="noConversion"/>
  <pageMargins left="0.7" right="0.7" top="0.75" bottom="0.75" header="0.3" footer="0.3"/>
  <pageSetup paperSize="9" orientation="portrait" horizontalDpi="0" verticalDpi="0"/>
  <ignoredErrors>
    <ignoredError sqref="O11" formulaRange="1"/>
    <ignoredError sqref="L5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9E7F-C2F6-E740-8F49-EDB7C93FB4DD}">
  <dimension ref="A1:C10"/>
  <sheetViews>
    <sheetView workbookViewId="0">
      <selection activeCell="E7" sqref="E7"/>
    </sheetView>
  </sheetViews>
  <sheetFormatPr baseColWidth="10" defaultRowHeight="14" x14ac:dyDescent="0.2"/>
  <cols>
    <col min="1" max="1" width="17.1640625" style="158" customWidth="1"/>
    <col min="2" max="2" width="10.83203125" style="155"/>
    <col min="3" max="16384" width="10.83203125" style="1"/>
  </cols>
  <sheetData>
    <row r="1" spans="1:3" x14ac:dyDescent="0.2">
      <c r="A1" s="165">
        <v>45838</v>
      </c>
      <c r="B1" s="1" t="s">
        <v>270</v>
      </c>
    </row>
    <row r="2" spans="1:3" x14ac:dyDescent="0.2">
      <c r="A2" s="153" t="s">
        <v>83</v>
      </c>
      <c r="B2" s="154" t="s">
        <v>268</v>
      </c>
      <c r="C2" s="154" t="s">
        <v>271</v>
      </c>
    </row>
    <row r="3" spans="1:3" x14ac:dyDescent="0.2">
      <c r="A3" s="158">
        <v>45866</v>
      </c>
      <c r="B3" s="155">
        <v>309.89999999999998</v>
      </c>
      <c r="C3" s="155">
        <f t="shared" ref="C3:C10" si="0">B3*1.3228</f>
        <v>409.93571999999995</v>
      </c>
    </row>
    <row r="4" spans="1:3" x14ac:dyDescent="0.2">
      <c r="A4" s="158">
        <v>45930</v>
      </c>
      <c r="B4" s="155">
        <v>303.85000000000002</v>
      </c>
      <c r="C4" s="155">
        <f t="shared" si="0"/>
        <v>401.93278000000004</v>
      </c>
    </row>
    <row r="5" spans="1:3" x14ac:dyDescent="0.2">
      <c r="A5" s="158">
        <v>46021</v>
      </c>
      <c r="B5" s="155">
        <v>297.64999999999998</v>
      </c>
      <c r="C5" s="155">
        <f t="shared" si="0"/>
        <v>393.73141999999996</v>
      </c>
    </row>
    <row r="6" spans="1:3" x14ac:dyDescent="0.2">
      <c r="A6" s="158">
        <v>46112</v>
      </c>
      <c r="B6" s="155">
        <v>291.64999999999998</v>
      </c>
      <c r="C6" s="155">
        <f t="shared" si="0"/>
        <v>385.79461999999995</v>
      </c>
    </row>
    <row r="7" spans="1:3" x14ac:dyDescent="0.2">
      <c r="A7" s="158">
        <v>46173</v>
      </c>
      <c r="B7" s="155">
        <v>286.8</v>
      </c>
      <c r="C7" s="155">
        <f t="shared" si="0"/>
        <v>379.37904000000003</v>
      </c>
    </row>
    <row r="8" spans="1:3" x14ac:dyDescent="0.2">
      <c r="A8" s="158">
        <v>46231</v>
      </c>
      <c r="B8" s="155">
        <v>280.14999999999998</v>
      </c>
      <c r="C8" s="155">
        <f t="shared" si="0"/>
        <v>370.58241999999996</v>
      </c>
    </row>
    <row r="9" spans="1:3" x14ac:dyDescent="0.2">
      <c r="A9" s="158">
        <v>46295</v>
      </c>
      <c r="B9" s="155">
        <v>273.55</v>
      </c>
      <c r="C9" s="155">
        <f t="shared" si="0"/>
        <v>361.85194000000001</v>
      </c>
    </row>
    <row r="10" spans="1:3" x14ac:dyDescent="0.2">
      <c r="A10" s="158">
        <v>46386</v>
      </c>
      <c r="B10" s="155">
        <v>270.8</v>
      </c>
      <c r="C10" s="155">
        <f t="shared" si="0"/>
        <v>358.21424000000002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6AAA-4A78-E345-8F9A-63A7668FB046}">
  <dimension ref="A1:D42"/>
  <sheetViews>
    <sheetView workbookViewId="0">
      <selection activeCell="D1" sqref="A1:D1"/>
    </sheetView>
  </sheetViews>
  <sheetFormatPr baseColWidth="10" defaultRowHeight="16" x14ac:dyDescent="0.2"/>
  <cols>
    <col min="1" max="1" width="10.83203125" style="158"/>
    <col min="2" max="3" width="10.83203125" style="155"/>
    <col min="4" max="16384" width="10.83203125" style="4"/>
  </cols>
  <sheetData>
    <row r="1" spans="1:4" x14ac:dyDescent="0.2">
      <c r="A1" s="153" t="s">
        <v>83</v>
      </c>
      <c r="B1" s="154" t="s">
        <v>267</v>
      </c>
      <c r="C1" s="154" t="s">
        <v>268</v>
      </c>
      <c r="D1" s="153" t="s">
        <v>269</v>
      </c>
    </row>
    <row r="2" spans="1:4" x14ac:dyDescent="0.2">
      <c r="A2" s="158">
        <v>44592</v>
      </c>
      <c r="B2" s="155">
        <v>5.5374090000000002</v>
      </c>
      <c r="C2" s="155">
        <v>236.23999900000001</v>
      </c>
      <c r="D2" s="155">
        <f>C2*1.3228*B2</f>
        <v>1730.4307365323637</v>
      </c>
    </row>
    <row r="3" spans="1:4" x14ac:dyDescent="0.2">
      <c r="A3" s="158">
        <v>44620</v>
      </c>
      <c r="B3" s="155">
        <v>5.1979179999999996</v>
      </c>
      <c r="C3" s="155">
        <v>246.19736900000001</v>
      </c>
      <c r="D3" s="155">
        <f t="shared" ref="D3:D41" si="0">C3*1.3228*B3</f>
        <v>1692.8053298190771</v>
      </c>
    </row>
    <row r="4" spans="1:4" x14ac:dyDescent="0.2">
      <c r="A4" s="158">
        <v>44651</v>
      </c>
      <c r="B4" s="155">
        <v>4.9872889999999996</v>
      </c>
      <c r="C4" s="155">
        <v>223.50869599999999</v>
      </c>
      <c r="D4" s="155">
        <f t="shared" si="0"/>
        <v>1474.5284153646924</v>
      </c>
    </row>
    <row r="5" spans="1:4" x14ac:dyDescent="0.2">
      <c r="A5" s="158">
        <v>44681</v>
      </c>
      <c r="B5" s="155">
        <v>4.7329809999999997</v>
      </c>
      <c r="C5" s="155">
        <v>225.61000100000001</v>
      </c>
      <c r="D5" s="155">
        <f t="shared" si="0"/>
        <v>1412.4962215235353</v>
      </c>
    </row>
    <row r="6" spans="1:4" x14ac:dyDescent="0.2">
      <c r="A6" s="158">
        <v>44712</v>
      </c>
      <c r="B6" s="155">
        <v>4.9608749999999997</v>
      </c>
      <c r="C6" s="155">
        <v>218.33333300000001</v>
      </c>
      <c r="D6" s="155">
        <f t="shared" si="0"/>
        <v>1432.7569210625848</v>
      </c>
    </row>
    <row r="7" spans="1:4" x14ac:dyDescent="0.2">
      <c r="A7" s="158">
        <v>44742</v>
      </c>
      <c r="B7" s="155">
        <v>5.0325829999999998</v>
      </c>
      <c r="C7" s="155">
        <v>231.35714200000001</v>
      </c>
      <c r="D7" s="155">
        <f t="shared" si="0"/>
        <v>1540.1678133355992</v>
      </c>
    </row>
    <row r="8" spans="1:4" x14ac:dyDescent="0.2">
      <c r="A8" s="158">
        <v>44773</v>
      </c>
      <c r="B8" s="155">
        <v>5.3714709999999997</v>
      </c>
      <c r="C8" s="155">
        <v>215.95749799999999</v>
      </c>
      <c r="D8" s="155">
        <f t="shared" si="0"/>
        <v>1534.4604842418871</v>
      </c>
    </row>
    <row r="9" spans="1:4" x14ac:dyDescent="0.2">
      <c r="A9" s="158">
        <v>44804</v>
      </c>
      <c r="B9" s="155">
        <v>5.1425409999999996</v>
      </c>
      <c r="C9" s="155">
        <v>224.22173799999999</v>
      </c>
      <c r="D9" s="155">
        <f t="shared" si="0"/>
        <v>1525.280309144378</v>
      </c>
    </row>
    <row r="10" spans="1:4" x14ac:dyDescent="0.2">
      <c r="A10" s="158">
        <v>44834</v>
      </c>
      <c r="B10" s="155">
        <v>5.2244000000000002</v>
      </c>
      <c r="C10" s="155">
        <v>225.485715</v>
      </c>
      <c r="D10" s="155">
        <f t="shared" si="0"/>
        <v>1558.2948688631689</v>
      </c>
    </row>
    <row r="11" spans="1:4" x14ac:dyDescent="0.2">
      <c r="A11" s="158">
        <v>44865</v>
      </c>
      <c r="B11" s="155">
        <v>5.2630600000000003</v>
      </c>
      <c r="C11" s="155">
        <v>199.36190500000001</v>
      </c>
      <c r="D11" s="155">
        <f t="shared" si="0"/>
        <v>1387.9527516723181</v>
      </c>
    </row>
    <row r="12" spans="1:4" x14ac:dyDescent="0.2">
      <c r="A12" s="158">
        <v>44895</v>
      </c>
      <c r="B12" s="155">
        <v>5.2736499999999999</v>
      </c>
      <c r="C12" s="155">
        <v>165.15952300000001</v>
      </c>
      <c r="D12" s="155">
        <f t="shared" si="0"/>
        <v>1152.1502262307272</v>
      </c>
    </row>
    <row r="13" spans="1:4" x14ac:dyDescent="0.2">
      <c r="A13" s="158">
        <v>44926</v>
      </c>
      <c r="B13" s="155">
        <v>5.2432319999999999</v>
      </c>
      <c r="C13" s="155">
        <v>165.45</v>
      </c>
      <c r="D13" s="155">
        <f t="shared" si="0"/>
        <v>1147.5193890643197</v>
      </c>
    </row>
    <row r="14" spans="1:4" x14ac:dyDescent="0.2">
      <c r="A14" s="158">
        <v>44957</v>
      </c>
      <c r="B14" s="155">
        <v>5.2017670000000003</v>
      </c>
      <c r="C14" s="155">
        <v>159.29750000000001</v>
      </c>
      <c r="D14" s="155">
        <f t="shared" si="0"/>
        <v>1096.1097516012112</v>
      </c>
    </row>
    <row r="15" spans="1:4" x14ac:dyDescent="0.2">
      <c r="A15" s="158">
        <v>44985</v>
      </c>
      <c r="B15" s="155">
        <v>5.1680080000000004</v>
      </c>
      <c r="C15" s="155">
        <v>182.636841</v>
      </c>
      <c r="D15" s="155">
        <f t="shared" si="0"/>
        <v>1248.5494573402727</v>
      </c>
    </row>
    <row r="16" spans="1:4" x14ac:dyDescent="0.2">
      <c r="A16" s="158">
        <v>45016</v>
      </c>
      <c r="B16" s="155">
        <v>5.2090829999999997</v>
      </c>
      <c r="C16" s="155">
        <v>179.62173899999999</v>
      </c>
      <c r="D16" s="155">
        <f t="shared" si="0"/>
        <v>1237.6970628447996</v>
      </c>
    </row>
    <row r="17" spans="1:4" x14ac:dyDescent="0.2">
      <c r="A17" s="158">
        <v>45046</v>
      </c>
      <c r="B17" s="155">
        <v>5.0181649999999998</v>
      </c>
      <c r="C17" s="155">
        <v>191.24210600000001</v>
      </c>
      <c r="D17" s="155">
        <f t="shared" si="0"/>
        <v>1269.4705810092421</v>
      </c>
    </row>
    <row r="18" spans="1:4" x14ac:dyDescent="0.2">
      <c r="A18" s="158">
        <v>45077</v>
      </c>
      <c r="B18" s="155">
        <v>4.9752390000000002</v>
      </c>
      <c r="C18" s="155">
        <v>187.32045400000001</v>
      </c>
      <c r="D18" s="155">
        <f t="shared" si="0"/>
        <v>1232.8020165538958</v>
      </c>
    </row>
    <row r="19" spans="1:4" x14ac:dyDescent="0.2">
      <c r="A19" s="158">
        <v>45107</v>
      </c>
      <c r="B19" s="155">
        <v>4.8593149999999996</v>
      </c>
      <c r="C19" s="155">
        <v>178.16190399999999</v>
      </c>
      <c r="D19" s="155">
        <f t="shared" si="0"/>
        <v>1145.207238022303</v>
      </c>
    </row>
    <row r="20" spans="1:4" x14ac:dyDescent="0.2">
      <c r="A20" s="158">
        <v>45138</v>
      </c>
      <c r="B20" s="155">
        <v>4.8034140000000001</v>
      </c>
      <c r="C20" s="155">
        <v>160.20750000000001</v>
      </c>
      <c r="D20" s="155">
        <f t="shared" si="0"/>
        <v>1017.951412150134</v>
      </c>
    </row>
    <row r="21" spans="1:4" x14ac:dyDescent="0.2">
      <c r="A21" s="158">
        <v>45169</v>
      </c>
      <c r="B21" s="155">
        <v>4.8973570000000004</v>
      </c>
      <c r="C21" s="155">
        <v>155.04782700000001</v>
      </c>
      <c r="D21" s="155">
        <f t="shared" si="0"/>
        <v>1004.4345291495767</v>
      </c>
    </row>
    <row r="22" spans="1:4" x14ac:dyDescent="0.2">
      <c r="A22" s="158">
        <v>45199</v>
      </c>
      <c r="B22" s="155">
        <v>4.9424900000000003</v>
      </c>
      <c r="C22" s="155">
        <v>152.252499</v>
      </c>
      <c r="D22" s="155">
        <f t="shared" si="0"/>
        <v>995.41553706350419</v>
      </c>
    </row>
    <row r="23" spans="1:4" x14ac:dyDescent="0.2">
      <c r="A23" s="158">
        <v>45230</v>
      </c>
      <c r="B23" s="155">
        <v>5.0578419999999999</v>
      </c>
      <c r="C23" s="155">
        <v>155.65454600000001</v>
      </c>
      <c r="D23" s="155">
        <f t="shared" si="0"/>
        <v>1041.4088254103456</v>
      </c>
    </row>
    <row r="24" spans="1:4" x14ac:dyDescent="0.2">
      <c r="A24" s="158">
        <v>45260</v>
      </c>
      <c r="B24" s="155">
        <v>4.8988389999999997</v>
      </c>
      <c r="C24" s="155">
        <v>176.45227199999999</v>
      </c>
      <c r="D24" s="155">
        <f t="shared" si="0"/>
        <v>1143.4432302209086</v>
      </c>
    </row>
    <row r="25" spans="1:4" x14ac:dyDescent="0.2">
      <c r="A25" s="158">
        <v>45291</v>
      </c>
      <c r="B25" s="155">
        <v>4.8972709999999999</v>
      </c>
      <c r="C25" s="155">
        <v>194.08</v>
      </c>
      <c r="D25" s="155">
        <f t="shared" si="0"/>
        <v>1257.2716040935043</v>
      </c>
    </row>
    <row r="26" spans="1:4" x14ac:dyDescent="0.2">
      <c r="A26" s="158">
        <v>45322</v>
      </c>
      <c r="B26" s="155">
        <v>4.9062479999999997</v>
      </c>
      <c r="C26" s="155">
        <v>186.55952300000001</v>
      </c>
      <c r="D26" s="155">
        <f t="shared" si="0"/>
        <v>1210.7684787140884</v>
      </c>
    </row>
    <row r="27" spans="1:4" x14ac:dyDescent="0.2">
      <c r="A27" s="158">
        <v>45351</v>
      </c>
      <c r="B27" s="155">
        <v>4.9565989999999998</v>
      </c>
      <c r="C27" s="155">
        <v>192.180003</v>
      </c>
      <c r="D27" s="155">
        <f t="shared" si="0"/>
        <v>1260.0453239004632</v>
      </c>
    </row>
    <row r="28" spans="1:4" x14ac:dyDescent="0.2">
      <c r="A28" s="158">
        <v>45382</v>
      </c>
      <c r="B28" s="155">
        <v>4.9766089999999998</v>
      </c>
      <c r="C28" s="155">
        <v>189.85249999999999</v>
      </c>
      <c r="D28" s="155">
        <f t="shared" si="0"/>
        <v>1249.8100920761829</v>
      </c>
    </row>
    <row r="29" spans="1:4" x14ac:dyDescent="0.2">
      <c r="A29" s="158">
        <v>45412</v>
      </c>
      <c r="B29" s="155">
        <v>5.1168089999999999</v>
      </c>
      <c r="C29" s="155">
        <v>222.52500000000001</v>
      </c>
      <c r="D29" s="155">
        <f t="shared" si="0"/>
        <v>1506.16378818063</v>
      </c>
    </row>
    <row r="30" spans="1:4" x14ac:dyDescent="0.2">
      <c r="A30" s="158">
        <v>45443</v>
      </c>
      <c r="B30" s="155">
        <v>5.1366110000000003</v>
      </c>
      <c r="C30" s="155">
        <v>211.38408899999999</v>
      </c>
      <c r="D30" s="155">
        <f t="shared" si="0"/>
        <v>1436.2933784957311</v>
      </c>
    </row>
    <row r="31" spans="1:4" x14ac:dyDescent="0.2">
      <c r="A31" s="158">
        <v>45473</v>
      </c>
      <c r="B31" s="155">
        <v>5.3737180000000002</v>
      </c>
      <c r="C31" s="155">
        <v>227.942105</v>
      </c>
      <c r="D31" s="155">
        <f t="shared" si="0"/>
        <v>1620.2932126865048</v>
      </c>
    </row>
    <row r="32" spans="1:4" x14ac:dyDescent="0.2">
      <c r="A32" s="158">
        <v>45504</v>
      </c>
      <c r="B32" s="155">
        <v>5.5357609999999999</v>
      </c>
      <c r="C32" s="155">
        <v>237.74090799999999</v>
      </c>
      <c r="D32" s="155">
        <f t="shared" si="0"/>
        <v>1740.9064526970146</v>
      </c>
    </row>
    <row r="33" spans="1:4" x14ac:dyDescent="0.2">
      <c r="A33" s="158">
        <v>45535</v>
      </c>
      <c r="B33" s="155">
        <v>5.5548729999999997</v>
      </c>
      <c r="C33" s="155">
        <v>243.51136299999999</v>
      </c>
      <c r="D33" s="155">
        <f t="shared" si="0"/>
        <v>1789.3180872363678</v>
      </c>
    </row>
    <row r="34" spans="1:4" x14ac:dyDescent="0.2">
      <c r="A34" s="158">
        <v>45565</v>
      </c>
      <c r="B34" s="155">
        <v>5.549722</v>
      </c>
      <c r="C34" s="155">
        <v>257.66749700000003</v>
      </c>
      <c r="D34" s="155">
        <f t="shared" si="0"/>
        <v>1891.5814816923014</v>
      </c>
    </row>
    <row r="35" spans="1:4" x14ac:dyDescent="0.2">
      <c r="A35" s="158">
        <v>45596</v>
      </c>
      <c r="B35" s="155">
        <v>5.6047529999999997</v>
      </c>
      <c r="C35" s="155">
        <v>252.72391300000001</v>
      </c>
      <c r="D35" s="155">
        <f t="shared" si="0"/>
        <v>1873.6868189239692</v>
      </c>
    </row>
    <row r="36" spans="1:4" x14ac:dyDescent="0.2">
      <c r="A36" s="158">
        <v>45626</v>
      </c>
      <c r="B36" s="155">
        <v>5.7834440000000003</v>
      </c>
      <c r="C36" s="155">
        <v>279.08499799999998</v>
      </c>
      <c r="D36" s="155">
        <f t="shared" si="0"/>
        <v>2135.0950463485924</v>
      </c>
    </row>
    <row r="37" spans="1:4" x14ac:dyDescent="0.2">
      <c r="A37" s="158">
        <v>45657</v>
      </c>
      <c r="B37" s="155">
        <v>6.0986229999999999</v>
      </c>
      <c r="C37" s="155">
        <v>322.10476399999999</v>
      </c>
      <c r="D37" s="155">
        <f t="shared" si="0"/>
        <v>2598.5023966867548</v>
      </c>
    </row>
    <row r="38" spans="1:4" x14ac:dyDescent="0.2">
      <c r="A38" s="158">
        <v>45688</v>
      </c>
      <c r="B38" s="155">
        <v>6.0306569999999997</v>
      </c>
      <c r="C38" s="155">
        <v>336.328574</v>
      </c>
      <c r="D38" s="155">
        <f t="shared" si="0"/>
        <v>2683.0117855563763</v>
      </c>
    </row>
    <row r="39" spans="1:4" x14ac:dyDescent="0.2">
      <c r="A39" s="158">
        <v>45716</v>
      </c>
      <c r="B39" s="155">
        <v>5.763325</v>
      </c>
      <c r="C39" s="155">
        <v>402.497367</v>
      </c>
      <c r="D39" s="155">
        <f t="shared" si="0"/>
        <v>3068.5297665036255</v>
      </c>
    </row>
    <row r="40" spans="1:4" x14ac:dyDescent="0.2">
      <c r="A40" s="158">
        <v>45747</v>
      </c>
      <c r="B40" s="155">
        <v>5.76966</v>
      </c>
      <c r="C40" s="155">
        <v>391.711907</v>
      </c>
      <c r="D40" s="155">
        <f t="shared" si="0"/>
        <v>2989.586892830695</v>
      </c>
    </row>
    <row r="41" spans="1:4" x14ac:dyDescent="0.2">
      <c r="A41" s="158">
        <v>45777</v>
      </c>
      <c r="B41" s="155">
        <v>5.7739219999999998</v>
      </c>
      <c r="C41" s="155">
        <v>378.14523600000001</v>
      </c>
      <c r="D41" s="155">
        <f t="shared" si="0"/>
        <v>2888.1765155555213</v>
      </c>
    </row>
    <row r="42" spans="1:4" x14ac:dyDescent="0.2">
      <c r="D42" s="155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491C2-C21B-5F4F-A65E-9967E69F9939}">
  <dimension ref="A1:F882"/>
  <sheetViews>
    <sheetView workbookViewId="0">
      <selection activeCell="F33" sqref="F33"/>
    </sheetView>
  </sheetViews>
  <sheetFormatPr baseColWidth="10" defaultRowHeight="14" x14ac:dyDescent="0.2"/>
  <cols>
    <col min="1" max="1" width="11.33203125" style="162" bestFit="1" customWidth="1"/>
    <col min="2" max="4" width="11" style="155" bestFit="1" customWidth="1"/>
    <col min="5" max="16384" width="10.83203125" style="1"/>
  </cols>
  <sheetData>
    <row r="1" spans="1:6" x14ac:dyDescent="0.2">
      <c r="A1" s="163" t="s">
        <v>83</v>
      </c>
      <c r="B1" s="154" t="s">
        <v>267</v>
      </c>
      <c r="C1" s="154" t="s">
        <v>268</v>
      </c>
      <c r="D1" s="154" t="s">
        <v>269</v>
      </c>
      <c r="E1" s="1" t="s">
        <v>278</v>
      </c>
      <c r="F1" s="164">
        <v>2.5000000000000001E-2</v>
      </c>
    </row>
    <row r="2" spans="1:6" x14ac:dyDescent="0.2">
      <c r="A2" s="162">
        <v>44564</v>
      </c>
      <c r="B2" s="155">
        <v>5.5693001747131303</v>
      </c>
      <c r="C2" s="155">
        <v>223.30000305175699</v>
      </c>
      <c r="D2" s="155">
        <f>(B2*(1-$F$1)*C2*1.3228)</f>
        <v>1603.940143670952</v>
      </c>
    </row>
    <row r="3" spans="1:6" x14ac:dyDescent="0.2">
      <c r="A3" s="162">
        <v>44565</v>
      </c>
      <c r="B3" s="155">
        <v>5.6812000274658203</v>
      </c>
      <c r="C3" s="155">
        <v>231.75</v>
      </c>
      <c r="D3" s="155">
        <f t="shared" ref="D3:D66" si="0">(B3*(1-$F$1)*C3*1.3228)</f>
        <v>1698.0818703223943</v>
      </c>
    </row>
    <row r="4" spans="1:6" x14ac:dyDescent="0.2">
      <c r="A4" s="162">
        <v>44566</v>
      </c>
      <c r="B4" s="155">
        <v>5.6761999130248997</v>
      </c>
      <c r="C4" s="155">
        <v>231.75</v>
      </c>
      <c r="D4" s="155">
        <f t="shared" si="0"/>
        <v>1696.5873614790837</v>
      </c>
    </row>
    <row r="5" spans="1:6" x14ac:dyDescent="0.2">
      <c r="A5" s="162">
        <v>44567</v>
      </c>
      <c r="B5" s="155">
        <v>5.7056350708007804</v>
      </c>
      <c r="C5" s="155">
        <v>231.69999694824199</v>
      </c>
      <c r="D5" s="155">
        <f t="shared" si="0"/>
        <v>1705.0174219354039</v>
      </c>
    </row>
    <row r="6" spans="1:6" x14ac:dyDescent="0.2">
      <c r="A6" s="162">
        <v>44568</v>
      </c>
      <c r="B6" s="155">
        <v>5.6824002265930096</v>
      </c>
      <c r="C6" s="155">
        <v>238.44999694824199</v>
      </c>
      <c r="D6" s="155">
        <f t="shared" si="0"/>
        <v>1747.5432870843263</v>
      </c>
    </row>
    <row r="7" spans="1:6" x14ac:dyDescent="0.2">
      <c r="A7" s="162">
        <v>44571</v>
      </c>
      <c r="B7" s="155">
        <v>5.6321997642517001</v>
      </c>
      <c r="C7" s="155">
        <v>234.89999389648401</v>
      </c>
      <c r="D7" s="155">
        <f t="shared" si="0"/>
        <v>1706.3175494216223</v>
      </c>
    </row>
    <row r="8" spans="1:6" x14ac:dyDescent="0.2">
      <c r="A8" s="162">
        <v>44572</v>
      </c>
      <c r="B8" s="155">
        <v>5.6621999740600497</v>
      </c>
      <c r="C8" s="155">
        <v>237.05000305175699</v>
      </c>
      <c r="D8" s="155">
        <f t="shared" si="0"/>
        <v>1731.1072316377597</v>
      </c>
    </row>
    <row r="9" spans="1:6" x14ac:dyDescent="0.2">
      <c r="A9" s="162">
        <v>44573</v>
      </c>
      <c r="B9" s="155">
        <v>5.56729984283447</v>
      </c>
      <c r="C9" s="155">
        <v>240.850006103515</v>
      </c>
      <c r="D9" s="155">
        <f t="shared" si="0"/>
        <v>1729.3785807192421</v>
      </c>
    </row>
    <row r="10" spans="1:6" x14ac:dyDescent="0.2">
      <c r="A10" s="162">
        <v>44574</v>
      </c>
      <c r="B10" s="155">
        <v>5.5331997871398899</v>
      </c>
      <c r="C10" s="155">
        <v>237</v>
      </c>
      <c r="D10" s="155">
        <f t="shared" si="0"/>
        <v>1691.3111014678993</v>
      </c>
    </row>
    <row r="11" spans="1:6" x14ac:dyDescent="0.2">
      <c r="A11" s="162">
        <v>44575</v>
      </c>
      <c r="B11" s="155">
        <v>5.5267000198364196</v>
      </c>
      <c r="C11" s="155">
        <v>239.64999389648401</v>
      </c>
      <c r="D11" s="155">
        <f t="shared" si="0"/>
        <v>1708.213369688704</v>
      </c>
    </row>
    <row r="12" spans="1:6" x14ac:dyDescent="0.2">
      <c r="A12" s="162">
        <v>44579</v>
      </c>
      <c r="B12" s="155">
        <v>5.5157999992370597</v>
      </c>
      <c r="C12" s="155">
        <v>239.600006103515</v>
      </c>
      <c r="D12" s="155">
        <f t="shared" si="0"/>
        <v>1704.4887422503875</v>
      </c>
    </row>
    <row r="13" spans="1:6" x14ac:dyDescent="0.2">
      <c r="A13" s="162">
        <v>44580</v>
      </c>
      <c r="B13" s="155">
        <v>5.5657000541687003</v>
      </c>
      <c r="C13" s="155">
        <v>244.44999694824199</v>
      </c>
      <c r="D13" s="155">
        <f t="shared" si="0"/>
        <v>1754.7232714731767</v>
      </c>
    </row>
    <row r="14" spans="1:6" x14ac:dyDescent="0.2">
      <c r="A14" s="162">
        <v>44581</v>
      </c>
      <c r="B14" s="155">
        <v>5.4372000694274902</v>
      </c>
      <c r="C14" s="155">
        <v>243.64999389648401</v>
      </c>
      <c r="D14" s="155">
        <f t="shared" si="0"/>
        <v>1708.6004662954547</v>
      </c>
    </row>
    <row r="15" spans="1:6" x14ac:dyDescent="0.2">
      <c r="A15" s="162">
        <v>44582</v>
      </c>
      <c r="B15" s="155">
        <v>5.4180998802184996</v>
      </c>
      <c r="C15" s="155">
        <v>237.89999389648401</v>
      </c>
      <c r="D15" s="155">
        <f t="shared" si="0"/>
        <v>1662.4180268798557</v>
      </c>
    </row>
    <row r="16" spans="1:6" x14ac:dyDescent="0.2">
      <c r="A16" s="162">
        <v>44585</v>
      </c>
      <c r="B16" s="155">
        <v>5.4570999145507804</v>
      </c>
      <c r="C16" s="155">
        <v>232.94999694824199</v>
      </c>
      <c r="D16" s="155">
        <f t="shared" si="0"/>
        <v>1639.5452844084248</v>
      </c>
    </row>
    <row r="17" spans="1:4" x14ac:dyDescent="0.2">
      <c r="A17" s="162">
        <v>44586</v>
      </c>
      <c r="B17" s="155">
        <v>5.48610019683837</v>
      </c>
      <c r="C17" s="155">
        <v>237.89999389648401</v>
      </c>
      <c r="D17" s="155">
        <f t="shared" si="0"/>
        <v>1683.2823436480162</v>
      </c>
    </row>
    <row r="18" spans="1:4" x14ac:dyDescent="0.2">
      <c r="A18" s="162">
        <v>44587</v>
      </c>
      <c r="B18" s="155">
        <v>5.4407038688659597</v>
      </c>
      <c r="C18" s="155">
        <v>238.89999389648401</v>
      </c>
      <c r="D18" s="155">
        <f t="shared" si="0"/>
        <v>1676.3705744607171</v>
      </c>
    </row>
    <row r="19" spans="1:4" x14ac:dyDescent="0.2">
      <c r="A19" s="162">
        <v>44588</v>
      </c>
      <c r="B19" s="155">
        <v>5.4291667938232404</v>
      </c>
      <c r="C19" s="155">
        <v>232.05000305175699</v>
      </c>
      <c r="D19" s="155">
        <f t="shared" si="0"/>
        <v>1624.8510843807928</v>
      </c>
    </row>
    <row r="20" spans="1:4" x14ac:dyDescent="0.2">
      <c r="A20" s="162">
        <v>44589</v>
      </c>
      <c r="B20" s="155">
        <v>5.4034848213195801</v>
      </c>
      <c r="C20" s="155">
        <v>235.89999389648401</v>
      </c>
      <c r="D20" s="155">
        <f t="shared" si="0"/>
        <v>1643.9956627662327</v>
      </c>
    </row>
    <row r="21" spans="1:4" x14ac:dyDescent="0.2">
      <c r="A21" s="162">
        <v>44592</v>
      </c>
      <c r="B21" s="155">
        <v>5.3625998497009197</v>
      </c>
      <c r="C21" s="155">
        <v>235.100006103515</v>
      </c>
      <c r="D21" s="155">
        <f t="shared" si="0"/>
        <v>1626.0235602805626</v>
      </c>
    </row>
    <row r="22" spans="1:4" x14ac:dyDescent="0.2">
      <c r="A22" s="162">
        <v>44593</v>
      </c>
      <c r="B22" s="155">
        <v>5.30310010910034</v>
      </c>
      <c r="C22" s="155">
        <v>236.69999694824199</v>
      </c>
      <c r="D22" s="155">
        <f t="shared" si="0"/>
        <v>1618.9255599154483</v>
      </c>
    </row>
    <row r="23" spans="1:4" x14ac:dyDescent="0.2">
      <c r="A23" s="162">
        <v>44594</v>
      </c>
      <c r="B23" s="155">
        <v>5.2645001411437899</v>
      </c>
      <c r="C23" s="155">
        <v>238.80000305175699</v>
      </c>
      <c r="D23" s="155">
        <f t="shared" si="0"/>
        <v>1621.4003842892964</v>
      </c>
    </row>
    <row r="24" spans="1:4" x14ac:dyDescent="0.2">
      <c r="A24" s="162">
        <v>44595</v>
      </c>
      <c r="B24" s="155">
        <v>5.2609000205993599</v>
      </c>
      <c r="C24" s="155">
        <v>243.89999389648401</v>
      </c>
      <c r="D24" s="155">
        <f t="shared" si="0"/>
        <v>1654.8957469189265</v>
      </c>
    </row>
    <row r="25" spans="1:4" x14ac:dyDescent="0.2">
      <c r="A25" s="162">
        <v>44596</v>
      </c>
      <c r="B25" s="155">
        <v>5.2828998565673801</v>
      </c>
      <c r="C25" s="155">
        <v>241.850006103515</v>
      </c>
      <c r="D25" s="155">
        <f t="shared" si="0"/>
        <v>1647.8485069681626</v>
      </c>
    </row>
    <row r="26" spans="1:4" x14ac:dyDescent="0.2">
      <c r="A26" s="162">
        <v>44599</v>
      </c>
      <c r="B26" s="155">
        <v>5.32690000534057</v>
      </c>
      <c r="C26" s="155">
        <v>241.64999389648401</v>
      </c>
      <c r="D26" s="155">
        <f t="shared" si="0"/>
        <v>1660.1989501277508</v>
      </c>
    </row>
    <row r="27" spans="1:4" x14ac:dyDescent="0.2">
      <c r="A27" s="162">
        <v>44600</v>
      </c>
      <c r="B27" s="155">
        <v>5.2625999450683496</v>
      </c>
      <c r="C27" s="155">
        <v>248.94999694824199</v>
      </c>
      <c r="D27" s="155">
        <f t="shared" si="0"/>
        <v>1689.7065363964421</v>
      </c>
    </row>
    <row r="28" spans="1:4" x14ac:dyDescent="0.2">
      <c r="A28" s="162">
        <v>44601</v>
      </c>
      <c r="B28" s="155">
        <v>5.2583999633789</v>
      </c>
      <c r="C28" s="155">
        <v>258.350006103515</v>
      </c>
      <c r="D28" s="155">
        <f t="shared" si="0"/>
        <v>1752.1080877285128</v>
      </c>
    </row>
    <row r="29" spans="1:4" x14ac:dyDescent="0.2">
      <c r="A29" s="162">
        <v>44602</v>
      </c>
      <c r="B29" s="155">
        <v>5.2344999313354403</v>
      </c>
      <c r="C29" s="155">
        <v>255.19999694824199</v>
      </c>
      <c r="D29" s="155">
        <f t="shared" si="0"/>
        <v>1722.8785548091112</v>
      </c>
    </row>
    <row r="30" spans="1:4" x14ac:dyDescent="0.2">
      <c r="A30" s="162">
        <v>44603</v>
      </c>
      <c r="B30" s="155">
        <v>5.2487001419067303</v>
      </c>
      <c r="C30" s="155">
        <v>251.64999389648401</v>
      </c>
      <c r="D30" s="155">
        <f t="shared" si="0"/>
        <v>1703.5209871442989</v>
      </c>
    </row>
    <row r="31" spans="1:4" x14ac:dyDescent="0.2">
      <c r="A31" s="162">
        <v>44606</v>
      </c>
      <c r="B31" s="155">
        <v>5.24995613098144</v>
      </c>
      <c r="C31" s="155">
        <v>247.55000305175699</v>
      </c>
      <c r="D31" s="155">
        <f t="shared" si="0"/>
        <v>1676.1674873602126</v>
      </c>
    </row>
    <row r="32" spans="1:4" x14ac:dyDescent="0.2">
      <c r="A32" s="162">
        <v>44607</v>
      </c>
      <c r="B32" s="155">
        <v>5.2140002250671298</v>
      </c>
      <c r="C32" s="155">
        <v>251.850006103515</v>
      </c>
      <c r="D32" s="155">
        <f t="shared" si="0"/>
        <v>1693.6037757569848</v>
      </c>
    </row>
    <row r="33" spans="1:4" x14ac:dyDescent="0.2">
      <c r="A33" s="162">
        <v>44608</v>
      </c>
      <c r="B33" s="155">
        <v>5.1578998565673801</v>
      </c>
      <c r="C33" s="155">
        <v>252.25</v>
      </c>
      <c r="D33" s="155">
        <f t="shared" si="0"/>
        <v>1678.0422164121858</v>
      </c>
    </row>
    <row r="34" spans="1:4" x14ac:dyDescent="0.2">
      <c r="A34" s="162">
        <v>44609</v>
      </c>
      <c r="B34" s="155">
        <v>5.1357998847961399</v>
      </c>
      <c r="C34" s="155">
        <v>251.5</v>
      </c>
      <c r="D34" s="155">
        <f t="shared" si="0"/>
        <v>1665.8844891326587</v>
      </c>
    </row>
    <row r="35" spans="1:4" x14ac:dyDescent="0.2">
      <c r="A35" s="162">
        <v>44610</v>
      </c>
      <c r="B35" s="155">
        <v>5.1705999374389604</v>
      </c>
      <c r="C35" s="155">
        <v>246.850006103515</v>
      </c>
      <c r="D35" s="155">
        <f t="shared" si="0"/>
        <v>1646.1631697801265</v>
      </c>
    </row>
    <row r="36" spans="1:4" x14ac:dyDescent="0.2">
      <c r="A36" s="162">
        <v>44614</v>
      </c>
      <c r="B36" s="155">
        <v>5.10270023345947</v>
      </c>
      <c r="C36" s="155">
        <v>248.44999694824199</v>
      </c>
      <c r="D36" s="155">
        <f t="shared" si="0"/>
        <v>1635.0756593042247</v>
      </c>
    </row>
    <row r="37" spans="1:4" x14ac:dyDescent="0.2">
      <c r="A37" s="162">
        <v>44615</v>
      </c>
      <c r="B37" s="155">
        <v>5.0570998191833496</v>
      </c>
      <c r="C37" s="155">
        <v>248.600006103515</v>
      </c>
      <c r="D37" s="155">
        <f t="shared" si="0"/>
        <v>1621.442166568037</v>
      </c>
    </row>
    <row r="38" spans="1:4" x14ac:dyDescent="0.2">
      <c r="A38" s="162">
        <v>44616</v>
      </c>
      <c r="B38" s="155">
        <v>5.0086998939514098</v>
      </c>
      <c r="C38" s="155">
        <v>239.350006103515</v>
      </c>
      <c r="D38" s="155">
        <f t="shared" si="0"/>
        <v>1546.1700470078981</v>
      </c>
    </row>
    <row r="39" spans="1:4" x14ac:dyDescent="0.2">
      <c r="A39" s="162">
        <v>44617</v>
      </c>
      <c r="B39" s="155">
        <v>5.1222000122070304</v>
      </c>
      <c r="C39" s="155">
        <v>240.05000305175699</v>
      </c>
      <c r="D39" s="155">
        <f t="shared" si="0"/>
        <v>1585.8315381302775</v>
      </c>
    </row>
    <row r="40" spans="1:4" x14ac:dyDescent="0.2">
      <c r="A40" s="162">
        <v>44620</v>
      </c>
      <c r="B40" s="155">
        <v>5.1593999862670898</v>
      </c>
      <c r="C40" s="155">
        <v>234.25</v>
      </c>
      <c r="D40" s="155">
        <f t="shared" si="0"/>
        <v>1558.7540671995232</v>
      </c>
    </row>
    <row r="41" spans="1:4" x14ac:dyDescent="0.2">
      <c r="A41" s="162">
        <v>44621</v>
      </c>
      <c r="B41" s="155">
        <v>5.1584000587463299</v>
      </c>
      <c r="C41" s="155">
        <v>237.25</v>
      </c>
      <c r="D41" s="155">
        <f t="shared" si="0"/>
        <v>1578.4107997676981</v>
      </c>
    </row>
    <row r="42" spans="1:4" x14ac:dyDescent="0.2">
      <c r="A42" s="162">
        <v>44622</v>
      </c>
      <c r="B42" s="155">
        <v>5.1589999198913503</v>
      </c>
      <c r="C42" s="155">
        <v>230.44999694824199</v>
      </c>
      <c r="D42" s="155">
        <f t="shared" si="0"/>
        <v>1533.3490546662106</v>
      </c>
    </row>
    <row r="43" spans="1:4" x14ac:dyDescent="0.2">
      <c r="A43" s="162">
        <v>44623</v>
      </c>
      <c r="B43" s="155">
        <v>5.0965027809143004</v>
      </c>
      <c r="C43" s="155">
        <v>224.14999389648401</v>
      </c>
      <c r="D43" s="155">
        <f t="shared" si="0"/>
        <v>1473.3631338454531</v>
      </c>
    </row>
    <row r="44" spans="1:4" x14ac:dyDescent="0.2">
      <c r="A44" s="162">
        <v>44624</v>
      </c>
      <c r="B44" s="155">
        <v>5.03090000152587</v>
      </c>
      <c r="C44" s="155">
        <v>224.14999389648401</v>
      </c>
      <c r="D44" s="155">
        <f t="shared" si="0"/>
        <v>1454.3978314049884</v>
      </c>
    </row>
    <row r="45" spans="1:4" x14ac:dyDescent="0.2">
      <c r="A45" s="162">
        <v>44627</v>
      </c>
      <c r="B45" s="155">
        <v>5.0605602264404297</v>
      </c>
      <c r="C45" s="155">
        <v>225.5</v>
      </c>
      <c r="D45" s="155">
        <f t="shared" si="0"/>
        <v>1471.7835548610021</v>
      </c>
    </row>
    <row r="46" spans="1:4" x14ac:dyDescent="0.2">
      <c r="A46" s="162">
        <v>44628</v>
      </c>
      <c r="B46" s="155">
        <v>5.1104998588562003</v>
      </c>
      <c r="C46" s="155">
        <v>234.05000305175699</v>
      </c>
      <c r="D46" s="155">
        <f t="shared" si="0"/>
        <v>1542.662184377032</v>
      </c>
    </row>
    <row r="47" spans="1:4" x14ac:dyDescent="0.2">
      <c r="A47" s="162">
        <v>44629</v>
      </c>
      <c r="B47" s="155">
        <v>5.0588002204895002</v>
      </c>
      <c r="C47" s="155">
        <v>230.44999694824199</v>
      </c>
      <c r="D47" s="155">
        <f t="shared" si="0"/>
        <v>1503.5678728981561</v>
      </c>
    </row>
    <row r="48" spans="1:4" x14ac:dyDescent="0.2">
      <c r="A48" s="162">
        <v>44630</v>
      </c>
      <c r="B48" s="155">
        <v>5.0114998817443803</v>
      </c>
      <c r="C48" s="155">
        <v>225.19999694824199</v>
      </c>
      <c r="D48" s="155">
        <f t="shared" si="0"/>
        <v>1455.5760686820045</v>
      </c>
    </row>
    <row r="49" spans="1:4" x14ac:dyDescent="0.2">
      <c r="A49" s="162">
        <v>44631</v>
      </c>
      <c r="B49" s="155">
        <v>5.00969982147216</v>
      </c>
      <c r="C49" s="155">
        <v>222.94999694824199</v>
      </c>
      <c r="D49" s="155">
        <f t="shared" si="0"/>
        <v>1440.5156358912106</v>
      </c>
    </row>
    <row r="50" spans="1:4" x14ac:dyDescent="0.2">
      <c r="A50" s="162">
        <v>44634</v>
      </c>
      <c r="B50" s="155">
        <v>5.0735001564025799</v>
      </c>
      <c r="C50" s="155">
        <v>219.64999389648401</v>
      </c>
      <c r="D50" s="155">
        <f t="shared" si="0"/>
        <v>1437.2677326648873</v>
      </c>
    </row>
    <row r="51" spans="1:4" x14ac:dyDescent="0.2">
      <c r="A51" s="162">
        <v>44635</v>
      </c>
      <c r="B51" s="155">
        <v>5.1213998794555602</v>
      </c>
      <c r="C51" s="155">
        <v>212.30000305175699</v>
      </c>
      <c r="D51" s="155">
        <f t="shared" si="0"/>
        <v>1402.2888771819014</v>
      </c>
    </row>
    <row r="52" spans="1:4" x14ac:dyDescent="0.2">
      <c r="A52" s="162">
        <v>44636</v>
      </c>
      <c r="B52" s="155">
        <v>5.1631999015808097</v>
      </c>
      <c r="C52" s="155">
        <v>218.600006103515</v>
      </c>
      <c r="D52" s="155">
        <f t="shared" si="0"/>
        <v>1455.6866913059107</v>
      </c>
    </row>
    <row r="53" spans="1:4" x14ac:dyDescent="0.2">
      <c r="A53" s="162">
        <v>44637</v>
      </c>
      <c r="B53" s="155">
        <v>5.0738749504089302</v>
      </c>
      <c r="C53" s="155">
        <v>217.30000305175699</v>
      </c>
      <c r="D53" s="155">
        <f t="shared" si="0"/>
        <v>1421.9957351270448</v>
      </c>
    </row>
    <row r="54" spans="1:4" x14ac:dyDescent="0.2">
      <c r="A54" s="162">
        <v>44638</v>
      </c>
      <c r="B54" s="155">
        <v>5.0394001007079998</v>
      </c>
      <c r="C54" s="155">
        <v>220.30000305175699</v>
      </c>
      <c r="D54" s="155">
        <f t="shared" si="0"/>
        <v>1431.8322676973032</v>
      </c>
    </row>
    <row r="55" spans="1:4" x14ac:dyDescent="0.2">
      <c r="A55" s="162">
        <v>44641</v>
      </c>
      <c r="B55" s="155">
        <v>5.01779985427856</v>
      </c>
      <c r="C55" s="155">
        <v>225.850006103515</v>
      </c>
      <c r="D55" s="155">
        <f t="shared" si="0"/>
        <v>1461.6124818179048</v>
      </c>
    </row>
    <row r="56" spans="1:4" x14ac:dyDescent="0.2">
      <c r="A56" s="162">
        <v>44642</v>
      </c>
      <c r="B56" s="155">
        <v>4.9352002143859801</v>
      </c>
      <c r="C56" s="155">
        <v>225.05000305175699</v>
      </c>
      <c r="D56" s="155">
        <f t="shared" si="0"/>
        <v>1432.4603220257961</v>
      </c>
    </row>
    <row r="57" spans="1:4" x14ac:dyDescent="0.2">
      <c r="A57" s="162">
        <v>44643</v>
      </c>
      <c r="B57" s="155">
        <v>4.9099998474120996</v>
      </c>
      <c r="C57" s="155">
        <v>225.30000305175699</v>
      </c>
      <c r="D57" s="155">
        <f t="shared" si="0"/>
        <v>1426.7289647770697</v>
      </c>
    </row>
    <row r="58" spans="1:4" x14ac:dyDescent="0.2">
      <c r="A58" s="162">
        <v>44644</v>
      </c>
      <c r="B58" s="155">
        <v>4.8242001533508301</v>
      </c>
      <c r="C58" s="155">
        <v>221.850006103515</v>
      </c>
      <c r="D58" s="155">
        <f t="shared" si="0"/>
        <v>1380.3320279854072</v>
      </c>
    </row>
    <row r="59" spans="1:4" x14ac:dyDescent="0.2">
      <c r="A59" s="162">
        <v>44645</v>
      </c>
      <c r="B59" s="155">
        <v>4.8263001441955504</v>
      </c>
      <c r="C59" s="155">
        <v>221.850006103515</v>
      </c>
      <c r="D59" s="155">
        <f t="shared" si="0"/>
        <v>1380.9328912434191</v>
      </c>
    </row>
    <row r="60" spans="1:4" x14ac:dyDescent="0.2">
      <c r="A60" s="162">
        <v>44648</v>
      </c>
      <c r="B60" s="155">
        <v>4.7368998527526802</v>
      </c>
      <c r="C60" s="155">
        <v>214.55000305175699</v>
      </c>
      <c r="D60" s="155">
        <f t="shared" si="0"/>
        <v>1310.7550209374783</v>
      </c>
    </row>
    <row r="61" spans="1:4" x14ac:dyDescent="0.2">
      <c r="A61" s="162">
        <v>44649</v>
      </c>
      <c r="B61" s="155">
        <v>4.7641000747680602</v>
      </c>
      <c r="C61" s="155">
        <v>215.69999694824199</v>
      </c>
      <c r="D61" s="155">
        <f t="shared" si="0"/>
        <v>1325.3476629289519</v>
      </c>
    </row>
    <row r="62" spans="1:4" x14ac:dyDescent="0.2">
      <c r="A62" s="162">
        <v>44650</v>
      </c>
      <c r="B62" s="155">
        <v>4.7561998367309499</v>
      </c>
      <c r="C62" s="155">
        <v>221.850006103515</v>
      </c>
      <c r="D62" s="155">
        <f t="shared" si="0"/>
        <v>1360.8753280227465</v>
      </c>
    </row>
    <row r="63" spans="1:4" x14ac:dyDescent="0.2">
      <c r="A63" s="162">
        <v>44651</v>
      </c>
      <c r="B63" s="155">
        <v>4.7697000503540004</v>
      </c>
      <c r="C63" s="155">
        <v>226.39999389648401</v>
      </c>
      <c r="D63" s="155">
        <f t="shared" si="0"/>
        <v>1392.7279181349668</v>
      </c>
    </row>
    <row r="64" spans="1:4" x14ac:dyDescent="0.2">
      <c r="A64" s="162">
        <v>44652</v>
      </c>
      <c r="B64" s="155">
        <v>4.7378001213073704</v>
      </c>
      <c r="C64" s="155">
        <v>228.39999389648401</v>
      </c>
      <c r="D64" s="155">
        <f t="shared" si="0"/>
        <v>1395.6342685882069</v>
      </c>
    </row>
    <row r="65" spans="1:4" x14ac:dyDescent="0.2">
      <c r="A65" s="162">
        <v>44655</v>
      </c>
      <c r="B65" s="155">
        <v>4.6571998596191397</v>
      </c>
      <c r="C65" s="155">
        <v>230.600006103515</v>
      </c>
      <c r="D65" s="155">
        <f t="shared" si="0"/>
        <v>1385.1059411236326</v>
      </c>
    </row>
    <row r="66" spans="1:4" x14ac:dyDescent="0.2">
      <c r="A66" s="162">
        <v>44656</v>
      </c>
      <c r="B66" s="155">
        <v>4.5938000679016104</v>
      </c>
      <c r="C66" s="155">
        <v>231.30000305175699</v>
      </c>
      <c r="D66" s="155">
        <f t="shared" si="0"/>
        <v>1370.3974135331712</v>
      </c>
    </row>
    <row r="67" spans="1:4" x14ac:dyDescent="0.2">
      <c r="A67" s="162">
        <v>44657</v>
      </c>
      <c r="B67" s="155">
        <v>4.6507000923156703</v>
      </c>
      <c r="C67" s="155">
        <v>227.600006103515</v>
      </c>
      <c r="D67" s="155">
        <f t="shared" ref="D67:D130" si="1">(B67*(1-$F$1)*C67*1.3228)</f>
        <v>1365.1783916919599</v>
      </c>
    </row>
    <row r="68" spans="1:4" x14ac:dyDescent="0.2">
      <c r="A68" s="162">
        <v>44658</v>
      </c>
      <c r="B68" s="155">
        <v>4.7151999473571697</v>
      </c>
      <c r="C68" s="155">
        <v>226.14999389648401</v>
      </c>
      <c r="D68" s="155">
        <f t="shared" si="1"/>
        <v>1375.293834258413</v>
      </c>
    </row>
    <row r="69" spans="1:4" x14ac:dyDescent="0.2">
      <c r="A69" s="162">
        <v>44659</v>
      </c>
      <c r="B69" s="155">
        <v>4.7520999908447203</v>
      </c>
      <c r="C69" s="155">
        <v>231.64999389648401</v>
      </c>
      <c r="D69" s="155">
        <f t="shared" si="1"/>
        <v>1419.7656522361667</v>
      </c>
    </row>
    <row r="70" spans="1:4" x14ac:dyDescent="0.2">
      <c r="A70" s="162">
        <v>44662</v>
      </c>
      <c r="B70" s="155">
        <v>4.6981000900268501</v>
      </c>
      <c r="C70" s="155">
        <v>236.600006103515</v>
      </c>
      <c r="D70" s="155">
        <f t="shared" si="1"/>
        <v>1433.6258338304142</v>
      </c>
    </row>
    <row r="71" spans="1:4" x14ac:dyDescent="0.2">
      <c r="A71" s="162">
        <v>44663</v>
      </c>
      <c r="B71" s="155">
        <v>4.6936001777648899</v>
      </c>
      <c r="C71" s="155">
        <v>233.600006103515</v>
      </c>
      <c r="D71" s="155">
        <f t="shared" si="1"/>
        <v>1414.0922541654584</v>
      </c>
    </row>
    <row r="72" spans="1:4" x14ac:dyDescent="0.2">
      <c r="A72" s="162">
        <v>44664</v>
      </c>
      <c r="B72" s="155">
        <v>4.6730999946594203</v>
      </c>
      <c r="C72" s="155">
        <v>225.05000305175699</v>
      </c>
      <c r="D72" s="155">
        <f t="shared" si="1"/>
        <v>1356.3847528810797</v>
      </c>
    </row>
    <row r="73" spans="1:4" x14ac:dyDescent="0.2">
      <c r="A73" s="162">
        <v>44665</v>
      </c>
      <c r="B73" s="155">
        <v>4.6901998519897399</v>
      </c>
      <c r="C73" s="155">
        <v>223.600006103515</v>
      </c>
      <c r="D73" s="155">
        <f t="shared" si="1"/>
        <v>1352.5768862825844</v>
      </c>
    </row>
    <row r="74" spans="1:4" x14ac:dyDescent="0.2">
      <c r="A74" s="162">
        <v>44669</v>
      </c>
      <c r="B74" s="155">
        <v>4.70060014724731</v>
      </c>
      <c r="C74" s="155">
        <v>223.5</v>
      </c>
      <c r="D74" s="155">
        <f t="shared" si="1"/>
        <v>1354.9698737377228</v>
      </c>
    </row>
    <row r="75" spans="1:4" x14ac:dyDescent="0.2">
      <c r="A75" s="162">
        <v>44670</v>
      </c>
      <c r="B75" s="155">
        <v>4.6519999504089302</v>
      </c>
      <c r="C75" s="155">
        <v>221.30000305175699</v>
      </c>
      <c r="D75" s="155">
        <f t="shared" si="1"/>
        <v>1327.7610465038576</v>
      </c>
    </row>
    <row r="76" spans="1:4" x14ac:dyDescent="0.2">
      <c r="A76" s="162">
        <v>44671</v>
      </c>
      <c r="B76" s="155">
        <v>4.6649999618530202</v>
      </c>
      <c r="C76" s="155">
        <v>218.80000305175699</v>
      </c>
      <c r="D76" s="155">
        <f t="shared" si="1"/>
        <v>1316.429998056364</v>
      </c>
    </row>
    <row r="77" spans="1:4" x14ac:dyDescent="0.2">
      <c r="A77" s="162">
        <v>44672</v>
      </c>
      <c r="B77" s="155">
        <v>4.6208000183105398</v>
      </c>
      <c r="C77" s="155">
        <v>228.14999389648401</v>
      </c>
      <c r="D77" s="155">
        <f t="shared" si="1"/>
        <v>1359.6791462230924</v>
      </c>
    </row>
    <row r="78" spans="1:4" x14ac:dyDescent="0.2">
      <c r="A78" s="162">
        <v>44673</v>
      </c>
      <c r="B78" s="155">
        <v>4.6208000183105398</v>
      </c>
      <c r="C78" s="155">
        <v>227.30000305175699</v>
      </c>
      <c r="D78" s="155">
        <f t="shared" si="1"/>
        <v>1354.6135540382413</v>
      </c>
    </row>
    <row r="79" spans="1:4" x14ac:dyDescent="0.2">
      <c r="A79" s="162">
        <v>44676</v>
      </c>
      <c r="B79" s="155">
        <v>4.7951998710632298</v>
      </c>
      <c r="C79" s="155">
        <v>220.80000305175699</v>
      </c>
      <c r="D79" s="155">
        <f t="shared" si="1"/>
        <v>1365.5405179127997</v>
      </c>
    </row>
    <row r="80" spans="1:4" x14ac:dyDescent="0.2">
      <c r="A80" s="162">
        <v>44677</v>
      </c>
      <c r="B80" s="155">
        <v>4.8762001991271902</v>
      </c>
      <c r="C80" s="155">
        <v>221.39999389648401</v>
      </c>
      <c r="D80" s="155">
        <f t="shared" si="1"/>
        <v>1392.3805061915166</v>
      </c>
    </row>
    <row r="81" spans="1:4" x14ac:dyDescent="0.2">
      <c r="A81" s="162">
        <v>44678</v>
      </c>
      <c r="B81" s="155">
        <v>4.9977998733520499</v>
      </c>
      <c r="C81" s="155">
        <v>215.94999694824199</v>
      </c>
      <c r="D81" s="155">
        <f t="shared" si="1"/>
        <v>1391.9731747296087</v>
      </c>
    </row>
    <row r="82" spans="1:4" x14ac:dyDescent="0.2">
      <c r="A82" s="162">
        <v>44679</v>
      </c>
      <c r="B82" s="155">
        <v>4.9636001586914</v>
      </c>
      <c r="C82" s="155">
        <v>217.89999389648401</v>
      </c>
      <c r="D82" s="155">
        <f t="shared" si="1"/>
        <v>1394.9312696456852</v>
      </c>
    </row>
    <row r="83" spans="1:4" x14ac:dyDescent="0.2">
      <c r="A83" s="162">
        <v>44680</v>
      </c>
      <c r="B83" s="155">
        <v>4.9377999305725098</v>
      </c>
      <c r="C83" s="155">
        <v>222.55000305175699</v>
      </c>
      <c r="D83" s="155">
        <f t="shared" si="1"/>
        <v>1417.293827611865</v>
      </c>
    </row>
    <row r="84" spans="1:4" x14ac:dyDescent="0.2">
      <c r="A84" s="162">
        <v>44683</v>
      </c>
      <c r="B84" s="155">
        <v>4.9713001251220703</v>
      </c>
      <c r="C84" s="155">
        <v>216.39999389648401</v>
      </c>
      <c r="D84" s="155">
        <f t="shared" si="1"/>
        <v>1387.4777554713498</v>
      </c>
    </row>
    <row r="85" spans="1:4" x14ac:dyDescent="0.2">
      <c r="A85" s="162">
        <v>44684</v>
      </c>
      <c r="B85" s="155">
        <v>5.0847001075744602</v>
      </c>
      <c r="C85" s="155">
        <v>218.19999694824199</v>
      </c>
      <c r="D85" s="155">
        <f t="shared" si="1"/>
        <v>1430.9316368446121</v>
      </c>
    </row>
    <row r="86" spans="1:4" x14ac:dyDescent="0.2">
      <c r="A86" s="162">
        <v>44685</v>
      </c>
      <c r="B86" s="155">
        <v>4.9580998420715297</v>
      </c>
      <c r="C86" s="155">
        <v>221.19999694824199</v>
      </c>
      <c r="D86" s="155">
        <f t="shared" si="1"/>
        <v>1414.4877366656563</v>
      </c>
    </row>
    <row r="87" spans="1:4" x14ac:dyDescent="0.2">
      <c r="A87" s="162">
        <v>44686</v>
      </c>
      <c r="B87" s="155">
        <v>4.9187998771667401</v>
      </c>
      <c r="C87" s="155">
        <v>218.39999389648401</v>
      </c>
      <c r="D87" s="155">
        <f t="shared" si="1"/>
        <v>1385.5129116820517</v>
      </c>
    </row>
    <row r="88" spans="1:4" x14ac:dyDescent="0.2">
      <c r="A88" s="162">
        <v>44687</v>
      </c>
      <c r="B88" s="155">
        <v>5.0279998779296804</v>
      </c>
      <c r="C88" s="155">
        <v>211.600006103515</v>
      </c>
      <c r="D88" s="155">
        <f t="shared" si="1"/>
        <v>1372.1757385700153</v>
      </c>
    </row>
    <row r="89" spans="1:4" x14ac:dyDescent="0.2">
      <c r="A89" s="162">
        <v>44690</v>
      </c>
      <c r="B89" s="155">
        <v>5.08039999008178</v>
      </c>
      <c r="C89" s="155">
        <v>206.30000305175699</v>
      </c>
      <c r="D89" s="155">
        <f t="shared" si="1"/>
        <v>1351.7486447968088</v>
      </c>
    </row>
    <row r="90" spans="1:4" x14ac:dyDescent="0.2">
      <c r="A90" s="162">
        <v>44691</v>
      </c>
      <c r="B90" s="155">
        <v>5.1609001159667898</v>
      </c>
      <c r="C90" s="155">
        <v>204</v>
      </c>
      <c r="D90" s="155">
        <f t="shared" si="1"/>
        <v>1357.8582121394329</v>
      </c>
    </row>
    <row r="91" spans="1:4" x14ac:dyDescent="0.2">
      <c r="A91" s="162">
        <v>44692</v>
      </c>
      <c r="B91" s="155">
        <v>5.1312999725341797</v>
      </c>
      <c r="C91" s="155">
        <v>220.100006103515</v>
      </c>
      <c r="D91" s="155">
        <f t="shared" si="1"/>
        <v>1456.6199725311997</v>
      </c>
    </row>
    <row r="92" spans="1:4" x14ac:dyDescent="0.2">
      <c r="A92" s="162">
        <v>44693</v>
      </c>
      <c r="B92" s="155">
        <v>5.1342520713806099</v>
      </c>
      <c r="C92" s="155">
        <v>215</v>
      </c>
      <c r="D92" s="155">
        <f t="shared" si="1"/>
        <v>1423.6867686646685</v>
      </c>
    </row>
    <row r="93" spans="1:4" x14ac:dyDescent="0.2">
      <c r="A93" s="162">
        <v>44694</v>
      </c>
      <c r="B93" s="155">
        <v>5.1333999633789</v>
      </c>
      <c r="C93" s="155">
        <v>212.89999389648401</v>
      </c>
      <c r="D93" s="155">
        <f t="shared" si="1"/>
        <v>1409.5469757027015</v>
      </c>
    </row>
    <row r="94" spans="1:4" x14ac:dyDescent="0.2">
      <c r="A94" s="162">
        <v>44697</v>
      </c>
      <c r="B94" s="155">
        <v>5.0583000183105398</v>
      </c>
      <c r="C94" s="155">
        <v>225.80000305175699</v>
      </c>
      <c r="D94" s="155">
        <f t="shared" si="1"/>
        <v>1473.0833815237925</v>
      </c>
    </row>
    <row r="95" spans="1:4" x14ac:dyDescent="0.2">
      <c r="A95" s="162">
        <v>44698</v>
      </c>
      <c r="B95" s="155">
        <v>5.0597000122070304</v>
      </c>
      <c r="C95" s="155">
        <v>228.19999694824199</v>
      </c>
      <c r="D95" s="155">
        <f t="shared" si="1"/>
        <v>1489.152601922234</v>
      </c>
    </row>
    <row r="96" spans="1:4" x14ac:dyDescent="0.2">
      <c r="A96" s="162">
        <v>44699</v>
      </c>
      <c r="B96" s="155">
        <v>4.9380998611450098</v>
      </c>
      <c r="C96" s="155">
        <v>218.600006103515</v>
      </c>
      <c r="D96" s="155">
        <f t="shared" si="1"/>
        <v>1392.2231145858823</v>
      </c>
    </row>
    <row r="97" spans="1:4" x14ac:dyDescent="0.2">
      <c r="A97" s="162">
        <v>44700</v>
      </c>
      <c r="B97" s="155">
        <v>4.9675002098083496</v>
      </c>
      <c r="C97" s="155">
        <v>218.69999694824199</v>
      </c>
      <c r="D97" s="155">
        <f t="shared" si="1"/>
        <v>1401.1527162200698</v>
      </c>
    </row>
    <row r="98" spans="1:4" x14ac:dyDescent="0.2">
      <c r="A98" s="162">
        <v>44701</v>
      </c>
      <c r="B98" s="155">
        <v>4.9299998283386204</v>
      </c>
      <c r="C98" s="155">
        <v>215.850006103515</v>
      </c>
      <c r="D98" s="155">
        <f t="shared" si="1"/>
        <v>1372.4539180848926</v>
      </c>
    </row>
    <row r="99" spans="1:4" x14ac:dyDescent="0.2">
      <c r="A99" s="162">
        <v>44704</v>
      </c>
      <c r="B99" s="155">
        <v>4.8801999092101997</v>
      </c>
      <c r="C99" s="155">
        <v>215.75</v>
      </c>
      <c r="D99" s="155">
        <f t="shared" si="1"/>
        <v>1357.9607543863983</v>
      </c>
    </row>
    <row r="100" spans="1:4" x14ac:dyDescent="0.2">
      <c r="A100" s="162">
        <v>44705</v>
      </c>
      <c r="B100" s="155">
        <v>4.8134999275207502</v>
      </c>
      <c r="C100" s="155">
        <v>213.64999389648401</v>
      </c>
      <c r="D100" s="155">
        <f t="shared" si="1"/>
        <v>1326.3637877327028</v>
      </c>
    </row>
    <row r="101" spans="1:4" x14ac:dyDescent="0.2">
      <c r="A101" s="162">
        <v>44706</v>
      </c>
      <c r="B101" s="155">
        <v>4.8178000450134197</v>
      </c>
      <c r="C101" s="155">
        <v>217.05000305175699</v>
      </c>
      <c r="D101" s="155">
        <f t="shared" si="1"/>
        <v>1348.6751937211561</v>
      </c>
    </row>
    <row r="102" spans="1:4" x14ac:dyDescent="0.2">
      <c r="A102" s="162">
        <v>44707</v>
      </c>
      <c r="B102" s="155">
        <v>4.8228001594543404</v>
      </c>
      <c r="C102" s="155">
        <v>226.600006103515</v>
      </c>
      <c r="D102" s="155">
        <f t="shared" si="1"/>
        <v>1409.4769752159152</v>
      </c>
    </row>
    <row r="103" spans="1:4" x14ac:dyDescent="0.2">
      <c r="A103" s="162">
        <v>44708</v>
      </c>
      <c r="B103" s="155">
        <v>4.7681999206542898</v>
      </c>
      <c r="C103" s="155">
        <v>229.44999694824199</v>
      </c>
      <c r="D103" s="155">
        <f t="shared" si="1"/>
        <v>1411.0464627096719</v>
      </c>
    </row>
    <row r="104" spans="1:4" x14ac:dyDescent="0.2">
      <c r="A104" s="162">
        <v>44712</v>
      </c>
      <c r="B104" s="155">
        <v>4.7523999214172301</v>
      </c>
      <c r="C104" s="155">
        <v>231.25</v>
      </c>
      <c r="D104" s="155">
        <f t="shared" si="1"/>
        <v>1417.4035735876839</v>
      </c>
    </row>
    <row r="105" spans="1:4" x14ac:dyDescent="0.2">
      <c r="A105" s="162">
        <v>44713</v>
      </c>
      <c r="B105" s="155">
        <v>4.7304000854492099</v>
      </c>
      <c r="C105" s="155">
        <v>239.44999694824199</v>
      </c>
      <c r="D105" s="155">
        <f t="shared" si="1"/>
        <v>1460.8698015147356</v>
      </c>
    </row>
    <row r="106" spans="1:4" x14ac:dyDescent="0.2">
      <c r="A106" s="162">
        <v>44714</v>
      </c>
      <c r="B106" s="155">
        <v>4.8154997825622496</v>
      </c>
      <c r="C106" s="155">
        <v>238.25</v>
      </c>
      <c r="D106" s="155">
        <f t="shared" si="1"/>
        <v>1479.6979728598751</v>
      </c>
    </row>
    <row r="107" spans="1:4" x14ac:dyDescent="0.2">
      <c r="A107" s="162">
        <v>44715</v>
      </c>
      <c r="B107" s="155">
        <v>4.7957000732421804</v>
      </c>
      <c r="C107" s="155">
        <v>232.39999389648401</v>
      </c>
      <c r="D107" s="155">
        <f t="shared" si="1"/>
        <v>1437.4307408183042</v>
      </c>
    </row>
    <row r="108" spans="1:4" x14ac:dyDescent="0.2">
      <c r="A108" s="162">
        <v>44718</v>
      </c>
      <c r="B108" s="155">
        <v>4.7750000953674299</v>
      </c>
      <c r="C108" s="155">
        <v>237.55000305175699</v>
      </c>
      <c r="D108" s="155">
        <f t="shared" si="1"/>
        <v>1462.9423991748565</v>
      </c>
    </row>
    <row r="109" spans="1:4" x14ac:dyDescent="0.2">
      <c r="A109" s="162">
        <v>44719</v>
      </c>
      <c r="B109" s="155">
        <v>4.7941999435424796</v>
      </c>
      <c r="C109" s="155">
        <v>232.14999389648401</v>
      </c>
      <c r="D109" s="155">
        <f t="shared" si="1"/>
        <v>1435.4352962035041</v>
      </c>
    </row>
    <row r="110" spans="1:4" x14ac:dyDescent="0.2">
      <c r="A110" s="162">
        <v>44720</v>
      </c>
      <c r="B110" s="155">
        <v>4.8675260543823198</v>
      </c>
      <c r="C110" s="155">
        <v>231.850006103515</v>
      </c>
      <c r="D110" s="155">
        <f t="shared" si="1"/>
        <v>1455.5066648833883</v>
      </c>
    </row>
    <row r="111" spans="1:4" x14ac:dyDescent="0.2">
      <c r="A111" s="162">
        <v>44721</v>
      </c>
      <c r="B111" s="155">
        <v>4.8980998992919904</v>
      </c>
      <c r="C111" s="155">
        <v>234.64999389648401</v>
      </c>
      <c r="D111" s="155">
        <f t="shared" si="1"/>
        <v>1482.3371322403746</v>
      </c>
    </row>
    <row r="112" spans="1:4" x14ac:dyDescent="0.2">
      <c r="A112" s="162">
        <v>44722</v>
      </c>
      <c r="B112" s="155">
        <v>4.9032998085021902</v>
      </c>
      <c r="C112" s="155">
        <v>228.89999389648401</v>
      </c>
      <c r="D112" s="155">
        <f t="shared" si="1"/>
        <v>1447.5481935180449</v>
      </c>
    </row>
    <row r="113" spans="1:4" x14ac:dyDescent="0.2">
      <c r="A113" s="162">
        <v>44725</v>
      </c>
      <c r="B113" s="155">
        <v>4.9840002059936497</v>
      </c>
      <c r="C113" s="155">
        <v>223.350006103515</v>
      </c>
      <c r="D113" s="155">
        <f t="shared" si="1"/>
        <v>1435.6970969442602</v>
      </c>
    </row>
    <row r="114" spans="1:4" x14ac:dyDescent="0.2">
      <c r="A114" s="162">
        <v>44726</v>
      </c>
      <c r="B114" s="155">
        <v>5.1133999824523899</v>
      </c>
      <c r="C114" s="155">
        <v>226.94999694824199</v>
      </c>
      <c r="D114" s="155">
        <f t="shared" si="1"/>
        <v>1496.7137511825852</v>
      </c>
    </row>
    <row r="115" spans="1:4" x14ac:dyDescent="0.2">
      <c r="A115" s="162">
        <v>44727</v>
      </c>
      <c r="B115" s="155">
        <v>5.1160998344421298</v>
      </c>
      <c r="C115" s="155">
        <v>228.5</v>
      </c>
      <c r="D115" s="155">
        <f t="shared" si="1"/>
        <v>1507.7315299200484</v>
      </c>
    </row>
    <row r="116" spans="1:4" x14ac:dyDescent="0.2">
      <c r="A116" s="162">
        <v>44728</v>
      </c>
      <c r="B116" s="155">
        <v>5.0520000457763601</v>
      </c>
      <c r="C116" s="155">
        <v>231.94999694824199</v>
      </c>
      <c r="D116" s="155">
        <f t="shared" si="1"/>
        <v>1511.3203107317408</v>
      </c>
    </row>
    <row r="117" spans="1:4" x14ac:dyDescent="0.2">
      <c r="A117" s="162">
        <v>44729</v>
      </c>
      <c r="B117" s="155">
        <v>5.0521998405456499</v>
      </c>
      <c r="C117" s="155">
        <v>227.64999389648401</v>
      </c>
      <c r="D117" s="155">
        <f t="shared" si="1"/>
        <v>1483.3613731136311</v>
      </c>
    </row>
    <row r="118" spans="1:4" x14ac:dyDescent="0.2">
      <c r="A118" s="162">
        <v>44733</v>
      </c>
      <c r="B118" s="155">
        <v>5.1872000694274902</v>
      </c>
      <c r="C118" s="155">
        <v>233.100006103515</v>
      </c>
      <c r="D118" s="155">
        <f t="shared" si="1"/>
        <v>1559.4594476990569</v>
      </c>
    </row>
    <row r="119" spans="1:4" x14ac:dyDescent="0.2">
      <c r="A119" s="162">
        <v>44734</v>
      </c>
      <c r="B119" s="155">
        <v>5.1227998733520499</v>
      </c>
      <c r="C119" s="155">
        <v>238.600006103515</v>
      </c>
      <c r="D119" s="155">
        <f t="shared" si="1"/>
        <v>1576.4370835311784</v>
      </c>
    </row>
    <row r="120" spans="1:4" x14ac:dyDescent="0.2">
      <c r="A120" s="162">
        <v>44735</v>
      </c>
      <c r="B120" s="155">
        <v>5.1936001777648899</v>
      </c>
      <c r="C120" s="155">
        <v>232.44999694824199</v>
      </c>
      <c r="D120" s="155">
        <f t="shared" si="1"/>
        <v>1557.0295675253931</v>
      </c>
    </row>
    <row r="121" spans="1:4" x14ac:dyDescent="0.2">
      <c r="A121" s="162">
        <v>44736</v>
      </c>
      <c r="B121" s="155">
        <v>5.2379999160766602</v>
      </c>
      <c r="C121" s="155">
        <v>226.600006103515</v>
      </c>
      <c r="D121" s="155">
        <f t="shared" si="1"/>
        <v>1530.8202773901078</v>
      </c>
    </row>
    <row r="122" spans="1:4" x14ac:dyDescent="0.2">
      <c r="A122" s="162">
        <v>44739</v>
      </c>
      <c r="B122" s="155">
        <v>5.2413997650146396</v>
      </c>
      <c r="C122" s="155">
        <v>226</v>
      </c>
      <c r="D122" s="155">
        <f t="shared" si="1"/>
        <v>1527.7578572787068</v>
      </c>
    </row>
    <row r="123" spans="1:4" x14ac:dyDescent="0.2">
      <c r="A123" s="162">
        <v>44740</v>
      </c>
      <c r="B123" s="155">
        <v>5.2368001937866202</v>
      </c>
      <c r="C123" s="155">
        <v>221.89999389648401</v>
      </c>
      <c r="D123" s="155">
        <f t="shared" si="1"/>
        <v>1498.7254986381004</v>
      </c>
    </row>
    <row r="124" spans="1:4" x14ac:dyDescent="0.2">
      <c r="A124" s="162">
        <v>44741</v>
      </c>
      <c r="B124" s="155">
        <v>5.2666001319885201</v>
      </c>
      <c r="C124" s="155">
        <v>232.64999389648401</v>
      </c>
      <c r="D124" s="155">
        <f t="shared" si="1"/>
        <v>1580.2732661335208</v>
      </c>
    </row>
    <row r="125" spans="1:4" x14ac:dyDescent="0.2">
      <c r="A125" s="162">
        <v>44742</v>
      </c>
      <c r="B125" s="155">
        <v>5.1809000968933097</v>
      </c>
      <c r="C125" s="155">
        <v>233.600006103515</v>
      </c>
      <c r="D125" s="155">
        <f t="shared" si="1"/>
        <v>1560.9064298507631</v>
      </c>
    </row>
    <row r="126" spans="1:4" x14ac:dyDescent="0.2">
      <c r="A126" s="162">
        <v>44743</v>
      </c>
      <c r="B126" s="155">
        <v>5.2519998550415004</v>
      </c>
      <c r="C126" s="155">
        <v>228.44999694824199</v>
      </c>
      <c r="D126" s="155">
        <f t="shared" si="1"/>
        <v>1547.4430113800222</v>
      </c>
    </row>
    <row r="127" spans="1:4" x14ac:dyDescent="0.2">
      <c r="A127" s="162">
        <v>44747</v>
      </c>
      <c r="B127" s="155">
        <v>5.3282999992370597</v>
      </c>
      <c r="C127" s="155">
        <v>224.64999389648401</v>
      </c>
      <c r="D127" s="155">
        <f t="shared" si="1"/>
        <v>1543.8101146845183</v>
      </c>
    </row>
    <row r="128" spans="1:4" x14ac:dyDescent="0.2">
      <c r="A128" s="162">
        <v>44748</v>
      </c>
      <c r="B128" s="155">
        <v>5.3852000236511204</v>
      </c>
      <c r="C128" s="155">
        <v>222.5</v>
      </c>
      <c r="D128" s="155">
        <f t="shared" si="1"/>
        <v>1545.363520897042</v>
      </c>
    </row>
    <row r="129" spans="1:4" x14ac:dyDescent="0.2">
      <c r="A129" s="162">
        <v>44749</v>
      </c>
      <c r="B129" s="155">
        <v>5.4279999732971103</v>
      </c>
      <c r="C129" s="155">
        <v>222.19999694824199</v>
      </c>
      <c r="D129" s="155">
        <f t="shared" si="1"/>
        <v>1555.5453875512358</v>
      </c>
    </row>
    <row r="130" spans="1:4" x14ac:dyDescent="0.2">
      <c r="A130" s="162">
        <v>44750</v>
      </c>
      <c r="B130" s="155">
        <v>5.3382000923156703</v>
      </c>
      <c r="C130" s="155">
        <v>222.89999389648401</v>
      </c>
      <c r="D130" s="155">
        <f t="shared" si="1"/>
        <v>1534.6300818266725</v>
      </c>
    </row>
    <row r="131" spans="1:4" x14ac:dyDescent="0.2">
      <c r="A131" s="162">
        <v>44753</v>
      </c>
      <c r="B131" s="155">
        <v>5.2540001869201598</v>
      </c>
      <c r="C131" s="155">
        <v>216.89999389648401</v>
      </c>
      <c r="D131" s="155">
        <f t="shared" ref="D131:D194" si="2">(B131*(1-$F$1)*C131*1.3228)</f>
        <v>1469.7667749286015</v>
      </c>
    </row>
    <row r="132" spans="1:4" x14ac:dyDescent="0.2">
      <c r="A132" s="162">
        <v>44754</v>
      </c>
      <c r="B132" s="155">
        <v>5.3772001266479403</v>
      </c>
      <c r="C132" s="155">
        <v>209.25</v>
      </c>
      <c r="D132" s="155">
        <f t="shared" si="2"/>
        <v>1451.1772748222397</v>
      </c>
    </row>
    <row r="133" spans="1:4" x14ac:dyDescent="0.2">
      <c r="A133" s="162">
        <v>44755</v>
      </c>
      <c r="B133" s="155">
        <v>5.4365000724792401</v>
      </c>
      <c r="C133" s="155">
        <v>211.25</v>
      </c>
      <c r="D133" s="155">
        <f t="shared" si="2"/>
        <v>1481.2041416286147</v>
      </c>
    </row>
    <row r="134" spans="1:4" x14ac:dyDescent="0.2">
      <c r="A134" s="162">
        <v>44756</v>
      </c>
      <c r="B134" s="155">
        <v>5.3909001350402797</v>
      </c>
      <c r="C134" s="155">
        <v>199.19999694824199</v>
      </c>
      <c r="D134" s="155">
        <f t="shared" si="2"/>
        <v>1384.998860509887</v>
      </c>
    </row>
    <row r="135" spans="1:4" x14ac:dyDescent="0.2">
      <c r="A135" s="162">
        <v>44757</v>
      </c>
      <c r="B135" s="155">
        <v>5.4228000640869096</v>
      </c>
      <c r="C135" s="155">
        <v>203.69999694824199</v>
      </c>
      <c r="D135" s="155">
        <f t="shared" si="2"/>
        <v>1424.6671713157482</v>
      </c>
    </row>
    <row r="136" spans="1:4" x14ac:dyDescent="0.2">
      <c r="A136" s="162">
        <v>44760</v>
      </c>
      <c r="B136" s="155">
        <v>5.4100999832153303</v>
      </c>
      <c r="C136" s="155">
        <v>219.100006103515</v>
      </c>
      <c r="D136" s="155">
        <f t="shared" si="2"/>
        <v>1528.785246458983</v>
      </c>
    </row>
    <row r="137" spans="1:4" x14ac:dyDescent="0.2">
      <c r="A137" s="162">
        <v>44761</v>
      </c>
      <c r="B137" s="155">
        <v>5.4368000030517498</v>
      </c>
      <c r="C137" s="155">
        <v>220.39999389648401</v>
      </c>
      <c r="D137" s="155">
        <f t="shared" si="2"/>
        <v>1545.4456537752005</v>
      </c>
    </row>
    <row r="138" spans="1:4" x14ac:dyDescent="0.2">
      <c r="A138" s="162">
        <v>44762</v>
      </c>
      <c r="B138" s="155">
        <v>5.4130997657775799</v>
      </c>
      <c r="C138" s="155">
        <v>218.14999389648401</v>
      </c>
      <c r="D138" s="155">
        <f t="shared" si="2"/>
        <v>1523.0004740425816</v>
      </c>
    </row>
    <row r="139" spans="1:4" x14ac:dyDescent="0.2">
      <c r="A139" s="162">
        <v>44763</v>
      </c>
      <c r="B139" s="155">
        <v>5.4702000617980904</v>
      </c>
      <c r="C139" s="155">
        <v>215.850006103515</v>
      </c>
      <c r="D139" s="155">
        <f t="shared" si="2"/>
        <v>1522.8393040437536</v>
      </c>
    </row>
    <row r="140" spans="1:4" x14ac:dyDescent="0.2">
      <c r="A140" s="162">
        <v>44764</v>
      </c>
      <c r="B140" s="155">
        <v>5.4977998733520499</v>
      </c>
      <c r="C140" s="155">
        <v>206.69999694824199</v>
      </c>
      <c r="D140" s="155">
        <f t="shared" si="2"/>
        <v>1465.643003278047</v>
      </c>
    </row>
    <row r="141" spans="1:4" x14ac:dyDescent="0.2">
      <c r="A141" s="162">
        <v>44767</v>
      </c>
      <c r="B141" s="155">
        <v>5.49669981002807</v>
      </c>
      <c r="C141" s="155">
        <v>210.05000305175699</v>
      </c>
      <c r="D141" s="155">
        <f t="shared" si="2"/>
        <v>1489.0988002243696</v>
      </c>
    </row>
    <row r="142" spans="1:4" x14ac:dyDescent="0.2">
      <c r="A142" s="162">
        <v>44768</v>
      </c>
      <c r="B142" s="155">
        <v>5.3562998771667401</v>
      </c>
      <c r="C142" s="155">
        <v>213.19999694824199</v>
      </c>
      <c r="D142" s="155">
        <f t="shared" si="2"/>
        <v>1472.8240914891892</v>
      </c>
    </row>
    <row r="143" spans="1:4" x14ac:dyDescent="0.2">
      <c r="A143" s="162">
        <v>44769</v>
      </c>
      <c r="B143" s="155">
        <v>5.3501000404357901</v>
      </c>
      <c r="C143" s="155">
        <v>219.100006103515</v>
      </c>
      <c r="D143" s="155">
        <f t="shared" si="2"/>
        <v>1511.8304715760187</v>
      </c>
    </row>
    <row r="144" spans="1:4" x14ac:dyDescent="0.2">
      <c r="A144" s="162">
        <v>44770</v>
      </c>
      <c r="B144" s="155">
        <v>5.2430000305175701</v>
      </c>
      <c r="C144" s="155">
        <v>218.39999389648401</v>
      </c>
      <c r="D144" s="155">
        <f t="shared" si="2"/>
        <v>1476.8326460997914</v>
      </c>
    </row>
    <row r="145" spans="1:4" x14ac:dyDescent="0.2">
      <c r="A145" s="162">
        <v>44771</v>
      </c>
      <c r="B145" s="155">
        <v>5.1827001571655202</v>
      </c>
      <c r="C145" s="155">
        <v>217.19999694824199</v>
      </c>
      <c r="D145" s="155">
        <f t="shared" si="2"/>
        <v>1451.8264369690592</v>
      </c>
    </row>
    <row r="146" spans="1:4" x14ac:dyDescent="0.2">
      <c r="A146" s="162">
        <v>44774</v>
      </c>
      <c r="B146" s="155">
        <v>5.1711997985839799</v>
      </c>
      <c r="C146" s="155">
        <v>213.19999694824199</v>
      </c>
      <c r="D146" s="155">
        <f t="shared" si="2"/>
        <v>1421.9270429061969</v>
      </c>
    </row>
    <row r="147" spans="1:4" x14ac:dyDescent="0.2">
      <c r="A147" s="162">
        <v>44775</v>
      </c>
      <c r="B147" s="155">
        <v>5.1840000152587802</v>
      </c>
      <c r="C147" s="155">
        <v>209.89999389648401</v>
      </c>
      <c r="D147" s="155">
        <f t="shared" si="2"/>
        <v>1403.3830344909045</v>
      </c>
    </row>
    <row r="148" spans="1:4" x14ac:dyDescent="0.2">
      <c r="A148" s="162">
        <v>44776</v>
      </c>
      <c r="B148" s="155">
        <v>5.2776999473571697</v>
      </c>
      <c r="C148" s="155">
        <v>214.64999389648401</v>
      </c>
      <c r="D148" s="155">
        <f t="shared" si="2"/>
        <v>1461.081285588519</v>
      </c>
    </row>
    <row r="149" spans="1:4" x14ac:dyDescent="0.2">
      <c r="A149" s="162">
        <v>44777</v>
      </c>
      <c r="B149" s="155">
        <v>5.2827000617980904</v>
      </c>
      <c r="C149" s="155">
        <v>219.30000305175699</v>
      </c>
      <c r="D149" s="155">
        <f t="shared" si="2"/>
        <v>1494.1472262215391</v>
      </c>
    </row>
    <row r="150" spans="1:4" x14ac:dyDescent="0.2">
      <c r="A150" s="162">
        <v>44778</v>
      </c>
      <c r="B150" s="155">
        <v>5.2111001014709402</v>
      </c>
      <c r="C150" s="155">
        <v>209.44999694824199</v>
      </c>
      <c r="D150" s="155">
        <f t="shared" si="2"/>
        <v>1407.6950259284981</v>
      </c>
    </row>
    <row r="151" spans="1:4" x14ac:dyDescent="0.2">
      <c r="A151" s="162">
        <v>44781</v>
      </c>
      <c r="B151" s="155">
        <v>5.1645998954772896</v>
      </c>
      <c r="C151" s="155">
        <v>211.850006103515</v>
      </c>
      <c r="D151" s="155">
        <f t="shared" si="2"/>
        <v>1411.1200574587765</v>
      </c>
    </row>
    <row r="152" spans="1:4" x14ac:dyDescent="0.2">
      <c r="A152" s="162">
        <v>44782</v>
      </c>
      <c r="B152" s="155">
        <v>5.1100997924804599</v>
      </c>
      <c r="C152" s="155">
        <v>212.75</v>
      </c>
      <c r="D152" s="155">
        <f t="shared" si="2"/>
        <v>1402.1605758894511</v>
      </c>
    </row>
    <row r="153" spans="1:4" x14ac:dyDescent="0.2">
      <c r="A153" s="162">
        <v>44783</v>
      </c>
      <c r="B153" s="155">
        <v>5.1237001419067303</v>
      </c>
      <c r="C153" s="155">
        <v>220.44999694824199</v>
      </c>
      <c r="D153" s="155">
        <f t="shared" si="2"/>
        <v>1456.7754177209144</v>
      </c>
    </row>
    <row r="154" spans="1:4" x14ac:dyDescent="0.2">
      <c r="A154" s="162">
        <v>44784</v>
      </c>
      <c r="B154" s="155">
        <v>5.0936999320983798</v>
      </c>
      <c r="C154" s="155">
        <v>223.94999694824199</v>
      </c>
      <c r="D154" s="155">
        <f t="shared" si="2"/>
        <v>1471.2389704780662</v>
      </c>
    </row>
    <row r="155" spans="1:4" x14ac:dyDescent="0.2">
      <c r="A155" s="162">
        <v>44785</v>
      </c>
      <c r="B155" s="155">
        <v>5.15700006484985</v>
      </c>
      <c r="C155" s="155">
        <v>226.600006103515</v>
      </c>
      <c r="D155" s="155">
        <f t="shared" si="2"/>
        <v>1507.1478419738703</v>
      </c>
    </row>
    <row r="156" spans="1:4" x14ac:dyDescent="0.2">
      <c r="A156" s="162">
        <v>44788</v>
      </c>
      <c r="B156" s="155">
        <v>5.0749001502990696</v>
      </c>
      <c r="C156" s="155">
        <v>225.5</v>
      </c>
      <c r="D156" s="155">
        <f t="shared" si="2"/>
        <v>1475.9540939255967</v>
      </c>
    </row>
    <row r="157" spans="1:4" x14ac:dyDescent="0.2">
      <c r="A157" s="162">
        <v>44789</v>
      </c>
      <c r="B157" s="155">
        <v>5.0956001281738201</v>
      </c>
      <c r="C157" s="155">
        <v>219.350006103515</v>
      </c>
      <c r="D157" s="155">
        <f t="shared" si="2"/>
        <v>1441.5569114104508</v>
      </c>
    </row>
    <row r="158" spans="1:4" x14ac:dyDescent="0.2">
      <c r="A158" s="162">
        <v>44790</v>
      </c>
      <c r="B158" s="155">
        <v>5.1417388916015598</v>
      </c>
      <c r="C158" s="155">
        <v>217.44999694824199</v>
      </c>
      <c r="D158" s="155">
        <f t="shared" si="2"/>
        <v>1442.0098479120695</v>
      </c>
    </row>
    <row r="159" spans="1:4" x14ac:dyDescent="0.2">
      <c r="A159" s="162">
        <v>44791</v>
      </c>
      <c r="B159" s="155">
        <v>5.1649999618530202</v>
      </c>
      <c r="C159" s="155">
        <v>214.69999694824199</v>
      </c>
      <c r="D159" s="155">
        <f t="shared" si="2"/>
        <v>1430.2144542227595</v>
      </c>
    </row>
    <row r="160" spans="1:4" x14ac:dyDescent="0.2">
      <c r="A160" s="162">
        <v>44792</v>
      </c>
      <c r="B160" s="155">
        <v>5.1669998168945304</v>
      </c>
      <c r="C160" s="155">
        <v>215.94999694824199</v>
      </c>
      <c r="D160" s="155">
        <f t="shared" si="2"/>
        <v>1439.0982674794573</v>
      </c>
    </row>
    <row r="161" spans="1:4" x14ac:dyDescent="0.2">
      <c r="A161" s="162">
        <v>44795</v>
      </c>
      <c r="B161" s="155">
        <v>5.1683998107910103</v>
      </c>
      <c r="C161" s="155">
        <v>224.30000305175699</v>
      </c>
      <c r="D161" s="155">
        <f t="shared" si="2"/>
        <v>1495.1479969345296</v>
      </c>
    </row>
    <row r="162" spans="1:4" x14ac:dyDescent="0.2">
      <c r="A162" s="162">
        <v>44796</v>
      </c>
      <c r="B162" s="155">
        <v>5.1560997962951598</v>
      </c>
      <c r="C162" s="155">
        <v>230.64999389648401</v>
      </c>
      <c r="D162" s="155">
        <f t="shared" si="2"/>
        <v>1533.8170599588648</v>
      </c>
    </row>
    <row r="163" spans="1:4" x14ac:dyDescent="0.2">
      <c r="A163" s="162">
        <v>44797</v>
      </c>
      <c r="B163" s="155">
        <v>5.1034998893737704</v>
      </c>
      <c r="C163" s="155">
        <v>242.94999694824199</v>
      </c>
      <c r="D163" s="155">
        <f t="shared" si="2"/>
        <v>1599.1301427615488</v>
      </c>
    </row>
    <row r="164" spans="1:4" x14ac:dyDescent="0.2">
      <c r="A164" s="162">
        <v>44798</v>
      </c>
      <c r="B164" s="155">
        <v>5.1100997924804599</v>
      </c>
      <c r="C164" s="155">
        <v>243.39999389648401</v>
      </c>
      <c r="D164" s="155">
        <f t="shared" si="2"/>
        <v>1604.1639276774758</v>
      </c>
    </row>
    <row r="165" spans="1:4" x14ac:dyDescent="0.2">
      <c r="A165" s="162">
        <v>44799</v>
      </c>
      <c r="B165" s="155">
        <v>5.1086997985839799</v>
      </c>
      <c r="C165" s="155">
        <v>242</v>
      </c>
      <c r="D165" s="155">
        <f t="shared" si="2"/>
        <v>1594.5001006771072</v>
      </c>
    </row>
    <row r="166" spans="1:4" x14ac:dyDescent="0.2">
      <c r="A166" s="162">
        <v>44802</v>
      </c>
      <c r="B166" s="155">
        <v>5.0625</v>
      </c>
      <c r="C166" s="155">
        <v>240.5</v>
      </c>
      <c r="D166" s="155">
        <f t="shared" si="2"/>
        <v>1570.2865790624999</v>
      </c>
    </row>
    <row r="167" spans="1:4" x14ac:dyDescent="0.2">
      <c r="A167" s="162">
        <v>44803</v>
      </c>
      <c r="B167" s="155">
        <v>5.02720022201538</v>
      </c>
      <c r="C167" s="155">
        <v>239.14999389648401</v>
      </c>
      <c r="D167" s="155">
        <f t="shared" si="2"/>
        <v>1550.5842152870305</v>
      </c>
    </row>
    <row r="168" spans="1:4" x14ac:dyDescent="0.2">
      <c r="A168" s="162">
        <v>44804</v>
      </c>
      <c r="B168" s="155">
        <v>5.1219000816345197</v>
      </c>
      <c r="C168" s="155">
        <v>239.100006103515</v>
      </c>
      <c r="D168" s="155">
        <f t="shared" si="2"/>
        <v>1579.4631250947155</v>
      </c>
    </row>
    <row r="169" spans="1:4" x14ac:dyDescent="0.2">
      <c r="A169" s="162">
        <v>44805</v>
      </c>
      <c r="B169" s="155">
        <v>5.1817002296447701</v>
      </c>
      <c r="C169" s="155">
        <v>236.350006103515</v>
      </c>
      <c r="D169" s="155">
        <f t="shared" si="2"/>
        <v>1579.5257287471893</v>
      </c>
    </row>
    <row r="170" spans="1:4" x14ac:dyDescent="0.2">
      <c r="A170" s="162">
        <v>44806</v>
      </c>
      <c r="B170" s="155">
        <v>5.2403998374938903</v>
      </c>
      <c r="C170" s="155">
        <v>232.64999389648401</v>
      </c>
      <c r="D170" s="155">
        <f t="shared" si="2"/>
        <v>1572.4117190410789</v>
      </c>
    </row>
    <row r="171" spans="1:4" x14ac:dyDescent="0.2">
      <c r="A171" s="162">
        <v>44810</v>
      </c>
      <c r="B171" s="155">
        <v>5.1539001464843697</v>
      </c>
      <c r="C171" s="155">
        <v>233.89999389648401</v>
      </c>
      <c r="D171" s="155">
        <f t="shared" si="2"/>
        <v>1554.7659202720013</v>
      </c>
    </row>
    <row r="172" spans="1:4" x14ac:dyDescent="0.2">
      <c r="A172" s="162">
        <v>44811</v>
      </c>
      <c r="B172" s="155">
        <v>5.2472000122070304</v>
      </c>
      <c r="C172" s="155">
        <v>226.89999389648401</v>
      </c>
      <c r="D172" s="155">
        <f t="shared" si="2"/>
        <v>1535.5391902532929</v>
      </c>
    </row>
    <row r="173" spans="1:4" x14ac:dyDescent="0.2">
      <c r="A173" s="162">
        <v>44812</v>
      </c>
      <c r="B173" s="155">
        <v>5.24669981002807</v>
      </c>
      <c r="C173" s="155">
        <v>225.850006103515</v>
      </c>
      <c r="D173" s="155">
        <f t="shared" si="2"/>
        <v>1528.2877263727023</v>
      </c>
    </row>
    <row r="174" spans="1:4" x14ac:dyDescent="0.2">
      <c r="A174" s="162">
        <v>44813</v>
      </c>
      <c r="B174" s="155">
        <v>5.2133002281188903</v>
      </c>
      <c r="C174" s="155">
        <v>231.5</v>
      </c>
      <c r="D174" s="155">
        <f t="shared" si="2"/>
        <v>1556.5480562935261</v>
      </c>
    </row>
    <row r="175" spans="1:4" x14ac:dyDescent="0.2">
      <c r="A175" s="162">
        <v>44816</v>
      </c>
      <c r="B175" s="155">
        <v>5.1462998390197701</v>
      </c>
      <c r="C175" s="155">
        <v>227.75</v>
      </c>
      <c r="D175" s="155">
        <f t="shared" si="2"/>
        <v>1511.6535681115599</v>
      </c>
    </row>
    <row r="176" spans="1:4" x14ac:dyDescent="0.2">
      <c r="A176" s="162">
        <v>44817</v>
      </c>
      <c r="B176" s="155">
        <v>5.0920000076293901</v>
      </c>
      <c r="C176" s="155">
        <v>223.94999694824199</v>
      </c>
      <c r="D176" s="155">
        <f t="shared" si="2"/>
        <v>1470.747972743809</v>
      </c>
    </row>
    <row r="177" spans="1:4" x14ac:dyDescent="0.2">
      <c r="A177" s="162">
        <v>44818</v>
      </c>
      <c r="B177" s="155">
        <v>5.1897997856140101</v>
      </c>
      <c r="C177" s="155">
        <v>217.600006103515</v>
      </c>
      <c r="D177" s="155">
        <f t="shared" si="2"/>
        <v>1456.492688757505</v>
      </c>
    </row>
    <row r="178" spans="1:4" x14ac:dyDescent="0.2">
      <c r="A178" s="162">
        <v>44819</v>
      </c>
      <c r="B178" s="155">
        <v>5.1627001762390101</v>
      </c>
      <c r="C178" s="155">
        <v>219.14999389648401</v>
      </c>
      <c r="D178" s="155">
        <f t="shared" si="2"/>
        <v>1459.2078890824109</v>
      </c>
    </row>
    <row r="179" spans="1:4" x14ac:dyDescent="0.2">
      <c r="A179" s="162">
        <v>44820</v>
      </c>
      <c r="B179" s="155">
        <v>5.2460999488830504</v>
      </c>
      <c r="C179" s="155">
        <v>218.05000305175699</v>
      </c>
      <c r="D179" s="155">
        <f t="shared" si="2"/>
        <v>1475.3377654546018</v>
      </c>
    </row>
    <row r="180" spans="1:4" x14ac:dyDescent="0.2">
      <c r="A180" s="162">
        <v>44823</v>
      </c>
      <c r="B180" s="155">
        <v>5.2506999969482404</v>
      </c>
      <c r="C180" s="155">
        <v>224.05000305175699</v>
      </c>
      <c r="D180" s="155">
        <f t="shared" si="2"/>
        <v>1517.2633287141548</v>
      </c>
    </row>
    <row r="181" spans="1:4" x14ac:dyDescent="0.2">
      <c r="A181" s="162">
        <v>44824</v>
      </c>
      <c r="B181" s="155">
        <v>5.1708998680114702</v>
      </c>
      <c r="C181" s="155">
        <v>228.100006103515</v>
      </c>
      <c r="D181" s="155">
        <f t="shared" si="2"/>
        <v>1521.2136957570722</v>
      </c>
    </row>
    <row r="182" spans="1:4" x14ac:dyDescent="0.2">
      <c r="A182" s="162">
        <v>44825</v>
      </c>
      <c r="B182" s="155">
        <v>5.1414999961853001</v>
      </c>
      <c r="C182" s="155">
        <v>221.30000305175699</v>
      </c>
      <c r="D182" s="155">
        <f t="shared" si="2"/>
        <v>1467.4728048813674</v>
      </c>
    </row>
    <row r="183" spans="1:4" x14ac:dyDescent="0.2">
      <c r="A183" s="162">
        <v>44826</v>
      </c>
      <c r="B183" s="155">
        <v>5.1704001426696697</v>
      </c>
      <c r="C183" s="155">
        <v>223.55000305175699</v>
      </c>
      <c r="D183" s="155">
        <f t="shared" si="2"/>
        <v>1490.7253506963946</v>
      </c>
    </row>
    <row r="184" spans="1:4" x14ac:dyDescent="0.2">
      <c r="A184" s="162">
        <v>44827</v>
      </c>
      <c r="B184" s="155">
        <v>5.1154999732971103</v>
      </c>
      <c r="C184" s="155">
        <v>220.44999694824199</v>
      </c>
      <c r="D184" s="155">
        <f t="shared" si="2"/>
        <v>1454.4439377902374</v>
      </c>
    </row>
    <row r="185" spans="1:4" x14ac:dyDescent="0.2">
      <c r="A185" s="162">
        <v>44830</v>
      </c>
      <c r="B185" s="155">
        <v>5.2588000297546298</v>
      </c>
      <c r="C185" s="155">
        <v>223.80000305175699</v>
      </c>
      <c r="D185" s="155">
        <f t="shared" si="2"/>
        <v>1517.908338637958</v>
      </c>
    </row>
    <row r="186" spans="1:4" x14ac:dyDescent="0.2">
      <c r="A186" s="162">
        <v>44831</v>
      </c>
      <c r="B186" s="155">
        <v>5.38940000534057</v>
      </c>
      <c r="C186" s="155">
        <v>224.350006103515</v>
      </c>
      <c r="D186" s="155">
        <f t="shared" si="2"/>
        <v>1559.4279218597435</v>
      </c>
    </row>
    <row r="187" spans="1:4" x14ac:dyDescent="0.2">
      <c r="A187" s="162">
        <v>44832</v>
      </c>
      <c r="B187" s="155">
        <v>5.3780999183654696</v>
      </c>
      <c r="C187" s="155">
        <v>228.69999694824199</v>
      </c>
      <c r="D187" s="155">
        <f t="shared" si="2"/>
        <v>1586.3310587561775</v>
      </c>
    </row>
    <row r="188" spans="1:4" x14ac:dyDescent="0.2">
      <c r="A188" s="162">
        <v>44833</v>
      </c>
      <c r="B188" s="155">
        <v>5.3741998672485298</v>
      </c>
      <c r="C188" s="155">
        <v>225.69999694824199</v>
      </c>
      <c r="D188" s="155">
        <f t="shared" si="2"/>
        <v>1564.3868944307519</v>
      </c>
    </row>
    <row r="189" spans="1:4" x14ac:dyDescent="0.2">
      <c r="A189" s="162">
        <v>44834</v>
      </c>
      <c r="B189" s="155">
        <v>5.39620018005371</v>
      </c>
      <c r="C189" s="155">
        <v>221.55000305175699</v>
      </c>
      <c r="D189" s="155">
        <f t="shared" si="2"/>
        <v>1541.9085419979235</v>
      </c>
    </row>
    <row r="190" spans="1:4" x14ac:dyDescent="0.2">
      <c r="A190" s="162">
        <v>44837</v>
      </c>
      <c r="B190" s="155">
        <v>5.4142999649047798</v>
      </c>
      <c r="C190" s="155">
        <v>215.75</v>
      </c>
      <c r="D190" s="155">
        <f t="shared" si="2"/>
        <v>1506.5790339736805</v>
      </c>
    </row>
    <row r="191" spans="1:4" x14ac:dyDescent="0.2">
      <c r="A191" s="162">
        <v>44838</v>
      </c>
      <c r="B191" s="155">
        <v>5.1634998321533203</v>
      </c>
      <c r="C191" s="155">
        <v>219.30000305175699</v>
      </c>
      <c r="D191" s="155">
        <f t="shared" si="2"/>
        <v>1460.4328963513549</v>
      </c>
    </row>
    <row r="192" spans="1:4" x14ac:dyDescent="0.2">
      <c r="A192" s="162">
        <v>44839</v>
      </c>
      <c r="B192" s="155">
        <v>5.1757998466491699</v>
      </c>
      <c r="C192" s="155">
        <v>224.64999389648401</v>
      </c>
      <c r="D192" s="155">
        <f t="shared" si="2"/>
        <v>1499.6250503882461</v>
      </c>
    </row>
    <row r="193" spans="1:4" x14ac:dyDescent="0.2">
      <c r="A193" s="162">
        <v>44840</v>
      </c>
      <c r="B193" s="155">
        <v>5.1951999664306596</v>
      </c>
      <c r="C193" s="155">
        <v>217.69999694824199</v>
      </c>
      <c r="D193" s="155">
        <f t="shared" si="2"/>
        <v>1458.6782030657791</v>
      </c>
    </row>
    <row r="194" spans="1:4" x14ac:dyDescent="0.2">
      <c r="A194" s="162">
        <v>44841</v>
      </c>
      <c r="B194" s="155">
        <v>5.2200999259948704</v>
      </c>
      <c r="C194" s="155">
        <v>218.100006103515</v>
      </c>
      <c r="D194" s="155">
        <f t="shared" si="2"/>
        <v>1468.3625391464225</v>
      </c>
    </row>
    <row r="195" spans="1:4" x14ac:dyDescent="0.2">
      <c r="A195" s="162">
        <v>44844</v>
      </c>
      <c r="B195" s="155">
        <v>5.1984000205993599</v>
      </c>
      <c r="C195" s="155">
        <v>217.44999694824199</v>
      </c>
      <c r="D195" s="155">
        <f t="shared" ref="D195:D258" si="3">(B195*(1-$F$1)*C195*1.3228)</f>
        <v>1457.9005626549165</v>
      </c>
    </row>
    <row r="196" spans="1:4" x14ac:dyDescent="0.2">
      <c r="A196" s="162">
        <v>44845</v>
      </c>
      <c r="B196" s="155">
        <v>5.1868000030517498</v>
      </c>
      <c r="C196" s="155">
        <v>217.850006103515</v>
      </c>
      <c r="D196" s="155">
        <f t="shared" si="3"/>
        <v>1457.3232069047435</v>
      </c>
    </row>
    <row r="197" spans="1:4" x14ac:dyDescent="0.2">
      <c r="A197" s="162">
        <v>44846</v>
      </c>
      <c r="B197" s="155">
        <v>5.2920999526977504</v>
      </c>
      <c r="C197" s="155">
        <v>209.75</v>
      </c>
      <c r="D197" s="155">
        <f t="shared" si="3"/>
        <v>1431.6234701005046</v>
      </c>
    </row>
    <row r="198" spans="1:4" x14ac:dyDescent="0.2">
      <c r="A198" s="162">
        <v>44847</v>
      </c>
      <c r="B198" s="155">
        <v>5.2915000915527299</v>
      </c>
      <c r="C198" s="155">
        <v>202.14999389648401</v>
      </c>
      <c r="D198" s="155">
        <f t="shared" si="3"/>
        <v>1379.5941447496846</v>
      </c>
    </row>
    <row r="199" spans="1:4" x14ac:dyDescent="0.2">
      <c r="A199" s="162">
        <v>44848</v>
      </c>
      <c r="B199" s="155">
        <v>5.2597999572753897</v>
      </c>
      <c r="C199" s="155">
        <v>196.69999694824199</v>
      </c>
      <c r="D199" s="155">
        <f t="shared" si="3"/>
        <v>1334.3580571407208</v>
      </c>
    </row>
    <row r="200" spans="1:4" x14ac:dyDescent="0.2">
      <c r="A200" s="162">
        <v>44851</v>
      </c>
      <c r="B200" s="155">
        <v>5.3274002075195304</v>
      </c>
      <c r="C200" s="155">
        <v>195.55000305175699</v>
      </c>
      <c r="D200" s="155">
        <f t="shared" si="3"/>
        <v>1343.6060548772573</v>
      </c>
    </row>
    <row r="201" spans="1:4" x14ac:dyDescent="0.2">
      <c r="A201" s="162">
        <v>44852</v>
      </c>
      <c r="B201" s="155">
        <v>5.2773590087890598</v>
      </c>
      <c r="C201" s="155">
        <v>195.100006103515</v>
      </c>
      <c r="D201" s="155">
        <f t="shared" si="3"/>
        <v>1327.9224840752865</v>
      </c>
    </row>
    <row r="202" spans="1:4" x14ac:dyDescent="0.2">
      <c r="A202" s="162">
        <v>44853</v>
      </c>
      <c r="B202" s="155">
        <v>5.2397999763488698</v>
      </c>
      <c r="C202" s="155">
        <v>192.30000305175699</v>
      </c>
      <c r="D202" s="155">
        <f t="shared" si="3"/>
        <v>1299.5494257019145</v>
      </c>
    </row>
    <row r="203" spans="1:4" x14ac:dyDescent="0.2">
      <c r="A203" s="162">
        <v>44854</v>
      </c>
      <c r="B203" s="155">
        <v>5.2691998481750399</v>
      </c>
      <c r="C203" s="155">
        <v>191.05000305175699</v>
      </c>
      <c r="D203" s="155">
        <f t="shared" si="3"/>
        <v>1298.3462309509548</v>
      </c>
    </row>
    <row r="204" spans="1:4" x14ac:dyDescent="0.2">
      <c r="A204" s="162">
        <v>44855</v>
      </c>
      <c r="B204" s="155">
        <v>5.2165999412536603</v>
      </c>
      <c r="C204" s="155">
        <v>190.89999389648401</v>
      </c>
      <c r="D204" s="155">
        <f t="shared" si="3"/>
        <v>1284.3761978578068</v>
      </c>
    </row>
    <row r="205" spans="1:4" x14ac:dyDescent="0.2">
      <c r="A205" s="162">
        <v>44858</v>
      </c>
      <c r="B205" s="155">
        <v>5.1634001731872496</v>
      </c>
      <c r="C205" s="155">
        <v>190.39999389648401</v>
      </c>
      <c r="D205" s="155">
        <f t="shared" si="3"/>
        <v>1267.9482162157499</v>
      </c>
    </row>
    <row r="206" spans="1:4" x14ac:dyDescent="0.2">
      <c r="A206" s="162">
        <v>44859</v>
      </c>
      <c r="B206" s="155">
        <v>5.3062000274658203</v>
      </c>
      <c r="C206" s="155">
        <v>185.80000305175699</v>
      </c>
      <c r="D206" s="155">
        <f t="shared" si="3"/>
        <v>1271.5344650373831</v>
      </c>
    </row>
    <row r="207" spans="1:4" x14ac:dyDescent="0.2">
      <c r="A207" s="162">
        <v>44860</v>
      </c>
      <c r="B207" s="155">
        <v>5.3151998519897399</v>
      </c>
      <c r="C207" s="155">
        <v>179.75</v>
      </c>
      <c r="D207" s="155">
        <f t="shared" si="3"/>
        <v>1232.2172937429341</v>
      </c>
    </row>
    <row r="208" spans="1:4" x14ac:dyDescent="0.2">
      <c r="A208" s="162">
        <v>44861</v>
      </c>
      <c r="B208" s="155">
        <v>5.3839001655578604</v>
      </c>
      <c r="C208" s="155">
        <v>178.850006103515</v>
      </c>
      <c r="D208" s="155">
        <f t="shared" si="3"/>
        <v>1241.8946590813357</v>
      </c>
    </row>
    <row r="209" spans="1:4" x14ac:dyDescent="0.2">
      <c r="A209" s="162">
        <v>44862</v>
      </c>
      <c r="B209" s="155">
        <v>5.3392000198364196</v>
      </c>
      <c r="C209" s="155">
        <v>169.80000305175699</v>
      </c>
      <c r="D209" s="155">
        <f t="shared" si="3"/>
        <v>1169.264290795684</v>
      </c>
    </row>
    <row r="210" spans="1:4" x14ac:dyDescent="0.2">
      <c r="A210" s="162">
        <v>44865</v>
      </c>
      <c r="B210" s="155">
        <v>5.2884998321533203</v>
      </c>
      <c r="C210" s="155">
        <v>177.69999694824199</v>
      </c>
      <c r="D210" s="155">
        <f t="shared" si="3"/>
        <v>1212.0449242753166</v>
      </c>
    </row>
    <row r="211" spans="1:4" x14ac:dyDescent="0.2">
      <c r="A211" s="162">
        <v>44866</v>
      </c>
      <c r="B211" s="155">
        <v>5.1788001060485804</v>
      </c>
      <c r="C211" s="155">
        <v>174.600006103515</v>
      </c>
      <c r="D211" s="155">
        <f t="shared" si="3"/>
        <v>1166.1977648580728</v>
      </c>
    </row>
    <row r="212" spans="1:4" x14ac:dyDescent="0.2">
      <c r="A212" s="162">
        <v>44867</v>
      </c>
      <c r="B212" s="155">
        <v>5.1423997879028303</v>
      </c>
      <c r="C212" s="155">
        <v>182.14999389648401</v>
      </c>
      <c r="D212" s="155">
        <f t="shared" si="3"/>
        <v>1208.0747302896232</v>
      </c>
    </row>
    <row r="213" spans="1:4" x14ac:dyDescent="0.2">
      <c r="A213" s="162">
        <v>44868</v>
      </c>
      <c r="B213" s="155">
        <v>5.1426000595092702</v>
      </c>
      <c r="C213" s="155">
        <v>172.19999694824199</v>
      </c>
      <c r="D213" s="155">
        <f t="shared" si="3"/>
        <v>1142.1277717311182</v>
      </c>
    </row>
    <row r="214" spans="1:4" x14ac:dyDescent="0.2">
      <c r="A214" s="162">
        <v>44869</v>
      </c>
      <c r="B214" s="155">
        <v>5.1149001121520996</v>
      </c>
      <c r="C214" s="155">
        <v>175.75</v>
      </c>
      <c r="D214" s="155">
        <f t="shared" si="3"/>
        <v>1159.3946513792716</v>
      </c>
    </row>
    <row r="215" spans="1:4" x14ac:dyDescent="0.2">
      <c r="A215" s="162">
        <v>44872</v>
      </c>
      <c r="B215" s="155">
        <v>5.0781321525573704</v>
      </c>
      <c r="C215" s="155">
        <v>170.55000305175699</v>
      </c>
      <c r="D215" s="155">
        <f t="shared" si="3"/>
        <v>1117.00349543688</v>
      </c>
    </row>
    <row r="216" spans="1:4" x14ac:dyDescent="0.2">
      <c r="A216" s="162">
        <v>44873</v>
      </c>
      <c r="B216" s="155">
        <v>5.1533269882202104</v>
      </c>
      <c r="C216" s="155">
        <v>166.44999694824199</v>
      </c>
      <c r="D216" s="155">
        <f t="shared" si="3"/>
        <v>1106.2933290460908</v>
      </c>
    </row>
    <row r="217" spans="1:4" x14ac:dyDescent="0.2">
      <c r="A217" s="162">
        <v>44874</v>
      </c>
      <c r="B217" s="155">
        <v>5.1430001258850098</v>
      </c>
      <c r="C217" s="155">
        <v>165.14999389648401</v>
      </c>
      <c r="D217" s="155">
        <f t="shared" si="3"/>
        <v>1095.4533778867503</v>
      </c>
    </row>
    <row r="218" spans="1:4" x14ac:dyDescent="0.2">
      <c r="A218" s="162">
        <v>44875</v>
      </c>
      <c r="B218" s="155">
        <v>5.1852002143859801</v>
      </c>
      <c r="C218" s="155">
        <v>171</v>
      </c>
      <c r="D218" s="155">
        <f t="shared" si="3"/>
        <v>1143.5639145975051</v>
      </c>
    </row>
    <row r="219" spans="1:4" x14ac:dyDescent="0.2">
      <c r="A219" s="162">
        <v>44876</v>
      </c>
      <c r="B219" s="155">
        <v>5.3415799140930096</v>
      </c>
      <c r="C219" s="155">
        <v>170.100006103515</v>
      </c>
      <c r="D219" s="155">
        <f t="shared" si="3"/>
        <v>1171.8522582771106</v>
      </c>
    </row>
    <row r="220" spans="1:4" x14ac:dyDescent="0.2">
      <c r="A220" s="162">
        <v>44879</v>
      </c>
      <c r="B220" s="155">
        <v>5.2790589332580504</v>
      </c>
      <c r="C220" s="155">
        <v>166.19999694824199</v>
      </c>
      <c r="D220" s="155">
        <f t="shared" si="3"/>
        <v>1131.582763904009</v>
      </c>
    </row>
    <row r="221" spans="1:4" x14ac:dyDescent="0.2">
      <c r="A221" s="162">
        <v>44880</v>
      </c>
      <c r="B221" s="155">
        <v>5.3312001228332502</v>
      </c>
      <c r="C221" s="155">
        <v>156.75</v>
      </c>
      <c r="D221" s="155">
        <f t="shared" si="3"/>
        <v>1077.7830191206056</v>
      </c>
    </row>
    <row r="222" spans="1:4" x14ac:dyDescent="0.2">
      <c r="A222" s="162">
        <v>44881</v>
      </c>
      <c r="B222" s="155">
        <v>5.3316998481750399</v>
      </c>
      <c r="C222" s="155">
        <v>155.44999694824199</v>
      </c>
      <c r="D222" s="155">
        <f t="shared" si="3"/>
        <v>1068.9446359790159</v>
      </c>
    </row>
    <row r="223" spans="1:4" x14ac:dyDescent="0.2">
      <c r="A223" s="162">
        <v>44882</v>
      </c>
      <c r="B223" s="155">
        <v>5.3990001678466797</v>
      </c>
      <c r="C223" s="155">
        <v>152.69999694824199</v>
      </c>
      <c r="D223" s="155">
        <f t="shared" si="3"/>
        <v>1063.2886334348607</v>
      </c>
    </row>
    <row r="224" spans="1:4" x14ac:dyDescent="0.2">
      <c r="A224" s="162">
        <v>44883</v>
      </c>
      <c r="B224" s="155">
        <v>5.4221000671386701</v>
      </c>
      <c r="C224" s="155">
        <v>151.30000305175699</v>
      </c>
      <c r="D224" s="155">
        <f t="shared" si="3"/>
        <v>1058.0477479351559</v>
      </c>
    </row>
    <row r="225" spans="1:4" x14ac:dyDescent="0.2">
      <c r="A225" s="162">
        <v>44886</v>
      </c>
      <c r="B225" s="155">
        <v>5.3812999725341797</v>
      </c>
      <c r="C225" s="155">
        <v>157.5</v>
      </c>
      <c r="D225" s="155">
        <f t="shared" si="3"/>
        <v>1093.1167821382999</v>
      </c>
    </row>
    <row r="226" spans="1:4" x14ac:dyDescent="0.2">
      <c r="A226" s="162">
        <v>44887</v>
      </c>
      <c r="B226" s="155">
        <v>5.3186001777648899</v>
      </c>
      <c r="C226" s="155">
        <v>161.80000305175699</v>
      </c>
      <c r="D226" s="155">
        <f t="shared" si="3"/>
        <v>1109.8765388697823</v>
      </c>
    </row>
    <row r="227" spans="1:4" x14ac:dyDescent="0.2">
      <c r="A227" s="162">
        <v>44888</v>
      </c>
      <c r="B227" s="155">
        <v>5.3576998710632298</v>
      </c>
      <c r="C227" s="155">
        <v>160.100006103515</v>
      </c>
      <c r="D227" s="155">
        <f t="shared" si="3"/>
        <v>1106.2888415536961</v>
      </c>
    </row>
    <row r="228" spans="1:4" x14ac:dyDescent="0.2">
      <c r="A228" s="162">
        <v>44890</v>
      </c>
      <c r="B228" s="155">
        <v>5.3200001716613698</v>
      </c>
      <c r="C228" s="155">
        <v>163.55000305175699</v>
      </c>
      <c r="D228" s="155">
        <f t="shared" si="3"/>
        <v>1122.1760739286647</v>
      </c>
    </row>
    <row r="229" spans="1:4" x14ac:dyDescent="0.2">
      <c r="A229" s="162">
        <v>44893</v>
      </c>
      <c r="B229" s="155">
        <v>5.4085001945495597</v>
      </c>
      <c r="C229" s="155">
        <v>160.64999389648401</v>
      </c>
      <c r="D229" s="155">
        <f t="shared" si="3"/>
        <v>1120.6148285928641</v>
      </c>
    </row>
    <row r="230" spans="1:4" x14ac:dyDescent="0.2">
      <c r="A230" s="162">
        <v>44894</v>
      </c>
      <c r="B230" s="155">
        <v>5.3646998405456499</v>
      </c>
      <c r="C230" s="155">
        <v>166.69999694824199</v>
      </c>
      <c r="D230" s="155">
        <f t="shared" si="3"/>
        <v>1153.3996669201774</v>
      </c>
    </row>
    <row r="231" spans="1:4" x14ac:dyDescent="0.2">
      <c r="A231" s="162">
        <v>44895</v>
      </c>
      <c r="B231" s="155">
        <v>5.2681999206542898</v>
      </c>
      <c r="C231" s="155">
        <v>167.69999694824199</v>
      </c>
      <c r="D231" s="155">
        <f t="shared" si="3"/>
        <v>1139.4469338753579</v>
      </c>
    </row>
    <row r="232" spans="1:4" x14ac:dyDescent="0.2">
      <c r="A232" s="162">
        <v>44896</v>
      </c>
      <c r="B232" s="155">
        <v>5.1815891265869096</v>
      </c>
      <c r="C232" s="155">
        <v>163.350006103515</v>
      </c>
      <c r="D232" s="155">
        <f t="shared" si="3"/>
        <v>1091.6437425293309</v>
      </c>
    </row>
    <row r="233" spans="1:4" x14ac:dyDescent="0.2">
      <c r="A233" s="162">
        <v>44897</v>
      </c>
      <c r="B233" s="155">
        <v>5.1835999488830504</v>
      </c>
      <c r="C233" s="155">
        <v>160.14999389648401</v>
      </c>
      <c r="D233" s="155">
        <f t="shared" si="3"/>
        <v>1070.6738737812641</v>
      </c>
    </row>
    <row r="234" spans="1:4" x14ac:dyDescent="0.2">
      <c r="A234" s="162">
        <v>44900</v>
      </c>
      <c r="B234" s="155">
        <v>5.2179999351501403</v>
      </c>
      <c r="C234" s="155">
        <v>160.14999389648401</v>
      </c>
      <c r="D234" s="155">
        <f t="shared" si="3"/>
        <v>1077.7791996007352</v>
      </c>
    </row>
    <row r="235" spans="1:4" x14ac:dyDescent="0.2">
      <c r="A235" s="162">
        <v>44901</v>
      </c>
      <c r="B235" s="155">
        <v>5.2800002098083496</v>
      </c>
      <c r="C235" s="155">
        <v>161.05000305175699</v>
      </c>
      <c r="D235" s="155">
        <f t="shared" si="3"/>
        <v>1096.7142314812829</v>
      </c>
    </row>
    <row r="236" spans="1:4" x14ac:dyDescent="0.2">
      <c r="A236" s="162">
        <v>44902</v>
      </c>
      <c r="B236" s="155">
        <v>5.2340002059936497</v>
      </c>
      <c r="C236" s="155">
        <v>157.69999694824199</v>
      </c>
      <c r="D236" s="155">
        <f t="shared" si="3"/>
        <v>1064.5454848104041</v>
      </c>
    </row>
    <row r="237" spans="1:4" x14ac:dyDescent="0.2">
      <c r="A237" s="162">
        <v>44903</v>
      </c>
      <c r="B237" s="155">
        <v>5.2039999961853001</v>
      </c>
      <c r="C237" s="155">
        <v>156.89999389648401</v>
      </c>
      <c r="D237" s="155">
        <f t="shared" si="3"/>
        <v>1053.0743052107591</v>
      </c>
    </row>
    <row r="238" spans="1:4" x14ac:dyDescent="0.2">
      <c r="A238" s="162">
        <v>44904</v>
      </c>
      <c r="B238" s="155">
        <v>5.22429990768432</v>
      </c>
      <c r="C238" s="155">
        <v>157.75</v>
      </c>
      <c r="D238" s="155">
        <f t="shared" si="3"/>
        <v>1062.9094544701718</v>
      </c>
    </row>
    <row r="239" spans="1:4" x14ac:dyDescent="0.2">
      <c r="A239" s="162">
        <v>44907</v>
      </c>
      <c r="B239" s="155">
        <v>5.2350001335143999</v>
      </c>
      <c r="C239" s="155">
        <v>166.350006103515</v>
      </c>
      <c r="D239" s="155">
        <f t="shared" si="3"/>
        <v>1123.151444946885</v>
      </c>
    </row>
    <row r="240" spans="1:4" x14ac:dyDescent="0.2">
      <c r="A240" s="162">
        <v>44908</v>
      </c>
      <c r="B240" s="155">
        <v>5.3213000297546298</v>
      </c>
      <c r="C240" s="155">
        <v>167.14999389648401</v>
      </c>
      <c r="D240" s="155">
        <f t="shared" si="3"/>
        <v>1147.1571421461283</v>
      </c>
    </row>
    <row r="241" spans="1:4" x14ac:dyDescent="0.2">
      <c r="A241" s="162">
        <v>44909</v>
      </c>
      <c r="B241" s="155">
        <v>5.2927999496459899</v>
      </c>
      <c r="C241" s="155">
        <v>168.30000305175699</v>
      </c>
      <c r="D241" s="155">
        <f t="shared" si="3"/>
        <v>1148.8634293774364</v>
      </c>
    </row>
    <row r="242" spans="1:4" x14ac:dyDescent="0.2">
      <c r="A242" s="162">
        <v>44910</v>
      </c>
      <c r="B242" s="155">
        <v>5.27720022201538</v>
      </c>
      <c r="C242" s="155">
        <v>171.5</v>
      </c>
      <c r="D242" s="155">
        <f t="shared" si="3"/>
        <v>1167.2570303612922</v>
      </c>
    </row>
    <row r="243" spans="1:4" x14ac:dyDescent="0.2">
      <c r="A243" s="162">
        <v>44911</v>
      </c>
      <c r="B243" s="155">
        <v>5.3118000030517498</v>
      </c>
      <c r="C243" s="155">
        <v>164.14999389648401</v>
      </c>
      <c r="D243" s="155">
        <f t="shared" si="3"/>
        <v>1124.5567785002902</v>
      </c>
    </row>
    <row r="244" spans="1:4" x14ac:dyDescent="0.2">
      <c r="A244" s="162">
        <v>44914</v>
      </c>
      <c r="B244" s="155">
        <v>5.3065090179443297</v>
      </c>
      <c r="C244" s="155">
        <v>164.05000305175699</v>
      </c>
      <c r="D244" s="155">
        <f t="shared" si="3"/>
        <v>1122.7522946968879</v>
      </c>
    </row>
    <row r="245" spans="1:4" x14ac:dyDescent="0.2">
      <c r="A245" s="162">
        <v>44915</v>
      </c>
      <c r="B245" s="155">
        <v>5.2916002273559499</v>
      </c>
      <c r="C245" s="155">
        <v>167.80000305175699</v>
      </c>
      <c r="D245" s="155">
        <f t="shared" si="3"/>
        <v>1145.1906480014575</v>
      </c>
    </row>
    <row r="246" spans="1:4" x14ac:dyDescent="0.2">
      <c r="A246" s="162">
        <v>44916</v>
      </c>
      <c r="B246" s="155">
        <v>5.1984000205993599</v>
      </c>
      <c r="C246" s="155">
        <v>169.350006103515</v>
      </c>
      <c r="D246" s="155">
        <f t="shared" si="3"/>
        <v>1135.4126127796396</v>
      </c>
    </row>
    <row r="247" spans="1:4" x14ac:dyDescent="0.2">
      <c r="A247" s="162">
        <v>44917</v>
      </c>
      <c r="B247" s="155">
        <v>5.1999001502990696</v>
      </c>
      <c r="C247" s="155">
        <v>168.89999389648401</v>
      </c>
      <c r="D247" s="155">
        <f t="shared" si="3"/>
        <v>1132.7222726677273</v>
      </c>
    </row>
    <row r="248" spans="1:4" x14ac:dyDescent="0.2">
      <c r="A248" s="162">
        <v>44918</v>
      </c>
      <c r="B248" s="155">
        <v>5.1655998229980398</v>
      </c>
      <c r="C248" s="155">
        <v>172</v>
      </c>
      <c r="D248" s="155">
        <f t="shared" si="3"/>
        <v>1145.903398271025</v>
      </c>
    </row>
    <row r="249" spans="1:4" x14ac:dyDescent="0.2">
      <c r="A249" s="162">
        <v>44922</v>
      </c>
      <c r="B249" s="155">
        <v>5.2175002098083496</v>
      </c>
      <c r="C249" s="155">
        <v>166.94999694824199</v>
      </c>
      <c r="D249" s="155">
        <f t="shared" si="3"/>
        <v>1123.4343342514846</v>
      </c>
    </row>
    <row r="250" spans="1:4" x14ac:dyDescent="0.2">
      <c r="A250" s="162">
        <v>44923</v>
      </c>
      <c r="B250" s="155">
        <v>5.2923002243041903</v>
      </c>
      <c r="C250" s="155">
        <v>173.55000305175699</v>
      </c>
      <c r="D250" s="155">
        <f t="shared" si="3"/>
        <v>1184.589559647239</v>
      </c>
    </row>
    <row r="251" spans="1:4" x14ac:dyDescent="0.2">
      <c r="A251" s="162">
        <v>44924</v>
      </c>
      <c r="B251" s="155">
        <v>5.2667999267578098</v>
      </c>
      <c r="C251" s="155">
        <v>170.05000305175699</v>
      </c>
      <c r="D251" s="155">
        <f t="shared" si="3"/>
        <v>1155.1071360446483</v>
      </c>
    </row>
    <row r="252" spans="1:4" x14ac:dyDescent="0.2">
      <c r="A252" s="162">
        <v>44925</v>
      </c>
      <c r="B252" s="155">
        <v>5.2845997810363698</v>
      </c>
      <c r="C252" s="155">
        <v>167.30000305175699</v>
      </c>
      <c r="D252" s="155">
        <f t="shared" si="3"/>
        <v>1140.267781087098</v>
      </c>
    </row>
    <row r="253" spans="1:4" x14ac:dyDescent="0.2">
      <c r="A253" s="162">
        <v>44929</v>
      </c>
      <c r="B253" s="155">
        <v>5.3601307868957502</v>
      </c>
      <c r="C253" s="155">
        <v>166.30000305175699</v>
      </c>
      <c r="D253" s="155">
        <f t="shared" si="3"/>
        <v>1149.6521231850891</v>
      </c>
    </row>
    <row r="254" spans="1:4" x14ac:dyDescent="0.2">
      <c r="A254" s="162">
        <v>44930</v>
      </c>
      <c r="B254" s="155">
        <v>5.4784998893737704</v>
      </c>
      <c r="C254" s="155">
        <v>161.30000305175699</v>
      </c>
      <c r="D254" s="155">
        <f t="shared" si="3"/>
        <v>1139.7112488956047</v>
      </c>
    </row>
    <row r="255" spans="1:4" x14ac:dyDescent="0.2">
      <c r="A255" s="162">
        <v>44931</v>
      </c>
      <c r="B255" s="155">
        <v>5.4300999641418404</v>
      </c>
      <c r="C255" s="155">
        <v>160.55000305175699</v>
      </c>
      <c r="D255" s="155">
        <f t="shared" si="3"/>
        <v>1124.3899232077003</v>
      </c>
    </row>
    <row r="256" spans="1:4" x14ac:dyDescent="0.2">
      <c r="A256" s="162">
        <v>44932</v>
      </c>
      <c r="B256" s="155">
        <v>5.3498001098632804</v>
      </c>
      <c r="C256" s="155">
        <v>158.30000305175699</v>
      </c>
      <c r="D256" s="155">
        <f t="shared" si="3"/>
        <v>1092.2379962848611</v>
      </c>
    </row>
    <row r="257" spans="1:4" x14ac:dyDescent="0.2">
      <c r="A257" s="162">
        <v>44935</v>
      </c>
      <c r="B257" s="155">
        <v>5.2244000434875399</v>
      </c>
      <c r="C257" s="155">
        <v>158.05000305175699</v>
      </c>
      <c r="D257" s="155">
        <f t="shared" si="3"/>
        <v>1064.9512677941177</v>
      </c>
    </row>
    <row r="258" spans="1:4" x14ac:dyDescent="0.2">
      <c r="A258" s="162">
        <v>44936</v>
      </c>
      <c r="B258" s="155">
        <v>5.2536997795104901</v>
      </c>
      <c r="C258" s="155">
        <v>150.89999389648401</v>
      </c>
      <c r="D258" s="155">
        <f t="shared" si="3"/>
        <v>1022.4763599326402</v>
      </c>
    </row>
    <row r="259" spans="1:4" x14ac:dyDescent="0.2">
      <c r="A259" s="162">
        <v>44937</v>
      </c>
      <c r="B259" s="155">
        <v>5.1982998847961399</v>
      </c>
      <c r="C259" s="155">
        <v>143.89999389648401</v>
      </c>
      <c r="D259" s="155">
        <f t="shared" ref="D259:D322" si="4">(B259*(1-$F$1)*C259*1.3228)</f>
        <v>964.76359544873537</v>
      </c>
    </row>
    <row r="260" spans="1:4" x14ac:dyDescent="0.2">
      <c r="A260" s="162">
        <v>44938</v>
      </c>
      <c r="B260" s="155">
        <v>5.1585001945495597</v>
      </c>
      <c r="C260" s="155">
        <v>149.39999389648401</v>
      </c>
      <c r="D260" s="155">
        <f t="shared" si="4"/>
        <v>993.96898430677663</v>
      </c>
    </row>
    <row r="261" spans="1:4" x14ac:dyDescent="0.2">
      <c r="A261" s="162">
        <v>44939</v>
      </c>
      <c r="B261" s="155">
        <v>5.1076998710632298</v>
      </c>
      <c r="C261" s="155">
        <v>151.69999694824199</v>
      </c>
      <c r="D261" s="155">
        <f t="shared" si="4"/>
        <v>999.33188448533781</v>
      </c>
    </row>
    <row r="262" spans="1:4" x14ac:dyDescent="0.2">
      <c r="A262" s="162">
        <v>44943</v>
      </c>
      <c r="B262" s="155">
        <v>5.1459999084472603</v>
      </c>
      <c r="C262" s="155">
        <v>151.100006103515</v>
      </c>
      <c r="D262" s="155">
        <f t="shared" si="4"/>
        <v>1002.8432553050934</v>
      </c>
    </row>
    <row r="263" spans="1:4" x14ac:dyDescent="0.2">
      <c r="A263" s="162">
        <v>44944</v>
      </c>
      <c r="B263" s="155">
        <v>5.0995998382568297</v>
      </c>
      <c r="C263" s="155">
        <v>155</v>
      </c>
      <c r="D263" s="155">
        <f t="shared" si="4"/>
        <v>1019.4515694062219</v>
      </c>
    </row>
    <row r="264" spans="1:4" x14ac:dyDescent="0.2">
      <c r="A264" s="162">
        <v>44945</v>
      </c>
      <c r="B264" s="155">
        <v>5.1852998733520499</v>
      </c>
      <c r="C264" s="155">
        <v>154.600006103515</v>
      </c>
      <c r="D264" s="155">
        <f t="shared" si="4"/>
        <v>1033.9086909728708</v>
      </c>
    </row>
    <row r="265" spans="1:4" x14ac:dyDescent="0.2">
      <c r="A265" s="162">
        <v>44946</v>
      </c>
      <c r="B265" s="155">
        <v>5.1729998588562003</v>
      </c>
      <c r="C265" s="155">
        <v>154.80000305175699</v>
      </c>
      <c r="D265" s="155">
        <f t="shared" si="4"/>
        <v>1032.7904974732417</v>
      </c>
    </row>
    <row r="266" spans="1:4" x14ac:dyDescent="0.2">
      <c r="A266" s="162">
        <v>44949</v>
      </c>
      <c r="B266" s="155">
        <v>5.2062997817993102</v>
      </c>
      <c r="C266" s="155">
        <v>158.55000305175699</v>
      </c>
      <c r="D266" s="155">
        <f t="shared" si="4"/>
        <v>1064.6190378290094</v>
      </c>
    </row>
    <row r="267" spans="1:4" x14ac:dyDescent="0.2">
      <c r="A267" s="162">
        <v>44950</v>
      </c>
      <c r="B267" s="155">
        <v>5.2059001922607404</v>
      </c>
      <c r="C267" s="155">
        <v>159.850006103515</v>
      </c>
      <c r="D267" s="155">
        <f t="shared" si="4"/>
        <v>1073.2658149263214</v>
      </c>
    </row>
    <row r="268" spans="1:4" x14ac:dyDescent="0.2">
      <c r="A268" s="162">
        <v>44951</v>
      </c>
      <c r="B268" s="155">
        <v>5.1384000778198198</v>
      </c>
      <c r="C268" s="155">
        <v>162.44999694824199</v>
      </c>
      <c r="D268" s="155">
        <f t="shared" si="4"/>
        <v>1076.5802913484927</v>
      </c>
    </row>
    <row r="269" spans="1:4" x14ac:dyDescent="0.2">
      <c r="A269" s="162">
        <v>44952</v>
      </c>
      <c r="B269" s="155">
        <v>5.07219982147216</v>
      </c>
      <c r="C269" s="155">
        <v>167.14999389648401</v>
      </c>
      <c r="D269" s="155">
        <f t="shared" si="4"/>
        <v>1093.4565273633721</v>
      </c>
    </row>
    <row r="270" spans="1:4" x14ac:dyDescent="0.2">
      <c r="A270" s="162">
        <v>44953</v>
      </c>
      <c r="B270" s="155">
        <v>5.0627450942993102</v>
      </c>
      <c r="C270" s="155">
        <v>169.89999389648401</v>
      </c>
      <c r="D270" s="155">
        <f t="shared" si="4"/>
        <v>1109.3746219036025</v>
      </c>
    </row>
    <row r="271" spans="1:4" x14ac:dyDescent="0.2">
      <c r="A271" s="162">
        <v>44956</v>
      </c>
      <c r="B271" s="155">
        <v>5.1072001457214302</v>
      </c>
      <c r="C271" s="155">
        <v>170.39999389648401</v>
      </c>
      <c r="D271" s="155">
        <f t="shared" si="4"/>
        <v>1122.4092949642916</v>
      </c>
    </row>
    <row r="272" spans="1:4" x14ac:dyDescent="0.2">
      <c r="A272" s="162">
        <v>44957</v>
      </c>
      <c r="B272" s="155">
        <v>5.1149001121520996</v>
      </c>
      <c r="C272" s="155">
        <v>181.75</v>
      </c>
      <c r="D272" s="155">
        <f t="shared" si="4"/>
        <v>1198.9756921091473</v>
      </c>
    </row>
    <row r="273" spans="1:4" x14ac:dyDescent="0.2">
      <c r="A273" s="162">
        <v>44958</v>
      </c>
      <c r="B273" s="155">
        <v>5.07219982147216</v>
      </c>
      <c r="C273" s="155">
        <v>175.89999389648401</v>
      </c>
      <c r="D273" s="155">
        <f t="shared" si="4"/>
        <v>1150.6969997761607</v>
      </c>
    </row>
    <row r="274" spans="1:4" x14ac:dyDescent="0.2">
      <c r="A274" s="162">
        <v>44959</v>
      </c>
      <c r="B274" s="155">
        <v>5.0535001754760698</v>
      </c>
      <c r="C274" s="155">
        <v>177.89999389648401</v>
      </c>
      <c r="D274" s="155">
        <f t="shared" si="4"/>
        <v>1159.4900342156643</v>
      </c>
    </row>
    <row r="275" spans="1:4" x14ac:dyDescent="0.2">
      <c r="A275" s="162">
        <v>44960</v>
      </c>
      <c r="B275" s="155">
        <v>5.0492000579833896</v>
      </c>
      <c r="C275" s="155">
        <v>172.80000305175699</v>
      </c>
      <c r="D275" s="155">
        <f t="shared" si="4"/>
        <v>1125.2917277206493</v>
      </c>
    </row>
    <row r="276" spans="1:4" x14ac:dyDescent="0.2">
      <c r="A276" s="162">
        <v>44963</v>
      </c>
      <c r="B276" s="155">
        <v>5.1497998237609801</v>
      </c>
      <c r="C276" s="155">
        <v>175.69999694824199</v>
      </c>
      <c r="D276" s="155">
        <f t="shared" si="4"/>
        <v>1166.9732578317351</v>
      </c>
    </row>
    <row r="277" spans="1:4" x14ac:dyDescent="0.2">
      <c r="A277" s="162">
        <v>44964</v>
      </c>
      <c r="B277" s="155">
        <v>5.1456999778747496</v>
      </c>
      <c r="C277" s="155">
        <v>177.05000305175699</v>
      </c>
      <c r="D277" s="155">
        <f t="shared" si="4"/>
        <v>1175.0036113810015</v>
      </c>
    </row>
    <row r="278" spans="1:4" x14ac:dyDescent="0.2">
      <c r="A278" s="162">
        <v>44965</v>
      </c>
      <c r="B278" s="155">
        <v>5.2093000411987296</v>
      </c>
      <c r="C278" s="155">
        <v>175.600006103515</v>
      </c>
      <c r="D278" s="155">
        <f t="shared" si="4"/>
        <v>1179.7845402059659</v>
      </c>
    </row>
    <row r="279" spans="1:4" x14ac:dyDescent="0.2">
      <c r="A279" s="162">
        <v>44966</v>
      </c>
      <c r="B279" s="155">
        <v>5.1995000839233398</v>
      </c>
      <c r="C279" s="155">
        <v>173.64999389648401</v>
      </c>
      <c r="D279" s="155">
        <f t="shared" si="4"/>
        <v>1164.488392458476</v>
      </c>
    </row>
    <row r="280" spans="1:4" x14ac:dyDescent="0.2">
      <c r="A280" s="162">
        <v>44967</v>
      </c>
      <c r="B280" s="155">
        <v>5.2895002365112296</v>
      </c>
      <c r="C280" s="155">
        <v>174.75</v>
      </c>
      <c r="D280" s="155">
        <f t="shared" si="4"/>
        <v>1192.1492427212261</v>
      </c>
    </row>
    <row r="281" spans="1:4" x14ac:dyDescent="0.2">
      <c r="A281" s="162">
        <v>44970</v>
      </c>
      <c r="B281" s="155">
        <v>5.2134828567504803</v>
      </c>
      <c r="C281" s="155">
        <v>177.05000305175699</v>
      </c>
      <c r="D281" s="155">
        <f t="shared" si="4"/>
        <v>1190.4816081183237</v>
      </c>
    </row>
    <row r="282" spans="1:4" x14ac:dyDescent="0.2">
      <c r="A282" s="162">
        <v>44971</v>
      </c>
      <c r="B282" s="155">
        <v>5.1584000587463299</v>
      </c>
      <c r="C282" s="155">
        <v>183.55000305175699</v>
      </c>
      <c r="D282" s="155">
        <f t="shared" si="4"/>
        <v>1221.1477644437814</v>
      </c>
    </row>
    <row r="283" spans="1:4" x14ac:dyDescent="0.2">
      <c r="A283" s="162">
        <v>44972</v>
      </c>
      <c r="B283" s="155">
        <v>5.1915001869201598</v>
      </c>
      <c r="C283" s="155">
        <v>176.850006103515</v>
      </c>
      <c r="D283" s="155">
        <f t="shared" si="4"/>
        <v>1184.1228317220352</v>
      </c>
    </row>
    <row r="284" spans="1:4" x14ac:dyDescent="0.2">
      <c r="A284" s="162">
        <v>44973</v>
      </c>
      <c r="B284" s="155">
        <v>5.2179999351501403</v>
      </c>
      <c r="C284" s="155">
        <v>180.69999694824199</v>
      </c>
      <c r="D284" s="155">
        <f t="shared" si="4"/>
        <v>1216.0768373467122</v>
      </c>
    </row>
    <row r="285" spans="1:4" x14ac:dyDescent="0.2">
      <c r="A285" s="162">
        <v>44974</v>
      </c>
      <c r="B285" s="155">
        <v>5.2168002128601003</v>
      </c>
      <c r="C285" s="155">
        <v>188.69999694824199</v>
      </c>
      <c r="D285" s="155">
        <f t="shared" si="4"/>
        <v>1269.6233469279664</v>
      </c>
    </row>
    <row r="286" spans="1:4" x14ac:dyDescent="0.2">
      <c r="A286" s="162">
        <v>44978</v>
      </c>
      <c r="B286" s="155">
        <v>5.1666998863220197</v>
      </c>
      <c r="C286" s="155">
        <v>194.44999694824199</v>
      </c>
      <c r="D286" s="155">
        <f t="shared" si="4"/>
        <v>1295.746303005036</v>
      </c>
    </row>
    <row r="287" spans="1:4" x14ac:dyDescent="0.2">
      <c r="A287" s="162">
        <v>44979</v>
      </c>
      <c r="B287" s="155">
        <v>5.1665000915527299</v>
      </c>
      <c r="C287" s="155">
        <v>199.5</v>
      </c>
      <c r="D287" s="155">
        <f t="shared" si="4"/>
        <v>1329.3463375341212</v>
      </c>
    </row>
    <row r="288" spans="1:4" x14ac:dyDescent="0.2">
      <c r="A288" s="162">
        <v>44980</v>
      </c>
      <c r="B288" s="155">
        <v>5.1511998176574698</v>
      </c>
      <c r="C288" s="155">
        <v>193.64999389648401</v>
      </c>
      <c r="D288" s="155">
        <f t="shared" si="4"/>
        <v>1286.5441260415535</v>
      </c>
    </row>
    <row r="289" spans="1:4" x14ac:dyDescent="0.2">
      <c r="A289" s="162">
        <v>44981</v>
      </c>
      <c r="B289" s="155">
        <v>5.1361999511718697</v>
      </c>
      <c r="C289" s="155">
        <v>191.19999694824199</v>
      </c>
      <c r="D289" s="155">
        <f t="shared" si="4"/>
        <v>1266.5682741545652</v>
      </c>
    </row>
    <row r="290" spans="1:4" x14ac:dyDescent="0.2">
      <c r="A290" s="162">
        <v>44984</v>
      </c>
      <c r="B290" s="155">
        <v>5.2077999114990199</v>
      </c>
      <c r="C290" s="155">
        <v>190.69999694824199</v>
      </c>
      <c r="D290" s="155">
        <f t="shared" si="4"/>
        <v>1280.8662367212421</v>
      </c>
    </row>
    <row r="291" spans="1:4" x14ac:dyDescent="0.2">
      <c r="A291" s="162">
        <v>44985</v>
      </c>
      <c r="B291" s="155">
        <v>5.1996998786926198</v>
      </c>
      <c r="C291" s="155">
        <v>190.39999389648401</v>
      </c>
      <c r="D291" s="155">
        <f t="shared" si="4"/>
        <v>1276.8621383021491</v>
      </c>
    </row>
    <row r="292" spans="1:4" x14ac:dyDescent="0.2">
      <c r="A292" s="162">
        <v>44986</v>
      </c>
      <c r="B292" s="155">
        <v>5.23589992523193</v>
      </c>
      <c r="C292" s="155">
        <v>185.30000305175699</v>
      </c>
      <c r="D292" s="155">
        <f t="shared" si="4"/>
        <v>1251.3118737267068</v>
      </c>
    </row>
    <row r="293" spans="1:4" x14ac:dyDescent="0.2">
      <c r="A293" s="162">
        <v>44987</v>
      </c>
      <c r="B293" s="155">
        <v>5.17829990386962</v>
      </c>
      <c r="C293" s="155">
        <v>183.94999694824199</v>
      </c>
      <c r="D293" s="155">
        <f t="shared" si="4"/>
        <v>1228.5300564250201</v>
      </c>
    </row>
    <row r="294" spans="1:4" x14ac:dyDescent="0.2">
      <c r="A294" s="162">
        <v>44988</v>
      </c>
      <c r="B294" s="155">
        <v>5.1996002197265598</v>
      </c>
      <c r="C294" s="155">
        <v>180.80000305175699</v>
      </c>
      <c r="D294" s="155">
        <f t="shared" si="4"/>
        <v>1212.4593552282665</v>
      </c>
    </row>
    <row r="295" spans="1:4" x14ac:dyDescent="0.2">
      <c r="A295" s="162">
        <v>44991</v>
      </c>
      <c r="B295" s="155">
        <v>5.1943998336791903</v>
      </c>
      <c r="C295" s="155">
        <v>182.44999694824199</v>
      </c>
      <c r="D295" s="155">
        <f t="shared" si="4"/>
        <v>1222.300637682378</v>
      </c>
    </row>
    <row r="296" spans="1:4" x14ac:dyDescent="0.2">
      <c r="A296" s="162">
        <v>44992</v>
      </c>
      <c r="B296" s="155">
        <v>5.15220022201538</v>
      </c>
      <c r="C296" s="155">
        <v>184.55000305175699</v>
      </c>
      <c r="D296" s="155">
        <f t="shared" si="4"/>
        <v>1226.3250246250918</v>
      </c>
    </row>
    <row r="297" spans="1:4" x14ac:dyDescent="0.2">
      <c r="A297" s="162">
        <v>44993</v>
      </c>
      <c r="B297" s="155">
        <v>5.1900000572204501</v>
      </c>
      <c r="C297" s="155">
        <v>179.55000305175699</v>
      </c>
      <c r="D297" s="155">
        <f t="shared" si="4"/>
        <v>1201.8536352631402</v>
      </c>
    </row>
    <row r="298" spans="1:4" x14ac:dyDescent="0.2">
      <c r="A298" s="162">
        <v>44994</v>
      </c>
      <c r="B298" s="155">
        <v>5.1444001197814897</v>
      </c>
      <c r="C298" s="155">
        <v>178</v>
      </c>
      <c r="D298" s="155">
        <f t="shared" si="4"/>
        <v>1181.0099156344691</v>
      </c>
    </row>
    <row r="299" spans="1:4" x14ac:dyDescent="0.2">
      <c r="A299" s="162">
        <v>44995</v>
      </c>
      <c r="B299" s="155">
        <v>5.1637001037597603</v>
      </c>
      <c r="C299" s="155">
        <v>182.25</v>
      </c>
      <c r="D299" s="155">
        <f t="shared" si="4"/>
        <v>1213.7447108713232</v>
      </c>
    </row>
    <row r="300" spans="1:4" x14ac:dyDescent="0.2">
      <c r="A300" s="162">
        <v>44998</v>
      </c>
      <c r="B300" s="155">
        <v>5.2156000137329102</v>
      </c>
      <c r="C300" s="155">
        <v>183.19999694824199</v>
      </c>
      <c r="D300" s="155">
        <f t="shared" si="4"/>
        <v>1232.3343150780829</v>
      </c>
    </row>
    <row r="301" spans="1:4" x14ac:dyDescent="0.2">
      <c r="A301" s="162">
        <v>44999</v>
      </c>
      <c r="B301" s="155">
        <v>5.2456998825073198</v>
      </c>
      <c r="C301" s="155">
        <v>180.89999389648401</v>
      </c>
      <c r="D301" s="155">
        <f t="shared" si="4"/>
        <v>1223.8855132688689</v>
      </c>
    </row>
    <row r="302" spans="1:4" x14ac:dyDescent="0.2">
      <c r="A302" s="162">
        <v>45000</v>
      </c>
      <c r="B302" s="155">
        <v>5.2516999244689897</v>
      </c>
      <c r="C302" s="155">
        <v>178.05000305175699</v>
      </c>
      <c r="D302" s="155">
        <f t="shared" si="4"/>
        <v>1205.9816243757678</v>
      </c>
    </row>
    <row r="303" spans="1:4" x14ac:dyDescent="0.2">
      <c r="A303" s="162">
        <v>45001</v>
      </c>
      <c r="B303" s="155">
        <v>5.2870998382568297</v>
      </c>
      <c r="C303" s="155">
        <v>185.5</v>
      </c>
      <c r="D303" s="155">
        <f t="shared" si="4"/>
        <v>1264.9117514002689</v>
      </c>
    </row>
    <row r="304" spans="1:4" x14ac:dyDescent="0.2">
      <c r="A304" s="162">
        <v>45002</v>
      </c>
      <c r="B304" s="155">
        <v>5.2295999526977504</v>
      </c>
      <c r="C304" s="155">
        <v>183</v>
      </c>
      <c r="D304" s="155">
        <f t="shared" si="4"/>
        <v>1234.293266299695</v>
      </c>
    </row>
    <row r="305" spans="1:4" x14ac:dyDescent="0.2">
      <c r="A305" s="162">
        <v>45005</v>
      </c>
      <c r="B305" s="155">
        <v>5.2778000831604004</v>
      </c>
      <c r="C305" s="155">
        <v>184.89999389648401</v>
      </c>
      <c r="D305" s="155">
        <f t="shared" si="4"/>
        <v>1258.6026284757008</v>
      </c>
    </row>
    <row r="306" spans="1:4" x14ac:dyDescent="0.2">
      <c r="A306" s="162">
        <v>45006</v>
      </c>
      <c r="B306" s="155">
        <v>5.2357001304626403</v>
      </c>
      <c r="C306" s="155">
        <v>186.69999694824199</v>
      </c>
      <c r="D306" s="155">
        <f t="shared" si="4"/>
        <v>1260.7177795057155</v>
      </c>
    </row>
    <row r="307" spans="1:4" x14ac:dyDescent="0.2">
      <c r="A307" s="162">
        <v>45007</v>
      </c>
      <c r="B307" s="155">
        <v>5.2409000396728498</v>
      </c>
      <c r="C307" s="155">
        <v>178</v>
      </c>
      <c r="D307" s="155">
        <f t="shared" si="4"/>
        <v>1203.1635894537731</v>
      </c>
    </row>
    <row r="308" spans="1:4" x14ac:dyDescent="0.2">
      <c r="A308" s="162">
        <v>45008</v>
      </c>
      <c r="B308" s="155">
        <v>5.23610019683837</v>
      </c>
      <c r="C308" s="155">
        <v>174.30000305175699</v>
      </c>
      <c r="D308" s="155">
        <f t="shared" si="4"/>
        <v>1177.0750254561431</v>
      </c>
    </row>
    <row r="309" spans="1:4" x14ac:dyDescent="0.2">
      <c r="A309" s="162">
        <v>45009</v>
      </c>
      <c r="B309" s="155">
        <v>5.2967000007629297</v>
      </c>
      <c r="C309" s="155">
        <v>179.25</v>
      </c>
      <c r="D309" s="155">
        <f t="shared" si="4"/>
        <v>1224.5128358881273</v>
      </c>
    </row>
    <row r="310" spans="1:4" x14ac:dyDescent="0.2">
      <c r="A310" s="162">
        <v>45012</v>
      </c>
      <c r="B310" s="155">
        <v>5.2451000213623002</v>
      </c>
      <c r="C310" s="155">
        <v>176.89999389648401</v>
      </c>
      <c r="D310" s="155">
        <f t="shared" si="4"/>
        <v>1196.6865069737396</v>
      </c>
    </row>
    <row r="311" spans="1:4" x14ac:dyDescent="0.2">
      <c r="A311" s="162">
        <v>45013</v>
      </c>
      <c r="B311" s="155">
        <v>5.1971001625061</v>
      </c>
      <c r="C311" s="155">
        <v>173.75</v>
      </c>
      <c r="D311" s="155">
        <f t="shared" si="4"/>
        <v>1164.6212287123374</v>
      </c>
    </row>
    <row r="312" spans="1:4" x14ac:dyDescent="0.2">
      <c r="A312" s="162">
        <v>45014</v>
      </c>
      <c r="B312" s="155">
        <v>5.1644001007079998</v>
      </c>
      <c r="C312" s="155">
        <v>169.69999694824199</v>
      </c>
      <c r="D312" s="155">
        <f t="shared" si="4"/>
        <v>1130.3176712712871</v>
      </c>
    </row>
    <row r="313" spans="1:4" x14ac:dyDescent="0.2">
      <c r="A313" s="162">
        <v>45015</v>
      </c>
      <c r="B313" s="155">
        <v>5.1342000961303702</v>
      </c>
      <c r="C313" s="155">
        <v>169.80000305175699</v>
      </c>
      <c r="D313" s="155">
        <f t="shared" si="4"/>
        <v>1124.3700951268977</v>
      </c>
    </row>
    <row r="314" spans="1:4" x14ac:dyDescent="0.2">
      <c r="A314" s="162">
        <v>45016</v>
      </c>
      <c r="B314" s="155">
        <v>5.0927000045776296</v>
      </c>
      <c r="C314" s="155">
        <v>170.5</v>
      </c>
      <c r="D314" s="155">
        <f t="shared" si="4"/>
        <v>1119.8794600621159</v>
      </c>
    </row>
    <row r="315" spans="1:4" x14ac:dyDescent="0.2">
      <c r="A315" s="162">
        <v>45019</v>
      </c>
      <c r="B315" s="155">
        <v>5.0623002052307102</v>
      </c>
      <c r="C315" s="155">
        <v>176.25</v>
      </c>
      <c r="D315" s="155">
        <f t="shared" si="4"/>
        <v>1150.7363282007509</v>
      </c>
    </row>
    <row r="316" spans="1:4" x14ac:dyDescent="0.2">
      <c r="A316" s="162">
        <v>45020</v>
      </c>
      <c r="B316" s="155">
        <v>5.0630998611450098</v>
      </c>
      <c r="C316" s="155">
        <v>174.850006103515</v>
      </c>
      <c r="D316" s="155">
        <f t="shared" si="4"/>
        <v>1141.7760972736066</v>
      </c>
    </row>
    <row r="317" spans="1:4" x14ac:dyDescent="0.2">
      <c r="A317" s="162">
        <v>45021</v>
      </c>
      <c r="B317" s="155">
        <v>5.0707001686096103</v>
      </c>
      <c r="C317" s="155">
        <v>180.14999389648401</v>
      </c>
      <c r="D317" s="155">
        <f t="shared" si="4"/>
        <v>1178.151078326244</v>
      </c>
    </row>
    <row r="318" spans="1:4" x14ac:dyDescent="0.2">
      <c r="A318" s="162">
        <v>45022</v>
      </c>
      <c r="B318" s="155">
        <v>5.0331997871398899</v>
      </c>
      <c r="C318" s="155">
        <v>183.600006103515</v>
      </c>
      <c r="D318" s="155">
        <f t="shared" si="4"/>
        <v>1191.833704226289</v>
      </c>
    </row>
    <row r="319" spans="1:4" x14ac:dyDescent="0.2">
      <c r="A319" s="162">
        <v>45026</v>
      </c>
      <c r="B319" s="155">
        <v>5.0543999671936</v>
      </c>
      <c r="C319" s="155">
        <v>182.600006103515</v>
      </c>
      <c r="D319" s="155">
        <f t="shared" si="4"/>
        <v>1190.3349776328009</v>
      </c>
    </row>
    <row r="320" spans="1:4" x14ac:dyDescent="0.2">
      <c r="A320" s="162">
        <v>45027</v>
      </c>
      <c r="B320" s="155">
        <v>5.0652999877929599</v>
      </c>
      <c r="C320" s="155">
        <v>190.5</v>
      </c>
      <c r="D320" s="155">
        <f t="shared" si="4"/>
        <v>1244.5116117953087</v>
      </c>
    </row>
    <row r="321" spans="1:4" x14ac:dyDescent="0.2">
      <c r="A321" s="162">
        <v>45028</v>
      </c>
      <c r="B321" s="155">
        <v>5.0040001869201598</v>
      </c>
      <c r="C321" s="155">
        <v>190.25</v>
      </c>
      <c r="D321" s="155">
        <f t="shared" si="4"/>
        <v>1227.8371928948113</v>
      </c>
    </row>
    <row r="322" spans="1:4" x14ac:dyDescent="0.2">
      <c r="A322" s="162">
        <v>45029</v>
      </c>
      <c r="B322" s="155">
        <v>4.9169001579284597</v>
      </c>
      <c r="C322" s="155">
        <v>196.100006103515</v>
      </c>
      <c r="D322" s="155">
        <f t="shared" si="4"/>
        <v>1243.5630196436221</v>
      </c>
    </row>
    <row r="323" spans="1:4" x14ac:dyDescent="0.2">
      <c r="A323" s="162">
        <v>45030</v>
      </c>
      <c r="B323" s="155">
        <v>4.9267001152038503</v>
      </c>
      <c r="C323" s="155">
        <v>193.39999389648401</v>
      </c>
      <c r="D323" s="155">
        <f t="shared" ref="D323:D386" si="5">(B323*(1-$F$1)*C323*1.3228)</f>
        <v>1228.8854037327021</v>
      </c>
    </row>
    <row r="324" spans="1:4" x14ac:dyDescent="0.2">
      <c r="A324" s="162">
        <v>45033</v>
      </c>
      <c r="B324" s="155">
        <v>4.9086999893188397</v>
      </c>
      <c r="C324" s="155">
        <v>201</v>
      </c>
      <c r="D324" s="155">
        <f t="shared" si="5"/>
        <v>1272.5104250820616</v>
      </c>
    </row>
    <row r="325" spans="1:4" x14ac:dyDescent="0.2">
      <c r="A325" s="162">
        <v>45034</v>
      </c>
      <c r="B325" s="155">
        <v>4.9397997856140101</v>
      </c>
      <c r="C325" s="155">
        <v>205.25</v>
      </c>
      <c r="D325" s="155">
        <f t="shared" si="5"/>
        <v>1307.6493873818661</v>
      </c>
    </row>
    <row r="326" spans="1:4" x14ac:dyDescent="0.2">
      <c r="A326" s="162">
        <v>45035</v>
      </c>
      <c r="B326" s="155">
        <v>4.9843001365661603</v>
      </c>
      <c r="C326" s="155">
        <v>202.55000305175699</v>
      </c>
      <c r="D326" s="155">
        <f t="shared" si="5"/>
        <v>1302.0727262532041</v>
      </c>
    </row>
    <row r="327" spans="1:4" x14ac:dyDescent="0.2">
      <c r="A327" s="162">
        <v>45036</v>
      </c>
      <c r="B327" s="155">
        <v>5.0742998123168901</v>
      </c>
      <c r="C327" s="155">
        <v>195.89999389648401</v>
      </c>
      <c r="D327" s="155">
        <f t="shared" si="5"/>
        <v>1282.0629449861226</v>
      </c>
    </row>
    <row r="328" spans="1:4" x14ac:dyDescent="0.2">
      <c r="A328" s="162">
        <v>45037</v>
      </c>
      <c r="B328" s="155">
        <v>5.0476999282836896</v>
      </c>
      <c r="C328" s="155">
        <v>194.19999694824199</v>
      </c>
      <c r="D328" s="155">
        <f t="shared" si="5"/>
        <v>1264.2749996682701</v>
      </c>
    </row>
    <row r="329" spans="1:4" x14ac:dyDescent="0.2">
      <c r="A329" s="162">
        <v>45040</v>
      </c>
      <c r="B329" s="155">
        <v>5.0479001998901296</v>
      </c>
      <c r="C329" s="155">
        <v>196.75</v>
      </c>
      <c r="D329" s="155">
        <f t="shared" si="5"/>
        <v>1280.9267729052453</v>
      </c>
    </row>
    <row r="330" spans="1:4" x14ac:dyDescent="0.2">
      <c r="A330" s="162">
        <v>45041</v>
      </c>
      <c r="B330" s="155">
        <v>5.0334000587463299</v>
      </c>
      <c r="C330" s="155">
        <v>192.44999694824199</v>
      </c>
      <c r="D330" s="155">
        <f t="shared" si="5"/>
        <v>1249.3328524560607</v>
      </c>
    </row>
    <row r="331" spans="1:4" x14ac:dyDescent="0.2">
      <c r="A331" s="162">
        <v>45042</v>
      </c>
      <c r="B331" s="155">
        <v>5.05310010910034</v>
      </c>
      <c r="C331" s="155">
        <v>195.850006103515</v>
      </c>
      <c r="D331" s="155">
        <f t="shared" si="5"/>
        <v>1276.3808910840301</v>
      </c>
    </row>
    <row r="332" spans="1:4" x14ac:dyDescent="0.2">
      <c r="A332" s="162">
        <v>45043</v>
      </c>
      <c r="B332" s="155">
        <v>5.0430002212524396</v>
      </c>
      <c r="C332" s="155">
        <v>192.100006103515</v>
      </c>
      <c r="D332" s="155">
        <f t="shared" si="5"/>
        <v>1249.4393162337951</v>
      </c>
    </row>
    <row r="333" spans="1:4" x14ac:dyDescent="0.2">
      <c r="A333" s="162">
        <v>45044</v>
      </c>
      <c r="B333" s="155">
        <v>4.9762001037597603</v>
      </c>
      <c r="C333" s="155">
        <v>189.850006103515</v>
      </c>
      <c r="D333" s="155">
        <f t="shared" si="5"/>
        <v>1218.4487123543031</v>
      </c>
    </row>
    <row r="334" spans="1:4" x14ac:dyDescent="0.2">
      <c r="A334" s="162">
        <v>45047</v>
      </c>
      <c r="B334" s="155">
        <v>4.98600006103515</v>
      </c>
      <c r="C334" s="155">
        <v>189.25</v>
      </c>
      <c r="D334" s="155">
        <f t="shared" si="5"/>
        <v>1216.9898877625451</v>
      </c>
    </row>
    <row r="335" spans="1:4" x14ac:dyDescent="0.2">
      <c r="A335" s="162">
        <v>45048</v>
      </c>
      <c r="B335" s="155">
        <v>4.9878997802734304</v>
      </c>
      <c r="C335" s="155">
        <v>190.64999389648401</v>
      </c>
      <c r="D335" s="155">
        <f t="shared" si="5"/>
        <v>1226.4597962114506</v>
      </c>
    </row>
    <row r="336" spans="1:4" x14ac:dyDescent="0.2">
      <c r="A336" s="162">
        <v>45049</v>
      </c>
      <c r="B336" s="155">
        <v>5.0384001731872496</v>
      </c>
      <c r="C336" s="155">
        <v>189.19999694824199</v>
      </c>
      <c r="D336" s="155">
        <f t="shared" si="5"/>
        <v>1229.4548520041583</v>
      </c>
    </row>
    <row r="337" spans="1:4" x14ac:dyDescent="0.2">
      <c r="A337" s="162">
        <v>45050</v>
      </c>
      <c r="B337" s="155">
        <v>4.9944000244140598</v>
      </c>
      <c r="C337" s="155">
        <v>186.39999389648401</v>
      </c>
      <c r="D337" s="155">
        <f t="shared" si="5"/>
        <v>1200.6820547907223</v>
      </c>
    </row>
    <row r="338" spans="1:4" x14ac:dyDescent="0.2">
      <c r="A338" s="162">
        <v>45051</v>
      </c>
      <c r="B338" s="155">
        <v>4.98260021209716</v>
      </c>
      <c r="C338" s="155">
        <v>191</v>
      </c>
      <c r="D338" s="155">
        <f t="shared" si="5"/>
        <v>1227.4059135656814</v>
      </c>
    </row>
    <row r="339" spans="1:4" x14ac:dyDescent="0.2">
      <c r="A339" s="162">
        <v>45054</v>
      </c>
      <c r="B339" s="155">
        <v>4.9517002105712802</v>
      </c>
      <c r="C339" s="155">
        <v>186.89999389648401</v>
      </c>
      <c r="D339" s="155">
        <f t="shared" si="5"/>
        <v>1193.6099558419924</v>
      </c>
    </row>
    <row r="340" spans="1:4" x14ac:dyDescent="0.2">
      <c r="A340" s="162">
        <v>45055</v>
      </c>
      <c r="B340" s="155">
        <v>5.0079998970031703</v>
      </c>
      <c r="C340" s="155">
        <v>188</v>
      </c>
      <c r="D340" s="155">
        <f t="shared" si="5"/>
        <v>1214.2859289464368</v>
      </c>
    </row>
    <row r="341" spans="1:4" x14ac:dyDescent="0.2">
      <c r="A341" s="162">
        <v>45056</v>
      </c>
      <c r="B341" s="155">
        <v>4.98589992523193</v>
      </c>
      <c r="C341" s="155">
        <v>187.44999694824199</v>
      </c>
      <c r="D341" s="155">
        <f t="shared" si="5"/>
        <v>1205.3905903720076</v>
      </c>
    </row>
    <row r="342" spans="1:4" x14ac:dyDescent="0.2">
      <c r="A342" s="162">
        <v>45057</v>
      </c>
      <c r="B342" s="155">
        <v>4.9429001808166504</v>
      </c>
      <c r="C342" s="155">
        <v>185.80000305175699</v>
      </c>
      <c r="D342" s="155">
        <f t="shared" si="5"/>
        <v>1184.4762550629964</v>
      </c>
    </row>
    <row r="343" spans="1:4" x14ac:dyDescent="0.2">
      <c r="A343" s="162">
        <v>45058</v>
      </c>
      <c r="B343" s="155">
        <v>4.92950010299682</v>
      </c>
      <c r="C343" s="155">
        <v>186</v>
      </c>
      <c r="D343" s="155">
        <f t="shared" si="5"/>
        <v>1182.5366952178845</v>
      </c>
    </row>
    <row r="344" spans="1:4" x14ac:dyDescent="0.2">
      <c r="A344" s="162">
        <v>45061</v>
      </c>
      <c r="B344" s="155">
        <v>4.9201998710632298</v>
      </c>
      <c r="C344" s="155">
        <v>193.05000305175699</v>
      </c>
      <c r="D344" s="155">
        <f t="shared" si="5"/>
        <v>1225.0430761179405</v>
      </c>
    </row>
    <row r="345" spans="1:4" x14ac:dyDescent="0.2">
      <c r="A345" s="162">
        <v>45062</v>
      </c>
      <c r="B345" s="155">
        <v>4.8878998756408603</v>
      </c>
      <c r="C345" s="155">
        <v>190.350006103515</v>
      </c>
      <c r="D345" s="155">
        <f t="shared" si="5"/>
        <v>1199.9799736202606</v>
      </c>
    </row>
    <row r="346" spans="1:4" x14ac:dyDescent="0.2">
      <c r="A346" s="162">
        <v>45063</v>
      </c>
      <c r="B346" s="155">
        <v>4.9394001960754297</v>
      </c>
      <c r="C346" s="155">
        <v>189.850006103515</v>
      </c>
      <c r="D346" s="155">
        <f t="shared" si="5"/>
        <v>1209.4380618181938</v>
      </c>
    </row>
    <row r="347" spans="1:4" x14ac:dyDescent="0.2">
      <c r="A347" s="162">
        <v>45064</v>
      </c>
      <c r="B347" s="155">
        <v>4.93769979476928</v>
      </c>
      <c r="C347" s="155">
        <v>190.44999694824199</v>
      </c>
      <c r="D347" s="155">
        <f t="shared" si="5"/>
        <v>1212.8426310643081</v>
      </c>
    </row>
    <row r="348" spans="1:4" x14ac:dyDescent="0.2">
      <c r="A348" s="162">
        <v>45065</v>
      </c>
      <c r="B348" s="155">
        <v>4.9643998146057102</v>
      </c>
      <c r="C348" s="155">
        <v>192</v>
      </c>
      <c r="D348" s="155">
        <f t="shared" si="5"/>
        <v>1229.325191595153</v>
      </c>
    </row>
    <row r="349" spans="1:4" x14ac:dyDescent="0.2">
      <c r="A349" s="162">
        <v>45068</v>
      </c>
      <c r="B349" s="155">
        <v>4.9967999458312899</v>
      </c>
      <c r="C349" s="155">
        <v>189.19999694824199</v>
      </c>
      <c r="D349" s="155">
        <f t="shared" si="5"/>
        <v>1219.3036929835944</v>
      </c>
    </row>
    <row r="350" spans="1:4" x14ac:dyDescent="0.2">
      <c r="A350" s="162">
        <v>45069</v>
      </c>
      <c r="B350" s="155">
        <v>4.9661002159118599</v>
      </c>
      <c r="C350" s="155">
        <v>187.44999694824199</v>
      </c>
      <c r="D350" s="155">
        <f t="shared" si="5"/>
        <v>1200.6038149323854</v>
      </c>
    </row>
    <row r="351" spans="1:4" x14ac:dyDescent="0.2">
      <c r="A351" s="162">
        <v>45070</v>
      </c>
      <c r="B351" s="155">
        <v>4.9711999893188397</v>
      </c>
      <c r="C351" s="155">
        <v>188</v>
      </c>
      <c r="D351" s="155">
        <f t="shared" si="5"/>
        <v>1205.3630832981473</v>
      </c>
    </row>
    <row r="352" spans="1:4" x14ac:dyDescent="0.2">
      <c r="A352" s="162">
        <v>45071</v>
      </c>
      <c r="B352" s="155">
        <v>4.9586000442504803</v>
      </c>
      <c r="C352" s="155">
        <v>182.69999694824199</v>
      </c>
      <c r="D352" s="155">
        <f t="shared" si="5"/>
        <v>1168.4131119307317</v>
      </c>
    </row>
    <row r="353" spans="1:4" x14ac:dyDescent="0.2">
      <c r="A353" s="162">
        <v>45072</v>
      </c>
      <c r="B353" s="155">
        <v>5.0352001190185502</v>
      </c>
      <c r="C353" s="155">
        <v>181.600006103515</v>
      </c>
      <c r="D353" s="155">
        <f t="shared" si="5"/>
        <v>1179.3192743860493</v>
      </c>
    </row>
    <row r="354" spans="1:4" x14ac:dyDescent="0.2">
      <c r="A354" s="162">
        <v>45076</v>
      </c>
      <c r="B354" s="155">
        <v>5.0180997848510698</v>
      </c>
      <c r="C354" s="155">
        <v>177.100006103515</v>
      </c>
      <c r="D354" s="155">
        <f t="shared" si="5"/>
        <v>1146.1901477717897</v>
      </c>
    </row>
    <row r="355" spans="1:4" x14ac:dyDescent="0.2">
      <c r="A355" s="162">
        <v>45077</v>
      </c>
      <c r="B355" s="155">
        <v>5.0348000526428196</v>
      </c>
      <c r="C355" s="155">
        <v>178.64999389648401</v>
      </c>
      <c r="D355" s="155">
        <f t="shared" si="5"/>
        <v>1160.0695722006653</v>
      </c>
    </row>
    <row r="356" spans="1:4" x14ac:dyDescent="0.2">
      <c r="A356" s="162">
        <v>45078</v>
      </c>
      <c r="B356" s="155">
        <v>5.0548000335693297</v>
      </c>
      <c r="C356" s="155">
        <v>183.05000305175699</v>
      </c>
      <c r="D356" s="155">
        <f t="shared" si="5"/>
        <v>1193.3628725128203</v>
      </c>
    </row>
    <row r="357" spans="1:4" x14ac:dyDescent="0.2">
      <c r="A357" s="162">
        <v>45079</v>
      </c>
      <c r="B357" s="155">
        <v>5.01310014724731</v>
      </c>
      <c r="C357" s="155">
        <v>180.30000305175699</v>
      </c>
      <c r="D357" s="155">
        <f t="shared" si="5"/>
        <v>1165.7379009508161</v>
      </c>
    </row>
    <row r="358" spans="1:4" x14ac:dyDescent="0.2">
      <c r="A358" s="162">
        <v>45082</v>
      </c>
      <c r="B358" s="155">
        <v>4.9566001892089799</v>
      </c>
      <c r="C358" s="155">
        <v>183.100006103515</v>
      </c>
      <c r="D358" s="155">
        <f t="shared" si="5"/>
        <v>1170.4990076652116</v>
      </c>
    </row>
    <row r="359" spans="1:4" x14ac:dyDescent="0.2">
      <c r="A359" s="162">
        <v>45083</v>
      </c>
      <c r="B359" s="155">
        <v>4.9256000518798801</v>
      </c>
      <c r="C359" s="155">
        <v>182.600006103515</v>
      </c>
      <c r="D359" s="155">
        <f t="shared" si="5"/>
        <v>1160.0019914605195</v>
      </c>
    </row>
    <row r="360" spans="1:4" x14ac:dyDescent="0.2">
      <c r="A360" s="162">
        <v>45084</v>
      </c>
      <c r="B360" s="155">
        <v>4.9120001792907697</v>
      </c>
      <c r="C360" s="155">
        <v>185.39999389648401</v>
      </c>
      <c r="D360" s="155">
        <f t="shared" si="5"/>
        <v>1174.5375113085674</v>
      </c>
    </row>
    <row r="361" spans="1:4" x14ac:dyDescent="0.2">
      <c r="A361" s="162">
        <v>45085</v>
      </c>
      <c r="B361" s="155">
        <v>4.9223999977111799</v>
      </c>
      <c r="C361" s="155">
        <v>194.850006103515</v>
      </c>
      <c r="D361" s="155">
        <f t="shared" si="5"/>
        <v>1237.0183087705841</v>
      </c>
    </row>
    <row r="362" spans="1:4" x14ac:dyDescent="0.2">
      <c r="A362" s="162">
        <v>45086</v>
      </c>
      <c r="B362" s="155">
        <v>4.9221000671386701</v>
      </c>
      <c r="C362" s="155">
        <v>190.64999389648401</v>
      </c>
      <c r="D362" s="155">
        <f t="shared" si="5"/>
        <v>1210.2805010537588</v>
      </c>
    </row>
    <row r="363" spans="1:4" x14ac:dyDescent="0.2">
      <c r="A363" s="162">
        <v>45089</v>
      </c>
      <c r="B363" s="155">
        <v>4.8779001235961896</v>
      </c>
      <c r="C363" s="155">
        <v>185.55000305175699</v>
      </c>
      <c r="D363" s="155">
        <f t="shared" si="5"/>
        <v>1167.3273783537147</v>
      </c>
    </row>
    <row r="364" spans="1:4" x14ac:dyDescent="0.2">
      <c r="A364" s="162">
        <v>45090</v>
      </c>
      <c r="B364" s="155">
        <v>4.8605999946594203</v>
      </c>
      <c r="C364" s="155">
        <v>182.75</v>
      </c>
      <c r="D364" s="155">
        <f t="shared" si="5"/>
        <v>1145.634463085735</v>
      </c>
    </row>
    <row r="365" spans="1:4" x14ac:dyDescent="0.2">
      <c r="A365" s="162">
        <v>45091</v>
      </c>
      <c r="B365" s="155">
        <v>4.86100006103515</v>
      </c>
      <c r="C365" s="155">
        <v>184.39999389648401</v>
      </c>
      <c r="D365" s="155">
        <f t="shared" si="5"/>
        <v>1156.0731927825118</v>
      </c>
    </row>
    <row r="366" spans="1:4" x14ac:dyDescent="0.2">
      <c r="A366" s="162">
        <v>45092</v>
      </c>
      <c r="B366" s="155">
        <v>4.8150000572204501</v>
      </c>
      <c r="C366" s="155">
        <v>187</v>
      </c>
      <c r="D366" s="155">
        <f t="shared" si="5"/>
        <v>1161.2793544504002</v>
      </c>
    </row>
    <row r="367" spans="1:4" x14ac:dyDescent="0.2">
      <c r="A367" s="162">
        <v>45093</v>
      </c>
      <c r="B367" s="155">
        <v>4.80919981002807</v>
      </c>
      <c r="C367" s="155">
        <v>184.89999389648401</v>
      </c>
      <c r="D367" s="155">
        <f t="shared" si="5"/>
        <v>1146.8550203481084</v>
      </c>
    </row>
    <row r="368" spans="1:4" x14ac:dyDescent="0.2">
      <c r="A368" s="162">
        <v>45097</v>
      </c>
      <c r="B368" s="155">
        <v>4.7768998146057102</v>
      </c>
      <c r="C368" s="155">
        <v>177.44999694824199</v>
      </c>
      <c r="D368" s="155">
        <f t="shared" si="5"/>
        <v>1093.2536377742235</v>
      </c>
    </row>
    <row r="369" spans="1:4" x14ac:dyDescent="0.2">
      <c r="A369" s="162">
        <v>45098</v>
      </c>
      <c r="B369" s="155">
        <v>4.7892999649047798</v>
      </c>
      <c r="C369" s="155">
        <v>172</v>
      </c>
      <c r="D369" s="155">
        <f t="shared" si="5"/>
        <v>1062.4274611227024</v>
      </c>
    </row>
    <row r="370" spans="1:4" x14ac:dyDescent="0.2">
      <c r="A370" s="162">
        <v>45099</v>
      </c>
      <c r="B370" s="155">
        <v>4.7623000144958496</v>
      </c>
      <c r="C370" s="155">
        <v>171.69999694824199</v>
      </c>
      <c r="D370" s="155">
        <f t="shared" si="5"/>
        <v>1054.5953229002116</v>
      </c>
    </row>
    <row r="371" spans="1:4" x14ac:dyDescent="0.2">
      <c r="A371" s="162">
        <v>45100</v>
      </c>
      <c r="B371" s="155">
        <v>4.7697367668151802</v>
      </c>
      <c r="C371" s="155">
        <v>168.05000305175699</v>
      </c>
      <c r="D371" s="155">
        <f t="shared" si="5"/>
        <v>1033.7885992478662</v>
      </c>
    </row>
    <row r="372" spans="1:4" x14ac:dyDescent="0.2">
      <c r="A372" s="162">
        <v>45103</v>
      </c>
      <c r="B372" s="155">
        <v>4.78550004959106</v>
      </c>
      <c r="C372" s="155">
        <v>167.94999694824199</v>
      </c>
      <c r="D372" s="155">
        <f t="shared" si="5"/>
        <v>1036.5878814807174</v>
      </c>
    </row>
    <row r="373" spans="1:4" x14ac:dyDescent="0.2">
      <c r="A373" s="162">
        <v>45104</v>
      </c>
      <c r="B373" s="155">
        <v>4.7673001289367596</v>
      </c>
      <c r="C373" s="155">
        <v>169.44999694824199</v>
      </c>
      <c r="D373" s="155">
        <f t="shared" si="5"/>
        <v>1041.8683889386759</v>
      </c>
    </row>
    <row r="374" spans="1:4" x14ac:dyDescent="0.2">
      <c r="A374" s="162">
        <v>45105</v>
      </c>
      <c r="B374" s="155">
        <v>4.8105001449584899</v>
      </c>
      <c r="C374" s="155">
        <v>165.64999389648401</v>
      </c>
      <c r="D374" s="155">
        <f t="shared" si="5"/>
        <v>1027.7333703340121</v>
      </c>
    </row>
    <row r="375" spans="1:4" x14ac:dyDescent="0.2">
      <c r="A375" s="162">
        <v>45106</v>
      </c>
      <c r="B375" s="155">
        <v>4.8505001068115199</v>
      </c>
      <c r="C375" s="155">
        <v>163.600006103515</v>
      </c>
      <c r="D375" s="155">
        <f t="shared" si="5"/>
        <v>1023.4547264337981</v>
      </c>
    </row>
    <row r="376" spans="1:4" x14ac:dyDescent="0.2">
      <c r="A376" s="162">
        <v>45107</v>
      </c>
      <c r="B376" s="155">
        <v>4.8555998802184996</v>
      </c>
      <c r="C376" s="155">
        <v>161</v>
      </c>
      <c r="D376" s="155">
        <f t="shared" si="5"/>
        <v>1008.2484661957869</v>
      </c>
    </row>
    <row r="377" spans="1:4" x14ac:dyDescent="0.2">
      <c r="A377" s="162">
        <v>45110</v>
      </c>
      <c r="B377" s="155">
        <v>4.7842001914978001</v>
      </c>
      <c r="C377" s="155">
        <v>162.5</v>
      </c>
      <c r="D377" s="155">
        <f t="shared" si="5"/>
        <v>1002.6780583593243</v>
      </c>
    </row>
    <row r="378" spans="1:4" x14ac:dyDescent="0.2">
      <c r="A378" s="162">
        <v>45112</v>
      </c>
      <c r="B378" s="155">
        <v>4.83990001678466</v>
      </c>
      <c r="C378" s="155">
        <v>161.05000305175699</v>
      </c>
      <c r="D378" s="155">
        <f t="shared" si="5"/>
        <v>1005.300571294277</v>
      </c>
    </row>
    <row r="379" spans="1:4" x14ac:dyDescent="0.2">
      <c r="A379" s="162">
        <v>45113</v>
      </c>
      <c r="B379" s="155">
        <v>4.8471999168395996</v>
      </c>
      <c r="C379" s="155">
        <v>162.350006103515</v>
      </c>
      <c r="D379" s="155">
        <f t="shared" si="5"/>
        <v>1014.9439129554449</v>
      </c>
    </row>
    <row r="380" spans="1:4" x14ac:dyDescent="0.2">
      <c r="A380" s="162">
        <v>45114</v>
      </c>
      <c r="B380" s="155">
        <v>4.91870021820068</v>
      </c>
      <c r="C380" s="155">
        <v>162.80000305175699</v>
      </c>
      <c r="D380" s="155">
        <f t="shared" si="5"/>
        <v>1032.7698831976913</v>
      </c>
    </row>
    <row r="381" spans="1:4" x14ac:dyDescent="0.2">
      <c r="A381" s="162">
        <v>45117</v>
      </c>
      <c r="B381" s="155">
        <v>4.8709001541137598</v>
      </c>
      <c r="C381" s="155">
        <v>161.75</v>
      </c>
      <c r="D381" s="155">
        <f t="shared" si="5"/>
        <v>1016.1371245200113</v>
      </c>
    </row>
    <row r="382" spans="1:4" x14ac:dyDescent="0.2">
      <c r="A382" s="162">
        <v>45118</v>
      </c>
      <c r="B382" s="155">
        <v>4.8982000350952104</v>
      </c>
      <c r="C382" s="155">
        <v>159.30000305175699</v>
      </c>
      <c r="D382" s="155">
        <f t="shared" si="5"/>
        <v>1006.3547554092848</v>
      </c>
    </row>
    <row r="383" spans="1:4" x14ac:dyDescent="0.2">
      <c r="A383" s="162">
        <v>45119</v>
      </c>
      <c r="B383" s="155">
        <v>4.8515000343322701</v>
      </c>
      <c r="C383" s="155">
        <v>158.75</v>
      </c>
      <c r="D383" s="155">
        <f t="shared" si="5"/>
        <v>993.31861586059824</v>
      </c>
    </row>
    <row r="384" spans="1:4" x14ac:dyDescent="0.2">
      <c r="A384" s="162">
        <v>45120</v>
      </c>
      <c r="B384" s="155">
        <v>4.8168997764587402</v>
      </c>
      <c r="C384" s="155">
        <v>159.350006103515</v>
      </c>
      <c r="D384" s="155">
        <f t="shared" si="5"/>
        <v>989.96193661217887</v>
      </c>
    </row>
    <row r="385" spans="1:4" x14ac:dyDescent="0.2">
      <c r="A385" s="162">
        <v>45121</v>
      </c>
      <c r="B385" s="155">
        <v>4.7947998046875</v>
      </c>
      <c r="C385" s="155">
        <v>161.94999694824199</v>
      </c>
      <c r="D385" s="155">
        <f t="shared" si="5"/>
        <v>1001.4983199104689</v>
      </c>
    </row>
    <row r="386" spans="1:4" x14ac:dyDescent="0.2">
      <c r="A386" s="162">
        <v>45124</v>
      </c>
      <c r="B386" s="155">
        <v>4.7880997657775799</v>
      </c>
      <c r="C386" s="155">
        <v>154.75</v>
      </c>
      <c r="D386" s="155">
        <f t="shared" si="5"/>
        <v>955.63632721430031</v>
      </c>
    </row>
    <row r="387" spans="1:4" x14ac:dyDescent="0.2">
      <c r="A387" s="162">
        <v>45125</v>
      </c>
      <c r="B387" s="155">
        <v>4.8057999610900799</v>
      </c>
      <c r="C387" s="155">
        <v>155.25</v>
      </c>
      <c r="D387" s="155">
        <f t="shared" ref="D387:D450" si="6">(B387*(1-$F$1)*C387*1.3228)</f>
        <v>962.26812558754398</v>
      </c>
    </row>
    <row r="388" spans="1:4" x14ac:dyDescent="0.2">
      <c r="A388" s="162">
        <v>45126</v>
      </c>
      <c r="B388" s="155">
        <v>4.8092999458312899</v>
      </c>
      <c r="C388" s="155">
        <v>152.44999694824199</v>
      </c>
      <c r="D388" s="155">
        <f t="shared" si="6"/>
        <v>945.60135506829954</v>
      </c>
    </row>
    <row r="389" spans="1:4" x14ac:dyDescent="0.2">
      <c r="A389" s="162">
        <v>45127</v>
      </c>
      <c r="B389" s="155">
        <v>4.7898998260498002</v>
      </c>
      <c r="C389" s="155">
        <v>158.05000305175699</v>
      </c>
      <c r="D389" s="155">
        <f t="shared" si="6"/>
        <v>976.381948146794</v>
      </c>
    </row>
    <row r="390" spans="1:4" x14ac:dyDescent="0.2">
      <c r="A390" s="162">
        <v>45128</v>
      </c>
      <c r="B390" s="155">
        <v>4.7968997955322203</v>
      </c>
      <c r="C390" s="155">
        <v>161.850006103515</v>
      </c>
      <c r="D390" s="155">
        <f t="shared" si="6"/>
        <v>1001.3183347979233</v>
      </c>
    </row>
    <row r="391" spans="1:4" x14ac:dyDescent="0.2">
      <c r="A391" s="162">
        <v>45131</v>
      </c>
      <c r="B391" s="155">
        <v>4.77740001678466</v>
      </c>
      <c r="C391" s="155">
        <v>163</v>
      </c>
      <c r="D391" s="155">
        <f t="shared" si="6"/>
        <v>1004.3336481545718</v>
      </c>
    </row>
    <row r="392" spans="1:4" x14ac:dyDescent="0.2">
      <c r="A392" s="162">
        <v>45132</v>
      </c>
      <c r="B392" s="155">
        <v>4.7255001068115199</v>
      </c>
      <c r="C392" s="155">
        <v>161.850006103515</v>
      </c>
      <c r="D392" s="155">
        <f t="shared" si="6"/>
        <v>986.41416325748571</v>
      </c>
    </row>
    <row r="393" spans="1:4" x14ac:dyDescent="0.2">
      <c r="A393" s="162">
        <v>45133</v>
      </c>
      <c r="B393" s="155">
        <v>4.7488999366760201</v>
      </c>
      <c r="C393" s="155">
        <v>163.14999389648401</v>
      </c>
      <c r="D393" s="155">
        <f t="shared" si="6"/>
        <v>999.26087302314602</v>
      </c>
    </row>
    <row r="394" spans="1:4" x14ac:dyDescent="0.2">
      <c r="A394" s="162">
        <v>45134</v>
      </c>
      <c r="B394" s="155">
        <v>4.7361998558044398</v>
      </c>
      <c r="C394" s="155">
        <v>161.44999694824199</v>
      </c>
      <c r="D394" s="155">
        <f t="shared" si="6"/>
        <v>986.20423537088743</v>
      </c>
    </row>
    <row r="395" spans="1:4" x14ac:dyDescent="0.2">
      <c r="A395" s="162">
        <v>45135</v>
      </c>
      <c r="B395" s="155">
        <v>4.7416000366210902</v>
      </c>
      <c r="C395" s="155">
        <v>157.89999389648401</v>
      </c>
      <c r="D395" s="155">
        <f t="shared" si="6"/>
        <v>965.61906709968218</v>
      </c>
    </row>
    <row r="396" spans="1:4" x14ac:dyDescent="0.2">
      <c r="A396" s="162">
        <v>45138</v>
      </c>
      <c r="B396" s="155">
        <v>4.7232999801635698</v>
      </c>
      <c r="C396" s="155">
        <v>164.64999389648401</v>
      </c>
      <c r="D396" s="155">
        <f t="shared" si="6"/>
        <v>1003.0118169932169</v>
      </c>
    </row>
    <row r="397" spans="1:4" x14ac:dyDescent="0.2">
      <c r="A397" s="162">
        <v>45139</v>
      </c>
      <c r="B397" s="155">
        <v>4.7246999740600497</v>
      </c>
      <c r="C397" s="155">
        <v>164.55000305175699</v>
      </c>
      <c r="D397" s="155">
        <f t="shared" si="6"/>
        <v>1002.6998084070897</v>
      </c>
    </row>
    <row r="398" spans="1:4" x14ac:dyDescent="0.2">
      <c r="A398" s="162">
        <v>45140</v>
      </c>
      <c r="B398" s="155">
        <v>4.7919998168945304</v>
      </c>
      <c r="C398" s="155">
        <v>166.94999694824199</v>
      </c>
      <c r="D398" s="155">
        <f t="shared" si="6"/>
        <v>1031.8154111246104</v>
      </c>
    </row>
    <row r="399" spans="1:4" x14ac:dyDescent="0.2">
      <c r="A399" s="162">
        <v>45141</v>
      </c>
      <c r="B399" s="155">
        <v>4.8104000091552699</v>
      </c>
      <c r="C399" s="155">
        <v>164.75</v>
      </c>
      <c r="D399" s="155">
        <f t="shared" si="6"/>
        <v>1022.1283093273394</v>
      </c>
    </row>
    <row r="400" spans="1:4" x14ac:dyDescent="0.2">
      <c r="A400" s="162">
        <v>45142</v>
      </c>
      <c r="B400" s="155">
        <v>4.9163999557495099</v>
      </c>
      <c r="C400" s="155">
        <v>161.350006103515</v>
      </c>
      <c r="D400" s="155">
        <f t="shared" si="6"/>
        <v>1023.0927195851064</v>
      </c>
    </row>
    <row r="401" spans="1:4" x14ac:dyDescent="0.2">
      <c r="A401" s="162">
        <v>45145</v>
      </c>
      <c r="B401" s="155">
        <v>4.8853998184204102</v>
      </c>
      <c r="C401" s="155">
        <v>163.94999694824199</v>
      </c>
      <c r="D401" s="155">
        <f t="shared" si="6"/>
        <v>1033.0237985170122</v>
      </c>
    </row>
    <row r="402" spans="1:4" x14ac:dyDescent="0.2">
      <c r="A402" s="162">
        <v>45146</v>
      </c>
      <c r="B402" s="155">
        <v>4.8990001678466797</v>
      </c>
      <c r="C402" s="155">
        <v>161.350006103515</v>
      </c>
      <c r="D402" s="155">
        <f t="shared" si="6"/>
        <v>1019.4718595074203</v>
      </c>
    </row>
    <row r="403" spans="1:4" x14ac:dyDescent="0.2">
      <c r="A403" s="162">
        <v>45147</v>
      </c>
      <c r="B403" s="155">
        <v>4.8986001014709402</v>
      </c>
      <c r="C403" s="155">
        <v>160.75</v>
      </c>
      <c r="D403" s="155">
        <f t="shared" si="6"/>
        <v>1015.597845050871</v>
      </c>
    </row>
    <row r="404" spans="1:4" x14ac:dyDescent="0.2">
      <c r="A404" s="162">
        <v>45148</v>
      </c>
      <c r="B404" s="155">
        <v>4.9017000198364196</v>
      </c>
      <c r="C404" s="155">
        <v>159.89999389648401</v>
      </c>
      <c r="D404" s="155">
        <f t="shared" si="6"/>
        <v>1010.8669051110896</v>
      </c>
    </row>
    <row r="405" spans="1:4" x14ac:dyDescent="0.2">
      <c r="A405" s="162">
        <v>45149</v>
      </c>
      <c r="B405" s="155">
        <v>4.8914999961853001</v>
      </c>
      <c r="C405" s="155">
        <v>157.80000305175699</v>
      </c>
      <c r="D405" s="155">
        <f t="shared" si="6"/>
        <v>995.51513422729761</v>
      </c>
    </row>
    <row r="406" spans="1:4" x14ac:dyDescent="0.2">
      <c r="A406" s="162">
        <v>45152</v>
      </c>
      <c r="B406" s="155">
        <v>4.9109997749328604</v>
      </c>
      <c r="C406" s="155">
        <v>151.100006103515</v>
      </c>
      <c r="D406" s="155">
        <f t="shared" si="6"/>
        <v>957.04684973115263</v>
      </c>
    </row>
    <row r="407" spans="1:4" x14ac:dyDescent="0.2">
      <c r="A407" s="162">
        <v>45153</v>
      </c>
      <c r="B407" s="155">
        <v>4.9621000289916903</v>
      </c>
      <c r="C407" s="155">
        <v>149.25</v>
      </c>
      <c r="D407" s="155">
        <f t="shared" si="6"/>
        <v>955.16556360592426</v>
      </c>
    </row>
    <row r="408" spans="1:4" x14ac:dyDescent="0.2">
      <c r="A408" s="162">
        <v>45154</v>
      </c>
      <c r="B408" s="155">
        <v>4.9832000732421804</v>
      </c>
      <c r="C408" s="155">
        <v>148.89999389648401</v>
      </c>
      <c r="D408" s="155">
        <f t="shared" si="6"/>
        <v>956.97767444869532</v>
      </c>
    </row>
    <row r="409" spans="1:4" x14ac:dyDescent="0.2">
      <c r="A409" s="162">
        <v>45155</v>
      </c>
      <c r="B409" s="155">
        <v>4.9868998527526802</v>
      </c>
      <c r="C409" s="155">
        <v>147</v>
      </c>
      <c r="D409" s="155">
        <f t="shared" si="6"/>
        <v>945.46788902233482</v>
      </c>
    </row>
    <row r="410" spans="1:4" x14ac:dyDescent="0.2">
      <c r="A410" s="162">
        <v>45156</v>
      </c>
      <c r="B410" s="155">
        <v>4.9755001068115199</v>
      </c>
      <c r="C410" s="155">
        <v>147.44999694824199</v>
      </c>
      <c r="D410" s="155">
        <f t="shared" si="6"/>
        <v>946.19426136088111</v>
      </c>
    </row>
    <row r="411" spans="1:4" x14ac:dyDescent="0.2">
      <c r="A411" s="162">
        <v>45159</v>
      </c>
      <c r="B411" s="155">
        <v>4.9668998718261701</v>
      </c>
      <c r="C411" s="155">
        <v>147.55000305175699</v>
      </c>
      <c r="D411" s="155">
        <f t="shared" si="6"/>
        <v>945.19938386234605</v>
      </c>
    </row>
    <row r="412" spans="1:4" x14ac:dyDescent="0.2">
      <c r="A412" s="162">
        <v>45160</v>
      </c>
      <c r="B412" s="155">
        <v>4.9787001609802202</v>
      </c>
      <c r="C412" s="155">
        <v>146.600006103515</v>
      </c>
      <c r="D412" s="155">
        <f t="shared" si="6"/>
        <v>941.34487452560347</v>
      </c>
    </row>
    <row r="413" spans="1:4" x14ac:dyDescent="0.2">
      <c r="A413" s="162">
        <v>45161</v>
      </c>
      <c r="B413" s="155">
        <v>4.9370999336242596</v>
      </c>
      <c r="C413" s="155">
        <v>152.94999694824199</v>
      </c>
      <c r="D413" s="155">
        <f t="shared" si="6"/>
        <v>973.9130665741443</v>
      </c>
    </row>
    <row r="414" spans="1:4" x14ac:dyDescent="0.2">
      <c r="A414" s="162">
        <v>45162</v>
      </c>
      <c r="B414" s="155">
        <v>4.8551001548767001</v>
      </c>
      <c r="C414" s="155">
        <v>153</v>
      </c>
      <c r="D414" s="155">
        <f t="shared" si="6"/>
        <v>958.05055338061629</v>
      </c>
    </row>
    <row r="415" spans="1:4" x14ac:dyDescent="0.2">
      <c r="A415" s="162">
        <v>45163</v>
      </c>
      <c r="B415" s="155">
        <v>4.8803000450134197</v>
      </c>
      <c r="C415" s="155">
        <v>151.75</v>
      </c>
      <c r="D415" s="155">
        <f t="shared" si="6"/>
        <v>955.15537796812009</v>
      </c>
    </row>
    <row r="416" spans="1:4" x14ac:dyDescent="0.2">
      <c r="A416" s="162">
        <v>45166</v>
      </c>
      <c r="B416" s="155">
        <v>4.87039995193481</v>
      </c>
      <c r="C416" s="155">
        <v>151.80000305175699</v>
      </c>
      <c r="D416" s="155">
        <f t="shared" si="6"/>
        <v>953.53186034496275</v>
      </c>
    </row>
    <row r="417" spans="1:4" x14ac:dyDescent="0.2">
      <c r="A417" s="162">
        <v>45167</v>
      </c>
      <c r="B417" s="155">
        <v>4.8726000785827601</v>
      </c>
      <c r="C417" s="155">
        <v>151.350006103515</v>
      </c>
      <c r="D417" s="155">
        <f t="shared" si="6"/>
        <v>951.13467023325893</v>
      </c>
    </row>
    <row r="418" spans="1:4" x14ac:dyDescent="0.2">
      <c r="A418" s="162">
        <v>45168</v>
      </c>
      <c r="B418" s="155">
        <v>4.8512997627258301</v>
      </c>
      <c r="C418" s="155">
        <v>153.350006103515</v>
      </c>
      <c r="D418" s="155">
        <f t="shared" si="6"/>
        <v>959.49056855992239</v>
      </c>
    </row>
    <row r="419" spans="1:4" x14ac:dyDescent="0.2">
      <c r="A419" s="162">
        <v>45169</v>
      </c>
      <c r="B419" s="155">
        <v>4.8884000778198198</v>
      </c>
      <c r="C419" s="155">
        <v>152.69999694824199</v>
      </c>
      <c r="D419" s="155">
        <f t="shared" si="6"/>
        <v>962.73014944190493</v>
      </c>
    </row>
    <row r="420" spans="1:4" x14ac:dyDescent="0.2">
      <c r="A420" s="162">
        <v>45170</v>
      </c>
      <c r="B420" s="155">
        <v>4.9538002014160103</v>
      </c>
      <c r="C420" s="155">
        <v>150.94999694824199</v>
      </c>
      <c r="D420" s="155">
        <f t="shared" si="6"/>
        <v>964.42930206504468</v>
      </c>
    </row>
    <row r="421" spans="1:4" x14ac:dyDescent="0.2">
      <c r="A421" s="162">
        <v>45174</v>
      </c>
      <c r="B421" s="155">
        <v>4.9362001419067303</v>
      </c>
      <c r="C421" s="155">
        <v>151.39999389648401</v>
      </c>
      <c r="D421" s="155">
        <f t="shared" si="6"/>
        <v>963.86768406862188</v>
      </c>
    </row>
    <row r="422" spans="1:4" x14ac:dyDescent="0.2">
      <c r="A422" s="162">
        <v>45175</v>
      </c>
      <c r="B422" s="155">
        <v>4.9667000770568803</v>
      </c>
      <c r="C422" s="155">
        <v>151.75</v>
      </c>
      <c r="D422" s="155">
        <f t="shared" si="6"/>
        <v>972.06529221555502</v>
      </c>
    </row>
    <row r="423" spans="1:4" x14ac:dyDescent="0.2">
      <c r="A423" s="162">
        <v>45176</v>
      </c>
      <c r="B423" s="155">
        <v>4.9770002365112296</v>
      </c>
      <c r="C423" s="155">
        <v>147.39999389648401</v>
      </c>
      <c r="D423" s="155">
        <f t="shared" si="6"/>
        <v>946.15857313786466</v>
      </c>
    </row>
    <row r="424" spans="1:4" x14ac:dyDescent="0.2">
      <c r="A424" s="162">
        <v>45177</v>
      </c>
      <c r="B424" s="155">
        <v>4.9760999679565403</v>
      </c>
      <c r="C424" s="155">
        <v>146.25</v>
      </c>
      <c r="D424" s="155">
        <f t="shared" si="6"/>
        <v>938.60696645711619</v>
      </c>
    </row>
    <row r="425" spans="1:4" x14ac:dyDescent="0.2">
      <c r="A425" s="162">
        <v>45180</v>
      </c>
      <c r="B425" s="155">
        <v>4.9829998016357404</v>
      </c>
      <c r="C425" s="155">
        <v>151.55000305175699</v>
      </c>
      <c r="D425" s="155">
        <f t="shared" si="6"/>
        <v>973.9700924553041</v>
      </c>
    </row>
    <row r="426" spans="1:4" x14ac:dyDescent="0.2">
      <c r="A426" s="162">
        <v>45181</v>
      </c>
      <c r="B426" s="155">
        <v>4.9293999671936</v>
      </c>
      <c r="C426" s="155">
        <v>150.69999694824199</v>
      </c>
      <c r="D426" s="155">
        <f t="shared" si="6"/>
        <v>958.0895500652307</v>
      </c>
    </row>
    <row r="427" spans="1:4" x14ac:dyDescent="0.2">
      <c r="A427" s="162">
        <v>45182</v>
      </c>
      <c r="B427" s="155">
        <v>4.9465999603271396</v>
      </c>
      <c r="C427" s="155">
        <v>151.05000305175699</v>
      </c>
      <c r="D427" s="155">
        <f t="shared" si="6"/>
        <v>963.66554177961586</v>
      </c>
    </row>
    <row r="428" spans="1:4" x14ac:dyDescent="0.2">
      <c r="A428" s="162">
        <v>45183</v>
      </c>
      <c r="B428" s="155">
        <v>4.9154000282287598</v>
      </c>
      <c r="C428" s="155">
        <v>153.100006103515</v>
      </c>
      <c r="D428" s="155">
        <f t="shared" si="6"/>
        <v>970.58344097765553</v>
      </c>
    </row>
    <row r="429" spans="1:4" x14ac:dyDescent="0.2">
      <c r="A429" s="162">
        <v>45184</v>
      </c>
      <c r="B429" s="155">
        <v>4.8681998252868599</v>
      </c>
      <c r="C429" s="155">
        <v>158.25</v>
      </c>
      <c r="D429" s="155">
        <f t="shared" si="6"/>
        <v>993.59847682558791</v>
      </c>
    </row>
    <row r="430" spans="1:4" x14ac:dyDescent="0.2">
      <c r="A430" s="162">
        <v>45187</v>
      </c>
      <c r="B430" s="155">
        <v>4.86700010299682</v>
      </c>
      <c r="C430" s="155">
        <v>158.69999694824199</v>
      </c>
      <c r="D430" s="155">
        <f t="shared" si="6"/>
        <v>996.17829684216542</v>
      </c>
    </row>
    <row r="431" spans="1:4" x14ac:dyDescent="0.2">
      <c r="A431" s="162">
        <v>45188</v>
      </c>
      <c r="B431" s="155">
        <v>4.8537001609802202</v>
      </c>
      <c r="C431" s="155">
        <v>167.5</v>
      </c>
      <c r="D431" s="155">
        <f t="shared" si="6"/>
        <v>1048.5437536940206</v>
      </c>
    </row>
    <row r="432" spans="1:4" x14ac:dyDescent="0.2">
      <c r="A432" s="162">
        <v>45189</v>
      </c>
      <c r="B432" s="155">
        <v>4.86579990386962</v>
      </c>
      <c r="C432" s="155">
        <v>158.19999694824199</v>
      </c>
      <c r="D432" s="155">
        <f t="shared" si="6"/>
        <v>992.79485585329519</v>
      </c>
    </row>
    <row r="433" spans="1:4" x14ac:dyDescent="0.2">
      <c r="A433" s="162">
        <v>45190</v>
      </c>
      <c r="B433" s="155">
        <v>4.8787999153137198</v>
      </c>
      <c r="C433" s="155">
        <v>154.850006103515</v>
      </c>
      <c r="D433" s="155">
        <f t="shared" si="6"/>
        <v>974.36805350366456</v>
      </c>
    </row>
    <row r="434" spans="1:4" x14ac:dyDescent="0.2">
      <c r="A434" s="162">
        <v>45191</v>
      </c>
      <c r="B434" s="155">
        <v>4.9348998069763104</v>
      </c>
      <c r="C434" s="155">
        <v>151.14999389648401</v>
      </c>
      <c r="D434" s="155">
        <f t="shared" si="6"/>
        <v>962.02260193801578</v>
      </c>
    </row>
    <row r="435" spans="1:4" x14ac:dyDescent="0.2">
      <c r="A435" s="162">
        <v>45194</v>
      </c>
      <c r="B435" s="155">
        <v>4.9338998794555602</v>
      </c>
      <c r="C435" s="155">
        <v>148.80000305175699</v>
      </c>
      <c r="D435" s="155">
        <f t="shared" si="6"/>
        <v>946.87374471924318</v>
      </c>
    </row>
    <row r="436" spans="1:4" x14ac:dyDescent="0.2">
      <c r="A436" s="162">
        <v>45195</v>
      </c>
      <c r="B436" s="155">
        <v>4.96829986572265</v>
      </c>
      <c r="C436" s="155">
        <v>150.850006103515</v>
      </c>
      <c r="D436" s="155">
        <f t="shared" si="6"/>
        <v>966.61144756060878</v>
      </c>
    </row>
    <row r="437" spans="1:4" x14ac:dyDescent="0.2">
      <c r="A437" s="162">
        <v>45196</v>
      </c>
      <c r="B437" s="155">
        <v>4.9861998558044398</v>
      </c>
      <c r="C437" s="155">
        <v>149.25</v>
      </c>
      <c r="D437" s="155">
        <f t="shared" si="6"/>
        <v>959.80459234897899</v>
      </c>
    </row>
    <row r="438" spans="1:4" x14ac:dyDescent="0.2">
      <c r="A438" s="162">
        <v>45197</v>
      </c>
      <c r="B438" s="155">
        <v>5.0422000885009703</v>
      </c>
      <c r="C438" s="155">
        <v>147.19999694824199</v>
      </c>
      <c r="D438" s="155">
        <f t="shared" si="6"/>
        <v>957.25287335913833</v>
      </c>
    </row>
    <row r="439" spans="1:4" x14ac:dyDescent="0.2">
      <c r="A439" s="162">
        <v>45198</v>
      </c>
      <c r="B439" s="155">
        <v>5.0328001976013104</v>
      </c>
      <c r="C439" s="155">
        <v>146.14999389648401</v>
      </c>
      <c r="D439" s="155">
        <f t="shared" si="6"/>
        <v>948.65279962463114</v>
      </c>
    </row>
    <row r="440" spans="1:4" x14ac:dyDescent="0.2">
      <c r="A440" s="162">
        <v>45201</v>
      </c>
      <c r="B440" s="155">
        <v>5.0427999496459899</v>
      </c>
      <c r="C440" s="155">
        <v>149.100006103515</v>
      </c>
      <c r="D440" s="155">
        <f t="shared" si="6"/>
        <v>969.72413121373552</v>
      </c>
    </row>
    <row r="441" spans="1:4" x14ac:dyDescent="0.2">
      <c r="A441" s="162">
        <v>45202</v>
      </c>
      <c r="B441" s="155">
        <v>5.0615000724792401</v>
      </c>
      <c r="C441" s="155">
        <v>148.75</v>
      </c>
      <c r="D441" s="155">
        <f t="shared" si="6"/>
        <v>971.03531266119921</v>
      </c>
    </row>
    <row r="442" spans="1:4" x14ac:dyDescent="0.2">
      <c r="A442" s="162">
        <v>45203</v>
      </c>
      <c r="B442" s="155">
        <v>5.1662998199462802</v>
      </c>
      <c r="C442" s="155">
        <v>146.350006103515</v>
      </c>
      <c r="D442" s="155">
        <f t="shared" si="6"/>
        <v>975.14938937167801</v>
      </c>
    </row>
    <row r="443" spans="1:4" x14ac:dyDescent="0.2">
      <c r="A443" s="162">
        <v>45204</v>
      </c>
      <c r="B443" s="155">
        <v>5.1546001434326101</v>
      </c>
      <c r="C443" s="155">
        <v>145.39999389648401</v>
      </c>
      <c r="D443" s="155">
        <f t="shared" si="6"/>
        <v>966.62533063421665</v>
      </c>
    </row>
    <row r="444" spans="1:4" x14ac:dyDescent="0.2">
      <c r="A444" s="162">
        <v>45205</v>
      </c>
      <c r="B444" s="155">
        <v>5.1649999618530202</v>
      </c>
      <c r="C444" s="155">
        <v>146.05000305175699</v>
      </c>
      <c r="D444" s="155">
        <f t="shared" si="6"/>
        <v>972.90558161608453</v>
      </c>
    </row>
    <row r="445" spans="1:4" x14ac:dyDescent="0.2">
      <c r="A445" s="162">
        <v>45208</v>
      </c>
      <c r="B445" s="155">
        <v>5.1456999778747496</v>
      </c>
      <c r="C445" s="155">
        <v>146.05000305175699</v>
      </c>
      <c r="D445" s="155">
        <f t="shared" si="6"/>
        <v>969.27013877460524</v>
      </c>
    </row>
    <row r="446" spans="1:4" x14ac:dyDescent="0.2">
      <c r="A446" s="162">
        <v>45209</v>
      </c>
      <c r="B446" s="155">
        <v>5.1352000236511204</v>
      </c>
      <c r="C446" s="155">
        <v>147.5</v>
      </c>
      <c r="D446" s="155">
        <f t="shared" si="6"/>
        <v>976.89567515927502</v>
      </c>
    </row>
    <row r="447" spans="1:4" x14ac:dyDescent="0.2">
      <c r="A447" s="162">
        <v>45210</v>
      </c>
      <c r="B447" s="155">
        <v>5.0510001182556099</v>
      </c>
      <c r="C447" s="155">
        <v>147.69999694824199</v>
      </c>
      <c r="D447" s="155">
        <f t="shared" si="6"/>
        <v>962.18075681742721</v>
      </c>
    </row>
    <row r="448" spans="1:4" x14ac:dyDescent="0.2">
      <c r="A448" s="162">
        <v>45211</v>
      </c>
      <c r="B448" s="155">
        <v>5.04960012435913</v>
      </c>
      <c r="C448" s="155">
        <v>149.30000305175699</v>
      </c>
      <c r="D448" s="155">
        <f t="shared" si="6"/>
        <v>972.33430059551824</v>
      </c>
    </row>
    <row r="449" spans="1:4" x14ac:dyDescent="0.2">
      <c r="A449" s="162">
        <v>45212</v>
      </c>
      <c r="B449" s="155">
        <v>5.0458998680114702</v>
      </c>
      <c r="C449" s="155">
        <v>154.89999389648401</v>
      </c>
      <c r="D449" s="155">
        <f t="shared" si="6"/>
        <v>1008.0656831349831</v>
      </c>
    </row>
    <row r="450" spans="1:4" x14ac:dyDescent="0.2">
      <c r="A450" s="162">
        <v>45215</v>
      </c>
      <c r="B450" s="155">
        <v>5.0482001304626403</v>
      </c>
      <c r="C450" s="155">
        <v>154.14999389648401</v>
      </c>
      <c r="D450" s="155">
        <f t="shared" si="6"/>
        <v>1003.6421162905583</v>
      </c>
    </row>
    <row r="451" spans="1:4" x14ac:dyDescent="0.2">
      <c r="A451" s="162">
        <v>45216</v>
      </c>
      <c r="B451" s="155">
        <v>5.0376000404357901</v>
      </c>
      <c r="C451" s="155">
        <v>157.05000305175699</v>
      </c>
      <c r="D451" s="155">
        <f t="shared" ref="D451:D514" si="7">(B451*(1-$F$1)*C451*1.3228)</f>
        <v>1020.3764693464582</v>
      </c>
    </row>
    <row r="452" spans="1:4" x14ac:dyDescent="0.2">
      <c r="A452" s="162">
        <v>45217</v>
      </c>
      <c r="B452" s="155">
        <v>5.0373997688293404</v>
      </c>
      <c r="C452" s="155">
        <v>158.05000305175699</v>
      </c>
      <c r="D452" s="155">
        <f t="shared" si="7"/>
        <v>1026.8327895157665</v>
      </c>
    </row>
    <row r="453" spans="1:4" x14ac:dyDescent="0.2">
      <c r="A453" s="162">
        <v>45218</v>
      </c>
      <c r="B453" s="155">
        <v>5.0560998916625897</v>
      </c>
      <c r="C453" s="155">
        <v>163.94999694824199</v>
      </c>
      <c r="D453" s="155">
        <f t="shared" si="7"/>
        <v>1069.1185388907456</v>
      </c>
    </row>
    <row r="454" spans="1:4" x14ac:dyDescent="0.2">
      <c r="A454" s="162">
        <v>45219</v>
      </c>
      <c r="B454" s="155">
        <v>5.0629000663757298</v>
      </c>
      <c r="C454" s="155">
        <v>165.25</v>
      </c>
      <c r="D454" s="155">
        <f t="shared" si="7"/>
        <v>1079.0451704557686</v>
      </c>
    </row>
    <row r="455" spans="1:4" x14ac:dyDescent="0.2">
      <c r="A455" s="162">
        <v>45222</v>
      </c>
      <c r="B455" s="155">
        <v>5.0313000679016104</v>
      </c>
      <c r="C455" s="155">
        <v>165.850006103515</v>
      </c>
      <c r="D455" s="155">
        <f t="shared" si="7"/>
        <v>1076.2037804817439</v>
      </c>
    </row>
    <row r="456" spans="1:4" x14ac:dyDescent="0.2">
      <c r="A456" s="162">
        <v>45223</v>
      </c>
      <c r="B456" s="155">
        <v>5.0123000144958496</v>
      </c>
      <c r="C456" s="155">
        <v>168.14999389648401</v>
      </c>
      <c r="D456" s="155">
        <f t="shared" si="7"/>
        <v>1087.0079388112745</v>
      </c>
    </row>
    <row r="457" spans="1:4" x14ac:dyDescent="0.2">
      <c r="A457" s="162">
        <v>45224</v>
      </c>
      <c r="B457" s="155">
        <v>4.9910001754760698</v>
      </c>
      <c r="C457" s="155">
        <v>162.30000305175699</v>
      </c>
      <c r="D457" s="155">
        <f t="shared" si="7"/>
        <v>1044.7320427644986</v>
      </c>
    </row>
    <row r="458" spans="1:4" x14ac:dyDescent="0.2">
      <c r="A458" s="162">
        <v>45225</v>
      </c>
      <c r="B458" s="155">
        <v>4.9946999549865696</v>
      </c>
      <c r="C458" s="155">
        <v>161.19999694824199</v>
      </c>
      <c r="D458" s="155">
        <f t="shared" si="7"/>
        <v>1038.4204572598478</v>
      </c>
    </row>
    <row r="459" spans="1:4" x14ac:dyDescent="0.2">
      <c r="A459" s="162">
        <v>45226</v>
      </c>
      <c r="B459" s="155">
        <v>4.9853000640869096</v>
      </c>
      <c r="C459" s="155">
        <v>160.94999694824199</v>
      </c>
      <c r="D459" s="155">
        <f t="shared" si="7"/>
        <v>1034.8587551419803</v>
      </c>
    </row>
    <row r="460" spans="1:4" x14ac:dyDescent="0.2">
      <c r="A460" s="162">
        <v>45229</v>
      </c>
      <c r="B460" s="155">
        <v>4.9520301818847603</v>
      </c>
      <c r="C460" s="155">
        <v>159.100006103515</v>
      </c>
      <c r="D460" s="155">
        <f t="shared" si="7"/>
        <v>1016.137037121142</v>
      </c>
    </row>
    <row r="461" spans="1:4" x14ac:dyDescent="0.2">
      <c r="A461" s="162">
        <v>45230</v>
      </c>
      <c r="B461" s="155">
        <v>5.0461001396179199</v>
      </c>
      <c r="C461" s="155">
        <v>167.30000305175699</v>
      </c>
      <c r="D461" s="155">
        <f t="shared" si="7"/>
        <v>1088.8062763036742</v>
      </c>
    </row>
    <row r="462" spans="1:4" x14ac:dyDescent="0.2">
      <c r="A462" s="162">
        <v>45231</v>
      </c>
      <c r="B462" s="155">
        <v>5.0341000556945801</v>
      </c>
      <c r="C462" s="155">
        <v>159.80000305175699</v>
      </c>
      <c r="D462" s="155">
        <f t="shared" si="7"/>
        <v>1037.5222722139176</v>
      </c>
    </row>
    <row r="463" spans="1:4" x14ac:dyDescent="0.2">
      <c r="A463" s="162">
        <v>45232</v>
      </c>
      <c r="B463" s="155">
        <v>4.9537000656127903</v>
      </c>
      <c r="C463" s="155">
        <v>165.350006103515</v>
      </c>
      <c r="D463" s="155">
        <f t="shared" si="7"/>
        <v>1056.4105380776914</v>
      </c>
    </row>
    <row r="464" spans="1:4" x14ac:dyDescent="0.2">
      <c r="A464" s="162">
        <v>45233</v>
      </c>
      <c r="B464" s="155">
        <v>4.9528999328613201</v>
      </c>
      <c r="C464" s="155">
        <v>170.89999389648401</v>
      </c>
      <c r="D464" s="155">
        <f t="shared" si="7"/>
        <v>1091.6926914482656</v>
      </c>
    </row>
    <row r="465" spans="1:4" x14ac:dyDescent="0.2">
      <c r="A465" s="162">
        <v>45236</v>
      </c>
      <c r="B465" s="155">
        <v>4.8991999626159597</v>
      </c>
      <c r="C465" s="155">
        <v>173.69999694824199</v>
      </c>
      <c r="D465" s="155">
        <f t="shared" si="7"/>
        <v>1097.5486463612231</v>
      </c>
    </row>
    <row r="466" spans="1:4" x14ac:dyDescent="0.2">
      <c r="A466" s="162">
        <v>45237</v>
      </c>
      <c r="B466" s="155">
        <v>4.8840999603271396</v>
      </c>
      <c r="C466" s="155">
        <v>170.75</v>
      </c>
      <c r="D466" s="155">
        <f t="shared" si="7"/>
        <v>1075.5833187929372</v>
      </c>
    </row>
    <row r="467" spans="1:4" x14ac:dyDescent="0.2">
      <c r="A467" s="162">
        <v>45238</v>
      </c>
      <c r="B467" s="155">
        <v>4.8715000152587802</v>
      </c>
      <c r="C467" s="155">
        <v>174.350006103515</v>
      </c>
      <c r="D467" s="155">
        <f t="shared" si="7"/>
        <v>1095.4270906023014</v>
      </c>
    </row>
    <row r="468" spans="1:4" x14ac:dyDescent="0.2">
      <c r="A468" s="162">
        <v>45239</v>
      </c>
      <c r="B468" s="155">
        <v>4.9092998504638601</v>
      </c>
      <c r="C468" s="155">
        <v>178.80000305175699</v>
      </c>
      <c r="D468" s="155">
        <f t="shared" si="7"/>
        <v>1132.1028470723313</v>
      </c>
    </row>
    <row r="469" spans="1:4" x14ac:dyDescent="0.2">
      <c r="A469" s="162">
        <v>45240</v>
      </c>
      <c r="B469" s="155">
        <v>4.9338998794555602</v>
      </c>
      <c r="C469" s="155">
        <v>174.5</v>
      </c>
      <c r="D469" s="155">
        <f t="shared" si="7"/>
        <v>1110.4130716720233</v>
      </c>
    </row>
    <row r="470" spans="1:4" x14ac:dyDescent="0.2">
      <c r="A470" s="162">
        <v>45243</v>
      </c>
      <c r="B470" s="155">
        <v>4.8933792114257804</v>
      </c>
      <c r="C470" s="155">
        <v>178.64999389648401</v>
      </c>
      <c r="D470" s="155">
        <f t="shared" si="7"/>
        <v>1127.4847598832839</v>
      </c>
    </row>
    <row r="471" spans="1:4" x14ac:dyDescent="0.2">
      <c r="A471" s="162">
        <v>45244</v>
      </c>
      <c r="B471" s="155">
        <v>4.9061999320983798</v>
      </c>
      <c r="C471" s="155">
        <v>176.44999694824199</v>
      </c>
      <c r="D471" s="155">
        <f t="shared" si="7"/>
        <v>1116.5179236096067</v>
      </c>
    </row>
    <row r="472" spans="1:4" x14ac:dyDescent="0.2">
      <c r="A472" s="162">
        <v>45245</v>
      </c>
      <c r="B472" s="155">
        <v>4.8645000457763601</v>
      </c>
      <c r="C472" s="155">
        <v>180.80000305175699</v>
      </c>
      <c r="D472" s="155">
        <f t="shared" si="7"/>
        <v>1134.31962838867</v>
      </c>
    </row>
    <row r="473" spans="1:4" x14ac:dyDescent="0.2">
      <c r="A473" s="162">
        <v>45246</v>
      </c>
      <c r="B473" s="155">
        <v>4.86089992523193</v>
      </c>
      <c r="C473" s="155">
        <v>176.100006103515</v>
      </c>
      <c r="D473" s="155">
        <f t="shared" si="7"/>
        <v>1104.0146921707192</v>
      </c>
    </row>
    <row r="474" spans="1:4" x14ac:dyDescent="0.2">
      <c r="A474" s="162">
        <v>45247</v>
      </c>
      <c r="B474" s="155">
        <v>4.86219978332519</v>
      </c>
      <c r="C474" s="155">
        <v>170.94999694824199</v>
      </c>
      <c r="D474" s="155">
        <f t="shared" si="7"/>
        <v>1072.0145970560345</v>
      </c>
    </row>
    <row r="475" spans="1:4" x14ac:dyDescent="0.2">
      <c r="A475" s="162">
        <v>45250</v>
      </c>
      <c r="B475" s="155">
        <v>4.8191771507263104</v>
      </c>
      <c r="C475" s="155">
        <v>177.89999389648401</v>
      </c>
      <c r="D475" s="155">
        <f t="shared" si="7"/>
        <v>1105.7262660252295</v>
      </c>
    </row>
    <row r="476" spans="1:4" x14ac:dyDescent="0.2">
      <c r="A476" s="162">
        <v>45251</v>
      </c>
      <c r="B476" s="155">
        <v>4.8517999649047798</v>
      </c>
      <c r="C476" s="155">
        <v>176.55000305175699</v>
      </c>
      <c r="D476" s="155">
        <f t="shared" si="7"/>
        <v>1104.7637571768598</v>
      </c>
    </row>
    <row r="477" spans="1:4" x14ac:dyDescent="0.2">
      <c r="A477" s="162">
        <v>45252</v>
      </c>
      <c r="B477" s="155">
        <v>4.8993000984191797</v>
      </c>
      <c r="C477" s="155">
        <v>178.64999389648401</v>
      </c>
      <c r="D477" s="155">
        <f t="shared" si="7"/>
        <v>1128.8489929748991</v>
      </c>
    </row>
    <row r="478" spans="1:4" x14ac:dyDescent="0.2">
      <c r="A478" s="162">
        <v>45253</v>
      </c>
      <c r="B478" s="155">
        <v>4.9054999351501403</v>
      </c>
      <c r="C478" s="155">
        <v>178.64999389648401</v>
      </c>
      <c r="D478" s="155">
        <f t="shared" si="7"/>
        <v>1130.2774989471322</v>
      </c>
    </row>
    <row r="479" spans="1:4" x14ac:dyDescent="0.2">
      <c r="A479" s="162">
        <v>45254</v>
      </c>
      <c r="B479" s="155">
        <v>4.9025001525878897</v>
      </c>
      <c r="C479" s="155">
        <v>178.64999389648401</v>
      </c>
      <c r="D479" s="155">
        <f t="shared" si="7"/>
        <v>1129.5863182771357</v>
      </c>
    </row>
    <row r="480" spans="1:4" x14ac:dyDescent="0.2">
      <c r="A480" s="162">
        <v>45257</v>
      </c>
      <c r="B480" s="155">
        <v>4.90089988708496</v>
      </c>
      <c r="C480" s="155">
        <v>179.69999694824199</v>
      </c>
      <c r="D480" s="155">
        <f t="shared" si="7"/>
        <v>1135.8544994735375</v>
      </c>
    </row>
    <row r="481" spans="1:4" x14ac:dyDescent="0.2">
      <c r="A481" s="162">
        <v>45258</v>
      </c>
      <c r="B481" s="155">
        <v>4.8955001831054599</v>
      </c>
      <c r="C481" s="155">
        <v>183.64999389648401</v>
      </c>
      <c r="D481" s="155">
        <f t="shared" si="7"/>
        <v>1159.5428207680829</v>
      </c>
    </row>
    <row r="482" spans="1:4" x14ac:dyDescent="0.2">
      <c r="A482" s="162">
        <v>45259</v>
      </c>
      <c r="B482" s="155">
        <v>4.8698000907897896</v>
      </c>
      <c r="C482" s="155">
        <v>182.100006103515</v>
      </c>
      <c r="D482" s="155">
        <f t="shared" si="7"/>
        <v>1143.7204744007877</v>
      </c>
    </row>
    <row r="483" spans="1:4" x14ac:dyDescent="0.2">
      <c r="A483" s="162">
        <v>45260</v>
      </c>
      <c r="B483" s="155">
        <v>4.9040999412536603</v>
      </c>
      <c r="C483" s="155">
        <v>195</v>
      </c>
      <c r="D483" s="155">
        <f t="shared" si="7"/>
        <v>1233.3681393604513</v>
      </c>
    </row>
    <row r="484" spans="1:4" x14ac:dyDescent="0.2">
      <c r="A484" s="162">
        <v>45261</v>
      </c>
      <c r="B484" s="155">
        <v>4.9230999946594203</v>
      </c>
      <c r="C484" s="155">
        <v>193.89999389648401</v>
      </c>
      <c r="D484" s="155">
        <f t="shared" si="7"/>
        <v>1231.1621469560448</v>
      </c>
    </row>
    <row r="485" spans="1:4" x14ac:dyDescent="0.2">
      <c r="A485" s="162">
        <v>45264</v>
      </c>
      <c r="B485" s="155">
        <v>4.9021592140197701</v>
      </c>
      <c r="C485" s="155">
        <v>188.89999389648401</v>
      </c>
      <c r="D485" s="155">
        <f t="shared" si="7"/>
        <v>1194.3129960159122</v>
      </c>
    </row>
    <row r="486" spans="1:4" x14ac:dyDescent="0.2">
      <c r="A486" s="162">
        <v>45265</v>
      </c>
      <c r="B486" s="155">
        <v>4.9430999755859304</v>
      </c>
      <c r="C486" s="155">
        <v>193.850006103515</v>
      </c>
      <c r="D486" s="155">
        <f t="shared" si="7"/>
        <v>1235.8450295752082</v>
      </c>
    </row>
    <row r="487" spans="1:4" x14ac:dyDescent="0.2">
      <c r="A487" s="162">
        <v>45266</v>
      </c>
      <c r="B487" s="155">
        <v>4.9277000427245996</v>
      </c>
      <c r="C487" s="155">
        <v>185.25</v>
      </c>
      <c r="D487" s="155">
        <f t="shared" si="7"/>
        <v>1177.3383272231172</v>
      </c>
    </row>
    <row r="488" spans="1:4" x14ac:dyDescent="0.2">
      <c r="A488" s="162">
        <v>45267</v>
      </c>
      <c r="B488" s="155">
        <v>4.9011998176574698</v>
      </c>
      <c r="C488" s="155">
        <v>185.5</v>
      </c>
      <c r="D488" s="155">
        <f t="shared" si="7"/>
        <v>1172.5871337734768</v>
      </c>
    </row>
    <row r="489" spans="1:4" x14ac:dyDescent="0.2">
      <c r="A489" s="162">
        <v>45268</v>
      </c>
      <c r="B489" s="155">
        <v>4.9100999832153303</v>
      </c>
      <c r="C489" s="155">
        <v>185.14999389648401</v>
      </c>
      <c r="D489" s="155">
        <f t="shared" si="7"/>
        <v>1172.4999683361241</v>
      </c>
    </row>
    <row r="490" spans="1:4" x14ac:dyDescent="0.2">
      <c r="A490" s="162">
        <v>45271</v>
      </c>
      <c r="B490" s="155">
        <v>4.8932862281799299</v>
      </c>
      <c r="C490" s="155">
        <v>194</v>
      </c>
      <c r="D490" s="155">
        <f t="shared" si="7"/>
        <v>1224.3375011316771</v>
      </c>
    </row>
    <row r="491" spans="1:4" x14ac:dyDescent="0.2">
      <c r="A491" s="162">
        <v>45272</v>
      </c>
      <c r="B491" s="155">
        <v>4.9366998672485298</v>
      </c>
      <c r="C491" s="155">
        <v>191.14999389648401</v>
      </c>
      <c r="D491" s="155">
        <f t="shared" si="7"/>
        <v>1217.0539073060322</v>
      </c>
    </row>
    <row r="492" spans="1:4" x14ac:dyDescent="0.2">
      <c r="A492" s="162">
        <v>45273</v>
      </c>
      <c r="B492" s="155">
        <v>4.9644999504089302</v>
      </c>
      <c r="C492" s="155">
        <v>194.64999389648401</v>
      </c>
      <c r="D492" s="155">
        <f t="shared" si="7"/>
        <v>1246.3175399406271</v>
      </c>
    </row>
    <row r="493" spans="1:4" x14ac:dyDescent="0.2">
      <c r="A493" s="162">
        <v>45274</v>
      </c>
      <c r="B493" s="155">
        <v>4.9183998107910103</v>
      </c>
      <c r="C493" s="155">
        <v>200.100006103515</v>
      </c>
      <c r="D493" s="155">
        <f t="shared" si="7"/>
        <v>1269.3159370901797</v>
      </c>
    </row>
    <row r="494" spans="1:4" x14ac:dyDescent="0.2">
      <c r="A494" s="162">
        <v>45275</v>
      </c>
      <c r="B494" s="155">
        <v>4.9145998954772896</v>
      </c>
      <c r="C494" s="155">
        <v>201.80000305175699</v>
      </c>
      <c r="D494" s="155">
        <f t="shared" si="7"/>
        <v>1279.1107164441169</v>
      </c>
    </row>
    <row r="495" spans="1:4" x14ac:dyDescent="0.2">
      <c r="A495" s="162">
        <v>45278</v>
      </c>
      <c r="B495" s="155">
        <v>4.9196572303771902</v>
      </c>
      <c r="C495" s="155">
        <v>209.55000305175699</v>
      </c>
      <c r="D495" s="155">
        <f t="shared" si="7"/>
        <v>1329.6009552238261</v>
      </c>
    </row>
    <row r="496" spans="1:4" x14ac:dyDescent="0.2">
      <c r="A496" s="162">
        <v>45279</v>
      </c>
      <c r="B496" s="155">
        <v>4.8958997726440403</v>
      </c>
      <c r="C496" s="155">
        <v>202.39999389648401</v>
      </c>
      <c r="D496" s="155">
        <f t="shared" si="7"/>
        <v>1278.0322573675196</v>
      </c>
    </row>
    <row r="497" spans="1:4" x14ac:dyDescent="0.2">
      <c r="A497" s="162">
        <v>45280</v>
      </c>
      <c r="B497" s="155">
        <v>4.8664999008178702</v>
      </c>
      <c r="C497" s="155">
        <v>190.600006103515</v>
      </c>
      <c r="D497" s="155">
        <f t="shared" si="7"/>
        <v>1196.2953951043314</v>
      </c>
    </row>
    <row r="498" spans="1:4" x14ac:dyDescent="0.2">
      <c r="A498" s="162">
        <v>45281</v>
      </c>
      <c r="B498" s="155">
        <v>4.9145998954772896</v>
      </c>
      <c r="C498" s="155">
        <v>193.600006103515</v>
      </c>
      <c r="D498" s="155">
        <f t="shared" si="7"/>
        <v>1227.1349790175159</v>
      </c>
    </row>
    <row r="499" spans="1:4" x14ac:dyDescent="0.2">
      <c r="A499" s="162">
        <v>45282</v>
      </c>
      <c r="B499" s="155">
        <v>4.8818001747131303</v>
      </c>
      <c r="C499" s="155">
        <v>192.80000305175699</v>
      </c>
      <c r="D499" s="155">
        <f t="shared" si="7"/>
        <v>1213.908177277842</v>
      </c>
    </row>
    <row r="500" spans="1:4" x14ac:dyDescent="0.2">
      <c r="A500" s="162">
        <v>45286</v>
      </c>
      <c r="B500" s="155">
        <v>4.8697438240051198</v>
      </c>
      <c r="C500" s="155">
        <v>194.350006103515</v>
      </c>
      <c r="D500" s="155">
        <f t="shared" si="7"/>
        <v>1220.645279693837</v>
      </c>
    </row>
    <row r="501" spans="1:4" x14ac:dyDescent="0.2">
      <c r="A501" s="162">
        <v>45287</v>
      </c>
      <c r="B501" s="155">
        <v>4.8134999275207502</v>
      </c>
      <c r="C501" s="155">
        <v>197.75</v>
      </c>
      <c r="D501" s="155">
        <f t="shared" si="7"/>
        <v>1227.6547929658443</v>
      </c>
    </row>
    <row r="502" spans="1:4" x14ac:dyDescent="0.2">
      <c r="A502" s="162">
        <v>45288</v>
      </c>
      <c r="B502" s="155">
        <v>4.8260998725891104</v>
      </c>
      <c r="C502" s="155">
        <v>198</v>
      </c>
      <c r="D502" s="155">
        <f t="shared" si="7"/>
        <v>1232.4244261575218</v>
      </c>
    </row>
    <row r="503" spans="1:4" x14ac:dyDescent="0.2">
      <c r="A503" s="162">
        <v>45289</v>
      </c>
      <c r="B503" s="155">
        <v>4.8502001762390101</v>
      </c>
      <c r="C503" s="155">
        <v>188.30000305175699</v>
      </c>
      <c r="D503" s="155">
        <f t="shared" si="7"/>
        <v>1177.9010042726381</v>
      </c>
    </row>
    <row r="504" spans="1:4" x14ac:dyDescent="0.2">
      <c r="A504" s="162">
        <v>45293</v>
      </c>
      <c r="B504" s="155">
        <v>4.8523998260498002</v>
      </c>
      <c r="C504" s="155">
        <v>190.14999389648401</v>
      </c>
      <c r="D504" s="155">
        <f t="shared" si="7"/>
        <v>1190.012973900331</v>
      </c>
    </row>
    <row r="505" spans="1:4" x14ac:dyDescent="0.2">
      <c r="A505" s="162">
        <v>45294</v>
      </c>
      <c r="B505" s="155">
        <v>4.9225001335143999</v>
      </c>
      <c r="C505" s="155">
        <v>186.25</v>
      </c>
      <c r="D505" s="155">
        <f t="shared" si="7"/>
        <v>1182.4446481030393</v>
      </c>
    </row>
    <row r="506" spans="1:4" x14ac:dyDescent="0.2">
      <c r="A506" s="162">
        <v>45295</v>
      </c>
      <c r="B506" s="155">
        <v>4.9191999435424796</v>
      </c>
      <c r="C506" s="155">
        <v>185.55000305175699</v>
      </c>
      <c r="D506" s="155">
        <f t="shared" si="7"/>
        <v>1177.2108137096729</v>
      </c>
    </row>
    <row r="507" spans="1:4" x14ac:dyDescent="0.2">
      <c r="A507" s="162">
        <v>45296</v>
      </c>
      <c r="B507" s="155">
        <v>4.8955998420715297</v>
      </c>
      <c r="C507" s="155">
        <v>182.80000305175699</v>
      </c>
      <c r="D507" s="155">
        <f t="shared" si="7"/>
        <v>1154.1995820015659</v>
      </c>
    </row>
    <row r="508" spans="1:4" x14ac:dyDescent="0.2">
      <c r="A508" s="162">
        <v>45299</v>
      </c>
      <c r="B508" s="155">
        <v>4.8606672286987296</v>
      </c>
      <c r="C508" s="155">
        <v>181.39999389648401</v>
      </c>
      <c r="D508" s="155">
        <f t="shared" si="7"/>
        <v>1137.1871914967214</v>
      </c>
    </row>
    <row r="509" spans="1:4" x14ac:dyDescent="0.2">
      <c r="A509" s="162">
        <v>45300</v>
      </c>
      <c r="B509" s="155">
        <v>4.8689999580383301</v>
      </c>
      <c r="C509" s="155">
        <v>184.100006103515</v>
      </c>
      <c r="D509" s="155">
        <f t="shared" si="7"/>
        <v>1156.0919459818651</v>
      </c>
    </row>
    <row r="510" spans="1:4" x14ac:dyDescent="0.2">
      <c r="A510" s="162">
        <v>45301</v>
      </c>
      <c r="B510" s="155">
        <v>4.9050998687744096</v>
      </c>
      <c r="C510" s="155">
        <v>181.14999389648401</v>
      </c>
      <c r="D510" s="155">
        <f t="shared" si="7"/>
        <v>1146.0009556852176</v>
      </c>
    </row>
    <row r="511" spans="1:4" x14ac:dyDescent="0.2">
      <c r="A511" s="162">
        <v>45302</v>
      </c>
      <c r="B511" s="155">
        <v>4.8913998603820801</v>
      </c>
      <c r="C511" s="155">
        <v>184.05000305175699</v>
      </c>
      <c r="D511" s="155">
        <f t="shared" si="7"/>
        <v>1161.095114624592</v>
      </c>
    </row>
    <row r="512" spans="1:4" x14ac:dyDescent="0.2">
      <c r="A512" s="162">
        <v>45303</v>
      </c>
      <c r="B512" s="155">
        <v>4.8696999549865696</v>
      </c>
      <c r="C512" s="155">
        <v>180</v>
      </c>
      <c r="D512" s="155">
        <f t="shared" si="7"/>
        <v>1130.5076621300691</v>
      </c>
    </row>
    <row r="513" spans="1:4" x14ac:dyDescent="0.2">
      <c r="A513" s="162">
        <v>45307</v>
      </c>
      <c r="B513" s="155">
        <v>4.86219978332519</v>
      </c>
      <c r="C513" s="155">
        <v>185.25</v>
      </c>
      <c r="D513" s="155">
        <f t="shared" si="7"/>
        <v>1161.6888426430164</v>
      </c>
    </row>
    <row r="514" spans="1:4" x14ac:dyDescent="0.2">
      <c r="A514" s="162">
        <v>45308</v>
      </c>
      <c r="B514" s="155">
        <v>4.9249000549316397</v>
      </c>
      <c r="C514" s="155">
        <v>179.19999694824199</v>
      </c>
      <c r="D514" s="155">
        <f t="shared" si="7"/>
        <v>1138.2409901500494</v>
      </c>
    </row>
    <row r="515" spans="1:4" x14ac:dyDescent="0.2">
      <c r="A515" s="162">
        <v>45309</v>
      </c>
      <c r="B515" s="155">
        <v>4.9340000152587802</v>
      </c>
      <c r="C515" s="155">
        <v>179.94999694824199</v>
      </c>
      <c r="D515" s="155">
        <f t="shared" ref="D515:D578" si="8">(B515*(1-$F$1)*C515*1.3228)</f>
        <v>1145.1168153304161</v>
      </c>
    </row>
    <row r="516" spans="1:4" x14ac:dyDescent="0.2">
      <c r="A516" s="162">
        <v>45310</v>
      </c>
      <c r="B516" s="155">
        <v>4.9260997772216797</v>
      </c>
      <c r="C516" s="155">
        <v>185.14999389648401</v>
      </c>
      <c r="D516" s="155">
        <f t="shared" si="8"/>
        <v>1176.3206151722288</v>
      </c>
    </row>
    <row r="517" spans="1:4" x14ac:dyDescent="0.2">
      <c r="A517" s="162">
        <v>45313</v>
      </c>
      <c r="B517" s="155">
        <v>4.9046421051025302</v>
      </c>
      <c r="C517" s="155">
        <v>192.25</v>
      </c>
      <c r="D517" s="155">
        <f t="shared" si="8"/>
        <v>1216.1089159606195</v>
      </c>
    </row>
    <row r="518" spans="1:4" x14ac:dyDescent="0.2">
      <c r="A518" s="162">
        <v>45314</v>
      </c>
      <c r="B518" s="155">
        <v>4.9882998466491699</v>
      </c>
      <c r="C518" s="155">
        <v>192.94999694824199</v>
      </c>
      <c r="D518" s="155">
        <f t="shared" si="8"/>
        <v>1241.3553748835056</v>
      </c>
    </row>
    <row r="519" spans="1:4" x14ac:dyDescent="0.2">
      <c r="A519" s="162">
        <v>45315</v>
      </c>
      <c r="B519" s="155">
        <v>4.9521999359130797</v>
      </c>
      <c r="C519" s="155">
        <v>189.44999694824199</v>
      </c>
      <c r="D519" s="155">
        <f t="shared" si="8"/>
        <v>1210.0172864911626</v>
      </c>
    </row>
    <row r="520" spans="1:4" x14ac:dyDescent="0.2">
      <c r="A520" s="162">
        <v>45316</v>
      </c>
      <c r="B520" s="155">
        <v>4.9324998855590803</v>
      </c>
      <c r="C520" s="155">
        <v>186.94999694824199</v>
      </c>
      <c r="D520" s="155">
        <f t="shared" si="8"/>
        <v>1189.2998064062822</v>
      </c>
    </row>
    <row r="521" spans="1:4" x14ac:dyDescent="0.2">
      <c r="A521" s="162">
        <v>45317</v>
      </c>
      <c r="B521" s="155">
        <v>4.9158000946044904</v>
      </c>
      <c r="C521" s="155">
        <v>193.850006103515</v>
      </c>
      <c r="D521" s="155">
        <f t="shared" si="8"/>
        <v>1229.0196725349822</v>
      </c>
    </row>
    <row r="522" spans="1:4" x14ac:dyDescent="0.2">
      <c r="A522" s="162">
        <v>45320</v>
      </c>
      <c r="B522" s="155">
        <v>4.9135999679565403</v>
      </c>
      <c r="C522" s="155">
        <v>189.25</v>
      </c>
      <c r="D522" s="155">
        <f t="shared" si="8"/>
        <v>1199.3183715027872</v>
      </c>
    </row>
    <row r="523" spans="1:4" x14ac:dyDescent="0.2">
      <c r="A523" s="162">
        <v>45321</v>
      </c>
      <c r="B523" s="155">
        <v>4.9502000808715803</v>
      </c>
      <c r="C523" s="155">
        <v>194</v>
      </c>
      <c r="D523" s="155">
        <f t="shared" si="8"/>
        <v>1238.5777807586855</v>
      </c>
    </row>
    <row r="524" spans="1:4" x14ac:dyDescent="0.2">
      <c r="A524" s="162">
        <v>45322</v>
      </c>
      <c r="B524" s="155">
        <v>4.9503002166748002</v>
      </c>
      <c r="C524" s="155">
        <v>194.05000305175699</v>
      </c>
      <c r="D524" s="155">
        <f t="shared" si="8"/>
        <v>1238.9220825187058</v>
      </c>
    </row>
    <row r="525" spans="1:4" x14ac:dyDescent="0.2">
      <c r="A525" s="162">
        <v>45323</v>
      </c>
      <c r="B525" s="155">
        <v>4.95190000534057</v>
      </c>
      <c r="C525" s="155">
        <v>194.19999694824199</v>
      </c>
      <c r="D525" s="155">
        <f t="shared" si="8"/>
        <v>1240.2804181226284</v>
      </c>
    </row>
    <row r="526" spans="1:4" x14ac:dyDescent="0.2">
      <c r="A526" s="162">
        <v>45324</v>
      </c>
      <c r="B526" s="155">
        <v>4.9149999618530202</v>
      </c>
      <c r="C526" s="155">
        <v>191.94999694824199</v>
      </c>
      <c r="D526" s="155">
        <f t="shared" si="8"/>
        <v>1216.7754264635296</v>
      </c>
    </row>
    <row r="527" spans="1:4" x14ac:dyDescent="0.2">
      <c r="A527" s="162">
        <v>45327</v>
      </c>
      <c r="B527" s="155">
        <v>4.9329380989074698</v>
      </c>
      <c r="C527" s="155">
        <v>189.5</v>
      </c>
      <c r="D527" s="155">
        <f t="shared" si="8"/>
        <v>1205.6289891905949</v>
      </c>
    </row>
    <row r="528" spans="1:4" x14ac:dyDescent="0.2">
      <c r="A528" s="162">
        <v>45328</v>
      </c>
      <c r="B528" s="155">
        <v>4.9499430656433097</v>
      </c>
      <c r="C528" s="155">
        <v>188.19999694824199</v>
      </c>
      <c r="D528" s="155">
        <f t="shared" si="8"/>
        <v>1201.485731701116</v>
      </c>
    </row>
    <row r="529" spans="1:4" x14ac:dyDescent="0.2">
      <c r="A529" s="162">
        <v>45329</v>
      </c>
      <c r="B529" s="155">
        <v>4.9622998237609801</v>
      </c>
      <c r="C529" s="155">
        <v>190.69999694824199</v>
      </c>
      <c r="D529" s="155">
        <f t="shared" si="8"/>
        <v>1220.4851201577133</v>
      </c>
    </row>
    <row r="530" spans="1:4" x14ac:dyDescent="0.2">
      <c r="A530" s="162">
        <v>45330</v>
      </c>
      <c r="B530" s="155">
        <v>4.9692997932434002</v>
      </c>
      <c r="C530" s="155">
        <v>188.80000305175699</v>
      </c>
      <c r="D530" s="155">
        <f t="shared" si="8"/>
        <v>1210.0296077766347</v>
      </c>
    </row>
    <row r="531" spans="1:4" x14ac:dyDescent="0.2">
      <c r="A531" s="162">
        <v>45331</v>
      </c>
      <c r="B531" s="155">
        <v>4.9918999671936</v>
      </c>
      <c r="C531" s="155">
        <v>196.30000305175699</v>
      </c>
      <c r="D531" s="155">
        <f t="shared" si="8"/>
        <v>1263.819296950204</v>
      </c>
    </row>
    <row r="532" spans="1:4" x14ac:dyDescent="0.2">
      <c r="A532" s="162">
        <v>45334</v>
      </c>
      <c r="B532" s="155">
        <v>4.9531002044677699</v>
      </c>
      <c r="C532" s="155">
        <v>195.600006103515</v>
      </c>
      <c r="D532" s="155">
        <f t="shared" si="8"/>
        <v>1249.5245118543694</v>
      </c>
    </row>
    <row r="533" spans="1:4" x14ac:dyDescent="0.2">
      <c r="A533" s="162">
        <v>45335</v>
      </c>
      <c r="B533" s="155">
        <v>4.9521999359130797</v>
      </c>
      <c r="C533" s="155">
        <v>193</v>
      </c>
      <c r="D533" s="155">
        <f t="shared" si="8"/>
        <v>1232.691158905619</v>
      </c>
    </row>
    <row r="534" spans="1:4" x14ac:dyDescent="0.2">
      <c r="A534" s="162">
        <v>45336</v>
      </c>
      <c r="B534" s="155">
        <v>4.9520001411437899</v>
      </c>
      <c r="C534" s="155">
        <v>187.05000305175699</v>
      </c>
      <c r="D534" s="155">
        <f t="shared" si="8"/>
        <v>1194.64032420888</v>
      </c>
    </row>
    <row r="535" spans="1:4" x14ac:dyDescent="0.2">
      <c r="A535" s="162">
        <v>45337</v>
      </c>
      <c r="B535" s="155">
        <v>4.96829986572265</v>
      </c>
      <c r="C535" s="155">
        <v>189.30000305175699</v>
      </c>
      <c r="D535" s="155">
        <f t="shared" si="8"/>
        <v>1212.9900070903798</v>
      </c>
    </row>
    <row r="536" spans="1:4" x14ac:dyDescent="0.2">
      <c r="A536" s="162">
        <v>45338</v>
      </c>
      <c r="B536" s="155">
        <v>4.9724001884460396</v>
      </c>
      <c r="C536" s="155">
        <v>190.850006103515</v>
      </c>
      <c r="D536" s="155">
        <f t="shared" si="8"/>
        <v>1223.9313368414141</v>
      </c>
    </row>
    <row r="537" spans="1:4" x14ac:dyDescent="0.2">
      <c r="A537" s="162">
        <v>45342</v>
      </c>
      <c r="B537" s="155">
        <v>4.9563999176025302</v>
      </c>
      <c r="C537" s="155">
        <v>191.600006103515</v>
      </c>
      <c r="D537" s="155">
        <f t="shared" si="8"/>
        <v>1224.7872637699916</v>
      </c>
    </row>
    <row r="538" spans="1:4" x14ac:dyDescent="0.2">
      <c r="A538" s="162">
        <v>45343</v>
      </c>
      <c r="B538" s="155">
        <v>4.9264001846313397</v>
      </c>
      <c r="C538" s="155">
        <v>198.350006103515</v>
      </c>
      <c r="D538" s="155">
        <f t="shared" si="8"/>
        <v>1260.2616127232725</v>
      </c>
    </row>
    <row r="539" spans="1:4" x14ac:dyDescent="0.2">
      <c r="A539" s="162">
        <v>45344</v>
      </c>
      <c r="B539" s="155">
        <v>4.9348998069763104</v>
      </c>
      <c r="C539" s="155">
        <v>193.850006103515</v>
      </c>
      <c r="D539" s="155">
        <f t="shared" si="8"/>
        <v>1233.7948712397649</v>
      </c>
    </row>
    <row r="540" spans="1:4" x14ac:dyDescent="0.2">
      <c r="A540" s="162">
        <v>45345</v>
      </c>
      <c r="B540" s="155">
        <v>4.9623999595642001</v>
      </c>
      <c r="C540" s="155">
        <v>191</v>
      </c>
      <c r="D540" s="155">
        <f t="shared" si="8"/>
        <v>1222.4298150711086</v>
      </c>
    </row>
    <row r="541" spans="1:4" x14ac:dyDescent="0.2">
      <c r="A541" s="162">
        <v>45348</v>
      </c>
      <c r="B541" s="155">
        <v>4.9935002326965297</v>
      </c>
      <c r="C541" s="155">
        <v>190.100006103515</v>
      </c>
      <c r="D541" s="155">
        <f t="shared" si="8"/>
        <v>1224.2948064857603</v>
      </c>
    </row>
    <row r="542" spans="1:4" x14ac:dyDescent="0.2">
      <c r="A542" s="162">
        <v>45349</v>
      </c>
      <c r="B542" s="155">
        <v>4.9788999557495099</v>
      </c>
      <c r="C542" s="155">
        <v>194.05000305175699</v>
      </c>
      <c r="D542" s="155">
        <f t="shared" si="8"/>
        <v>1246.0797995748508</v>
      </c>
    </row>
    <row r="543" spans="1:4" x14ac:dyDescent="0.2">
      <c r="A543" s="162">
        <v>45350</v>
      </c>
      <c r="B543" s="155">
        <v>4.9324002265930096</v>
      </c>
      <c r="C543" s="155">
        <v>193.350006103515</v>
      </c>
      <c r="D543" s="155">
        <f t="shared" si="8"/>
        <v>1229.9892084568335</v>
      </c>
    </row>
    <row r="544" spans="1:4" x14ac:dyDescent="0.2">
      <c r="A544" s="162">
        <v>45351</v>
      </c>
      <c r="B544" s="155">
        <v>4.9672999382018999</v>
      </c>
      <c r="C544" s="155">
        <v>195.850006103515</v>
      </c>
      <c r="D544" s="155">
        <f t="shared" si="8"/>
        <v>1254.7083146018651</v>
      </c>
    </row>
    <row r="545" spans="1:4" x14ac:dyDescent="0.2">
      <c r="A545" s="162">
        <v>45352</v>
      </c>
      <c r="B545" s="155">
        <v>4.9697999954223597</v>
      </c>
      <c r="C545" s="155">
        <v>193.80000305175699</v>
      </c>
      <c r="D545" s="155">
        <f t="shared" si="8"/>
        <v>1242.1999082618674</v>
      </c>
    </row>
    <row r="546" spans="1:4" x14ac:dyDescent="0.2">
      <c r="A546" s="162">
        <v>45355</v>
      </c>
      <c r="B546" s="155">
        <v>4.9527001380920401</v>
      </c>
      <c r="C546" s="155">
        <v>197.39999389648401</v>
      </c>
      <c r="D546" s="155">
        <f t="shared" si="8"/>
        <v>1260.9212713655263</v>
      </c>
    </row>
    <row r="547" spans="1:4" x14ac:dyDescent="0.2">
      <c r="A547" s="162">
        <v>45356</v>
      </c>
      <c r="B547" s="155">
        <v>4.9449000358581499</v>
      </c>
      <c r="C547" s="155">
        <v>195</v>
      </c>
      <c r="D547" s="155">
        <f t="shared" si="8"/>
        <v>1243.6292550332296</v>
      </c>
    </row>
    <row r="548" spans="1:4" x14ac:dyDescent="0.2">
      <c r="A548" s="162">
        <v>45357</v>
      </c>
      <c r="B548" s="155">
        <v>4.9570999145507804</v>
      </c>
      <c r="C548" s="155">
        <v>194.44999694824199</v>
      </c>
      <c r="D548" s="155">
        <f t="shared" si="8"/>
        <v>1243.181146423844</v>
      </c>
    </row>
    <row r="549" spans="1:4" x14ac:dyDescent="0.2">
      <c r="A549" s="162">
        <v>45358</v>
      </c>
      <c r="B549" s="155">
        <v>4.9436001777648899</v>
      </c>
      <c r="C549" s="155">
        <v>198.350006103515</v>
      </c>
      <c r="D549" s="155">
        <f t="shared" si="8"/>
        <v>1264.6616797647077</v>
      </c>
    </row>
    <row r="550" spans="1:4" x14ac:dyDescent="0.2">
      <c r="A550" s="162">
        <v>45359</v>
      </c>
      <c r="B550" s="155">
        <v>4.9338002204895002</v>
      </c>
      <c r="C550" s="155">
        <v>191.39999389648401</v>
      </c>
      <c r="D550" s="155">
        <f t="shared" si="8"/>
        <v>1217.9298694740648</v>
      </c>
    </row>
    <row r="551" spans="1:4" x14ac:dyDescent="0.2">
      <c r="A551" s="162">
        <v>45362</v>
      </c>
      <c r="B551" s="155">
        <v>4.9775400161743102</v>
      </c>
      <c r="C551" s="155">
        <v>194.350006103515</v>
      </c>
      <c r="D551" s="155">
        <f t="shared" si="8"/>
        <v>1247.6653690241365</v>
      </c>
    </row>
    <row r="552" spans="1:4" x14ac:dyDescent="0.2">
      <c r="A552" s="162">
        <v>45363</v>
      </c>
      <c r="B552" s="155">
        <v>4.9773998260498002</v>
      </c>
      <c r="C552" s="155">
        <v>195.39999389648401</v>
      </c>
      <c r="D552" s="155">
        <f t="shared" si="8"/>
        <v>1254.3706277115139</v>
      </c>
    </row>
    <row r="553" spans="1:4" x14ac:dyDescent="0.2">
      <c r="A553" s="162">
        <v>45364</v>
      </c>
      <c r="B553" s="155">
        <v>4.9686999320983798</v>
      </c>
      <c r="C553" s="155">
        <v>191.64999389648401</v>
      </c>
      <c r="D553" s="155">
        <f t="shared" si="8"/>
        <v>1228.1470841874</v>
      </c>
    </row>
    <row r="554" spans="1:4" x14ac:dyDescent="0.2">
      <c r="A554" s="162">
        <v>45365</v>
      </c>
      <c r="B554" s="155">
        <v>4.9692001342773402</v>
      </c>
      <c r="C554" s="155">
        <v>191.350006103515</v>
      </c>
      <c r="D554" s="155">
        <f t="shared" si="8"/>
        <v>1226.3481228218618</v>
      </c>
    </row>
    <row r="555" spans="1:4" x14ac:dyDescent="0.2">
      <c r="A555" s="162">
        <v>45366</v>
      </c>
      <c r="B555" s="155">
        <v>4.9927000999450604</v>
      </c>
      <c r="C555" s="155">
        <v>182.850006103515</v>
      </c>
      <c r="D555" s="155">
        <f t="shared" si="8"/>
        <v>1177.4141773190747</v>
      </c>
    </row>
    <row r="556" spans="1:4" x14ac:dyDescent="0.2">
      <c r="A556" s="162">
        <v>45369</v>
      </c>
      <c r="B556" s="155">
        <v>4.9680471420287997</v>
      </c>
      <c r="C556" s="155">
        <v>181.850006103515</v>
      </c>
      <c r="D556" s="155">
        <f t="shared" si="8"/>
        <v>1165.1929013607917</v>
      </c>
    </row>
    <row r="557" spans="1:4" x14ac:dyDescent="0.2">
      <c r="A557" s="162">
        <v>45370</v>
      </c>
      <c r="B557" s="155">
        <v>5.0293998718261701</v>
      </c>
      <c r="C557" s="155">
        <v>183.05000305175699</v>
      </c>
      <c r="D557" s="155">
        <f t="shared" si="8"/>
        <v>1187.3662732846003</v>
      </c>
    </row>
    <row r="558" spans="1:4" x14ac:dyDescent="0.2">
      <c r="A558" s="162">
        <v>45371</v>
      </c>
      <c r="B558" s="155">
        <v>5.0300002098083496</v>
      </c>
      <c r="C558" s="155">
        <v>182.39999389648401</v>
      </c>
      <c r="D558" s="155">
        <f t="shared" si="8"/>
        <v>1183.2911723211359</v>
      </c>
    </row>
    <row r="559" spans="1:4" x14ac:dyDescent="0.2">
      <c r="A559" s="162">
        <v>45372</v>
      </c>
      <c r="B559" s="155">
        <v>4.9661998748779297</v>
      </c>
      <c r="C559" s="155">
        <v>185.69999694824199</v>
      </c>
      <c r="D559" s="155">
        <f t="shared" si="8"/>
        <v>1189.4190587844221</v>
      </c>
    </row>
    <row r="560" spans="1:4" x14ac:dyDescent="0.2">
      <c r="A560" s="162">
        <v>45373</v>
      </c>
      <c r="B560" s="155">
        <v>4.9745001792907697</v>
      </c>
      <c r="C560" s="155">
        <v>184.850006103515</v>
      </c>
      <c r="D560" s="155">
        <f t="shared" si="8"/>
        <v>1185.9536663450515</v>
      </c>
    </row>
    <row r="561" spans="1:4" x14ac:dyDescent="0.2">
      <c r="A561" s="162">
        <v>45376</v>
      </c>
      <c r="B561" s="155">
        <v>5.0008997917175204</v>
      </c>
      <c r="C561" s="155">
        <v>185.64999389648401</v>
      </c>
      <c r="D561" s="155">
        <f t="shared" si="8"/>
        <v>1197.4072777997103</v>
      </c>
    </row>
    <row r="562" spans="1:4" x14ac:dyDescent="0.2">
      <c r="A562" s="162">
        <v>45377</v>
      </c>
      <c r="B562" s="155">
        <v>4.9721999168395996</v>
      </c>
      <c r="C562" s="155">
        <v>188.05000305175699</v>
      </c>
      <c r="D562" s="155">
        <f t="shared" si="8"/>
        <v>1205.9261943043914</v>
      </c>
    </row>
    <row r="563" spans="1:4" x14ac:dyDescent="0.2">
      <c r="A563" s="162">
        <v>45378</v>
      </c>
      <c r="B563" s="155">
        <v>4.9756999015808097</v>
      </c>
      <c r="C563" s="155">
        <v>190.64999389648401</v>
      </c>
      <c r="D563" s="155">
        <f t="shared" si="8"/>
        <v>1223.4600044364975</v>
      </c>
    </row>
    <row r="564" spans="1:4" x14ac:dyDescent="0.2">
      <c r="A564" s="162">
        <v>45379</v>
      </c>
      <c r="B564" s="155">
        <v>4.9903001785278303</v>
      </c>
      <c r="C564" s="155">
        <v>188.850006103515</v>
      </c>
      <c r="D564" s="155">
        <f t="shared" si="8"/>
        <v>1215.4650498144483</v>
      </c>
    </row>
    <row r="565" spans="1:4" x14ac:dyDescent="0.2">
      <c r="A565" s="162">
        <v>45383</v>
      </c>
      <c r="B565" s="155">
        <v>5.01319980621337</v>
      </c>
      <c r="C565" s="155">
        <v>191.80000305175699</v>
      </c>
      <c r="D565" s="155">
        <f t="shared" si="8"/>
        <v>1240.1163286194262</v>
      </c>
    </row>
    <row r="566" spans="1:4" x14ac:dyDescent="0.2">
      <c r="A566" s="162">
        <v>45384</v>
      </c>
      <c r="B566" s="155">
        <v>5.0535998344421298</v>
      </c>
      <c r="C566" s="155">
        <v>197.75</v>
      </c>
      <c r="D566" s="155">
        <f t="shared" si="8"/>
        <v>1288.8908594374409</v>
      </c>
    </row>
    <row r="567" spans="1:4" x14ac:dyDescent="0.2">
      <c r="A567" s="162">
        <v>45385</v>
      </c>
      <c r="B567" s="155">
        <v>5.0644001960754297</v>
      </c>
      <c r="C567" s="155">
        <v>203.600006103515</v>
      </c>
      <c r="D567" s="155">
        <f t="shared" si="8"/>
        <v>1329.8559647568395</v>
      </c>
    </row>
    <row r="568" spans="1:4" x14ac:dyDescent="0.2">
      <c r="A568" s="162">
        <v>45386</v>
      </c>
      <c r="B568" s="155">
        <v>5.0385999679565403</v>
      </c>
      <c r="C568" s="155">
        <v>206.75</v>
      </c>
      <c r="D568" s="155">
        <f t="shared" si="8"/>
        <v>1343.5511337070577</v>
      </c>
    </row>
    <row r="569" spans="1:4" x14ac:dyDescent="0.2">
      <c r="A569" s="162">
        <v>45387</v>
      </c>
      <c r="B569" s="155">
        <v>5.0574002265930096</v>
      </c>
      <c r="C569" s="155">
        <v>212.5</v>
      </c>
      <c r="D569" s="155">
        <f t="shared" si="8"/>
        <v>1386.0696687768077</v>
      </c>
    </row>
    <row r="570" spans="1:4" x14ac:dyDescent="0.2">
      <c r="A570" s="162">
        <v>45390</v>
      </c>
      <c r="B570" s="155">
        <v>5.0549001693725497</v>
      </c>
      <c r="C570" s="155">
        <v>211.100006103515</v>
      </c>
      <c r="D570" s="155">
        <f t="shared" si="8"/>
        <v>1376.2572848700095</v>
      </c>
    </row>
    <row r="571" spans="1:4" x14ac:dyDescent="0.2">
      <c r="A571" s="162">
        <v>45391</v>
      </c>
      <c r="B571" s="155">
        <v>5.0239000320434499</v>
      </c>
      <c r="C571" s="155">
        <v>213.55000305175699</v>
      </c>
      <c r="D571" s="155">
        <f t="shared" si="8"/>
        <v>1383.6918181110975</v>
      </c>
    </row>
    <row r="572" spans="1:4" x14ac:dyDescent="0.2">
      <c r="A572" s="162">
        <v>45392</v>
      </c>
      <c r="B572" s="155">
        <v>5.0075998306274396</v>
      </c>
      <c r="C572" s="155">
        <v>214.64999389648401</v>
      </c>
      <c r="D572" s="155">
        <f t="shared" si="8"/>
        <v>1386.3066243297449</v>
      </c>
    </row>
    <row r="573" spans="1:4" x14ac:dyDescent="0.2">
      <c r="A573" s="162">
        <v>45393</v>
      </c>
      <c r="B573" s="155">
        <v>5.0661997795104901</v>
      </c>
      <c r="C573" s="155">
        <v>220.350006103515</v>
      </c>
      <c r="D573" s="155">
        <f t="shared" si="8"/>
        <v>1439.7735154832931</v>
      </c>
    </row>
    <row r="574" spans="1:4" x14ac:dyDescent="0.2">
      <c r="A574" s="162">
        <v>45394</v>
      </c>
      <c r="B574" s="155">
        <v>5.0904002189636204</v>
      </c>
      <c r="C574" s="155">
        <v>224.64999389648401</v>
      </c>
      <c r="D574" s="155">
        <f t="shared" si="8"/>
        <v>1474.8815470137888</v>
      </c>
    </row>
    <row r="575" spans="1:4" x14ac:dyDescent="0.2">
      <c r="A575" s="162">
        <v>45397</v>
      </c>
      <c r="B575" s="155">
        <v>5.1170997619628897</v>
      </c>
      <c r="C575" s="155">
        <v>231.55000305175699</v>
      </c>
      <c r="D575" s="155">
        <f t="shared" si="8"/>
        <v>1528.1552470875765</v>
      </c>
    </row>
    <row r="576" spans="1:4" x14ac:dyDescent="0.2">
      <c r="A576" s="162">
        <v>45398</v>
      </c>
      <c r="B576" s="155">
        <v>5.1837000846862704</v>
      </c>
      <c r="C576" s="155">
        <v>236.75</v>
      </c>
      <c r="D576" s="155">
        <f t="shared" si="8"/>
        <v>1582.8095285451591</v>
      </c>
    </row>
    <row r="577" spans="1:4" x14ac:dyDescent="0.2">
      <c r="A577" s="162">
        <v>45399</v>
      </c>
      <c r="B577" s="155">
        <v>5.28550004959106</v>
      </c>
      <c r="C577" s="155">
        <v>247.94999694824199</v>
      </c>
      <c r="D577" s="155">
        <f t="shared" si="8"/>
        <v>1690.2423945794717</v>
      </c>
    </row>
    <row r="578" spans="1:4" x14ac:dyDescent="0.2">
      <c r="A578" s="162">
        <v>45400</v>
      </c>
      <c r="B578" s="155">
        <v>5.23260021209716</v>
      </c>
      <c r="C578" s="155">
        <v>239.850006103515</v>
      </c>
      <c r="D578" s="155">
        <f t="shared" si="8"/>
        <v>1618.6616981412392</v>
      </c>
    </row>
    <row r="579" spans="1:4" x14ac:dyDescent="0.2">
      <c r="A579" s="162">
        <v>45401</v>
      </c>
      <c r="B579" s="155">
        <v>5.2417001724243102</v>
      </c>
      <c r="C579" s="155">
        <v>241.39999389648401</v>
      </c>
      <c r="D579" s="155">
        <f t="shared" ref="D579:D642" si="9">(B579*(1-$F$1)*C579*1.3228)</f>
        <v>1631.9551990980513</v>
      </c>
    </row>
    <row r="580" spans="1:4" x14ac:dyDescent="0.2">
      <c r="A580" s="162">
        <v>45404</v>
      </c>
      <c r="B580" s="155">
        <v>5.2062001228332502</v>
      </c>
      <c r="C580" s="155">
        <v>231.64999389648401</v>
      </c>
      <c r="D580" s="155">
        <f t="shared" si="9"/>
        <v>1555.4353080336707</v>
      </c>
    </row>
    <row r="581" spans="1:4" x14ac:dyDescent="0.2">
      <c r="A581" s="162">
        <v>45405</v>
      </c>
      <c r="B581" s="155">
        <v>5.1656999588012598</v>
      </c>
      <c r="C581" s="155">
        <v>224.5</v>
      </c>
      <c r="D581" s="155">
        <f t="shared" si="9"/>
        <v>1495.699417665636</v>
      </c>
    </row>
    <row r="582" spans="1:4" x14ac:dyDescent="0.2">
      <c r="A582" s="162">
        <v>45406</v>
      </c>
      <c r="B582" s="155">
        <v>5.1304998397827104</v>
      </c>
      <c r="C582" s="155">
        <v>228.44999694824199</v>
      </c>
      <c r="D582" s="155">
        <f t="shared" si="9"/>
        <v>1511.6443909146578</v>
      </c>
    </row>
    <row r="583" spans="1:4" x14ac:dyDescent="0.2">
      <c r="A583" s="162">
        <v>45407</v>
      </c>
      <c r="B583" s="155">
        <v>5.1455001831054599</v>
      </c>
      <c r="C583" s="155">
        <v>231.94999694824199</v>
      </c>
      <c r="D583" s="155">
        <f t="shared" si="9"/>
        <v>1539.2911451183743</v>
      </c>
    </row>
    <row r="584" spans="1:4" x14ac:dyDescent="0.2">
      <c r="A584" s="162">
        <v>45408</v>
      </c>
      <c r="B584" s="155">
        <v>5.1585998535156197</v>
      </c>
      <c r="C584" s="155">
        <v>230.600006103515</v>
      </c>
      <c r="D584" s="155">
        <f t="shared" si="9"/>
        <v>1534.2281886885378</v>
      </c>
    </row>
    <row r="585" spans="1:4" x14ac:dyDescent="0.2">
      <c r="A585" s="162">
        <v>45411</v>
      </c>
      <c r="B585" s="155">
        <v>5.1154999732971103</v>
      </c>
      <c r="C585" s="155">
        <v>233.55000305175699</v>
      </c>
      <c r="D585" s="155">
        <f t="shared" si="9"/>
        <v>1540.8727185842142</v>
      </c>
    </row>
    <row r="586" spans="1:4" x14ac:dyDescent="0.2">
      <c r="A586" s="162">
        <v>45412</v>
      </c>
      <c r="B586" s="155">
        <v>5.11700010299682</v>
      </c>
      <c r="C586" s="155">
        <v>220.64999389648401</v>
      </c>
      <c r="D586" s="155">
        <f t="shared" si="9"/>
        <v>1456.1903456967741</v>
      </c>
    </row>
    <row r="587" spans="1:4" x14ac:dyDescent="0.2">
      <c r="A587" s="162">
        <v>45413</v>
      </c>
      <c r="B587" s="155">
        <v>5.1939001083373997</v>
      </c>
      <c r="C587" s="155">
        <v>219.05000305175699</v>
      </c>
      <c r="D587" s="155">
        <f t="shared" si="9"/>
        <v>1467.3565611752215</v>
      </c>
    </row>
    <row r="588" spans="1:4" x14ac:dyDescent="0.2">
      <c r="A588" s="162">
        <v>45414</v>
      </c>
      <c r="B588" s="155">
        <v>5.1943998336791903</v>
      </c>
      <c r="C588" s="155">
        <v>208.64999389648401</v>
      </c>
      <c r="D588" s="155">
        <f t="shared" si="9"/>
        <v>1397.8241976317779</v>
      </c>
    </row>
    <row r="589" spans="1:4" x14ac:dyDescent="0.2">
      <c r="A589" s="162">
        <v>45415</v>
      </c>
      <c r="B589" s="155">
        <v>5.1103000640869096</v>
      </c>
      <c r="C589" s="155">
        <v>205.89999389648401</v>
      </c>
      <c r="D589" s="155">
        <f t="shared" si="9"/>
        <v>1357.0677731830172</v>
      </c>
    </row>
    <row r="590" spans="1:4" x14ac:dyDescent="0.2">
      <c r="A590" s="162">
        <v>45418</v>
      </c>
      <c r="B590" s="155">
        <v>5.0708999633789</v>
      </c>
      <c r="C590" s="155">
        <v>200.69999694824199</v>
      </c>
      <c r="D590" s="155">
        <f t="shared" si="9"/>
        <v>1312.5964062617943</v>
      </c>
    </row>
    <row r="591" spans="1:4" x14ac:dyDescent="0.2">
      <c r="A591" s="162">
        <v>45419</v>
      </c>
      <c r="B591" s="155">
        <v>5.0749001502990696</v>
      </c>
      <c r="C591" s="155">
        <v>199</v>
      </c>
      <c r="D591" s="155">
        <f t="shared" si="9"/>
        <v>1302.5049431981984</v>
      </c>
    </row>
    <row r="592" spans="1:4" x14ac:dyDescent="0.2">
      <c r="A592" s="162">
        <v>45420</v>
      </c>
      <c r="B592" s="155">
        <v>5.0732998847961399</v>
      </c>
      <c r="C592" s="155">
        <v>200.25</v>
      </c>
      <c r="D592" s="155">
        <f t="shared" si="9"/>
        <v>1310.2732088487296</v>
      </c>
    </row>
    <row r="593" spans="1:4" x14ac:dyDescent="0.2">
      <c r="A593" s="162">
        <v>45421</v>
      </c>
      <c r="B593" s="155">
        <v>5.0879001617431596</v>
      </c>
      <c r="C593" s="155">
        <v>203.69999694824199</v>
      </c>
      <c r="D593" s="155">
        <f t="shared" si="9"/>
        <v>1336.68293975505</v>
      </c>
    </row>
    <row r="594" spans="1:4" x14ac:dyDescent="0.2">
      <c r="A594" s="162">
        <v>45422</v>
      </c>
      <c r="B594" s="155">
        <v>5.1407999992370597</v>
      </c>
      <c r="C594" s="155">
        <v>204.39999389648401</v>
      </c>
      <c r="D594" s="155">
        <f t="shared" si="9"/>
        <v>1355.2218296606729</v>
      </c>
    </row>
    <row r="595" spans="1:4" x14ac:dyDescent="0.2">
      <c r="A595" s="162">
        <v>45425</v>
      </c>
      <c r="B595" s="155">
        <v>5.1232600212097097</v>
      </c>
      <c r="C595" s="155">
        <v>200.39999389648401</v>
      </c>
      <c r="D595" s="155">
        <f t="shared" si="9"/>
        <v>1324.167437960094</v>
      </c>
    </row>
    <row r="596" spans="1:4" x14ac:dyDescent="0.2">
      <c r="A596" s="162">
        <v>45426</v>
      </c>
      <c r="B596" s="155">
        <v>5.1542000770568803</v>
      </c>
      <c r="C596" s="155">
        <v>202.850006103515</v>
      </c>
      <c r="D596" s="155">
        <f t="shared" si="9"/>
        <v>1348.4507840761316</v>
      </c>
    </row>
    <row r="597" spans="1:4" x14ac:dyDescent="0.2">
      <c r="A597" s="162">
        <v>45427</v>
      </c>
      <c r="B597" s="155">
        <v>5.1277999877929599</v>
      </c>
      <c r="C597" s="155">
        <v>201.25</v>
      </c>
      <c r="D597" s="155">
        <f t="shared" si="9"/>
        <v>1330.962342499063</v>
      </c>
    </row>
    <row r="598" spans="1:4" x14ac:dyDescent="0.2">
      <c r="A598" s="162">
        <v>45428</v>
      </c>
      <c r="B598" s="155">
        <v>5.1336002349853498</v>
      </c>
      <c r="C598" s="155">
        <v>199.55000305175699</v>
      </c>
      <c r="D598" s="155">
        <f t="shared" si="9"/>
        <v>1321.2122352151061</v>
      </c>
    </row>
    <row r="599" spans="1:4" x14ac:dyDescent="0.2">
      <c r="A599" s="162">
        <v>45429</v>
      </c>
      <c r="B599" s="155">
        <v>5.12860012054443</v>
      </c>
      <c r="C599" s="155">
        <v>208.14999389648401</v>
      </c>
      <c r="D599" s="155">
        <f t="shared" si="9"/>
        <v>1376.810098204968</v>
      </c>
    </row>
    <row r="600" spans="1:4" x14ac:dyDescent="0.2">
      <c r="A600" s="162">
        <v>45432</v>
      </c>
      <c r="B600" s="155">
        <v>5.1020002365112296</v>
      </c>
      <c r="C600" s="155">
        <v>209.30000305175699</v>
      </c>
      <c r="D600" s="155">
        <f t="shared" si="9"/>
        <v>1377.2364588031367</v>
      </c>
    </row>
    <row r="601" spans="1:4" x14ac:dyDescent="0.2">
      <c r="A601" s="162">
        <v>45433</v>
      </c>
      <c r="B601" s="155">
        <v>5.1030998229980398</v>
      </c>
      <c r="C601" s="155">
        <v>217.19999694824199</v>
      </c>
      <c r="D601" s="155">
        <f t="shared" si="9"/>
        <v>1429.5280469346401</v>
      </c>
    </row>
    <row r="602" spans="1:4" x14ac:dyDescent="0.2">
      <c r="A602" s="162">
        <v>45434</v>
      </c>
      <c r="B602" s="155">
        <v>5.1219000816345197</v>
      </c>
      <c r="C602" s="155">
        <v>220.44999694824199</v>
      </c>
      <c r="D602" s="155">
        <f t="shared" si="9"/>
        <v>1456.2636228300455</v>
      </c>
    </row>
    <row r="603" spans="1:4" x14ac:dyDescent="0.2">
      <c r="A603" s="162">
        <v>45435</v>
      </c>
      <c r="B603" s="155">
        <v>5.1511001586914</v>
      </c>
      <c r="C603" s="155">
        <v>215.64999389648401</v>
      </c>
      <c r="D603" s="155">
        <f t="shared" si="9"/>
        <v>1432.6768605649506</v>
      </c>
    </row>
    <row r="604" spans="1:4" x14ac:dyDescent="0.2">
      <c r="A604" s="162">
        <v>45436</v>
      </c>
      <c r="B604" s="155">
        <v>5.1430997848510698</v>
      </c>
      <c r="C604" s="155">
        <v>218.25</v>
      </c>
      <c r="D604" s="155">
        <f t="shared" si="9"/>
        <v>1447.6981011638602</v>
      </c>
    </row>
    <row r="605" spans="1:4" x14ac:dyDescent="0.2">
      <c r="A605" s="162">
        <v>45440</v>
      </c>
      <c r="B605" s="155">
        <v>5.1717000007629297</v>
      </c>
      <c r="C605" s="155">
        <v>230.94999694824199</v>
      </c>
      <c r="D605" s="155">
        <f t="shared" si="9"/>
        <v>1540.4587991106775</v>
      </c>
    </row>
    <row r="606" spans="1:4" x14ac:dyDescent="0.2">
      <c r="A606" s="162">
        <v>45441</v>
      </c>
      <c r="B606" s="155">
        <v>5.1613001823425204</v>
      </c>
      <c r="C606" s="155">
        <v>229.44999694824199</v>
      </c>
      <c r="D606" s="155">
        <f t="shared" si="9"/>
        <v>1527.3760510188195</v>
      </c>
    </row>
    <row r="607" spans="1:4" x14ac:dyDescent="0.2">
      <c r="A607" s="162">
        <v>45442</v>
      </c>
      <c r="B607" s="155">
        <v>5.2020998001098597</v>
      </c>
      <c r="C607" s="155">
        <v>233</v>
      </c>
      <c r="D607" s="155">
        <f t="shared" si="9"/>
        <v>1563.2678728205956</v>
      </c>
    </row>
    <row r="608" spans="1:4" x14ac:dyDescent="0.2">
      <c r="A608" s="162">
        <v>45443</v>
      </c>
      <c r="B608" s="155">
        <v>5.2020998001098597</v>
      </c>
      <c r="C608" s="155">
        <v>222.350006103515</v>
      </c>
      <c r="D608" s="155">
        <f t="shared" si="9"/>
        <v>1491.8138243051003</v>
      </c>
    </row>
    <row r="609" spans="1:4" x14ac:dyDescent="0.2">
      <c r="A609" s="162">
        <v>45446</v>
      </c>
      <c r="B609" s="155">
        <v>5.2444000244140598</v>
      </c>
      <c r="C609" s="155">
        <v>226.55000305175699</v>
      </c>
      <c r="D609" s="155">
        <f t="shared" si="9"/>
        <v>1532.3525134937606</v>
      </c>
    </row>
    <row r="610" spans="1:4" x14ac:dyDescent="0.2">
      <c r="A610" s="162">
        <v>45447</v>
      </c>
      <c r="B610" s="155">
        <v>5.2490000724792401</v>
      </c>
      <c r="C610" s="155">
        <v>233.89999389648401</v>
      </c>
      <c r="D610" s="155">
        <f t="shared" si="9"/>
        <v>1583.4545094481171</v>
      </c>
    </row>
    <row r="611" spans="1:4" x14ac:dyDescent="0.2">
      <c r="A611" s="162">
        <v>45448</v>
      </c>
      <c r="B611" s="155">
        <v>5.2877001762390101</v>
      </c>
      <c r="C611" s="155">
        <v>231.94999694824199</v>
      </c>
      <c r="D611" s="155">
        <f t="shared" si="9"/>
        <v>1581.8306811162652</v>
      </c>
    </row>
    <row r="612" spans="1:4" x14ac:dyDescent="0.2">
      <c r="A612" s="162">
        <v>45449</v>
      </c>
      <c r="B612" s="155">
        <v>5.3003997802734304</v>
      </c>
      <c r="C612" s="155">
        <v>234.19999694824199</v>
      </c>
      <c r="D612" s="155">
        <f t="shared" si="9"/>
        <v>1601.0109944748665</v>
      </c>
    </row>
    <row r="613" spans="1:4" x14ac:dyDescent="0.2">
      <c r="A613" s="162">
        <v>45450</v>
      </c>
      <c r="B613" s="155">
        <v>5.2571001052856401</v>
      </c>
      <c r="C613" s="155">
        <v>224.80000305175699</v>
      </c>
      <c r="D613" s="155">
        <f t="shared" si="9"/>
        <v>1524.1979094756468</v>
      </c>
    </row>
    <row r="614" spans="1:4" x14ac:dyDescent="0.2">
      <c r="A614" s="162">
        <v>45453</v>
      </c>
      <c r="B614" s="155">
        <v>5.2704410552978498</v>
      </c>
      <c r="C614" s="155">
        <v>221.39999389648401</v>
      </c>
      <c r="D614" s="155">
        <f t="shared" si="9"/>
        <v>1504.9544901256741</v>
      </c>
    </row>
    <row r="615" spans="1:4" x14ac:dyDescent="0.2">
      <c r="A615" s="162">
        <v>45454</v>
      </c>
      <c r="B615" s="155">
        <v>5.35279989242553</v>
      </c>
      <c r="C615" s="155">
        <v>220.55000305175699</v>
      </c>
      <c r="D615" s="155">
        <f t="shared" si="9"/>
        <v>1522.6036908579599</v>
      </c>
    </row>
    <row r="616" spans="1:4" x14ac:dyDescent="0.2">
      <c r="A616" s="162">
        <v>45455</v>
      </c>
      <c r="B616" s="155">
        <v>5.3649001121520996</v>
      </c>
      <c r="C616" s="155">
        <v>224.350006103515</v>
      </c>
      <c r="D616" s="155">
        <f t="shared" si="9"/>
        <v>1552.3388548981479</v>
      </c>
    </row>
    <row r="617" spans="1:4" x14ac:dyDescent="0.2">
      <c r="A617" s="162">
        <v>45456</v>
      </c>
      <c r="B617" s="155">
        <v>5.40100002288818</v>
      </c>
      <c r="C617" s="155">
        <v>226.05000305175699</v>
      </c>
      <c r="D617" s="155">
        <f t="shared" si="9"/>
        <v>1574.6262904974253</v>
      </c>
    </row>
    <row r="618" spans="1:4" x14ac:dyDescent="0.2">
      <c r="A618" s="162">
        <v>45457</v>
      </c>
      <c r="B618" s="155">
        <v>5.3615999221801696</v>
      </c>
      <c r="C618" s="155">
        <v>224.14999389648401</v>
      </c>
      <c r="D618" s="155">
        <f t="shared" si="9"/>
        <v>1550.0008541841207</v>
      </c>
    </row>
    <row r="619" spans="1:4" x14ac:dyDescent="0.2">
      <c r="A619" s="162">
        <v>45460</v>
      </c>
      <c r="B619" s="155">
        <v>5.3572001457214302</v>
      </c>
      <c r="C619" s="155">
        <v>227.14999389648401</v>
      </c>
      <c r="D619" s="155">
        <f t="shared" si="9"/>
        <v>1569.4569349649887</v>
      </c>
    </row>
    <row r="620" spans="1:4" x14ac:dyDescent="0.2">
      <c r="A620" s="162">
        <v>45461</v>
      </c>
      <c r="B620" s="155">
        <v>5.4239997863769496</v>
      </c>
      <c r="C620" s="155">
        <v>226.30000305175699</v>
      </c>
      <c r="D620" s="155">
        <f t="shared" si="9"/>
        <v>1583.0805951752677</v>
      </c>
    </row>
    <row r="621" spans="1:4" x14ac:dyDescent="0.2">
      <c r="A621" s="162">
        <v>45463</v>
      </c>
      <c r="B621" s="155">
        <v>5.4223999977111799</v>
      </c>
      <c r="C621" s="155">
        <v>230.25</v>
      </c>
      <c r="D621" s="155">
        <f t="shared" si="9"/>
        <v>1610.2377062683108</v>
      </c>
    </row>
    <row r="622" spans="1:4" x14ac:dyDescent="0.2">
      <c r="A622" s="162">
        <v>45464</v>
      </c>
      <c r="B622" s="155">
        <v>5.4524002075195304</v>
      </c>
      <c r="C622" s="155">
        <v>226.55000305175699</v>
      </c>
      <c r="D622" s="155">
        <f t="shared" si="9"/>
        <v>1593.1277407657192</v>
      </c>
    </row>
    <row r="623" spans="1:4" x14ac:dyDescent="0.2">
      <c r="A623" s="162">
        <v>45467</v>
      </c>
      <c r="B623" s="155">
        <v>5.42612600326538</v>
      </c>
      <c r="C623" s="155">
        <v>238</v>
      </c>
      <c r="D623" s="155">
        <f t="shared" si="9"/>
        <v>1665.5805226655668</v>
      </c>
    </row>
    <row r="624" spans="1:4" x14ac:dyDescent="0.2">
      <c r="A624" s="162">
        <v>45468</v>
      </c>
      <c r="B624" s="155">
        <v>5.38929986953735</v>
      </c>
      <c r="C624" s="155">
        <v>231.19999694824199</v>
      </c>
      <c r="D624" s="155">
        <f t="shared" si="9"/>
        <v>1607.0114646227375</v>
      </c>
    </row>
    <row r="625" spans="1:4" x14ac:dyDescent="0.2">
      <c r="A625" s="162">
        <v>45469</v>
      </c>
      <c r="B625" s="155">
        <v>5.45069980621337</v>
      </c>
      <c r="C625" s="155">
        <v>226.350006103515</v>
      </c>
      <c r="D625" s="155">
        <f t="shared" si="9"/>
        <v>1591.2249385799339</v>
      </c>
    </row>
    <row r="626" spans="1:4" x14ac:dyDescent="0.2">
      <c r="A626" s="162">
        <v>45470</v>
      </c>
      <c r="B626" s="155">
        <v>5.52250003814697</v>
      </c>
      <c r="C626" s="155">
        <v>228.25</v>
      </c>
      <c r="D626" s="155">
        <f t="shared" si="9"/>
        <v>1625.7183796109882</v>
      </c>
    </row>
    <row r="627" spans="1:4" x14ac:dyDescent="0.2">
      <c r="A627" s="162">
        <v>45471</v>
      </c>
      <c r="B627" s="155">
        <v>5.5005002021789497</v>
      </c>
      <c r="C627" s="155">
        <v>228.94999694824199</v>
      </c>
      <c r="D627" s="155">
        <f t="shared" si="9"/>
        <v>1624.2079391422349</v>
      </c>
    </row>
    <row r="628" spans="1:4" x14ac:dyDescent="0.2">
      <c r="A628" s="162">
        <v>45474</v>
      </c>
      <c r="B628" s="155">
        <v>5.5918998718261701</v>
      </c>
      <c r="C628" s="155">
        <v>226.69999694824199</v>
      </c>
      <c r="D628" s="155">
        <f t="shared" si="9"/>
        <v>1634.9696776078019</v>
      </c>
    </row>
    <row r="629" spans="1:4" x14ac:dyDescent="0.2">
      <c r="A629" s="162">
        <v>45475</v>
      </c>
      <c r="B629" s="155">
        <v>5.6550002098083496</v>
      </c>
      <c r="C629" s="155">
        <v>229.100006103515</v>
      </c>
      <c r="D629" s="155">
        <f t="shared" si="9"/>
        <v>1670.923350174091</v>
      </c>
    </row>
    <row r="630" spans="1:4" x14ac:dyDescent="0.2">
      <c r="A630" s="162">
        <v>45476</v>
      </c>
      <c r="B630" s="155">
        <v>5.6754999160766602</v>
      </c>
      <c r="C630" s="155">
        <v>225.94999694824199</v>
      </c>
      <c r="D630" s="155">
        <f t="shared" si="9"/>
        <v>1653.9229110643234</v>
      </c>
    </row>
    <row r="631" spans="1:4" x14ac:dyDescent="0.2">
      <c r="A631" s="162">
        <v>45478</v>
      </c>
      <c r="B631" s="155">
        <v>5.4864001274108798</v>
      </c>
      <c r="C631" s="155">
        <v>230.30000305175699</v>
      </c>
      <c r="D631" s="155">
        <f t="shared" si="9"/>
        <v>1629.5970263999491</v>
      </c>
    </row>
    <row r="632" spans="1:4" x14ac:dyDescent="0.2">
      <c r="A632" s="162">
        <v>45481</v>
      </c>
      <c r="B632" s="155">
        <v>5.4712901115417401</v>
      </c>
      <c r="C632" s="155">
        <v>236.19999694824199</v>
      </c>
      <c r="D632" s="155">
        <f t="shared" si="9"/>
        <v>1666.7422068162807</v>
      </c>
    </row>
    <row r="633" spans="1:4" x14ac:dyDescent="0.2">
      <c r="A633" s="162">
        <v>45482</v>
      </c>
      <c r="B633" s="155">
        <v>5.4703998565673801</v>
      </c>
      <c r="C633" s="155">
        <v>252</v>
      </c>
      <c r="D633" s="155">
        <f t="shared" si="9"/>
        <v>1777.945379366683</v>
      </c>
    </row>
    <row r="634" spans="1:4" x14ac:dyDescent="0.2">
      <c r="A634" s="162">
        <v>45483</v>
      </c>
      <c r="B634" s="155">
        <v>5.4170999526977504</v>
      </c>
      <c r="C634" s="155">
        <v>245.69999694824199</v>
      </c>
      <c r="D634" s="155">
        <f t="shared" si="9"/>
        <v>1716.6066949922465</v>
      </c>
    </row>
    <row r="635" spans="1:4" x14ac:dyDescent="0.2">
      <c r="A635" s="162">
        <v>45484</v>
      </c>
      <c r="B635" s="155">
        <v>5.4147000312805096</v>
      </c>
      <c r="C635" s="155">
        <v>246.75</v>
      </c>
      <c r="D635" s="155">
        <f t="shared" si="9"/>
        <v>1723.1788893539867</v>
      </c>
    </row>
    <row r="636" spans="1:4" x14ac:dyDescent="0.2">
      <c r="A636" s="162">
        <v>45485</v>
      </c>
      <c r="B636" s="155">
        <v>5.4380002021789497</v>
      </c>
      <c r="C636" s="155">
        <v>250.44999694824199</v>
      </c>
      <c r="D636" s="155">
        <f t="shared" si="9"/>
        <v>1756.5440771857409</v>
      </c>
    </row>
    <row r="637" spans="1:4" x14ac:dyDescent="0.2">
      <c r="A637" s="162">
        <v>45488</v>
      </c>
      <c r="B637" s="155">
        <v>5.4228000640869096</v>
      </c>
      <c r="C637" s="155">
        <v>244.14999389648401</v>
      </c>
      <c r="D637" s="155">
        <f t="shared" si="9"/>
        <v>1707.5723436050987</v>
      </c>
    </row>
    <row r="638" spans="1:4" x14ac:dyDescent="0.2">
      <c r="A638" s="162">
        <v>45489</v>
      </c>
      <c r="B638" s="155">
        <v>5.4468002319335902</v>
      </c>
      <c r="C638" s="155">
        <v>245.39999389648401</v>
      </c>
      <c r="D638" s="155">
        <f t="shared" si="9"/>
        <v>1723.9108252559217</v>
      </c>
    </row>
    <row r="639" spans="1:4" x14ac:dyDescent="0.2">
      <c r="A639" s="162">
        <v>45490</v>
      </c>
      <c r="B639" s="155">
        <v>5.4243001937866202</v>
      </c>
      <c r="C639" s="155">
        <v>247.350006103515</v>
      </c>
      <c r="D639" s="155">
        <f t="shared" si="9"/>
        <v>1730.4316258069082</v>
      </c>
    </row>
    <row r="640" spans="1:4" x14ac:dyDescent="0.2">
      <c r="A640" s="162">
        <v>45491</v>
      </c>
      <c r="B640" s="155">
        <v>5.4876999855041504</v>
      </c>
      <c r="C640" s="155">
        <v>243.39999389648401</v>
      </c>
      <c r="D640" s="155">
        <f t="shared" si="9"/>
        <v>1722.7002837823009</v>
      </c>
    </row>
    <row r="641" spans="1:4" x14ac:dyDescent="0.2">
      <c r="A641" s="162">
        <v>45492</v>
      </c>
      <c r="B641" s="155">
        <v>5.5432000160217196</v>
      </c>
      <c r="C641" s="155">
        <v>238.19999694824199</v>
      </c>
      <c r="D641" s="155">
        <f t="shared" si="9"/>
        <v>1702.9468873395674</v>
      </c>
    </row>
    <row r="642" spans="1:4" x14ac:dyDescent="0.2">
      <c r="A642" s="162">
        <v>45495</v>
      </c>
      <c r="B642" s="155">
        <v>5.5208721160888601</v>
      </c>
      <c r="C642" s="155">
        <v>243.05000305175699</v>
      </c>
      <c r="D642" s="155">
        <f t="shared" si="9"/>
        <v>1730.6216012603879</v>
      </c>
    </row>
    <row r="643" spans="1:4" x14ac:dyDescent="0.2">
      <c r="A643" s="162">
        <v>45496</v>
      </c>
      <c r="B643" s="155">
        <v>5.5707001686096103</v>
      </c>
      <c r="C643" s="155">
        <v>239.100006103515</v>
      </c>
      <c r="D643" s="155">
        <f t="shared" ref="D643:D706" si="10">(B643*(1-$F$1)*C643*1.3228)</f>
        <v>1717.8616054669135</v>
      </c>
    </row>
    <row r="644" spans="1:4" x14ac:dyDescent="0.2">
      <c r="A644" s="162">
        <v>45497</v>
      </c>
      <c r="B644" s="155">
        <v>5.5852999687194798</v>
      </c>
      <c r="C644" s="155">
        <v>231.14999389648401</v>
      </c>
      <c r="D644" s="155">
        <f t="shared" si="10"/>
        <v>1665.0956678921132</v>
      </c>
    </row>
    <row r="645" spans="1:4" x14ac:dyDescent="0.2">
      <c r="A645" s="162">
        <v>45498</v>
      </c>
      <c r="B645" s="155">
        <v>5.6536002159118599</v>
      </c>
      <c r="C645" s="155">
        <v>234.69999694824199</v>
      </c>
      <c r="D645" s="155">
        <f t="shared" si="10"/>
        <v>1711.3426769257871</v>
      </c>
    </row>
    <row r="646" spans="1:4" x14ac:dyDescent="0.2">
      <c r="A646" s="162">
        <v>45499</v>
      </c>
      <c r="B646" s="155">
        <v>5.6430997848510698</v>
      </c>
      <c r="C646" s="155">
        <v>230.25</v>
      </c>
      <c r="D646" s="155">
        <f t="shared" si="10"/>
        <v>1675.7767884400521</v>
      </c>
    </row>
    <row r="647" spans="1:4" x14ac:dyDescent="0.2">
      <c r="A647" s="162">
        <v>45502</v>
      </c>
      <c r="B647" s="155">
        <v>5.62284088134765</v>
      </c>
      <c r="C647" s="155">
        <v>230.39999389648401</v>
      </c>
      <c r="D647" s="155">
        <f t="shared" si="10"/>
        <v>1670.8484454427041</v>
      </c>
    </row>
    <row r="648" spans="1:4" x14ac:dyDescent="0.2">
      <c r="A648" s="162">
        <v>45503</v>
      </c>
      <c r="B648" s="155">
        <v>5.6145000457763601</v>
      </c>
      <c r="C648" s="155">
        <v>230.80000305175699</v>
      </c>
      <c r="D648" s="155">
        <f t="shared" si="10"/>
        <v>1671.2664765425841</v>
      </c>
    </row>
    <row r="649" spans="1:4" x14ac:dyDescent="0.2">
      <c r="A649" s="162">
        <v>45504</v>
      </c>
      <c r="B649" s="155">
        <v>5.61110019683837</v>
      </c>
      <c r="C649" s="155">
        <v>229.19999694824199</v>
      </c>
      <c r="D649" s="155">
        <f t="shared" si="10"/>
        <v>1658.6755135892504</v>
      </c>
    </row>
    <row r="650" spans="1:4" x14ac:dyDescent="0.2">
      <c r="A650" s="162">
        <v>45505</v>
      </c>
      <c r="B650" s="155">
        <v>5.6565999984741202</v>
      </c>
      <c r="C650" s="155">
        <v>227.25</v>
      </c>
      <c r="D650" s="155">
        <f t="shared" si="10"/>
        <v>1657.8993562182782</v>
      </c>
    </row>
    <row r="651" spans="1:4" x14ac:dyDescent="0.2">
      <c r="A651" s="162">
        <v>45506</v>
      </c>
      <c r="B651" s="155">
        <v>5.7505998611450098</v>
      </c>
      <c r="C651" s="155">
        <v>230.5</v>
      </c>
      <c r="D651" s="155">
        <f t="shared" si="10"/>
        <v>1709.5542271298048</v>
      </c>
    </row>
    <row r="652" spans="1:4" x14ac:dyDescent="0.2">
      <c r="A652" s="162">
        <v>45509</v>
      </c>
      <c r="B652" s="155">
        <v>5.7266998291015598</v>
      </c>
      <c r="C652" s="155">
        <v>225.69999694824199</v>
      </c>
      <c r="D652" s="155">
        <f t="shared" si="10"/>
        <v>1666.9968334415516</v>
      </c>
    </row>
    <row r="653" spans="1:4" x14ac:dyDescent="0.2">
      <c r="A653" s="162">
        <v>45510</v>
      </c>
      <c r="B653" s="155">
        <v>5.7209000587463299</v>
      </c>
      <c r="C653" s="155">
        <v>235.94999694824199</v>
      </c>
      <c r="D653" s="155">
        <f t="shared" si="10"/>
        <v>1740.9373347942094</v>
      </c>
    </row>
    <row r="654" spans="1:4" x14ac:dyDescent="0.2">
      <c r="A654" s="162">
        <v>45511</v>
      </c>
      <c r="B654" s="155">
        <v>5.6554999351501403</v>
      </c>
      <c r="C654" s="155">
        <v>246.30000305175699</v>
      </c>
      <c r="D654" s="155">
        <f t="shared" si="10"/>
        <v>1796.5289537539841</v>
      </c>
    </row>
    <row r="655" spans="1:4" x14ac:dyDescent="0.2">
      <c r="A655" s="162">
        <v>45512</v>
      </c>
      <c r="B655" s="155">
        <v>5.6357998847961399</v>
      </c>
      <c r="C655" s="155">
        <v>245.30000305175699</v>
      </c>
      <c r="D655" s="155">
        <f t="shared" si="10"/>
        <v>1783.0023656652506</v>
      </c>
    </row>
    <row r="656" spans="1:4" x14ac:dyDescent="0.2">
      <c r="A656" s="162">
        <v>45513</v>
      </c>
      <c r="B656" s="155">
        <v>5.5461001396179199</v>
      </c>
      <c r="C656" s="155">
        <v>234.05000305175699</v>
      </c>
      <c r="D656" s="155">
        <f t="shared" si="10"/>
        <v>1674.153055954029</v>
      </c>
    </row>
    <row r="657" spans="1:4" x14ac:dyDescent="0.2">
      <c r="A657" s="162">
        <v>45516</v>
      </c>
      <c r="B657" s="155">
        <v>5.5062999725341797</v>
      </c>
      <c r="C657" s="155">
        <v>240.850006103515</v>
      </c>
      <c r="D657" s="155">
        <f t="shared" si="10"/>
        <v>1710.4301008273694</v>
      </c>
    </row>
    <row r="658" spans="1:4" x14ac:dyDescent="0.2">
      <c r="A658" s="162">
        <v>45517</v>
      </c>
      <c r="B658" s="155">
        <v>5.4918999671936</v>
      </c>
      <c r="C658" s="155">
        <v>232.69999694824199</v>
      </c>
      <c r="D658" s="155">
        <f t="shared" si="10"/>
        <v>1648.2299356532276</v>
      </c>
    </row>
    <row r="659" spans="1:4" x14ac:dyDescent="0.2">
      <c r="A659" s="162">
        <v>45518</v>
      </c>
      <c r="B659" s="155">
        <v>5.4556999206542898</v>
      </c>
      <c r="C659" s="155">
        <v>237</v>
      </c>
      <c r="D659" s="155">
        <f t="shared" si="10"/>
        <v>1667.6220265037132</v>
      </c>
    </row>
    <row r="660" spans="1:4" x14ac:dyDescent="0.2">
      <c r="A660" s="162">
        <v>45519</v>
      </c>
      <c r="B660" s="155">
        <v>5.4689002037048304</v>
      </c>
      <c r="C660" s="155">
        <v>239.89999389648401</v>
      </c>
      <c r="D660" s="155">
        <f t="shared" si="10"/>
        <v>1692.111734817275</v>
      </c>
    </row>
    <row r="661" spans="1:4" x14ac:dyDescent="0.2">
      <c r="A661" s="162">
        <v>45520</v>
      </c>
      <c r="B661" s="155">
        <v>5.4848999977111799</v>
      </c>
      <c r="C661" s="155">
        <v>245.44999694824199</v>
      </c>
      <c r="D661" s="155">
        <f t="shared" si="10"/>
        <v>1736.3231145868328</v>
      </c>
    </row>
    <row r="662" spans="1:4" x14ac:dyDescent="0.2">
      <c r="A662" s="162">
        <v>45523</v>
      </c>
      <c r="B662" s="155">
        <v>5.4713001251220703</v>
      </c>
      <c r="C662" s="155">
        <v>245.89999389648401</v>
      </c>
      <c r="D662" s="155">
        <f t="shared" si="10"/>
        <v>1735.1932848914296</v>
      </c>
    </row>
    <row r="663" spans="1:4" x14ac:dyDescent="0.2">
      <c r="A663" s="162">
        <v>45524</v>
      </c>
      <c r="B663" s="155">
        <v>5.4056000709533603</v>
      </c>
      <c r="C663" s="155">
        <v>249.44999694824199</v>
      </c>
      <c r="D663" s="155">
        <f t="shared" si="10"/>
        <v>1739.1066530828</v>
      </c>
    </row>
    <row r="664" spans="1:4" x14ac:dyDescent="0.2">
      <c r="A664" s="162">
        <v>45525</v>
      </c>
      <c r="B664" s="155">
        <v>5.4780998229980398</v>
      </c>
      <c r="C664" s="155">
        <v>249.44999694824199</v>
      </c>
      <c r="D664" s="155">
        <f t="shared" si="10"/>
        <v>1762.4315012907286</v>
      </c>
    </row>
    <row r="665" spans="1:4" x14ac:dyDescent="0.2">
      <c r="A665" s="162">
        <v>45526</v>
      </c>
      <c r="B665" s="155">
        <v>5.48250007629394</v>
      </c>
      <c r="C665" s="155">
        <v>246.80000305175699</v>
      </c>
      <c r="D665" s="155">
        <f t="shared" si="10"/>
        <v>1745.1092039935756</v>
      </c>
    </row>
    <row r="666" spans="1:4" x14ac:dyDescent="0.2">
      <c r="A666" s="162">
        <v>45527</v>
      </c>
      <c r="B666" s="155">
        <v>5.5908999443054199</v>
      </c>
      <c r="C666" s="155">
        <v>251.19999694824199</v>
      </c>
      <c r="D666" s="155">
        <f t="shared" si="10"/>
        <v>1811.3407259489916</v>
      </c>
    </row>
    <row r="667" spans="1:4" x14ac:dyDescent="0.2">
      <c r="A667" s="162">
        <v>45530</v>
      </c>
      <c r="B667" s="155">
        <v>5.4854001998901296</v>
      </c>
      <c r="C667" s="155">
        <v>253.64999389648401</v>
      </c>
      <c r="D667" s="155">
        <f t="shared" si="10"/>
        <v>1794.4938577499056</v>
      </c>
    </row>
    <row r="668" spans="1:4" x14ac:dyDescent="0.2">
      <c r="A668" s="162">
        <v>45531</v>
      </c>
      <c r="B668" s="155">
        <v>5.4956998825073198</v>
      </c>
      <c r="C668" s="155">
        <v>259.39999389648398</v>
      </c>
      <c r="D668" s="155">
        <f t="shared" si="10"/>
        <v>1838.6191177939911</v>
      </c>
    </row>
    <row r="669" spans="1:4" x14ac:dyDescent="0.2">
      <c r="A669" s="162">
        <v>45532</v>
      </c>
      <c r="B669" s="155">
        <v>5.5079002380370996</v>
      </c>
      <c r="C669" s="155">
        <v>260.45001220703102</v>
      </c>
      <c r="D669" s="155">
        <f t="shared" si="10"/>
        <v>1850.1598388343716</v>
      </c>
    </row>
    <row r="670" spans="1:4" x14ac:dyDescent="0.2">
      <c r="A670" s="162">
        <v>45533</v>
      </c>
      <c r="B670" s="155">
        <v>5.5622000694274902</v>
      </c>
      <c r="C670" s="155">
        <v>251.80000305175699</v>
      </c>
      <c r="D670" s="155">
        <f t="shared" si="10"/>
        <v>1806.3468211101563</v>
      </c>
    </row>
    <row r="671" spans="1:4" x14ac:dyDescent="0.2">
      <c r="A671" s="162">
        <v>45534</v>
      </c>
      <c r="B671" s="155">
        <v>5.6276998519897399</v>
      </c>
      <c r="C671" s="155">
        <v>248.19999694824199</v>
      </c>
      <c r="D671" s="155">
        <f t="shared" si="10"/>
        <v>1801.4885263821789</v>
      </c>
    </row>
    <row r="672" spans="1:4" x14ac:dyDescent="0.2">
      <c r="A672" s="162">
        <v>45538</v>
      </c>
      <c r="B672" s="155">
        <v>5.6150999069213796</v>
      </c>
      <c r="C672" s="155">
        <v>246.75</v>
      </c>
      <c r="D672" s="155">
        <f t="shared" si="10"/>
        <v>1786.954321628828</v>
      </c>
    </row>
    <row r="673" spans="1:4" x14ac:dyDescent="0.2">
      <c r="A673" s="162">
        <v>45539</v>
      </c>
      <c r="B673" s="155">
        <v>5.64750003814697</v>
      </c>
      <c r="C673" s="155">
        <v>245.55000305175699</v>
      </c>
      <c r="D673" s="155">
        <f t="shared" si="10"/>
        <v>1788.5248897803715</v>
      </c>
    </row>
    <row r="674" spans="1:4" x14ac:dyDescent="0.2">
      <c r="A674" s="162">
        <v>45540</v>
      </c>
      <c r="B674" s="155">
        <v>5.6420001983642498</v>
      </c>
      <c r="C674" s="155">
        <v>246.600006103515</v>
      </c>
      <c r="D674" s="155">
        <f t="shared" si="10"/>
        <v>1794.4236398584219</v>
      </c>
    </row>
    <row r="675" spans="1:4" x14ac:dyDescent="0.2">
      <c r="A675" s="162">
        <v>45541</v>
      </c>
      <c r="B675" s="155">
        <v>5.56750011444091</v>
      </c>
      <c r="C675" s="155">
        <v>240.05000305175699</v>
      </c>
      <c r="D675" s="155">
        <f t="shared" si="10"/>
        <v>1723.6963119329805</v>
      </c>
    </row>
    <row r="676" spans="1:4" x14ac:dyDescent="0.2">
      <c r="A676" s="162">
        <v>45544</v>
      </c>
      <c r="B676" s="155">
        <v>5.5966000556945801</v>
      </c>
      <c r="C676" s="155">
        <v>249.44999694824199</v>
      </c>
      <c r="D676" s="155">
        <f t="shared" si="10"/>
        <v>1800.5557687854318</v>
      </c>
    </row>
    <row r="677" spans="1:4" x14ac:dyDescent="0.2">
      <c r="A677" s="162">
        <v>45545</v>
      </c>
      <c r="B677" s="155">
        <v>5.5843000411987296</v>
      </c>
      <c r="C677" s="155">
        <v>248</v>
      </c>
      <c r="D677" s="155">
        <f t="shared" si="10"/>
        <v>1786.1553444495387</v>
      </c>
    </row>
    <row r="678" spans="1:4" x14ac:dyDescent="0.2">
      <c r="A678" s="162">
        <v>45546</v>
      </c>
      <c r="B678" s="155">
        <v>5.6628999710082999</v>
      </c>
      <c r="C678" s="155">
        <v>249.44999694824199</v>
      </c>
      <c r="D678" s="155">
        <f t="shared" si="10"/>
        <v>1821.8859860244925</v>
      </c>
    </row>
    <row r="679" spans="1:4" x14ac:dyDescent="0.2">
      <c r="A679" s="162">
        <v>45547</v>
      </c>
      <c r="B679" s="155">
        <v>5.6673998832702601</v>
      </c>
      <c r="C679" s="155">
        <v>252</v>
      </c>
      <c r="D679" s="155">
        <f t="shared" si="10"/>
        <v>1841.9727441654386</v>
      </c>
    </row>
    <row r="680" spans="1:4" x14ac:dyDescent="0.2">
      <c r="A680" s="162">
        <v>45548</v>
      </c>
      <c r="B680" s="155">
        <v>5.6256999969482404</v>
      </c>
      <c r="C680" s="155">
        <v>262.04998779296801</v>
      </c>
      <c r="D680" s="155">
        <f t="shared" si="10"/>
        <v>1901.3388160838783</v>
      </c>
    </row>
    <row r="681" spans="1:4" x14ac:dyDescent="0.2">
      <c r="A681" s="162">
        <v>45551</v>
      </c>
      <c r="B681" s="155">
        <v>5.6123700141906703</v>
      </c>
      <c r="C681" s="155">
        <v>259.04998779296801</v>
      </c>
      <c r="D681" s="155">
        <f t="shared" si="10"/>
        <v>1875.11830614518</v>
      </c>
    </row>
    <row r="682" spans="1:4" x14ac:dyDescent="0.2">
      <c r="A682" s="162">
        <v>45552</v>
      </c>
      <c r="B682" s="155">
        <v>5.5039000511169398</v>
      </c>
      <c r="C682" s="155">
        <v>265</v>
      </c>
      <c r="D682" s="155">
        <f t="shared" si="10"/>
        <v>1881.1144284256684</v>
      </c>
    </row>
    <row r="683" spans="1:4" x14ac:dyDescent="0.2">
      <c r="A683" s="162">
        <v>45553</v>
      </c>
      <c r="B683" s="155">
        <v>5.4816999435424796</v>
      </c>
      <c r="C683" s="155">
        <v>263.14999389648398</v>
      </c>
      <c r="D683" s="155">
        <f t="shared" si="10"/>
        <v>1860.4475281115672</v>
      </c>
    </row>
    <row r="684" spans="1:4" x14ac:dyDescent="0.2">
      <c r="A684" s="162">
        <v>45554</v>
      </c>
      <c r="B684" s="155">
        <v>5.4609999656677202</v>
      </c>
      <c r="C684" s="155">
        <v>261.64999389648398</v>
      </c>
      <c r="D684" s="155">
        <f t="shared" si="10"/>
        <v>1842.8572888504239</v>
      </c>
    </row>
    <row r="685" spans="1:4" x14ac:dyDescent="0.2">
      <c r="A685" s="162">
        <v>45555</v>
      </c>
      <c r="B685" s="155">
        <v>5.4239001274108798</v>
      </c>
      <c r="C685" s="155">
        <v>250.75</v>
      </c>
      <c r="D685" s="155">
        <f t="shared" si="10"/>
        <v>1754.0882028649028</v>
      </c>
    </row>
    <row r="686" spans="1:4" x14ac:dyDescent="0.2">
      <c r="A686" s="162">
        <v>45558</v>
      </c>
      <c r="B686" s="155">
        <v>5.5135998725891104</v>
      </c>
      <c r="C686" s="155">
        <v>263.64999389648398</v>
      </c>
      <c r="D686" s="155">
        <f t="shared" si="10"/>
        <v>1874.8296505003041</v>
      </c>
    </row>
    <row r="687" spans="1:4" x14ac:dyDescent="0.2">
      <c r="A687" s="162">
        <v>45559</v>
      </c>
      <c r="B687" s="155">
        <v>5.5360999107360804</v>
      </c>
      <c r="C687" s="155">
        <v>267.79998779296801</v>
      </c>
      <c r="D687" s="155">
        <f t="shared" si="10"/>
        <v>1912.1117669634489</v>
      </c>
    </row>
    <row r="688" spans="1:4" x14ac:dyDescent="0.2">
      <c r="A688" s="162">
        <v>45560</v>
      </c>
      <c r="B688" s="155">
        <v>5.4496998786926198</v>
      </c>
      <c r="C688" s="155">
        <v>269.100006103515</v>
      </c>
      <c r="D688" s="155">
        <f t="shared" si="10"/>
        <v>1891.4074502448098</v>
      </c>
    </row>
    <row r="689" spans="1:4" x14ac:dyDescent="0.2">
      <c r="A689" s="162">
        <v>45561</v>
      </c>
      <c r="B689" s="155">
        <v>5.4738001823425204</v>
      </c>
      <c r="C689" s="155">
        <v>273.89999389648398</v>
      </c>
      <c r="D689" s="155">
        <f t="shared" si="10"/>
        <v>1933.6584451932397</v>
      </c>
    </row>
    <row r="690" spans="1:4" x14ac:dyDescent="0.2">
      <c r="A690" s="162">
        <v>45562</v>
      </c>
      <c r="B690" s="155">
        <v>5.4366998672485298</v>
      </c>
      <c r="C690" s="155">
        <v>269.14999389648398</v>
      </c>
      <c r="D690" s="155">
        <f t="shared" si="10"/>
        <v>1887.246091863431</v>
      </c>
    </row>
    <row r="691" spans="1:4" x14ac:dyDescent="0.2">
      <c r="A691" s="162">
        <v>45565</v>
      </c>
      <c r="B691" s="155">
        <v>5.4331998825073198</v>
      </c>
      <c r="C691" s="155">
        <v>270.25</v>
      </c>
      <c r="D691" s="155">
        <f t="shared" si="10"/>
        <v>1893.739279026981</v>
      </c>
    </row>
    <row r="692" spans="1:4" x14ac:dyDescent="0.2">
      <c r="A692" s="162">
        <v>45566</v>
      </c>
      <c r="B692" s="155">
        <v>5.4485001564025799</v>
      </c>
      <c r="C692" s="155">
        <v>264.14999389648398</v>
      </c>
      <c r="D692" s="155">
        <f t="shared" si="10"/>
        <v>1856.2068653993404</v>
      </c>
    </row>
    <row r="693" spans="1:4" x14ac:dyDescent="0.2">
      <c r="A693" s="162">
        <v>45567</v>
      </c>
      <c r="B693" s="155">
        <v>5.4239997863769496</v>
      </c>
      <c r="C693" s="155">
        <v>256.5</v>
      </c>
      <c r="D693" s="155">
        <f t="shared" si="10"/>
        <v>1794.3445302101311</v>
      </c>
    </row>
    <row r="694" spans="1:4" x14ac:dyDescent="0.2">
      <c r="A694" s="162">
        <v>45568</v>
      </c>
      <c r="B694" s="155">
        <v>5.4402999877929599</v>
      </c>
      <c r="C694" s="155">
        <v>252.05000305175699</v>
      </c>
      <c r="D694" s="155">
        <f t="shared" si="10"/>
        <v>1768.513409338437</v>
      </c>
    </row>
    <row r="695" spans="1:4" x14ac:dyDescent="0.2">
      <c r="A695" s="162">
        <v>45569</v>
      </c>
      <c r="B695" s="155">
        <v>5.4762997627258301</v>
      </c>
      <c r="C695" s="155">
        <v>257.350006103515</v>
      </c>
      <c r="D695" s="155">
        <f t="shared" si="10"/>
        <v>1817.6497348373116</v>
      </c>
    </row>
    <row r="696" spans="1:4" x14ac:dyDescent="0.2">
      <c r="A696" s="162">
        <v>45572</v>
      </c>
      <c r="B696" s="155">
        <v>5.4542999267578098</v>
      </c>
      <c r="C696" s="155">
        <v>244.64999389648401</v>
      </c>
      <c r="D696" s="155">
        <f t="shared" si="10"/>
        <v>1721.0085459904262</v>
      </c>
    </row>
    <row r="697" spans="1:4" x14ac:dyDescent="0.2">
      <c r="A697" s="162">
        <v>45573</v>
      </c>
      <c r="B697" s="155">
        <v>5.4942002296447701</v>
      </c>
      <c r="C697" s="155">
        <v>248.19999694824199</v>
      </c>
      <c r="D697" s="155">
        <f t="shared" si="10"/>
        <v>1758.7538311681501</v>
      </c>
    </row>
    <row r="698" spans="1:4" x14ac:dyDescent="0.2">
      <c r="A698" s="162">
        <v>45574</v>
      </c>
      <c r="B698" s="155">
        <v>5.5346999168395996</v>
      </c>
      <c r="C698" s="155">
        <v>250.05000305175699</v>
      </c>
      <c r="D698" s="155">
        <f t="shared" si="10"/>
        <v>1784.9240661468323</v>
      </c>
    </row>
    <row r="699" spans="1:4" x14ac:dyDescent="0.2">
      <c r="A699" s="162">
        <v>45575</v>
      </c>
      <c r="B699" s="155">
        <v>5.5960998535156197</v>
      </c>
      <c r="C699" s="155">
        <v>254.75</v>
      </c>
      <c r="D699" s="155">
        <f t="shared" si="10"/>
        <v>1838.6473908730297</v>
      </c>
    </row>
    <row r="700" spans="1:4" x14ac:dyDescent="0.2">
      <c r="A700" s="162">
        <v>45576</v>
      </c>
      <c r="B700" s="155">
        <v>5.5816998481750399</v>
      </c>
      <c r="C700" s="155">
        <v>252.05000305175699</v>
      </c>
      <c r="D700" s="155">
        <f t="shared" si="10"/>
        <v>1814.4791740435812</v>
      </c>
    </row>
    <row r="701" spans="1:4" x14ac:dyDescent="0.2">
      <c r="A701" s="162">
        <v>45579</v>
      </c>
      <c r="B701" s="155">
        <v>5.6105999946594203</v>
      </c>
      <c r="C701" s="155">
        <v>262.04998779296801</v>
      </c>
      <c r="D701" s="155">
        <f t="shared" si="10"/>
        <v>1896.2354119758984</v>
      </c>
    </row>
    <row r="702" spans="1:4" x14ac:dyDescent="0.2">
      <c r="A702" s="162">
        <v>45580</v>
      </c>
      <c r="B702" s="155">
        <v>5.5946998596191397</v>
      </c>
      <c r="C702" s="155">
        <v>256.70001220703102</v>
      </c>
      <c r="D702" s="155">
        <f t="shared" si="10"/>
        <v>1852.2580206429814</v>
      </c>
    </row>
    <row r="703" spans="1:4" x14ac:dyDescent="0.2">
      <c r="A703" s="162">
        <v>45581</v>
      </c>
      <c r="B703" s="155">
        <v>5.6519999504089302</v>
      </c>
      <c r="C703" s="155">
        <v>258</v>
      </c>
      <c r="D703" s="155">
        <f t="shared" si="10"/>
        <v>1880.7049051785546</v>
      </c>
    </row>
    <row r="704" spans="1:4" x14ac:dyDescent="0.2">
      <c r="A704" s="162">
        <v>45582</v>
      </c>
      <c r="B704" s="155">
        <v>5.6680002212524396</v>
      </c>
      <c r="C704" s="155">
        <v>255.14999389648401</v>
      </c>
      <c r="D704" s="155">
        <f t="shared" si="10"/>
        <v>1865.1949148366989</v>
      </c>
    </row>
    <row r="705" spans="1:4" x14ac:dyDescent="0.2">
      <c r="A705" s="162">
        <v>45583</v>
      </c>
      <c r="B705" s="155">
        <v>5.6518001556396396</v>
      </c>
      <c r="C705" s="155">
        <v>257.29998779296801</v>
      </c>
      <c r="D705" s="155">
        <f t="shared" si="10"/>
        <v>1875.5358270701577</v>
      </c>
    </row>
    <row r="706" spans="1:4" x14ac:dyDescent="0.2">
      <c r="A706" s="162">
        <v>45586</v>
      </c>
      <c r="B706" s="155">
        <v>5.6359000205993599</v>
      </c>
      <c r="C706" s="155">
        <v>251.69999694824199</v>
      </c>
      <c r="D706" s="155">
        <f t="shared" si="10"/>
        <v>1829.5542530763819</v>
      </c>
    </row>
    <row r="707" spans="1:4" x14ac:dyDescent="0.2">
      <c r="A707" s="162">
        <v>45587</v>
      </c>
      <c r="B707" s="155">
        <v>5.6880998611450098</v>
      </c>
      <c r="C707" s="155">
        <v>249.850006103515</v>
      </c>
      <c r="D707" s="155">
        <f t="shared" ref="D707:D770" si="11">(B707*(1-$F$1)*C707*1.3228)</f>
        <v>1832.9278862996271</v>
      </c>
    </row>
    <row r="708" spans="1:4" x14ac:dyDescent="0.2">
      <c r="A708" s="162">
        <v>45588</v>
      </c>
      <c r="B708" s="155">
        <v>5.6893000602722097</v>
      </c>
      <c r="C708" s="155">
        <v>252.350006103515</v>
      </c>
      <c r="D708" s="155">
        <f t="shared" si="11"/>
        <v>1851.6587897410695</v>
      </c>
    </row>
    <row r="709" spans="1:4" x14ac:dyDescent="0.2">
      <c r="A709" s="162">
        <v>45589</v>
      </c>
      <c r="B709" s="155">
        <v>5.6865000724792401</v>
      </c>
      <c r="C709" s="155">
        <v>245.44999694824199</v>
      </c>
      <c r="D709" s="155">
        <f t="shared" si="11"/>
        <v>1800.1424859278397</v>
      </c>
    </row>
    <row r="710" spans="1:4" x14ac:dyDescent="0.2">
      <c r="A710" s="162">
        <v>45590</v>
      </c>
      <c r="B710" s="155">
        <v>5.6640000343322701</v>
      </c>
      <c r="C710" s="155">
        <v>248.39999389648401</v>
      </c>
      <c r="D710" s="155">
        <f t="shared" si="11"/>
        <v>1814.5695972606206</v>
      </c>
    </row>
    <row r="711" spans="1:4" x14ac:dyDescent="0.2">
      <c r="A711" s="162">
        <v>45593</v>
      </c>
      <c r="B711" s="155">
        <v>5.6858129501342702</v>
      </c>
      <c r="C711" s="155">
        <v>252.350006103515</v>
      </c>
      <c r="D711" s="155">
        <f t="shared" si="11"/>
        <v>1850.5238631122568</v>
      </c>
    </row>
    <row r="712" spans="1:4" x14ac:dyDescent="0.2">
      <c r="A712" s="162">
        <v>45594</v>
      </c>
      <c r="B712" s="155">
        <v>5.7101998329162598</v>
      </c>
      <c r="C712" s="155">
        <v>248.100006103515</v>
      </c>
      <c r="D712" s="155">
        <f t="shared" si="11"/>
        <v>1827.1612821188528</v>
      </c>
    </row>
    <row r="713" spans="1:4" x14ac:dyDescent="0.2">
      <c r="A713" s="162">
        <v>45595</v>
      </c>
      <c r="B713" s="155">
        <v>5.7600002288818297</v>
      </c>
      <c r="C713" s="155">
        <v>249.600006103515</v>
      </c>
      <c r="D713" s="155">
        <f t="shared" si="11"/>
        <v>1854.2397811029296</v>
      </c>
    </row>
    <row r="714" spans="1:4" x14ac:dyDescent="0.2">
      <c r="A714" s="162">
        <v>45596</v>
      </c>
      <c r="B714" s="155">
        <v>5.7623000144958496</v>
      </c>
      <c r="C714" s="155">
        <v>245.89999389648401</v>
      </c>
      <c r="D714" s="155">
        <f t="shared" si="11"/>
        <v>1827.4823281532022</v>
      </c>
    </row>
    <row r="715" spans="1:4" x14ac:dyDescent="0.2">
      <c r="A715" s="162">
        <v>45597</v>
      </c>
      <c r="B715" s="155">
        <v>5.7894001007079998</v>
      </c>
      <c r="C715" s="155">
        <v>242.94999694824199</v>
      </c>
      <c r="D715" s="155">
        <f t="shared" si="11"/>
        <v>1814.0500460919811</v>
      </c>
    </row>
    <row r="716" spans="1:4" x14ac:dyDescent="0.2">
      <c r="A716" s="162">
        <v>45600</v>
      </c>
      <c r="B716" s="155">
        <v>5.6775259971618599</v>
      </c>
      <c r="C716" s="155">
        <v>245.94999694824199</v>
      </c>
      <c r="D716" s="155">
        <f t="shared" si="11"/>
        <v>1800.9628525359733</v>
      </c>
    </row>
    <row r="717" spans="1:4" x14ac:dyDescent="0.2">
      <c r="A717" s="162">
        <v>45601</v>
      </c>
      <c r="B717" s="155">
        <v>5.7905998229980398</v>
      </c>
      <c r="C717" s="155">
        <v>250.14999389648401</v>
      </c>
      <c r="D717" s="155">
        <f t="shared" si="11"/>
        <v>1868.1977783923212</v>
      </c>
    </row>
    <row r="718" spans="1:4" x14ac:dyDescent="0.2">
      <c r="A718" s="162">
        <v>45602</v>
      </c>
      <c r="B718" s="155">
        <v>5.7397999763488698</v>
      </c>
      <c r="C718" s="155">
        <v>248.75</v>
      </c>
      <c r="D718" s="155">
        <f t="shared" si="11"/>
        <v>1841.4445655947366</v>
      </c>
    </row>
    <row r="719" spans="1:4" x14ac:dyDescent="0.2">
      <c r="A719" s="162">
        <v>45603</v>
      </c>
      <c r="B719" s="155">
        <v>5.67479991912841</v>
      </c>
      <c r="C719" s="155">
        <v>260.39999389648398</v>
      </c>
      <c r="D719" s="155">
        <f t="shared" si="11"/>
        <v>1905.8570611298371</v>
      </c>
    </row>
    <row r="720" spans="1:4" x14ac:dyDescent="0.2">
      <c r="A720" s="162">
        <v>45604</v>
      </c>
      <c r="B720" s="155">
        <v>5.69099998474121</v>
      </c>
      <c r="C720" s="155">
        <v>253.350006103515</v>
      </c>
      <c r="D720" s="155">
        <f t="shared" si="11"/>
        <v>1859.5519063035485</v>
      </c>
    </row>
    <row r="721" spans="1:4" x14ac:dyDescent="0.2">
      <c r="A721" s="162">
        <v>45607</v>
      </c>
      <c r="B721" s="155">
        <v>5.7364001274108798</v>
      </c>
      <c r="C721" s="155">
        <v>256.20001220703102</v>
      </c>
      <c r="D721" s="155">
        <f t="shared" si="11"/>
        <v>1895.4720498792153</v>
      </c>
    </row>
    <row r="722" spans="1:4" x14ac:dyDescent="0.2">
      <c r="A722" s="162">
        <v>45608</v>
      </c>
      <c r="B722" s="155">
        <v>5.7554001808166504</v>
      </c>
      <c r="C722" s="155">
        <v>263.54998779296801</v>
      </c>
      <c r="D722" s="155">
        <f t="shared" si="11"/>
        <v>1956.3084395184603</v>
      </c>
    </row>
    <row r="723" spans="1:4" x14ac:dyDescent="0.2">
      <c r="A723" s="162">
        <v>45609</v>
      </c>
      <c r="B723" s="155">
        <v>5.7481999397277797</v>
      </c>
      <c r="C723" s="155">
        <v>271.64999389648398</v>
      </c>
      <c r="D723" s="155">
        <f t="shared" si="11"/>
        <v>2013.9114327310324</v>
      </c>
    </row>
    <row r="724" spans="1:4" x14ac:dyDescent="0.2">
      <c r="A724" s="162">
        <v>45610</v>
      </c>
      <c r="B724" s="155">
        <v>5.8059000968933097</v>
      </c>
      <c r="C724" s="155">
        <v>278.95001220703102</v>
      </c>
      <c r="D724" s="155">
        <f t="shared" si="11"/>
        <v>2088.7898346487532</v>
      </c>
    </row>
    <row r="725" spans="1:4" x14ac:dyDescent="0.2">
      <c r="A725" s="162">
        <v>45611</v>
      </c>
      <c r="B725" s="155">
        <v>5.7883000373840297</v>
      </c>
      <c r="C725" s="155">
        <v>281.79998779296801</v>
      </c>
      <c r="D725" s="155">
        <f t="shared" si="11"/>
        <v>2103.7339064635771</v>
      </c>
    </row>
    <row r="726" spans="1:4" x14ac:dyDescent="0.2">
      <c r="A726" s="162">
        <v>45614</v>
      </c>
      <c r="B726" s="155">
        <v>5.7946000099182102</v>
      </c>
      <c r="C726" s="155">
        <v>280.75</v>
      </c>
      <c r="D726" s="155">
        <f t="shared" si="11"/>
        <v>2098.1765539248013</v>
      </c>
    </row>
    <row r="727" spans="1:4" x14ac:dyDescent="0.2">
      <c r="A727" s="162">
        <v>45615</v>
      </c>
      <c r="B727" s="155">
        <v>5.7463998794555602</v>
      </c>
      <c r="C727" s="155">
        <v>279.75</v>
      </c>
      <c r="D727" s="155">
        <f t="shared" si="11"/>
        <v>2073.312382549329</v>
      </c>
    </row>
    <row r="728" spans="1:4" x14ac:dyDescent="0.2">
      <c r="A728" s="162">
        <v>45616</v>
      </c>
      <c r="B728" s="155">
        <v>5.7718000411987296</v>
      </c>
      <c r="C728" s="155">
        <v>295.29998779296801</v>
      </c>
      <c r="D728" s="155">
        <f t="shared" si="11"/>
        <v>2198.2319100351119</v>
      </c>
    </row>
    <row r="729" spans="1:4" x14ac:dyDescent="0.2">
      <c r="A729" s="162">
        <v>45617</v>
      </c>
      <c r="B729" s="155">
        <v>5.7706999778747496</v>
      </c>
      <c r="C729" s="155">
        <v>298.64999389648398</v>
      </c>
      <c r="D729" s="155">
        <f t="shared" si="11"/>
        <v>2222.7458487216909</v>
      </c>
    </row>
    <row r="730" spans="1:4" x14ac:dyDescent="0.2">
      <c r="A730" s="162">
        <v>45618</v>
      </c>
      <c r="B730" s="155">
        <v>5.8140997886657697</v>
      </c>
      <c r="C730" s="155">
        <v>305.25</v>
      </c>
      <c r="D730" s="155">
        <f t="shared" si="11"/>
        <v>2288.9534254630594</v>
      </c>
    </row>
    <row r="731" spans="1:4" x14ac:dyDescent="0.2">
      <c r="A731" s="162">
        <v>45621</v>
      </c>
      <c r="B731" s="155">
        <v>5.7993001937866202</v>
      </c>
      <c r="C731" s="155">
        <v>308.350006103515</v>
      </c>
      <c r="D731" s="155">
        <f t="shared" si="11"/>
        <v>2306.3135648462435</v>
      </c>
    </row>
    <row r="732" spans="1:4" x14ac:dyDescent="0.2">
      <c r="A732" s="162">
        <v>45622</v>
      </c>
      <c r="B732" s="155">
        <v>5.7972002029418901</v>
      </c>
      <c r="C732" s="155">
        <v>312.14999389648398</v>
      </c>
      <c r="D732" s="155">
        <f t="shared" si="11"/>
        <v>2333.8902593527077</v>
      </c>
    </row>
    <row r="733" spans="1:4" x14ac:dyDescent="0.2">
      <c r="A733" s="162">
        <v>45623</v>
      </c>
      <c r="B733" s="155">
        <v>5.8095998764037997</v>
      </c>
      <c r="C733" s="155">
        <v>326.14999389648398</v>
      </c>
      <c r="D733" s="155">
        <f t="shared" si="11"/>
        <v>2443.7816475965037</v>
      </c>
    </row>
    <row r="734" spans="1:4" x14ac:dyDescent="0.2">
      <c r="A734" s="162">
        <v>45625</v>
      </c>
      <c r="B734" s="155">
        <v>6.0138998031616202</v>
      </c>
      <c r="C734" s="155">
        <v>321.64999389648398</v>
      </c>
      <c r="D734" s="155">
        <f t="shared" si="11"/>
        <v>2494.8160970000467</v>
      </c>
    </row>
    <row r="735" spans="1:4" x14ac:dyDescent="0.2">
      <c r="A735" s="162">
        <v>45628</v>
      </c>
      <c r="B735" s="155">
        <v>5.9731998443603498</v>
      </c>
      <c r="C735" s="155">
        <v>299.20001220703102</v>
      </c>
      <c r="D735" s="155">
        <f t="shared" si="11"/>
        <v>2304.9815525925578</v>
      </c>
    </row>
    <row r="736" spans="1:4" x14ac:dyDescent="0.2">
      <c r="A736" s="162">
        <v>45629</v>
      </c>
      <c r="B736" s="155">
        <v>6.0567998886108398</v>
      </c>
      <c r="C736" s="155">
        <v>297.70001220703102</v>
      </c>
      <c r="D736" s="155">
        <f t="shared" si="11"/>
        <v>2325.5242874615292</v>
      </c>
    </row>
    <row r="737" spans="1:4" x14ac:dyDescent="0.2">
      <c r="A737" s="162">
        <v>45630</v>
      </c>
      <c r="B737" s="155">
        <v>6.0430998802184996</v>
      </c>
      <c r="C737" s="155">
        <v>305.95001220703102</v>
      </c>
      <c r="D737" s="155">
        <f t="shared" si="11"/>
        <v>2384.5643625861208</v>
      </c>
    </row>
    <row r="738" spans="1:4" x14ac:dyDescent="0.2">
      <c r="A738" s="162">
        <v>45631</v>
      </c>
      <c r="B738" s="155">
        <v>6.0387997627258301</v>
      </c>
      <c r="C738" s="155">
        <v>315.75</v>
      </c>
      <c r="D738" s="155">
        <f t="shared" si="11"/>
        <v>2459.1939995773064</v>
      </c>
    </row>
    <row r="739" spans="1:4" x14ac:dyDescent="0.2">
      <c r="A739" s="162">
        <v>45632</v>
      </c>
      <c r="B739" s="155">
        <v>6.0103001594543404</v>
      </c>
      <c r="C739" s="155">
        <v>332.5</v>
      </c>
      <c r="D739" s="155">
        <f t="shared" si="11"/>
        <v>2577.4284211971381</v>
      </c>
    </row>
    <row r="740" spans="1:4" x14ac:dyDescent="0.2">
      <c r="A740" s="162">
        <v>45635</v>
      </c>
      <c r="B740" s="155">
        <v>6.0883002281188903</v>
      </c>
      <c r="C740" s="155">
        <v>332.29998779296801</v>
      </c>
      <c r="D740" s="155">
        <f t="shared" si="11"/>
        <v>2609.307049649442</v>
      </c>
    </row>
    <row r="741" spans="1:4" x14ac:dyDescent="0.2">
      <c r="A741" s="162">
        <v>45636</v>
      </c>
      <c r="B741" s="155">
        <v>6.0766000747680602</v>
      </c>
      <c r="C741" s="155">
        <v>335.64999389648398</v>
      </c>
      <c r="D741" s="155">
        <f t="shared" si="11"/>
        <v>2630.5472087193207</v>
      </c>
    </row>
    <row r="742" spans="1:4" x14ac:dyDescent="0.2">
      <c r="A742" s="162">
        <v>45637</v>
      </c>
      <c r="B742" s="155">
        <v>6.0453000068664497</v>
      </c>
      <c r="C742" s="155">
        <v>321.70001220703102</v>
      </c>
      <c r="D742" s="155">
        <f t="shared" si="11"/>
        <v>2508.23219221207</v>
      </c>
    </row>
    <row r="743" spans="1:4" x14ac:dyDescent="0.2">
      <c r="A743" s="162">
        <v>45638</v>
      </c>
      <c r="B743" s="155">
        <v>5.9527001380920401</v>
      </c>
      <c r="C743" s="155">
        <v>322.600006103515</v>
      </c>
      <c r="D743" s="155">
        <f t="shared" si="11"/>
        <v>2476.721528039106</v>
      </c>
    </row>
    <row r="744" spans="1:4" x14ac:dyDescent="0.2">
      <c r="A744" s="162">
        <v>45639</v>
      </c>
      <c r="B744" s="155">
        <v>5.9960999488830504</v>
      </c>
      <c r="C744" s="155">
        <v>320.850006103515</v>
      </c>
      <c r="D744" s="155">
        <f t="shared" si="11"/>
        <v>2481.2453905529692</v>
      </c>
    </row>
    <row r="745" spans="1:4" x14ac:dyDescent="0.2">
      <c r="A745" s="162">
        <v>45642</v>
      </c>
      <c r="B745" s="155">
        <v>6.0409002304077104</v>
      </c>
      <c r="C745" s="155">
        <v>328.75</v>
      </c>
      <c r="D745" s="155">
        <f t="shared" si="11"/>
        <v>2561.334071056328</v>
      </c>
    </row>
    <row r="746" spans="1:4" x14ac:dyDescent="0.2">
      <c r="A746" s="162">
        <v>45643</v>
      </c>
      <c r="B746" s="155">
        <v>6.1472997665405202</v>
      </c>
      <c r="C746" s="155">
        <v>325.45001220703102</v>
      </c>
      <c r="D746" s="155">
        <f t="shared" si="11"/>
        <v>2580.2838589668531</v>
      </c>
    </row>
    <row r="747" spans="1:4" x14ac:dyDescent="0.2">
      <c r="A747" s="162">
        <v>45644</v>
      </c>
      <c r="B747" s="155">
        <v>6.1031999588012598</v>
      </c>
      <c r="C747" s="155">
        <v>333.14999389648398</v>
      </c>
      <c r="D747" s="155">
        <f t="shared" si="11"/>
        <v>2622.3835415626863</v>
      </c>
    </row>
    <row r="748" spans="1:4" x14ac:dyDescent="0.2">
      <c r="A748" s="162">
        <v>45645</v>
      </c>
      <c r="B748" s="155">
        <v>6.2888998985290501</v>
      </c>
      <c r="C748" s="155">
        <v>323.75</v>
      </c>
      <c r="D748" s="155">
        <f t="shared" si="11"/>
        <v>2625.9307029095457</v>
      </c>
    </row>
    <row r="749" spans="1:4" x14ac:dyDescent="0.2">
      <c r="A749" s="162">
        <v>45646</v>
      </c>
      <c r="B749" s="155">
        <v>6.1515998840331996</v>
      </c>
      <c r="C749" s="155">
        <v>325</v>
      </c>
      <c r="D749" s="155">
        <f t="shared" si="11"/>
        <v>2578.5184484910951</v>
      </c>
    </row>
    <row r="750" spans="1:4" x14ac:dyDescent="0.2">
      <c r="A750" s="162">
        <v>45649</v>
      </c>
      <c r="B750" s="155">
        <v>6.0841999053954998</v>
      </c>
      <c r="C750" s="155">
        <v>327.25</v>
      </c>
      <c r="D750" s="155">
        <f t="shared" si="11"/>
        <v>2567.9226158693323</v>
      </c>
    </row>
    <row r="751" spans="1:4" x14ac:dyDescent="0.2">
      <c r="A751" s="162">
        <v>45650</v>
      </c>
      <c r="B751" s="155">
        <v>6.1939001083373997</v>
      </c>
      <c r="C751" s="155">
        <v>328.600006103515</v>
      </c>
      <c r="D751" s="155">
        <f t="shared" si="11"/>
        <v>2625.0076060758397</v>
      </c>
    </row>
    <row r="752" spans="1:4" x14ac:dyDescent="0.2">
      <c r="A752" s="162">
        <v>45652</v>
      </c>
      <c r="B752" s="155">
        <v>6.18279981613159</v>
      </c>
      <c r="C752" s="155">
        <v>324.64999389648398</v>
      </c>
      <c r="D752" s="155">
        <f t="shared" si="11"/>
        <v>2588.8052837165965</v>
      </c>
    </row>
    <row r="753" spans="1:4" x14ac:dyDescent="0.2">
      <c r="A753" s="162">
        <v>45653</v>
      </c>
      <c r="B753" s="155">
        <v>6.1484999656677202</v>
      </c>
      <c r="C753" s="155">
        <v>322.64999389648398</v>
      </c>
      <c r="D753" s="155">
        <f t="shared" si="11"/>
        <v>2558.5837549112093</v>
      </c>
    </row>
    <row r="754" spans="1:4" x14ac:dyDescent="0.2">
      <c r="A754" s="162">
        <v>45656</v>
      </c>
      <c r="B754" s="155">
        <v>6.1936998367309499</v>
      </c>
      <c r="C754" s="155">
        <v>321</v>
      </c>
      <c r="D754" s="155">
        <f t="shared" si="11"/>
        <v>2564.2123574270695</v>
      </c>
    </row>
    <row r="755" spans="1:4" x14ac:dyDescent="0.2">
      <c r="A755" s="162">
        <v>45657</v>
      </c>
      <c r="B755" s="155">
        <v>6.1778998374938903</v>
      </c>
      <c r="C755" s="155">
        <v>319.75</v>
      </c>
      <c r="D755" s="155">
        <f t="shared" si="11"/>
        <v>2547.7113266821657</v>
      </c>
    </row>
    <row r="756" spans="1:4" x14ac:dyDescent="0.2">
      <c r="A756" s="162">
        <v>45659</v>
      </c>
      <c r="B756" s="155">
        <v>6.3000001907348597</v>
      </c>
      <c r="C756" s="155">
        <v>326.850006103515</v>
      </c>
      <c r="D756" s="155">
        <f t="shared" si="11"/>
        <v>2655.7541081468326</v>
      </c>
    </row>
    <row r="757" spans="1:4" x14ac:dyDescent="0.2">
      <c r="A757" s="162">
        <v>45660</v>
      </c>
      <c r="B757" s="155">
        <v>6.15100002288818</v>
      </c>
      <c r="C757" s="155">
        <v>318.64999389648398</v>
      </c>
      <c r="D757" s="155">
        <f t="shared" si="11"/>
        <v>2527.8915901259297</v>
      </c>
    </row>
    <row r="758" spans="1:4" x14ac:dyDescent="0.2">
      <c r="A758" s="162">
        <v>45663</v>
      </c>
      <c r="B758" s="155">
        <v>6.1806998252868599</v>
      </c>
      <c r="C758" s="155">
        <v>318.600006103515</v>
      </c>
      <c r="D758" s="155">
        <f t="shared" si="11"/>
        <v>2539.6989164873435</v>
      </c>
    </row>
    <row r="759" spans="1:4" x14ac:dyDescent="0.2">
      <c r="A759" s="162">
        <v>45664</v>
      </c>
      <c r="B759" s="155">
        <v>6.1154999732971103</v>
      </c>
      <c r="C759" s="155">
        <v>320.5</v>
      </c>
      <c r="D759" s="155">
        <f t="shared" si="11"/>
        <v>2527.8936816696346</v>
      </c>
    </row>
    <row r="760" spans="1:4" x14ac:dyDescent="0.2">
      <c r="A760" s="162">
        <v>45665</v>
      </c>
      <c r="B760" s="155">
        <v>6.1009001731872496</v>
      </c>
      <c r="C760" s="155">
        <v>316.45001220703102</v>
      </c>
      <c r="D760" s="155">
        <f t="shared" si="11"/>
        <v>2489.9913451376324</v>
      </c>
    </row>
    <row r="761" spans="1:4" x14ac:dyDescent="0.2">
      <c r="A761" s="162">
        <v>45666</v>
      </c>
      <c r="B761" s="155">
        <v>6.1058001518249503</v>
      </c>
      <c r="C761" s="155">
        <v>318.5</v>
      </c>
      <c r="D761" s="155">
        <f t="shared" si="11"/>
        <v>2508.1345110955021</v>
      </c>
    </row>
    <row r="762" spans="1:4" x14ac:dyDescent="0.2">
      <c r="A762" s="162">
        <v>45667</v>
      </c>
      <c r="B762" s="155">
        <v>6.0345997810363698</v>
      </c>
      <c r="C762" s="155">
        <v>323.850006103515</v>
      </c>
      <c r="D762" s="155">
        <f t="shared" si="11"/>
        <v>2520.5260145404609</v>
      </c>
    </row>
    <row r="763" spans="1:4" x14ac:dyDescent="0.2">
      <c r="A763" s="162">
        <v>45670</v>
      </c>
      <c r="B763" s="155">
        <v>6.1058998107910103</v>
      </c>
      <c r="C763" s="155">
        <v>325.95001220703102</v>
      </c>
      <c r="D763" s="155">
        <f t="shared" si="11"/>
        <v>2566.8440131504644</v>
      </c>
    </row>
    <row r="764" spans="1:4" x14ac:dyDescent="0.2">
      <c r="A764" s="162">
        <v>45671</v>
      </c>
      <c r="B764" s="155">
        <v>6.09340000152587</v>
      </c>
      <c r="C764" s="155">
        <v>321.95001220703102</v>
      </c>
      <c r="D764" s="155">
        <f t="shared" si="11"/>
        <v>2530.1538863315977</v>
      </c>
    </row>
    <row r="765" spans="1:4" x14ac:dyDescent="0.2">
      <c r="A765" s="162">
        <v>45672</v>
      </c>
      <c r="B765" s="155">
        <v>6.0548000335693297</v>
      </c>
      <c r="C765" s="155">
        <v>330.45001220703102</v>
      </c>
      <c r="D765" s="155">
        <f t="shared" si="11"/>
        <v>2580.5030626941593</v>
      </c>
    </row>
    <row r="766" spans="1:4" x14ac:dyDescent="0.2">
      <c r="A766" s="162">
        <v>45673</v>
      </c>
      <c r="B766" s="155">
        <v>6.0121998786926198</v>
      </c>
      <c r="C766" s="155">
        <v>327.14999389648398</v>
      </c>
      <c r="D766" s="155">
        <f t="shared" si="11"/>
        <v>2536.7585275566876</v>
      </c>
    </row>
    <row r="767" spans="1:4" x14ac:dyDescent="0.2">
      <c r="A767" s="162">
        <v>45674</v>
      </c>
      <c r="B767" s="155">
        <v>6.0499000549316397</v>
      </c>
      <c r="C767" s="155">
        <v>328.350006103515</v>
      </c>
      <c r="D767" s="155">
        <f t="shared" si="11"/>
        <v>2562.0289378771827</v>
      </c>
    </row>
    <row r="768" spans="1:4" x14ac:dyDescent="0.2">
      <c r="A768" s="162">
        <v>45678</v>
      </c>
      <c r="B768" s="155">
        <v>6.0297999382018999</v>
      </c>
      <c r="C768" s="155">
        <v>327.79998779296801</v>
      </c>
      <c r="D768" s="155">
        <f t="shared" si="11"/>
        <v>2549.2394930627852</v>
      </c>
    </row>
    <row r="769" spans="1:4" x14ac:dyDescent="0.2">
      <c r="A769" s="162">
        <v>45679</v>
      </c>
      <c r="B769" s="155">
        <v>6.0205001831054599</v>
      </c>
      <c r="C769" s="155">
        <v>341.850006103515</v>
      </c>
      <c r="D769" s="155">
        <f t="shared" si="11"/>
        <v>2654.4036622330786</v>
      </c>
    </row>
    <row r="770" spans="1:4" x14ac:dyDescent="0.2">
      <c r="A770" s="162">
        <v>45680</v>
      </c>
      <c r="B770" s="155">
        <v>5.9402999877929599</v>
      </c>
      <c r="C770" s="155">
        <v>343.95001220703102</v>
      </c>
      <c r="D770" s="155">
        <f t="shared" si="11"/>
        <v>2635.1328118877163</v>
      </c>
    </row>
    <row r="771" spans="1:4" x14ac:dyDescent="0.2">
      <c r="A771" s="162">
        <v>45681</v>
      </c>
      <c r="B771" s="155">
        <v>5.9239997863769496</v>
      </c>
      <c r="C771" s="155">
        <v>347.54998779296801</v>
      </c>
      <c r="D771" s="155">
        <f t="shared" ref="D771:D834" si="12">(B771*(1-$F$1)*C771*1.3228)</f>
        <v>2655.4071097042724</v>
      </c>
    </row>
    <row r="772" spans="1:4" x14ac:dyDescent="0.2">
      <c r="A772" s="162">
        <v>45684</v>
      </c>
      <c r="B772" s="155">
        <v>5.9091000556945801</v>
      </c>
      <c r="C772" s="155">
        <v>349.20001220703102</v>
      </c>
      <c r="D772" s="155">
        <f t="shared" si="12"/>
        <v>2661.3034433305111</v>
      </c>
    </row>
    <row r="773" spans="1:4" x14ac:dyDescent="0.2">
      <c r="A773" s="162">
        <v>45685</v>
      </c>
      <c r="B773" s="155">
        <v>5.8926000595092702</v>
      </c>
      <c r="C773" s="155">
        <v>357.5</v>
      </c>
      <c r="D773" s="155">
        <f t="shared" si="12"/>
        <v>2716.951049223444</v>
      </c>
    </row>
    <row r="774" spans="1:4" x14ac:dyDescent="0.2">
      <c r="A774" s="162">
        <v>45686</v>
      </c>
      <c r="B774" s="155">
        <v>5.85610008239746</v>
      </c>
      <c r="C774" s="155">
        <v>366.54998779296801</v>
      </c>
      <c r="D774" s="155">
        <f t="shared" si="12"/>
        <v>2768.4743342734687</v>
      </c>
    </row>
    <row r="775" spans="1:4" x14ac:dyDescent="0.2">
      <c r="A775" s="162">
        <v>45687</v>
      </c>
      <c r="B775" s="155">
        <v>5.8566999435424796</v>
      </c>
      <c r="C775" s="155">
        <v>373.39999389648398</v>
      </c>
      <c r="D775" s="155">
        <f t="shared" si="12"/>
        <v>2820.4998621270101</v>
      </c>
    </row>
    <row r="776" spans="1:4" x14ac:dyDescent="0.2">
      <c r="A776" s="162">
        <v>45688</v>
      </c>
      <c r="B776" s="155">
        <v>5.8744997978210396</v>
      </c>
      <c r="C776" s="155">
        <v>377.850006103515</v>
      </c>
      <c r="D776" s="155">
        <f t="shared" si="12"/>
        <v>2862.7876084138879</v>
      </c>
    </row>
    <row r="777" spans="1:4" x14ac:dyDescent="0.2">
      <c r="A777" s="162">
        <v>45691</v>
      </c>
      <c r="B777" s="155">
        <v>5.8406000137329102</v>
      </c>
      <c r="C777" s="155">
        <v>380.89999389648398</v>
      </c>
      <c r="D777" s="155">
        <f t="shared" si="12"/>
        <v>2869.2423525440563</v>
      </c>
    </row>
    <row r="778" spans="1:4" x14ac:dyDescent="0.2">
      <c r="A778" s="162">
        <v>45692</v>
      </c>
      <c r="B778" s="155">
        <v>5.8062000274658203</v>
      </c>
      <c r="C778" s="155">
        <v>383.350006103515</v>
      </c>
      <c r="D778" s="155">
        <f t="shared" si="12"/>
        <v>2870.6898247574431</v>
      </c>
    </row>
    <row r="779" spans="1:4" x14ac:dyDescent="0.2">
      <c r="A779" s="162">
        <v>45693</v>
      </c>
      <c r="B779" s="155">
        <v>5.7571001052856401</v>
      </c>
      <c r="C779" s="155">
        <v>397.75</v>
      </c>
      <c r="D779" s="155">
        <f t="shared" si="12"/>
        <v>2953.335401898742</v>
      </c>
    </row>
    <row r="780" spans="1:4" x14ac:dyDescent="0.2">
      <c r="A780" s="162">
        <v>45694</v>
      </c>
      <c r="B780" s="155">
        <v>5.8028998374938903</v>
      </c>
      <c r="C780" s="155">
        <v>403.95001220703102</v>
      </c>
      <c r="D780" s="155">
        <f t="shared" si="12"/>
        <v>3023.2321816532158</v>
      </c>
    </row>
    <row r="781" spans="1:4" x14ac:dyDescent="0.2">
      <c r="A781" s="162">
        <v>45695</v>
      </c>
      <c r="B781" s="155">
        <v>5.7604999542236301</v>
      </c>
      <c r="C781" s="155">
        <v>404.350006103515</v>
      </c>
      <c r="D781" s="155">
        <f t="shared" si="12"/>
        <v>3004.114167516268</v>
      </c>
    </row>
    <row r="782" spans="1:4" x14ac:dyDescent="0.2">
      <c r="A782" s="162">
        <v>45698</v>
      </c>
      <c r="B782" s="155">
        <v>5.8031997680664</v>
      </c>
      <c r="C782" s="155">
        <v>429.04998779296801</v>
      </c>
      <c r="D782" s="155">
        <f t="shared" si="12"/>
        <v>3211.2507356940609</v>
      </c>
    </row>
    <row r="783" spans="1:4" x14ac:dyDescent="0.2">
      <c r="A783" s="162">
        <v>45699</v>
      </c>
      <c r="B783" s="155">
        <v>5.7869000434875399</v>
      </c>
      <c r="C783" s="155">
        <v>413.45001220703102</v>
      </c>
      <c r="D783" s="155">
        <f t="shared" si="12"/>
        <v>3085.8001224195436</v>
      </c>
    </row>
    <row r="784" spans="1:4" x14ac:dyDescent="0.2">
      <c r="A784" s="162">
        <v>45700</v>
      </c>
      <c r="B784" s="155">
        <v>5.7645001411437899</v>
      </c>
      <c r="C784" s="155">
        <v>431.79998779296801</v>
      </c>
      <c r="D784" s="155">
        <f t="shared" si="12"/>
        <v>3210.2812468517454</v>
      </c>
    </row>
    <row r="785" spans="1:4" x14ac:dyDescent="0.2">
      <c r="A785" s="162">
        <v>45701</v>
      </c>
      <c r="B785" s="155">
        <v>5.76440000534057</v>
      </c>
      <c r="C785" s="155">
        <v>438.89999389648398</v>
      </c>
      <c r="D785" s="155">
        <f t="shared" si="12"/>
        <v>3263.0106153531865</v>
      </c>
    </row>
    <row r="786" spans="1:4" x14ac:dyDescent="0.2">
      <c r="A786" s="162">
        <v>45702</v>
      </c>
      <c r="B786" s="155">
        <v>5.7669000625610298</v>
      </c>
      <c r="C786" s="155">
        <v>419.75</v>
      </c>
      <c r="D786" s="155">
        <f t="shared" si="12"/>
        <v>3121.99305142405</v>
      </c>
    </row>
    <row r="787" spans="1:4" x14ac:dyDescent="0.2">
      <c r="A787" s="162">
        <v>45706</v>
      </c>
      <c r="B787" s="155">
        <v>5.7121000289916903</v>
      </c>
      <c r="C787" s="155">
        <v>419</v>
      </c>
      <c r="D787" s="155">
        <f t="shared" si="12"/>
        <v>3086.8009767940189</v>
      </c>
    </row>
    <row r="788" spans="1:4" x14ac:dyDescent="0.2">
      <c r="A788" s="162">
        <v>45707</v>
      </c>
      <c r="B788" s="155">
        <v>5.6886000633239702</v>
      </c>
      <c r="C788" s="155">
        <v>417.89999389648398</v>
      </c>
      <c r="D788" s="155">
        <f t="shared" si="12"/>
        <v>3066.0311901464165</v>
      </c>
    </row>
    <row r="789" spans="1:4" x14ac:dyDescent="0.2">
      <c r="A789" s="162">
        <v>45708</v>
      </c>
      <c r="B789" s="155">
        <v>5.7203001976013104</v>
      </c>
      <c r="C789" s="155">
        <v>395.75</v>
      </c>
      <c r="D789" s="155">
        <f t="shared" si="12"/>
        <v>2919.7021277520626</v>
      </c>
    </row>
    <row r="790" spans="1:4" x14ac:dyDescent="0.2">
      <c r="A790" s="162">
        <v>45709</v>
      </c>
      <c r="B790" s="155">
        <v>5.7013001441955504</v>
      </c>
      <c r="C790" s="155">
        <v>400</v>
      </c>
      <c r="D790" s="155">
        <f t="shared" si="12"/>
        <v>2941.2551339893312</v>
      </c>
    </row>
    <row r="791" spans="1:4" x14ac:dyDescent="0.2">
      <c r="A791" s="162">
        <v>45712</v>
      </c>
      <c r="B791" s="155">
        <v>5.7309999465942303</v>
      </c>
      <c r="C791" s="155">
        <v>393.79998779296801</v>
      </c>
      <c r="D791" s="155">
        <f t="shared" si="12"/>
        <v>2910.7499903418648</v>
      </c>
    </row>
    <row r="792" spans="1:4" x14ac:dyDescent="0.2">
      <c r="A792" s="162">
        <v>45713</v>
      </c>
      <c r="B792" s="155">
        <v>5.7778000831604004</v>
      </c>
      <c r="C792" s="155">
        <v>380.5</v>
      </c>
      <c r="D792" s="155">
        <f t="shared" si="12"/>
        <v>2835.4106995273232</v>
      </c>
    </row>
    <row r="793" spans="1:4" x14ac:dyDescent="0.2">
      <c r="A793" s="162">
        <v>45714</v>
      </c>
      <c r="B793" s="155">
        <v>5.7403001785278303</v>
      </c>
      <c r="C793" s="155">
        <v>379.45001220703102</v>
      </c>
      <c r="D793" s="155">
        <f t="shared" si="12"/>
        <v>2809.2343925479258</v>
      </c>
    </row>
    <row r="794" spans="1:4" x14ac:dyDescent="0.2">
      <c r="A794" s="162">
        <v>45715</v>
      </c>
      <c r="B794" s="155">
        <v>5.8017001152038503</v>
      </c>
      <c r="C794" s="155">
        <v>378.75</v>
      </c>
      <c r="D794" s="155">
        <f t="shared" si="12"/>
        <v>2834.0448586791299</v>
      </c>
    </row>
    <row r="795" spans="1:4" x14ac:dyDescent="0.2">
      <c r="A795" s="162">
        <v>45716</v>
      </c>
      <c r="B795" s="155">
        <v>5.8390002250671298</v>
      </c>
      <c r="C795" s="155">
        <v>379.04998779296801</v>
      </c>
      <c r="D795" s="155">
        <f t="shared" si="12"/>
        <v>2854.5245399046448</v>
      </c>
    </row>
    <row r="796" spans="1:4" x14ac:dyDescent="0.2">
      <c r="A796" s="162">
        <v>45719</v>
      </c>
      <c r="B796" s="155">
        <v>5.8804001808166504</v>
      </c>
      <c r="C796" s="155">
        <v>392.70001220703102</v>
      </c>
      <c r="D796" s="155">
        <f t="shared" si="12"/>
        <v>2978.287364427561</v>
      </c>
    </row>
    <row r="797" spans="1:4" x14ac:dyDescent="0.2">
      <c r="A797" s="162">
        <v>45720</v>
      </c>
      <c r="B797" s="155">
        <v>6.0205001831054599</v>
      </c>
      <c r="C797" s="155">
        <v>403.75</v>
      </c>
      <c r="D797" s="155">
        <f t="shared" si="12"/>
        <v>3135.0459543419788</v>
      </c>
    </row>
    <row r="798" spans="1:4" x14ac:dyDescent="0.2">
      <c r="A798" s="162">
        <v>45721</v>
      </c>
      <c r="B798" s="155">
        <v>5.8857002258300701</v>
      </c>
      <c r="C798" s="155">
        <v>415.5</v>
      </c>
      <c r="D798" s="155">
        <f t="shared" si="12"/>
        <v>3154.0456052639533</v>
      </c>
    </row>
    <row r="799" spans="1:4" x14ac:dyDescent="0.2">
      <c r="A799" s="162">
        <v>45722</v>
      </c>
      <c r="B799" s="155">
        <v>5.7400999069213796</v>
      </c>
      <c r="C799" s="155">
        <v>393</v>
      </c>
      <c r="D799" s="155">
        <f t="shared" si="12"/>
        <v>2909.4493678108079</v>
      </c>
    </row>
    <row r="800" spans="1:4" x14ac:dyDescent="0.2">
      <c r="A800" s="162">
        <v>45723</v>
      </c>
      <c r="B800" s="155">
        <v>5.76300001144409</v>
      </c>
      <c r="C800" s="155">
        <v>390.20001220703102</v>
      </c>
      <c r="D800" s="155">
        <f t="shared" si="12"/>
        <v>2900.2450953886387</v>
      </c>
    </row>
    <row r="801" spans="1:4" x14ac:dyDescent="0.2">
      <c r="A801" s="162">
        <v>45726</v>
      </c>
      <c r="B801" s="155">
        <v>5.7828998565673801</v>
      </c>
      <c r="C801" s="155">
        <v>389.350006103515</v>
      </c>
      <c r="D801" s="155">
        <f t="shared" si="12"/>
        <v>2903.9200773756761</v>
      </c>
    </row>
    <row r="802" spans="1:4" x14ac:dyDescent="0.2">
      <c r="A802" s="162">
        <v>45727</v>
      </c>
      <c r="B802" s="155">
        <v>5.8529000282287598</v>
      </c>
      <c r="C802" s="155">
        <v>399.45001220703102</v>
      </c>
      <c r="D802" s="155">
        <f t="shared" si="12"/>
        <v>3015.3126300953531</v>
      </c>
    </row>
    <row r="803" spans="1:4" x14ac:dyDescent="0.2">
      <c r="A803" s="162">
        <v>45728</v>
      </c>
      <c r="B803" s="155">
        <v>5.8085999488830504</v>
      </c>
      <c r="C803" s="155">
        <v>392.20001220703102</v>
      </c>
      <c r="D803" s="155">
        <f t="shared" si="12"/>
        <v>2938.1764365042905</v>
      </c>
    </row>
    <row r="804" spans="1:4" x14ac:dyDescent="0.2">
      <c r="A804" s="162">
        <v>45729</v>
      </c>
      <c r="B804" s="155">
        <v>5.7978000640869096</v>
      </c>
      <c r="C804" s="155">
        <v>390.600006103515</v>
      </c>
      <c r="D804" s="155">
        <f t="shared" si="12"/>
        <v>2920.749307540992</v>
      </c>
    </row>
    <row r="805" spans="1:4" x14ac:dyDescent="0.2">
      <c r="A805" s="162">
        <v>45730</v>
      </c>
      <c r="B805" s="155">
        <v>5.79850006103515</v>
      </c>
      <c r="C805" s="155">
        <v>382.100006103515</v>
      </c>
      <c r="D805" s="155">
        <f t="shared" si="12"/>
        <v>2857.534698374111</v>
      </c>
    </row>
    <row r="806" spans="1:4" x14ac:dyDescent="0.2">
      <c r="A806" s="162">
        <v>45733</v>
      </c>
      <c r="B806" s="155">
        <v>5.74060010910034</v>
      </c>
      <c r="C806" s="155">
        <v>389.350006103515</v>
      </c>
      <c r="D806" s="155">
        <f t="shared" si="12"/>
        <v>2882.6789891700832</v>
      </c>
    </row>
    <row r="807" spans="1:4" x14ac:dyDescent="0.2">
      <c r="A807" s="162">
        <v>45734</v>
      </c>
      <c r="B807" s="155">
        <v>5.6780691146850497</v>
      </c>
      <c r="C807" s="155">
        <v>387.14999389648398</v>
      </c>
      <c r="D807" s="155">
        <f t="shared" si="12"/>
        <v>2835.1675743971941</v>
      </c>
    </row>
    <row r="808" spans="1:4" x14ac:dyDescent="0.2">
      <c r="A808" s="162">
        <v>45735</v>
      </c>
      <c r="B808" s="155">
        <v>5.6721000671386701</v>
      </c>
      <c r="C808" s="155">
        <v>394.600006103515</v>
      </c>
      <c r="D808" s="155">
        <f t="shared" si="12"/>
        <v>2886.6875133406397</v>
      </c>
    </row>
    <row r="809" spans="1:4" x14ac:dyDescent="0.2">
      <c r="A809" s="162">
        <v>45736</v>
      </c>
      <c r="B809" s="155">
        <v>5.6480998992919904</v>
      </c>
      <c r="C809" s="155">
        <v>392.14999389648398</v>
      </c>
      <c r="D809" s="155">
        <f t="shared" si="12"/>
        <v>2856.6259963018915</v>
      </c>
    </row>
    <row r="810" spans="1:4" x14ac:dyDescent="0.2">
      <c r="A810" s="162">
        <v>45737</v>
      </c>
      <c r="B810" s="155">
        <v>5.6739001274108798</v>
      </c>
      <c r="C810" s="155">
        <v>391.39999389648398</v>
      </c>
      <c r="D810" s="155">
        <f t="shared" si="12"/>
        <v>2864.1865666485478</v>
      </c>
    </row>
    <row r="811" spans="1:4" x14ac:dyDescent="0.2">
      <c r="A811" s="162">
        <v>45740</v>
      </c>
      <c r="B811" s="155">
        <v>5.7295999526977504</v>
      </c>
      <c r="C811" s="155">
        <v>393.39999389648398</v>
      </c>
      <c r="D811" s="155">
        <f t="shared" si="12"/>
        <v>2907.0831298442272</v>
      </c>
    </row>
    <row r="812" spans="1:4" x14ac:dyDescent="0.2">
      <c r="A812" s="162">
        <v>45741</v>
      </c>
      <c r="B812" s="155">
        <v>5.7607998847961399</v>
      </c>
      <c r="C812" s="155">
        <v>398.54998779296801</v>
      </c>
      <c r="D812" s="155">
        <f t="shared" si="12"/>
        <v>2961.1771626391546</v>
      </c>
    </row>
    <row r="813" spans="1:4" x14ac:dyDescent="0.2">
      <c r="A813" s="162">
        <v>45742</v>
      </c>
      <c r="B813" s="155">
        <v>5.6984000205993599</v>
      </c>
      <c r="C813" s="155">
        <v>392</v>
      </c>
      <c r="D813" s="155">
        <f t="shared" si="12"/>
        <v>2880.9638037585037</v>
      </c>
    </row>
    <row r="814" spans="1:4" x14ac:dyDescent="0.2">
      <c r="A814" s="162">
        <v>45743</v>
      </c>
      <c r="B814" s="155">
        <v>5.7335000038146902</v>
      </c>
      <c r="C814" s="155">
        <v>378.79998779296801</v>
      </c>
      <c r="D814" s="155">
        <f t="shared" si="12"/>
        <v>2801.099754150729</v>
      </c>
    </row>
    <row r="815" spans="1:4" x14ac:dyDescent="0.2">
      <c r="A815" s="162">
        <v>45744</v>
      </c>
      <c r="B815" s="155">
        <v>5.7392997741699201</v>
      </c>
      <c r="C815" s="155">
        <v>379.95001220703102</v>
      </c>
      <c r="D815" s="155">
        <f t="shared" si="12"/>
        <v>2812.4458801446171</v>
      </c>
    </row>
    <row r="816" spans="1:4" x14ac:dyDescent="0.2">
      <c r="A816" s="162">
        <v>45747</v>
      </c>
      <c r="B816" s="155">
        <v>5.7581000328063903</v>
      </c>
      <c r="C816" s="155">
        <v>379.75</v>
      </c>
      <c r="D816" s="155">
        <f t="shared" si="12"/>
        <v>2820.1732564294985</v>
      </c>
    </row>
    <row r="817" spans="1:4" x14ac:dyDescent="0.2">
      <c r="A817" s="162">
        <v>45748</v>
      </c>
      <c r="B817" s="155">
        <v>5.6984000205993599</v>
      </c>
      <c r="C817" s="155">
        <v>389.04998779296801</v>
      </c>
      <c r="D817" s="155">
        <f t="shared" si="12"/>
        <v>2859.2829915413995</v>
      </c>
    </row>
    <row r="818" spans="1:4" x14ac:dyDescent="0.2">
      <c r="A818" s="162">
        <v>45749</v>
      </c>
      <c r="B818" s="155">
        <v>5.6813001632690403</v>
      </c>
      <c r="C818" s="155">
        <v>388.850006103515</v>
      </c>
      <c r="D818" s="155">
        <f t="shared" si="12"/>
        <v>2849.2374712075025</v>
      </c>
    </row>
    <row r="819" spans="1:4" x14ac:dyDescent="0.2">
      <c r="A819" s="162">
        <v>45750</v>
      </c>
      <c r="B819" s="155">
        <v>5.6637001037597603</v>
      </c>
      <c r="C819" s="155">
        <v>385.25</v>
      </c>
      <c r="D819" s="155">
        <f t="shared" si="12"/>
        <v>2814.1140758902043</v>
      </c>
    </row>
    <row r="820" spans="1:4" x14ac:dyDescent="0.2">
      <c r="A820" s="162">
        <v>45751</v>
      </c>
      <c r="B820" s="155">
        <v>5.6305999755859304</v>
      </c>
      <c r="C820" s="155">
        <v>365.70001220703102</v>
      </c>
      <c r="D820" s="155">
        <f t="shared" si="12"/>
        <v>2655.696559118494</v>
      </c>
    </row>
    <row r="821" spans="1:4" x14ac:dyDescent="0.2">
      <c r="A821" s="162">
        <v>45754</v>
      </c>
      <c r="B821" s="155">
        <v>5.8400301933288503</v>
      </c>
      <c r="C821" s="155">
        <v>344.79998779296801</v>
      </c>
      <c r="D821" s="155">
        <f t="shared" si="12"/>
        <v>2597.0549343561242</v>
      </c>
    </row>
    <row r="822" spans="1:4" x14ac:dyDescent="0.2">
      <c r="A822" s="162">
        <v>45755</v>
      </c>
      <c r="B822" s="155">
        <v>5.9135999679565403</v>
      </c>
      <c r="C822" s="155">
        <v>342.89999389648398</v>
      </c>
      <c r="D822" s="155">
        <f t="shared" si="12"/>
        <v>2615.2801780488358</v>
      </c>
    </row>
    <row r="823" spans="1:4" x14ac:dyDescent="0.2">
      <c r="A823" s="162">
        <v>45756</v>
      </c>
      <c r="B823" s="155">
        <v>6.0132999420165998</v>
      </c>
      <c r="C823" s="155">
        <v>341.70001220703102</v>
      </c>
      <c r="D823" s="155">
        <f t="shared" si="12"/>
        <v>2650.0658349740083</v>
      </c>
    </row>
    <row r="824" spans="1:4" x14ac:dyDescent="0.2">
      <c r="A824" s="162">
        <v>45757</v>
      </c>
      <c r="B824" s="155">
        <v>5.8180999755859304</v>
      </c>
      <c r="C824" s="155">
        <v>342.850006103515</v>
      </c>
      <c r="D824" s="155">
        <f t="shared" si="12"/>
        <v>2572.6703610459626</v>
      </c>
    </row>
    <row r="825" spans="1:4" x14ac:dyDescent="0.2">
      <c r="A825" s="162">
        <v>45758</v>
      </c>
      <c r="B825" s="155">
        <v>5.8843002319335902</v>
      </c>
      <c r="C825" s="155">
        <v>357.70001220703102</v>
      </c>
      <c r="D825" s="155">
        <f t="shared" si="12"/>
        <v>2714.6421017308062</v>
      </c>
    </row>
    <row r="826" spans="1:4" x14ac:dyDescent="0.2">
      <c r="A826" s="162">
        <v>45761</v>
      </c>
      <c r="B826" s="155">
        <v>5.8642001152038503</v>
      </c>
      <c r="C826" s="155">
        <v>360.39999389648398</v>
      </c>
      <c r="D826" s="155">
        <f t="shared" si="12"/>
        <v>2725.789781012978</v>
      </c>
    </row>
    <row r="827" spans="1:4" x14ac:dyDescent="0.2">
      <c r="A827" s="162">
        <v>45762</v>
      </c>
      <c r="B827" s="155">
        <v>5.8541998863220197</v>
      </c>
      <c r="C827" s="155">
        <v>369.39999389648398</v>
      </c>
      <c r="D827" s="155">
        <f t="shared" si="12"/>
        <v>2789.0945227576203</v>
      </c>
    </row>
    <row r="828" spans="1:4" x14ac:dyDescent="0.2">
      <c r="A828" s="162">
        <v>45763</v>
      </c>
      <c r="B828" s="155">
        <v>5.8846001625061</v>
      </c>
      <c r="C828" s="155">
        <v>376.04998779296801</v>
      </c>
      <c r="D828" s="155">
        <f t="shared" si="12"/>
        <v>2854.0484428360173</v>
      </c>
    </row>
    <row r="829" spans="1:4" x14ac:dyDescent="0.2">
      <c r="A829" s="162">
        <v>45764</v>
      </c>
      <c r="B829" s="155">
        <v>5.8653998374938903</v>
      </c>
      <c r="C829" s="155">
        <v>375.5</v>
      </c>
      <c r="D829" s="155">
        <f t="shared" si="12"/>
        <v>2840.5756907203286</v>
      </c>
    </row>
    <row r="830" spans="1:4" x14ac:dyDescent="0.2">
      <c r="A830" s="162">
        <v>45769</v>
      </c>
      <c r="B830" s="155">
        <v>5.8070998191833496</v>
      </c>
      <c r="C830" s="155">
        <v>377.64999389648398</v>
      </c>
      <c r="D830" s="155">
        <f t="shared" si="12"/>
        <v>2828.443938712373</v>
      </c>
    </row>
    <row r="831" spans="1:4" x14ac:dyDescent="0.2">
      <c r="A831" s="162">
        <v>45770</v>
      </c>
      <c r="B831" s="155">
        <v>5.7199001312255797</v>
      </c>
      <c r="C831" s="155">
        <v>392.39999389648398</v>
      </c>
      <c r="D831" s="155">
        <f t="shared" si="12"/>
        <v>2894.7845098203488</v>
      </c>
    </row>
    <row r="832" spans="1:4" x14ac:dyDescent="0.2">
      <c r="A832" s="162">
        <v>45771</v>
      </c>
      <c r="B832" s="155">
        <v>5.7034001350402797</v>
      </c>
      <c r="C832" s="155">
        <v>408</v>
      </c>
      <c r="D832" s="155">
        <f t="shared" si="12"/>
        <v>3001.1852725155236</v>
      </c>
    </row>
    <row r="833" spans="1:4" x14ac:dyDescent="0.2">
      <c r="A833" s="162">
        <v>45772</v>
      </c>
      <c r="B833" s="155">
        <v>5.6786999702453604</v>
      </c>
      <c r="C833" s="155">
        <v>408.25</v>
      </c>
      <c r="D833" s="155">
        <f t="shared" si="12"/>
        <v>2990.0188001789716</v>
      </c>
    </row>
    <row r="834" spans="1:4" x14ac:dyDescent="0.2">
      <c r="A834" s="162">
        <v>45775</v>
      </c>
      <c r="B834" s="155">
        <v>5.6847000122070304</v>
      </c>
      <c r="C834" s="155">
        <v>421.54998779296801</v>
      </c>
      <c r="D834" s="155">
        <f t="shared" si="12"/>
        <v>3090.6899107611976</v>
      </c>
    </row>
    <row r="835" spans="1:4" x14ac:dyDescent="0.2">
      <c r="A835" s="162">
        <v>45776</v>
      </c>
      <c r="B835" s="155">
        <v>5.6529002189636204</v>
      </c>
      <c r="C835" s="155">
        <v>412.64999389648398</v>
      </c>
      <c r="D835" s="155">
        <f t="shared" ref="D835:D882" si="13">(B835*(1-$F$1)*C835*1.3228)</f>
        <v>3008.5135000050441</v>
      </c>
    </row>
    <row r="836" spans="1:4" x14ac:dyDescent="0.2">
      <c r="A836" s="162">
        <v>45777</v>
      </c>
      <c r="B836" s="155">
        <v>5.6199998855590803</v>
      </c>
      <c r="C836" s="155">
        <v>413.600006103515</v>
      </c>
      <c r="D836" s="155">
        <f t="shared" si="13"/>
        <v>2997.8896665535144</v>
      </c>
    </row>
    <row r="837" spans="1:4" x14ac:dyDescent="0.2">
      <c r="A837" s="162">
        <v>45778</v>
      </c>
      <c r="B837" s="155">
        <v>5.6729001998901296</v>
      </c>
      <c r="C837" s="155">
        <v>395.70001220703102</v>
      </c>
      <c r="D837" s="155">
        <f t="shared" si="13"/>
        <v>2895.14292806292</v>
      </c>
    </row>
    <row r="838" spans="1:4" x14ac:dyDescent="0.2">
      <c r="A838" s="162">
        <v>45779</v>
      </c>
      <c r="B838" s="155">
        <v>5.6771001815795898</v>
      </c>
      <c r="C838" s="155">
        <v>395.39999389648398</v>
      </c>
      <c r="D838" s="155">
        <f t="shared" si="13"/>
        <v>2895.0896606668948</v>
      </c>
    </row>
    <row r="839" spans="1:4" x14ac:dyDescent="0.2">
      <c r="A839" s="162">
        <v>45782</v>
      </c>
      <c r="B839" s="155">
        <v>5.6669001579284597</v>
      </c>
      <c r="C839" s="155">
        <v>398.95001220703102</v>
      </c>
      <c r="D839" s="155">
        <f t="shared" si="13"/>
        <v>2915.8343357947056</v>
      </c>
    </row>
    <row r="840" spans="1:4" x14ac:dyDescent="0.2">
      <c r="A840" s="162">
        <v>45783</v>
      </c>
      <c r="B840" s="155">
        <v>5.6862998008728001</v>
      </c>
      <c r="C840" s="155">
        <v>401.100006103515</v>
      </c>
      <c r="D840" s="155">
        <f t="shared" si="13"/>
        <v>2941.583792220174</v>
      </c>
    </row>
    <row r="841" spans="1:4" x14ac:dyDescent="0.2">
      <c r="A841" s="162">
        <v>45784</v>
      </c>
      <c r="B841" s="155">
        <v>5.7128000259399396</v>
      </c>
      <c r="C841" s="155">
        <v>396.20001220703102</v>
      </c>
      <c r="D841" s="155">
        <f t="shared" si="13"/>
        <v>2919.1896365289099</v>
      </c>
    </row>
    <row r="842" spans="1:4" x14ac:dyDescent="0.2">
      <c r="A842" s="162">
        <v>45785</v>
      </c>
      <c r="B842" s="155">
        <v>5.7445998191833496</v>
      </c>
      <c r="C842" s="155">
        <v>397.79998779296801</v>
      </c>
      <c r="D842" s="155">
        <f t="shared" si="13"/>
        <v>2947.2932374818979</v>
      </c>
    </row>
    <row r="843" spans="1:4" x14ac:dyDescent="0.2">
      <c r="A843" s="162">
        <v>45786</v>
      </c>
      <c r="B843" s="155">
        <v>5.6616001129150302</v>
      </c>
      <c r="C843" s="155">
        <v>397.14999389648398</v>
      </c>
      <c r="D843" s="155">
        <f t="shared" si="13"/>
        <v>2899.9636446706345</v>
      </c>
    </row>
    <row r="844" spans="1:4" x14ac:dyDescent="0.2">
      <c r="A844" s="162">
        <v>45789</v>
      </c>
      <c r="B844" s="155">
        <v>5.6482000350952104</v>
      </c>
      <c r="C844" s="155">
        <v>382.45001220703102</v>
      </c>
      <c r="D844" s="155">
        <f t="shared" si="13"/>
        <v>2786.0156407306517</v>
      </c>
    </row>
    <row r="845" spans="1:4" x14ac:dyDescent="0.2">
      <c r="A845" s="162">
        <v>45790</v>
      </c>
      <c r="B845" s="155">
        <v>5.6697998046875</v>
      </c>
      <c r="C845" s="155">
        <v>384.850006103515</v>
      </c>
      <c r="D845" s="155">
        <f t="shared" si="13"/>
        <v>2814.2198653050546</v>
      </c>
    </row>
    <row r="846" spans="1:4" x14ac:dyDescent="0.2">
      <c r="A846" s="162">
        <v>45791</v>
      </c>
      <c r="B846" s="155">
        <v>5.6004691123962402</v>
      </c>
      <c r="C846" s="155">
        <v>373.95001220703102</v>
      </c>
      <c r="D846" s="155">
        <f t="shared" si="13"/>
        <v>2701.0757261168246</v>
      </c>
    </row>
    <row r="847" spans="1:4" x14ac:dyDescent="0.2">
      <c r="A847" s="162">
        <v>45792</v>
      </c>
      <c r="B847" s="155">
        <v>5.6364998817443803</v>
      </c>
      <c r="C847" s="155">
        <v>384.95001220703102</v>
      </c>
      <c r="D847" s="155">
        <f t="shared" si="13"/>
        <v>2798.4183626957956</v>
      </c>
    </row>
    <row r="848" spans="1:4" x14ac:dyDescent="0.2">
      <c r="A848" s="162">
        <v>45793</v>
      </c>
      <c r="B848" s="155">
        <v>5.6813001632690403</v>
      </c>
      <c r="C848" s="155">
        <v>376.25</v>
      </c>
      <c r="D848" s="155">
        <f t="shared" si="13"/>
        <v>2756.9129014143336</v>
      </c>
    </row>
    <row r="849" spans="1:4" x14ac:dyDescent="0.2">
      <c r="A849" s="162">
        <v>45796</v>
      </c>
      <c r="B849" s="155">
        <v>5.6586737632751403</v>
      </c>
      <c r="C849" s="155">
        <v>376.14999389648398</v>
      </c>
      <c r="D849" s="155">
        <f t="shared" si="13"/>
        <v>2745.2033332309884</v>
      </c>
    </row>
    <row r="850" spans="1:4" x14ac:dyDescent="0.2">
      <c r="A850" s="162">
        <v>45797</v>
      </c>
      <c r="B850" s="155">
        <v>5.6444997787475497</v>
      </c>
      <c r="C850" s="155">
        <v>369.29998779296801</v>
      </c>
      <c r="D850" s="155">
        <f t="shared" si="13"/>
        <v>2688.4598535128212</v>
      </c>
    </row>
    <row r="851" spans="1:4" x14ac:dyDescent="0.2">
      <c r="A851" s="162">
        <v>45754</v>
      </c>
      <c r="B851" s="155">
        <v>5.8400301933288503</v>
      </c>
      <c r="C851" s="155">
        <v>344.79998779296801</v>
      </c>
      <c r="D851" s="155">
        <f t="shared" si="13"/>
        <v>2597.0549343561242</v>
      </c>
    </row>
    <row r="852" spans="1:4" x14ac:dyDescent="0.2">
      <c r="A852" s="162">
        <v>45755</v>
      </c>
      <c r="B852" s="155">
        <v>5.9135999679565403</v>
      </c>
      <c r="C852" s="155">
        <v>342.89999389648398</v>
      </c>
      <c r="D852" s="155">
        <f t="shared" si="13"/>
        <v>2615.2801780488358</v>
      </c>
    </row>
    <row r="853" spans="1:4" x14ac:dyDescent="0.2">
      <c r="A853" s="162">
        <v>45756</v>
      </c>
      <c r="B853" s="155">
        <v>6.0132999420165998</v>
      </c>
      <c r="C853" s="155">
        <v>341.70001220703102</v>
      </c>
      <c r="D853" s="155">
        <f t="shared" si="13"/>
        <v>2650.0658349740083</v>
      </c>
    </row>
    <row r="854" spans="1:4" x14ac:dyDescent="0.2">
      <c r="A854" s="162">
        <v>45757</v>
      </c>
      <c r="B854" s="155">
        <v>5.8180999755859304</v>
      </c>
      <c r="C854" s="155">
        <v>342.850006103515</v>
      </c>
      <c r="D854" s="155">
        <f t="shared" si="13"/>
        <v>2572.6703610459626</v>
      </c>
    </row>
    <row r="855" spans="1:4" x14ac:dyDescent="0.2">
      <c r="A855" s="162">
        <v>45758</v>
      </c>
      <c r="B855" s="155">
        <v>5.8843002319335902</v>
      </c>
      <c r="C855" s="155">
        <v>357.70001220703102</v>
      </c>
      <c r="D855" s="155">
        <f t="shared" si="13"/>
        <v>2714.6421017308062</v>
      </c>
    </row>
    <row r="856" spans="1:4" x14ac:dyDescent="0.2">
      <c r="A856" s="162">
        <v>45761</v>
      </c>
      <c r="B856" s="155">
        <v>5.8642001152038503</v>
      </c>
      <c r="C856" s="155">
        <v>360.39999389648398</v>
      </c>
      <c r="D856" s="155">
        <f t="shared" si="13"/>
        <v>2725.789781012978</v>
      </c>
    </row>
    <row r="857" spans="1:4" x14ac:dyDescent="0.2">
      <c r="A857" s="162">
        <v>45762</v>
      </c>
      <c r="B857" s="155">
        <v>5.8541998863220197</v>
      </c>
      <c r="C857" s="155">
        <v>369.39999389648398</v>
      </c>
      <c r="D857" s="155">
        <f t="shared" si="13"/>
        <v>2789.0945227576203</v>
      </c>
    </row>
    <row r="858" spans="1:4" x14ac:dyDescent="0.2">
      <c r="A858" s="162">
        <v>45763</v>
      </c>
      <c r="B858" s="155">
        <v>5.8846001625061</v>
      </c>
      <c r="C858" s="155">
        <v>376.04998779296801</v>
      </c>
      <c r="D858" s="155">
        <f t="shared" si="13"/>
        <v>2854.0484428360173</v>
      </c>
    </row>
    <row r="859" spans="1:4" x14ac:dyDescent="0.2">
      <c r="A859" s="162">
        <v>45764</v>
      </c>
      <c r="B859" s="155">
        <v>5.8653998374938903</v>
      </c>
      <c r="C859" s="155">
        <v>375.5</v>
      </c>
      <c r="D859" s="155">
        <f t="shared" si="13"/>
        <v>2840.5756907203286</v>
      </c>
    </row>
    <row r="860" spans="1:4" x14ac:dyDescent="0.2">
      <c r="A860" s="162">
        <v>45768</v>
      </c>
      <c r="B860" s="155" t="s">
        <v>277</v>
      </c>
      <c r="C860" s="155">
        <v>366.79998779296801</v>
      </c>
      <c r="D860" s="155" t="e">
        <f t="shared" si="13"/>
        <v>#VALUE!</v>
      </c>
    </row>
    <row r="861" spans="1:4" x14ac:dyDescent="0.2">
      <c r="A861" s="162">
        <v>45769</v>
      </c>
      <c r="B861" s="155">
        <v>5.8070998191833496</v>
      </c>
      <c r="C861" s="155">
        <v>377.64999389648398</v>
      </c>
      <c r="D861" s="155">
        <f t="shared" si="13"/>
        <v>2828.443938712373</v>
      </c>
    </row>
    <row r="862" spans="1:4" x14ac:dyDescent="0.2">
      <c r="A862" s="162">
        <v>45770</v>
      </c>
      <c r="B862" s="155">
        <v>5.7199001312255797</v>
      </c>
      <c r="C862" s="155">
        <v>392.39999389648398</v>
      </c>
      <c r="D862" s="155">
        <f t="shared" si="13"/>
        <v>2894.7845098203488</v>
      </c>
    </row>
    <row r="863" spans="1:4" x14ac:dyDescent="0.2">
      <c r="A863" s="162">
        <v>45771</v>
      </c>
      <c r="B863" s="155">
        <v>5.7034001350402797</v>
      </c>
      <c r="C863" s="155">
        <v>408</v>
      </c>
      <c r="D863" s="155">
        <f t="shared" si="13"/>
        <v>3001.1852725155236</v>
      </c>
    </row>
    <row r="864" spans="1:4" x14ac:dyDescent="0.2">
      <c r="A864" s="162">
        <v>45772</v>
      </c>
      <c r="B864" s="155">
        <v>5.6786999702453604</v>
      </c>
      <c r="C864" s="155">
        <v>408.25</v>
      </c>
      <c r="D864" s="155">
        <f t="shared" si="13"/>
        <v>2990.0188001789716</v>
      </c>
    </row>
    <row r="865" spans="1:4" x14ac:dyDescent="0.2">
      <c r="A865" s="162">
        <v>45775</v>
      </c>
      <c r="B865" s="155">
        <v>5.6847000122070304</v>
      </c>
      <c r="C865" s="155">
        <v>421.54998779296801</v>
      </c>
      <c r="D865" s="155">
        <f t="shared" si="13"/>
        <v>3090.6899107611976</v>
      </c>
    </row>
    <row r="866" spans="1:4" x14ac:dyDescent="0.2">
      <c r="A866" s="162">
        <v>45776</v>
      </c>
      <c r="B866" s="155">
        <v>5.6529002189636204</v>
      </c>
      <c r="C866" s="155">
        <v>412.64999389648398</v>
      </c>
      <c r="D866" s="155">
        <f t="shared" si="13"/>
        <v>3008.5135000050441</v>
      </c>
    </row>
    <row r="867" spans="1:4" x14ac:dyDescent="0.2">
      <c r="A867" s="162">
        <v>45777</v>
      </c>
      <c r="B867" s="155">
        <v>5.6199998855590803</v>
      </c>
      <c r="C867" s="155">
        <v>413.600006103515</v>
      </c>
      <c r="D867" s="155">
        <f t="shared" si="13"/>
        <v>2997.8896665535144</v>
      </c>
    </row>
    <row r="868" spans="1:4" x14ac:dyDescent="0.2">
      <c r="A868" s="162">
        <v>45778</v>
      </c>
      <c r="B868" s="155">
        <v>5.6729001998901296</v>
      </c>
      <c r="C868" s="155">
        <v>395.70001220703102</v>
      </c>
      <c r="D868" s="155">
        <f t="shared" si="13"/>
        <v>2895.14292806292</v>
      </c>
    </row>
    <row r="869" spans="1:4" x14ac:dyDescent="0.2">
      <c r="A869" s="162">
        <v>45779</v>
      </c>
      <c r="B869" s="155">
        <v>5.6771001815795898</v>
      </c>
      <c r="C869" s="155">
        <v>395.39999389648398</v>
      </c>
      <c r="D869" s="155">
        <f t="shared" si="13"/>
        <v>2895.0896606668948</v>
      </c>
    </row>
    <row r="870" spans="1:4" x14ac:dyDescent="0.2">
      <c r="A870" s="162">
        <v>45782</v>
      </c>
      <c r="B870" s="155">
        <v>5.6669001579284597</v>
      </c>
      <c r="C870" s="155">
        <v>398.95001220703102</v>
      </c>
      <c r="D870" s="155">
        <f t="shared" si="13"/>
        <v>2915.8343357947056</v>
      </c>
    </row>
    <row r="871" spans="1:4" x14ac:dyDescent="0.2">
      <c r="A871" s="162">
        <v>45783</v>
      </c>
      <c r="B871" s="155">
        <v>5.6862998008728001</v>
      </c>
      <c r="C871" s="155">
        <v>401.100006103515</v>
      </c>
      <c r="D871" s="155">
        <f t="shared" si="13"/>
        <v>2941.583792220174</v>
      </c>
    </row>
    <row r="872" spans="1:4" x14ac:dyDescent="0.2">
      <c r="A872" s="162">
        <v>45784</v>
      </c>
      <c r="B872" s="155">
        <v>5.7128000259399396</v>
      </c>
      <c r="C872" s="155">
        <v>396.20001220703102</v>
      </c>
      <c r="D872" s="155">
        <f t="shared" si="13"/>
        <v>2919.1896365289099</v>
      </c>
    </row>
    <row r="873" spans="1:4" x14ac:dyDescent="0.2">
      <c r="A873" s="162">
        <v>45785</v>
      </c>
      <c r="B873" s="155">
        <v>5.7445998191833496</v>
      </c>
      <c r="C873" s="155">
        <v>397.79998779296801</v>
      </c>
      <c r="D873" s="155">
        <f t="shared" si="13"/>
        <v>2947.2932374818979</v>
      </c>
    </row>
    <row r="874" spans="1:4" x14ac:dyDescent="0.2">
      <c r="A874" s="162">
        <v>45786</v>
      </c>
      <c r="B874" s="155">
        <v>5.6616001129150302</v>
      </c>
      <c r="C874" s="155">
        <v>397.14999389648398</v>
      </c>
      <c r="D874" s="155">
        <f t="shared" si="13"/>
        <v>2899.9636446706345</v>
      </c>
    </row>
    <row r="875" spans="1:4" x14ac:dyDescent="0.2">
      <c r="A875" s="162">
        <v>45789</v>
      </c>
      <c r="B875" s="155">
        <v>5.6482000350952104</v>
      </c>
      <c r="C875" s="155">
        <v>382.45001220703102</v>
      </c>
      <c r="D875" s="155">
        <f t="shared" si="13"/>
        <v>2786.0156407306517</v>
      </c>
    </row>
    <row r="876" spans="1:4" x14ac:dyDescent="0.2">
      <c r="A876" s="162">
        <v>45790</v>
      </c>
      <c r="B876" s="155">
        <v>5.6697998046875</v>
      </c>
      <c r="C876" s="155">
        <v>384.850006103515</v>
      </c>
      <c r="D876" s="155">
        <f t="shared" si="13"/>
        <v>2814.2198653050546</v>
      </c>
    </row>
    <row r="877" spans="1:4" x14ac:dyDescent="0.2">
      <c r="A877" s="162">
        <v>45791</v>
      </c>
      <c r="B877" s="155">
        <v>5.6004691123962402</v>
      </c>
      <c r="C877" s="155">
        <v>373.95001220703102</v>
      </c>
      <c r="D877" s="155">
        <f t="shared" si="13"/>
        <v>2701.0757261168246</v>
      </c>
    </row>
    <row r="878" spans="1:4" x14ac:dyDescent="0.2">
      <c r="A878" s="162">
        <v>45792</v>
      </c>
      <c r="B878" s="155">
        <v>5.6364998817443803</v>
      </c>
      <c r="C878" s="155">
        <v>384.95001220703102</v>
      </c>
      <c r="D878" s="155">
        <f t="shared" si="13"/>
        <v>2798.4183626957956</v>
      </c>
    </row>
    <row r="879" spans="1:4" x14ac:dyDescent="0.2">
      <c r="A879" s="162">
        <v>45793</v>
      </c>
      <c r="B879" s="155">
        <v>5.6813001632690403</v>
      </c>
      <c r="C879" s="155">
        <v>376.25</v>
      </c>
      <c r="D879" s="155">
        <f t="shared" si="13"/>
        <v>2756.9129014143336</v>
      </c>
    </row>
    <row r="880" spans="1:4" x14ac:dyDescent="0.2">
      <c r="A880" s="162">
        <v>45796</v>
      </c>
      <c r="B880" s="155">
        <v>5.6586737632751403</v>
      </c>
      <c r="C880" s="155">
        <v>376.14999389648398</v>
      </c>
      <c r="D880" s="155">
        <f t="shared" si="13"/>
        <v>2745.2033332309884</v>
      </c>
    </row>
    <row r="881" spans="1:4" x14ac:dyDescent="0.2">
      <c r="A881" s="162">
        <v>45797</v>
      </c>
      <c r="B881" s="155">
        <v>5.6444997787475497</v>
      </c>
      <c r="C881" s="155">
        <v>369.29998779296801</v>
      </c>
      <c r="D881" s="155">
        <f t="shared" si="13"/>
        <v>2688.4598535128212</v>
      </c>
    </row>
    <row r="882" spans="1:4" x14ac:dyDescent="0.2">
      <c r="A882" s="162">
        <v>45798</v>
      </c>
      <c r="B882" s="155" t="s">
        <v>277</v>
      </c>
      <c r="C882" s="155">
        <v>372.89999389648398</v>
      </c>
      <c r="D882" s="155" t="e">
        <f t="shared" si="13"/>
        <v>#VALUE!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DD96-7FFD-4F43-93BD-9B93CAC63CF7}">
  <sheetPr codeName="Sheet2">
    <pageSetUpPr fitToPage="1"/>
  </sheetPr>
  <dimension ref="A1:Z87"/>
  <sheetViews>
    <sheetView zoomScale="80" zoomScaleNormal="80" workbookViewId="0">
      <selection activeCell="T24" sqref="T24"/>
    </sheetView>
  </sheetViews>
  <sheetFormatPr baseColWidth="10" defaultColWidth="8.83203125" defaultRowHeight="15" x14ac:dyDescent="0.2"/>
  <cols>
    <col min="1" max="1" width="8.83203125" style="53"/>
    <col min="2" max="2" width="10.6640625" style="53" bestFit="1" customWidth="1"/>
    <col min="3" max="3" width="44.5" style="53" bestFit="1" customWidth="1"/>
    <col min="4" max="4" width="13.83203125" style="53" bestFit="1" customWidth="1"/>
    <col min="5" max="5" width="45" style="53" hidden="1" customWidth="1"/>
    <col min="6" max="6" width="12.5" style="53" hidden="1" customWidth="1"/>
    <col min="7" max="7" width="10.83203125" style="53" bestFit="1" customWidth="1"/>
    <col min="8" max="8" width="10.33203125" style="53" bestFit="1" customWidth="1"/>
    <col min="9" max="9" width="14.33203125" style="53" bestFit="1" customWidth="1"/>
    <col min="10" max="10" width="11.5" style="53" bestFit="1" customWidth="1"/>
    <col min="11" max="11" width="10.5" style="53" bestFit="1" customWidth="1"/>
    <col min="12" max="12" width="10.5" style="53" customWidth="1"/>
    <col min="13" max="13" width="16" style="53" bestFit="1" customWidth="1"/>
    <col min="14" max="14" width="11.6640625" style="53" hidden="1" customWidth="1"/>
    <col min="15" max="15" width="10.6640625" style="53" hidden="1" customWidth="1"/>
    <col min="16" max="16" width="12.5" style="53" bestFit="1" customWidth="1"/>
    <col min="17" max="17" width="11.6640625" style="53" bestFit="1" customWidth="1"/>
    <col min="18" max="18" width="10.1640625" style="53" bestFit="1" customWidth="1"/>
    <col min="19" max="19" width="10.5" style="54" bestFit="1" customWidth="1"/>
    <col min="20" max="20" width="10.5" style="53" bestFit="1" customWidth="1"/>
    <col min="21" max="16384" width="8.83203125" style="53"/>
  </cols>
  <sheetData>
    <row r="1" spans="1:19" x14ac:dyDescent="0.2">
      <c r="A1" s="52" t="s">
        <v>99</v>
      </c>
    </row>
    <row r="2" spans="1:19" ht="16" thickBot="1" x14ac:dyDescent="0.25"/>
    <row r="3" spans="1:19" x14ac:dyDescent="0.2">
      <c r="A3" s="55" t="s">
        <v>100</v>
      </c>
      <c r="B3" s="56" t="s">
        <v>101</v>
      </c>
      <c r="C3" s="56" t="s">
        <v>102</v>
      </c>
      <c r="D3" s="56" t="s">
        <v>93</v>
      </c>
      <c r="E3" s="56" t="s">
        <v>103</v>
      </c>
      <c r="F3" s="56" t="s">
        <v>104</v>
      </c>
      <c r="G3" s="56" t="s">
        <v>105</v>
      </c>
      <c r="H3" s="56" t="s">
        <v>106</v>
      </c>
      <c r="I3" s="56" t="s">
        <v>107</v>
      </c>
      <c r="J3" s="57" t="s">
        <v>108</v>
      </c>
      <c r="K3" s="57" t="s">
        <v>109</v>
      </c>
      <c r="L3" s="57" t="s">
        <v>110</v>
      </c>
      <c r="M3" s="56" t="s">
        <v>111</v>
      </c>
      <c r="N3" s="211" t="s">
        <v>112</v>
      </c>
      <c r="O3" s="211"/>
      <c r="P3" s="55" t="s">
        <v>113</v>
      </c>
      <c r="Q3" s="58" t="s">
        <v>114</v>
      </c>
      <c r="R3" s="58" t="s">
        <v>115</v>
      </c>
    </row>
    <row r="4" spans="1:19" x14ac:dyDescent="0.2">
      <c r="A4" s="59">
        <v>1</v>
      </c>
      <c r="B4" s="60">
        <v>44958</v>
      </c>
      <c r="C4" s="53" t="s">
        <v>116</v>
      </c>
      <c r="D4" s="61">
        <v>44</v>
      </c>
      <c r="E4" s="53" t="s">
        <v>117</v>
      </c>
      <c r="F4" s="53" t="s">
        <v>118</v>
      </c>
      <c r="G4" s="53">
        <v>31800</v>
      </c>
      <c r="H4" s="62">
        <v>18.6767</v>
      </c>
      <c r="I4" s="62">
        <f t="shared" ref="I4:I22" si="0">+G4*H4</f>
        <v>593919.06000000006</v>
      </c>
      <c r="J4" s="63"/>
      <c r="K4" s="63"/>
      <c r="L4" s="63"/>
      <c r="M4" s="64">
        <f t="shared" ref="M4:M9" si="1">+I4-J4-K4</f>
        <v>593919.06000000006</v>
      </c>
      <c r="N4" s="65"/>
      <c r="O4" s="65"/>
      <c r="P4" s="66">
        <f t="shared" ref="P4:P9" si="2">+M4*0.85</f>
        <v>504831.20100000006</v>
      </c>
      <c r="Q4" s="67">
        <f t="shared" ref="Q4:Q9" si="3">+M4*0.15</f>
        <v>89087.859000000011</v>
      </c>
      <c r="R4" s="68"/>
    </row>
    <row r="5" spans="1:19" x14ac:dyDescent="0.2">
      <c r="A5" s="59">
        <v>2</v>
      </c>
      <c r="B5" s="60">
        <v>44958</v>
      </c>
      <c r="C5" s="53" t="s">
        <v>116</v>
      </c>
      <c r="D5" s="61">
        <v>45</v>
      </c>
      <c r="E5" s="53" t="s">
        <v>117</v>
      </c>
      <c r="F5" s="53" t="s">
        <v>119</v>
      </c>
      <c r="G5" s="53">
        <v>31902</v>
      </c>
      <c r="H5" s="62">
        <v>18.6767</v>
      </c>
      <c r="I5" s="62">
        <f t="shared" si="0"/>
        <v>595824.0834</v>
      </c>
      <c r="J5" s="63"/>
      <c r="K5" s="63"/>
      <c r="L5" s="63"/>
      <c r="M5" s="64">
        <f t="shared" si="1"/>
        <v>595824.0834</v>
      </c>
      <c r="N5" s="65"/>
      <c r="O5" s="65"/>
      <c r="P5" s="66">
        <f t="shared" si="2"/>
        <v>506450.47089</v>
      </c>
      <c r="Q5" s="67">
        <f t="shared" si="3"/>
        <v>89373.612509999992</v>
      </c>
      <c r="R5" s="68"/>
    </row>
    <row r="6" spans="1:19" x14ac:dyDescent="0.2">
      <c r="A6" s="59">
        <v>3</v>
      </c>
      <c r="B6" s="60">
        <v>44958</v>
      </c>
      <c r="C6" s="53" t="s">
        <v>116</v>
      </c>
      <c r="D6" s="61">
        <v>46</v>
      </c>
      <c r="E6" s="53" t="s">
        <v>117</v>
      </c>
      <c r="F6" s="53" t="s">
        <v>120</v>
      </c>
      <c r="G6" s="53">
        <v>24000</v>
      </c>
      <c r="H6" s="62">
        <v>18.6767</v>
      </c>
      <c r="I6" s="62">
        <f t="shared" si="0"/>
        <v>448240.8</v>
      </c>
      <c r="J6" s="63"/>
      <c r="K6" s="63"/>
      <c r="L6" s="63"/>
      <c r="M6" s="64">
        <f t="shared" si="1"/>
        <v>448240.8</v>
      </c>
      <c r="N6" s="65"/>
      <c r="O6" s="65"/>
      <c r="P6" s="66">
        <f t="shared" si="2"/>
        <v>381004.68</v>
      </c>
      <c r="Q6" s="67">
        <f t="shared" si="3"/>
        <v>67236.12</v>
      </c>
      <c r="R6" s="68"/>
    </row>
    <row r="7" spans="1:19" x14ac:dyDescent="0.2">
      <c r="A7" s="59">
        <v>3</v>
      </c>
      <c r="B7" s="60">
        <v>44958</v>
      </c>
      <c r="C7" s="53" t="s">
        <v>116</v>
      </c>
      <c r="D7" s="61">
        <v>48</v>
      </c>
      <c r="E7" s="53" t="s">
        <v>117</v>
      </c>
      <c r="F7" s="53" t="s">
        <v>120</v>
      </c>
      <c r="G7" s="53">
        <v>6222</v>
      </c>
      <c r="H7" s="62">
        <v>17.789000000000001</v>
      </c>
      <c r="I7" s="62">
        <f t="shared" si="0"/>
        <v>110683.15800000001</v>
      </c>
      <c r="J7" s="63"/>
      <c r="K7" s="63"/>
      <c r="L7" s="63"/>
      <c r="M7" s="64">
        <f t="shared" si="1"/>
        <v>110683.15800000001</v>
      </c>
      <c r="N7" s="65"/>
      <c r="O7" s="65"/>
      <c r="P7" s="66">
        <f t="shared" si="2"/>
        <v>94080.684300000008</v>
      </c>
      <c r="Q7" s="67">
        <f t="shared" si="3"/>
        <v>16602.473700000002</v>
      </c>
      <c r="R7" s="68"/>
    </row>
    <row r="8" spans="1:19" x14ac:dyDescent="0.2">
      <c r="A8" s="59">
        <v>4</v>
      </c>
      <c r="B8" s="60">
        <v>44958</v>
      </c>
      <c r="C8" s="53" t="s">
        <v>116</v>
      </c>
      <c r="D8" s="61">
        <v>47</v>
      </c>
      <c r="E8" s="53" t="s">
        <v>117</v>
      </c>
      <c r="F8" s="53" t="s">
        <v>121</v>
      </c>
      <c r="G8" s="53">
        <v>31620</v>
      </c>
      <c r="H8" s="62">
        <v>17.789000000000001</v>
      </c>
      <c r="I8" s="62">
        <f t="shared" si="0"/>
        <v>562488.18000000005</v>
      </c>
      <c r="J8" s="63"/>
      <c r="K8" s="63"/>
      <c r="L8" s="63"/>
      <c r="M8" s="64">
        <f t="shared" si="1"/>
        <v>562488.18000000005</v>
      </c>
      <c r="N8" s="65"/>
      <c r="O8" s="65"/>
      <c r="P8" s="66">
        <f t="shared" si="2"/>
        <v>478114.95300000004</v>
      </c>
      <c r="Q8" s="67">
        <f t="shared" si="3"/>
        <v>84373.226999999999</v>
      </c>
      <c r="R8" s="68"/>
    </row>
    <row r="9" spans="1:19" x14ac:dyDescent="0.2">
      <c r="A9" s="59">
        <v>5</v>
      </c>
      <c r="B9" s="60">
        <v>44958</v>
      </c>
      <c r="C9" s="53" t="s">
        <v>116</v>
      </c>
      <c r="D9" s="61">
        <v>50</v>
      </c>
      <c r="E9" s="53" t="s">
        <v>117</v>
      </c>
      <c r="F9" s="53" t="s">
        <v>122</v>
      </c>
      <c r="G9" s="53">
        <v>31740</v>
      </c>
      <c r="H9" s="62">
        <v>18.6767</v>
      </c>
      <c r="I9" s="62">
        <f t="shared" si="0"/>
        <v>592798.45799999998</v>
      </c>
      <c r="J9" s="63"/>
      <c r="K9" s="63"/>
      <c r="L9" s="63"/>
      <c r="M9" s="64">
        <f t="shared" si="1"/>
        <v>592798.45799999998</v>
      </c>
      <c r="N9" s="65"/>
      <c r="O9" s="65"/>
      <c r="P9" s="66">
        <f t="shared" si="2"/>
        <v>503878.68929999997</v>
      </c>
      <c r="Q9" s="67">
        <f t="shared" si="3"/>
        <v>88919.768700000001</v>
      </c>
      <c r="R9" s="68"/>
    </row>
    <row r="10" spans="1:19" x14ac:dyDescent="0.2">
      <c r="A10" s="59">
        <v>1</v>
      </c>
      <c r="B10" s="54">
        <v>45152</v>
      </c>
      <c r="C10" s="53" t="s">
        <v>123</v>
      </c>
      <c r="D10" s="61">
        <v>57</v>
      </c>
      <c r="E10" s="53" t="s">
        <v>124</v>
      </c>
      <c r="F10" s="53" t="s">
        <v>125</v>
      </c>
      <c r="G10" s="69">
        <v>4800</v>
      </c>
      <c r="H10" s="62">
        <v>17.666699999999999</v>
      </c>
      <c r="I10" s="62">
        <f t="shared" si="0"/>
        <v>84800.159999999989</v>
      </c>
      <c r="J10" s="69">
        <f>+I10*0.015</f>
        <v>1272.0023999999999</v>
      </c>
      <c r="K10" s="69"/>
      <c r="L10" s="69"/>
      <c r="M10" s="70">
        <f>+I10-J10-K10</f>
        <v>83528.157599999991</v>
      </c>
      <c r="N10" s="62"/>
      <c r="O10" s="54"/>
      <c r="P10" s="66">
        <f>+M10*0.85</f>
        <v>70998.933959999995</v>
      </c>
      <c r="Q10" s="71">
        <f>+M10*0.15</f>
        <v>12529.223639999998</v>
      </c>
      <c r="R10" s="67" t="s">
        <v>92</v>
      </c>
      <c r="S10" s="54">
        <v>45195</v>
      </c>
    </row>
    <row r="11" spans="1:19" x14ac:dyDescent="0.2">
      <c r="A11" s="59">
        <v>2</v>
      </c>
      <c r="B11" s="54">
        <v>45154</v>
      </c>
      <c r="C11" s="53" t="s">
        <v>123</v>
      </c>
      <c r="D11" s="61">
        <v>58</v>
      </c>
      <c r="E11" s="53" t="s">
        <v>124</v>
      </c>
      <c r="F11" s="53" t="s">
        <v>125</v>
      </c>
      <c r="G11" s="69">
        <v>30</v>
      </c>
      <c r="H11" s="62">
        <v>17.666699999999999</v>
      </c>
      <c r="I11" s="62">
        <f t="shared" si="0"/>
        <v>530.00099999999998</v>
      </c>
      <c r="J11" s="69">
        <f>+I11*0.015</f>
        <v>7.9500149999999996</v>
      </c>
      <c r="K11" s="69"/>
      <c r="L11" s="69"/>
      <c r="M11" s="70">
        <f t="shared" ref="M11:M16" si="4">+I11-J11-K11</f>
        <v>522.05098499999997</v>
      </c>
      <c r="N11" s="62"/>
      <c r="O11" s="54"/>
      <c r="P11" s="66">
        <f t="shared" ref="P11:P61" si="5">+M11*0.85</f>
        <v>443.74333724999997</v>
      </c>
      <c r="Q11" s="71">
        <f t="shared" ref="Q11:Q20" si="6">+M11*0.15</f>
        <v>78.307647749999987</v>
      </c>
      <c r="R11" s="67" t="s">
        <v>92</v>
      </c>
      <c r="S11" s="54">
        <v>45195</v>
      </c>
    </row>
    <row r="12" spans="1:19" x14ac:dyDescent="0.2">
      <c r="A12" s="59">
        <v>3</v>
      </c>
      <c r="B12" s="54">
        <v>45198</v>
      </c>
      <c r="C12" s="53" t="s">
        <v>126</v>
      </c>
      <c r="D12" s="61"/>
      <c r="G12" s="62">
        <v>120</v>
      </c>
      <c r="H12" s="62">
        <v>25</v>
      </c>
      <c r="I12" s="62">
        <f t="shared" si="0"/>
        <v>3000</v>
      </c>
      <c r="J12" s="69"/>
      <c r="K12" s="69"/>
      <c r="L12" s="69"/>
      <c r="M12" s="70">
        <f t="shared" si="4"/>
        <v>3000</v>
      </c>
      <c r="N12" s="62"/>
      <c r="P12" s="66">
        <f t="shared" si="5"/>
        <v>2550</v>
      </c>
      <c r="Q12" s="71">
        <f t="shared" si="6"/>
        <v>450</v>
      </c>
      <c r="R12" s="67" t="s">
        <v>92</v>
      </c>
      <c r="S12" s="54">
        <v>45209</v>
      </c>
    </row>
    <row r="13" spans="1:19" x14ac:dyDescent="0.2">
      <c r="A13" s="59">
        <v>4</v>
      </c>
      <c r="B13" s="54">
        <v>45267</v>
      </c>
      <c r="C13" s="53" t="s">
        <v>127</v>
      </c>
      <c r="D13" s="61">
        <v>163</v>
      </c>
      <c r="E13" s="53" t="s">
        <v>128</v>
      </c>
      <c r="F13" s="53" t="s">
        <v>129</v>
      </c>
      <c r="G13" s="69">
        <f>240*60</f>
        <v>14400</v>
      </c>
      <c r="H13" s="62">
        <f>954.77387/60</f>
        <v>15.912897833333334</v>
      </c>
      <c r="I13" s="62">
        <f t="shared" si="0"/>
        <v>229145.72880000001</v>
      </c>
      <c r="J13" s="69">
        <f>+I13*0.005</f>
        <v>1145.728644</v>
      </c>
      <c r="K13" s="69"/>
      <c r="L13" s="69"/>
      <c r="M13" s="70">
        <f t="shared" si="4"/>
        <v>228000.00015600002</v>
      </c>
      <c r="N13" s="62"/>
      <c r="P13" s="66">
        <f t="shared" si="5"/>
        <v>193800.00013260002</v>
      </c>
      <c r="Q13" s="71">
        <f t="shared" si="6"/>
        <v>34200.000023400004</v>
      </c>
      <c r="R13" s="67" t="s">
        <v>92</v>
      </c>
      <c r="S13" s="54">
        <v>45302</v>
      </c>
    </row>
    <row r="14" spans="1:19" x14ac:dyDescent="0.2">
      <c r="A14" s="59">
        <v>5</v>
      </c>
      <c r="B14" s="54">
        <v>45267</v>
      </c>
      <c r="C14" s="53" t="s">
        <v>127</v>
      </c>
      <c r="D14" s="61">
        <v>164</v>
      </c>
      <c r="E14" s="53" t="s">
        <v>128</v>
      </c>
      <c r="F14" s="53" t="s">
        <v>130</v>
      </c>
      <c r="G14" s="69">
        <f>543*60</f>
        <v>32580</v>
      </c>
      <c r="H14" s="62">
        <f>954.77387/60</f>
        <v>15.912897833333334</v>
      </c>
      <c r="I14" s="62">
        <f t="shared" si="0"/>
        <v>518442.21141000005</v>
      </c>
      <c r="J14" s="69">
        <f>+I14*0.005</f>
        <v>2592.2110570500004</v>
      </c>
      <c r="K14" s="69"/>
      <c r="L14" s="69"/>
      <c r="M14" s="70">
        <f t="shared" si="4"/>
        <v>515850.00035295007</v>
      </c>
      <c r="N14" s="62"/>
      <c r="P14" s="66">
        <f t="shared" si="5"/>
        <v>438472.50030000752</v>
      </c>
      <c r="Q14" s="71">
        <f t="shared" si="6"/>
        <v>77377.500052942501</v>
      </c>
      <c r="R14" s="67" t="s">
        <v>92</v>
      </c>
      <c r="S14" s="54">
        <v>45302</v>
      </c>
    </row>
    <row r="15" spans="1:19" x14ac:dyDescent="0.2">
      <c r="A15" s="59">
        <v>6</v>
      </c>
      <c r="B15" s="54">
        <v>45300</v>
      </c>
      <c r="C15" s="53" t="s">
        <v>123</v>
      </c>
      <c r="D15" s="61">
        <v>239</v>
      </c>
      <c r="E15" s="53" t="s">
        <v>124</v>
      </c>
      <c r="F15" s="53" t="s">
        <v>131</v>
      </c>
      <c r="G15" s="69">
        <v>30000</v>
      </c>
      <c r="H15" s="62">
        <v>20.75</v>
      </c>
      <c r="I15" s="62">
        <f t="shared" si="0"/>
        <v>622500</v>
      </c>
      <c r="J15" s="69">
        <f>+I15*0.01549251</f>
        <v>9644.0874750000003</v>
      </c>
      <c r="K15" s="69"/>
      <c r="L15" s="69"/>
      <c r="M15" s="70">
        <f t="shared" si="4"/>
        <v>612855.91252500005</v>
      </c>
      <c r="N15" s="62"/>
      <c r="P15" s="66">
        <f t="shared" si="5"/>
        <v>520927.52564625005</v>
      </c>
      <c r="Q15" s="71">
        <f t="shared" si="6"/>
        <v>91928.386878750011</v>
      </c>
      <c r="R15" s="67" t="s">
        <v>92</v>
      </c>
      <c r="S15" s="54">
        <v>45309</v>
      </c>
    </row>
    <row r="16" spans="1:19" x14ac:dyDescent="0.2">
      <c r="A16" s="59">
        <v>7</v>
      </c>
      <c r="B16" s="54">
        <v>45300</v>
      </c>
      <c r="C16" s="53" t="s">
        <v>123</v>
      </c>
      <c r="D16" s="61">
        <v>240</v>
      </c>
      <c r="E16" s="53" t="s">
        <v>124</v>
      </c>
      <c r="F16" s="53" t="s">
        <v>132</v>
      </c>
      <c r="G16" s="69">
        <v>30000</v>
      </c>
      <c r="H16" s="62">
        <v>20.75</v>
      </c>
      <c r="I16" s="62">
        <f t="shared" si="0"/>
        <v>622500</v>
      </c>
      <c r="J16" s="69">
        <f>+I16*0.01549251</f>
        <v>9644.0874750000003</v>
      </c>
      <c r="K16" s="69"/>
      <c r="L16" s="69"/>
      <c r="M16" s="70">
        <f t="shared" si="4"/>
        <v>612855.91252500005</v>
      </c>
      <c r="N16" s="62"/>
      <c r="P16" s="66">
        <f t="shared" si="5"/>
        <v>520927.52564625005</v>
      </c>
      <c r="Q16" s="71">
        <f t="shared" si="6"/>
        <v>91928.386878750011</v>
      </c>
      <c r="R16" s="67" t="s">
        <v>92</v>
      </c>
      <c r="S16" s="54">
        <v>45309</v>
      </c>
    </row>
    <row r="17" spans="1:26" x14ac:dyDescent="0.2">
      <c r="A17" s="59">
        <v>8</v>
      </c>
      <c r="B17" s="54">
        <v>45317</v>
      </c>
      <c r="C17" s="53" t="s">
        <v>133</v>
      </c>
      <c r="D17" s="61">
        <v>254</v>
      </c>
      <c r="E17" s="53" t="s">
        <v>134</v>
      </c>
      <c r="F17" s="53" t="s">
        <v>135</v>
      </c>
      <c r="G17" s="69">
        <v>27520</v>
      </c>
      <c r="H17" s="62">
        <v>17.8217</v>
      </c>
      <c r="I17" s="62">
        <f t="shared" si="0"/>
        <v>490453.18400000001</v>
      </c>
      <c r="J17" s="69">
        <f>+I17*0.015</f>
        <v>7356.7977599999995</v>
      </c>
      <c r="K17" s="69"/>
      <c r="L17" s="69">
        <v>4904.5200000000004</v>
      </c>
      <c r="M17" s="70">
        <f t="shared" ref="M17:M61" si="7">+I17-J17-K17+L17</f>
        <v>488000.90624000004</v>
      </c>
      <c r="N17" s="62"/>
      <c r="P17" s="66">
        <f t="shared" si="5"/>
        <v>414800.77030400001</v>
      </c>
      <c r="Q17" s="71">
        <f t="shared" si="6"/>
        <v>73200.135936000006</v>
      </c>
      <c r="R17" s="67" t="s">
        <v>92</v>
      </c>
      <c r="S17" s="54">
        <v>45320</v>
      </c>
    </row>
    <row r="18" spans="1:26" x14ac:dyDescent="0.2">
      <c r="A18" s="59">
        <v>9</v>
      </c>
      <c r="B18" s="54">
        <v>45327</v>
      </c>
      <c r="C18" s="53" t="s">
        <v>136</v>
      </c>
      <c r="D18" s="61">
        <v>261</v>
      </c>
      <c r="E18" s="53" t="s">
        <v>137</v>
      </c>
      <c r="F18" s="53" t="s">
        <v>138</v>
      </c>
      <c r="G18" s="69">
        <v>21180</v>
      </c>
      <c r="H18" s="62">
        <v>18.8333333</v>
      </c>
      <c r="I18" s="62">
        <f t="shared" si="0"/>
        <v>398889.99929399998</v>
      </c>
      <c r="J18" s="69">
        <f>+I18*0.015</f>
        <v>5983.3499894099996</v>
      </c>
      <c r="K18" s="69"/>
      <c r="L18" s="69"/>
      <c r="M18" s="70">
        <f t="shared" si="7"/>
        <v>392906.64930458996</v>
      </c>
      <c r="N18" s="62"/>
      <c r="P18" s="66">
        <f t="shared" si="5"/>
        <v>333970.65190890146</v>
      </c>
      <c r="Q18" s="71">
        <f t="shared" si="6"/>
        <v>58935.997395688493</v>
      </c>
      <c r="R18" s="67" t="s">
        <v>92</v>
      </c>
      <c r="S18" s="54">
        <v>45327</v>
      </c>
    </row>
    <row r="19" spans="1:26" x14ac:dyDescent="0.2">
      <c r="A19" s="87">
        <v>10</v>
      </c>
      <c r="B19" s="88">
        <v>45328</v>
      </c>
      <c r="C19" s="63" t="s">
        <v>139</v>
      </c>
      <c r="D19" s="76">
        <v>262</v>
      </c>
      <c r="E19" s="63" t="s">
        <v>140</v>
      </c>
      <c r="F19" s="63"/>
      <c r="G19" s="69">
        <v>1320</v>
      </c>
      <c r="H19" s="69">
        <v>20.45</v>
      </c>
      <c r="I19" s="69">
        <f t="shared" si="0"/>
        <v>26994</v>
      </c>
      <c r="J19" s="69"/>
      <c r="K19" s="69"/>
      <c r="L19" s="69"/>
      <c r="M19" s="89">
        <f t="shared" si="7"/>
        <v>26994</v>
      </c>
      <c r="N19" s="69"/>
      <c r="O19" s="63"/>
      <c r="P19" s="90">
        <f t="shared" si="5"/>
        <v>22944.899999999998</v>
      </c>
      <c r="Q19" s="71">
        <f t="shared" si="6"/>
        <v>4049.1</v>
      </c>
      <c r="R19" s="67" t="s">
        <v>98</v>
      </c>
      <c r="S19" s="54" t="s">
        <v>98</v>
      </c>
    </row>
    <row r="20" spans="1:26" x14ac:dyDescent="0.2">
      <c r="A20" s="59"/>
      <c r="B20" s="54">
        <v>45314</v>
      </c>
      <c r="C20" s="53" t="s">
        <v>139</v>
      </c>
      <c r="D20" s="61">
        <v>262</v>
      </c>
      <c r="E20" s="53" t="s">
        <v>140</v>
      </c>
      <c r="G20" s="69">
        <v>120</v>
      </c>
      <c r="H20" s="62">
        <v>20</v>
      </c>
      <c r="I20" s="62">
        <v>2494.25</v>
      </c>
      <c r="J20" s="69"/>
      <c r="K20" s="69"/>
      <c r="L20" s="69"/>
      <c r="M20" s="70">
        <f t="shared" si="7"/>
        <v>2494.25</v>
      </c>
      <c r="N20" s="62"/>
      <c r="P20" s="66">
        <f t="shared" si="5"/>
        <v>2120.1124999999997</v>
      </c>
      <c r="Q20" s="71">
        <f t="shared" si="6"/>
        <v>374.13749999999999</v>
      </c>
      <c r="R20" s="67" t="s">
        <v>92</v>
      </c>
      <c r="S20" s="54">
        <v>45420</v>
      </c>
    </row>
    <row r="21" spans="1:26" x14ac:dyDescent="0.2">
      <c r="A21" s="59">
        <v>11</v>
      </c>
      <c r="B21" s="54">
        <v>45337</v>
      </c>
      <c r="C21" s="53" t="s">
        <v>141</v>
      </c>
      <c r="D21" s="61">
        <v>263</v>
      </c>
      <c r="E21" s="53" t="s">
        <v>142</v>
      </c>
      <c r="F21" s="53" t="s">
        <v>143</v>
      </c>
      <c r="G21" s="69">
        <v>1800</v>
      </c>
      <c r="H21" s="62">
        <f>+I21/G21</f>
        <v>31.482333333333333</v>
      </c>
      <c r="I21" s="62">
        <v>56668.2</v>
      </c>
      <c r="J21" s="69"/>
      <c r="K21" s="69"/>
      <c r="L21" s="69"/>
      <c r="M21" s="73">
        <f t="shared" si="7"/>
        <v>56668.2</v>
      </c>
      <c r="N21" s="62"/>
      <c r="P21" s="66">
        <f t="shared" si="5"/>
        <v>48167.969999999994</v>
      </c>
      <c r="Q21" s="71">
        <f>+M21*0.15</f>
        <v>8500.23</v>
      </c>
      <c r="R21" s="67" t="s">
        <v>92</v>
      </c>
      <c r="S21" s="54">
        <v>45421</v>
      </c>
    </row>
    <row r="22" spans="1:26" x14ac:dyDescent="0.2">
      <c r="A22" s="59">
        <v>12</v>
      </c>
      <c r="B22" s="54">
        <v>45343</v>
      </c>
      <c r="C22" s="53" t="s">
        <v>144</v>
      </c>
      <c r="D22" s="61">
        <v>265</v>
      </c>
      <c r="E22" s="53" t="s">
        <v>145</v>
      </c>
      <c r="F22" s="53" t="s">
        <v>146</v>
      </c>
      <c r="G22" s="69">
        <v>7980</v>
      </c>
      <c r="H22" s="62">
        <v>20.94</v>
      </c>
      <c r="I22" s="62">
        <f t="shared" si="0"/>
        <v>167101.20000000001</v>
      </c>
      <c r="J22" s="69">
        <f>+I22*0.00750629</f>
        <v>1254.3100665480001</v>
      </c>
      <c r="K22" s="69"/>
      <c r="L22" s="69"/>
      <c r="M22" s="70">
        <f t="shared" si="7"/>
        <v>165846.88993345201</v>
      </c>
      <c r="N22" s="62"/>
      <c r="P22" s="66">
        <f t="shared" si="5"/>
        <v>140969.8564434342</v>
      </c>
      <c r="Q22" s="71">
        <f t="shared" ref="Q22:Q61" si="8">+M22*0.15</f>
        <v>24877.033490017802</v>
      </c>
      <c r="R22" s="67" t="s">
        <v>92</v>
      </c>
      <c r="S22" s="54">
        <v>45344</v>
      </c>
    </row>
    <row r="23" spans="1:26" x14ac:dyDescent="0.2">
      <c r="A23" s="59">
        <v>13</v>
      </c>
      <c r="B23" s="54">
        <v>45349</v>
      </c>
      <c r="C23" s="53" t="s">
        <v>139</v>
      </c>
      <c r="D23" s="61">
        <v>266</v>
      </c>
      <c r="E23" s="53" t="s">
        <v>140</v>
      </c>
      <c r="G23" s="69">
        <v>600</v>
      </c>
      <c r="H23" s="62">
        <v>20</v>
      </c>
      <c r="I23" s="62">
        <v>13400</v>
      </c>
      <c r="J23" s="69"/>
      <c r="K23" s="69"/>
      <c r="L23" s="69"/>
      <c r="M23" s="73">
        <f t="shared" si="7"/>
        <v>13400</v>
      </c>
      <c r="N23" s="62"/>
      <c r="P23" s="66">
        <f t="shared" si="5"/>
        <v>11390</v>
      </c>
      <c r="Q23" s="71">
        <f t="shared" si="8"/>
        <v>2010</v>
      </c>
      <c r="R23" s="67" t="s">
        <v>92</v>
      </c>
      <c r="T23" s="53" t="s">
        <v>147</v>
      </c>
      <c r="Z23" s="53" t="s">
        <v>148</v>
      </c>
    </row>
    <row r="24" spans="1:26" x14ac:dyDescent="0.2">
      <c r="A24" s="59">
        <v>14</v>
      </c>
      <c r="B24" s="54">
        <v>45349</v>
      </c>
      <c r="C24" s="53" t="s">
        <v>149</v>
      </c>
      <c r="D24" s="61">
        <v>267</v>
      </c>
      <c r="E24" s="53" t="s">
        <v>140</v>
      </c>
      <c r="G24" s="69">
        <v>96</v>
      </c>
      <c r="H24" s="62">
        <f t="shared" ref="H24:H61" si="9">+I24/G24</f>
        <v>20.833333333333332</v>
      </c>
      <c r="I24" s="62">
        <v>2000</v>
      </c>
      <c r="J24" s="69"/>
      <c r="K24" s="69"/>
      <c r="L24" s="69"/>
      <c r="M24" s="72">
        <f t="shared" si="7"/>
        <v>2000</v>
      </c>
      <c r="N24" s="62"/>
      <c r="P24" s="66">
        <f t="shared" si="5"/>
        <v>1700</v>
      </c>
      <c r="Q24" s="71">
        <f t="shared" si="8"/>
        <v>300</v>
      </c>
      <c r="R24" s="67" t="s">
        <v>92</v>
      </c>
      <c r="S24" s="54">
        <v>45624</v>
      </c>
      <c r="T24" s="54"/>
    </row>
    <row r="25" spans="1:26" x14ac:dyDescent="0.2">
      <c r="A25" s="59">
        <v>14</v>
      </c>
      <c r="B25" s="54">
        <v>45349</v>
      </c>
      <c r="C25" s="53" t="s">
        <v>149</v>
      </c>
      <c r="D25" s="61">
        <v>267</v>
      </c>
      <c r="E25" s="53" t="s">
        <v>140</v>
      </c>
      <c r="G25" s="69">
        <v>96</v>
      </c>
      <c r="H25" s="62">
        <f t="shared" si="9"/>
        <v>20.833333333333332</v>
      </c>
      <c r="I25" s="62">
        <v>2000</v>
      </c>
      <c r="J25" s="69"/>
      <c r="K25" s="69"/>
      <c r="L25" s="69"/>
      <c r="M25" s="72">
        <f t="shared" si="7"/>
        <v>2000</v>
      </c>
      <c r="N25" s="62"/>
      <c r="P25" s="66">
        <f t="shared" si="5"/>
        <v>1700</v>
      </c>
      <c r="Q25" s="71">
        <f t="shared" si="8"/>
        <v>300</v>
      </c>
      <c r="R25" s="67" t="s">
        <v>92</v>
      </c>
      <c r="S25" s="54">
        <v>45653</v>
      </c>
      <c r="T25" s="54"/>
    </row>
    <row r="26" spans="1:26" x14ac:dyDescent="0.2">
      <c r="A26" s="59">
        <v>14</v>
      </c>
      <c r="B26" s="54">
        <v>45349</v>
      </c>
      <c r="C26" s="53" t="s">
        <v>149</v>
      </c>
      <c r="D26" s="61">
        <v>267</v>
      </c>
      <c r="E26" s="53" t="s">
        <v>140</v>
      </c>
      <c r="G26" s="69">
        <v>948</v>
      </c>
      <c r="H26" s="62">
        <f t="shared" si="9"/>
        <v>20.82932489451477</v>
      </c>
      <c r="I26" s="62">
        <v>19746.2</v>
      </c>
      <c r="J26" s="69"/>
      <c r="K26" s="69"/>
      <c r="L26" s="69"/>
      <c r="M26" s="72">
        <f t="shared" si="7"/>
        <v>19746.2</v>
      </c>
      <c r="N26" s="62"/>
      <c r="P26" s="66">
        <f t="shared" si="5"/>
        <v>16784.27</v>
      </c>
      <c r="Q26" s="67">
        <f t="shared" si="8"/>
        <v>2961.93</v>
      </c>
      <c r="R26" s="67"/>
    </row>
    <row r="27" spans="1:26" x14ac:dyDescent="0.2">
      <c r="A27" s="59">
        <v>15</v>
      </c>
      <c r="B27" s="54">
        <v>45350</v>
      </c>
      <c r="C27" s="53" t="s">
        <v>150</v>
      </c>
      <c r="D27" s="61" t="s">
        <v>95</v>
      </c>
      <c r="E27" s="53" t="s">
        <v>151</v>
      </c>
      <c r="F27" s="53" t="s">
        <v>152</v>
      </c>
      <c r="G27" s="62">
        <f>363.38*60</f>
        <v>21802.799999999999</v>
      </c>
      <c r="H27" s="62">
        <f t="shared" si="9"/>
        <v>10.083333333333334</v>
      </c>
      <c r="I27" s="74">
        <v>219844.9</v>
      </c>
      <c r="J27" s="69"/>
      <c r="K27" s="69"/>
      <c r="L27" s="69"/>
      <c r="M27" s="70">
        <f t="shared" si="7"/>
        <v>219844.9</v>
      </c>
      <c r="N27" s="62"/>
      <c r="P27" s="66">
        <f t="shared" si="5"/>
        <v>186868.16499999998</v>
      </c>
      <c r="Q27" s="71">
        <f t="shared" si="8"/>
        <v>32976.735000000001</v>
      </c>
      <c r="R27" s="67" t="s">
        <v>92</v>
      </c>
      <c r="S27" s="54">
        <v>45352</v>
      </c>
    </row>
    <row r="28" spans="1:26" x14ac:dyDescent="0.2">
      <c r="A28" s="59">
        <v>16</v>
      </c>
      <c r="B28" s="54">
        <v>45363</v>
      </c>
      <c r="C28" s="53" t="s">
        <v>153</v>
      </c>
      <c r="D28" s="61" t="s">
        <v>96</v>
      </c>
      <c r="E28" s="53" t="s">
        <v>154</v>
      </c>
      <c r="G28" s="62">
        <f>(276+179)*60</f>
        <v>27300</v>
      </c>
      <c r="H28" s="62">
        <f t="shared" si="9"/>
        <v>16.666666666666668</v>
      </c>
      <c r="I28" s="75">
        <f>434525+20475</f>
        <v>455000</v>
      </c>
      <c r="J28" s="69"/>
      <c r="K28" s="69"/>
      <c r="L28" s="69"/>
      <c r="M28" s="70">
        <f t="shared" si="7"/>
        <v>455000</v>
      </c>
      <c r="N28" s="62"/>
      <c r="P28" s="66">
        <f t="shared" si="5"/>
        <v>386750</v>
      </c>
      <c r="Q28" s="71">
        <f t="shared" si="8"/>
        <v>68250</v>
      </c>
      <c r="R28" s="67" t="s">
        <v>92</v>
      </c>
      <c r="S28" s="54">
        <v>45364</v>
      </c>
    </row>
    <row r="29" spans="1:26" x14ac:dyDescent="0.2">
      <c r="A29" s="59">
        <v>17</v>
      </c>
      <c r="B29" s="54">
        <v>45366</v>
      </c>
      <c r="C29" s="53" t="s">
        <v>150</v>
      </c>
      <c r="D29" s="61">
        <v>271</v>
      </c>
      <c r="E29" s="53" t="s">
        <v>155</v>
      </c>
      <c r="F29" s="53" t="s">
        <v>156</v>
      </c>
      <c r="G29" s="62">
        <f>(168.62+0.8)*60</f>
        <v>10165.200000000001</v>
      </c>
      <c r="H29" s="62">
        <f t="shared" si="9"/>
        <v>10.114419785149332</v>
      </c>
      <c r="I29" s="69">
        <v>102815.1</v>
      </c>
      <c r="J29" s="69"/>
      <c r="K29" s="69"/>
      <c r="L29" s="69"/>
      <c r="M29" s="70">
        <f t="shared" si="7"/>
        <v>102815.1</v>
      </c>
      <c r="N29" s="62"/>
      <c r="P29" s="66">
        <f t="shared" si="5"/>
        <v>87392.835000000006</v>
      </c>
      <c r="Q29" s="71">
        <f t="shared" si="8"/>
        <v>15422.264999999999</v>
      </c>
      <c r="R29" s="67" t="s">
        <v>92</v>
      </c>
      <c r="S29" s="54">
        <v>45366</v>
      </c>
    </row>
    <row r="30" spans="1:26" x14ac:dyDescent="0.2">
      <c r="A30" s="59">
        <v>18</v>
      </c>
      <c r="B30" s="54">
        <v>45373</v>
      </c>
      <c r="C30" s="53" t="s">
        <v>157</v>
      </c>
      <c r="D30" s="61">
        <v>274</v>
      </c>
      <c r="E30" s="53" t="s">
        <v>158</v>
      </c>
      <c r="F30" s="53" t="s">
        <v>159</v>
      </c>
      <c r="G30" s="62">
        <v>19200</v>
      </c>
      <c r="H30" s="62">
        <f t="shared" si="9"/>
        <v>22.507865104166669</v>
      </c>
      <c r="I30" s="62">
        <v>432151.01</v>
      </c>
      <c r="J30" s="69"/>
      <c r="K30" s="69"/>
      <c r="L30" s="69"/>
      <c r="M30" s="70">
        <f t="shared" si="7"/>
        <v>432151.01</v>
      </c>
      <c r="N30" s="62"/>
      <c r="P30" s="66">
        <f t="shared" si="5"/>
        <v>367328.35849999997</v>
      </c>
      <c r="Q30" s="71">
        <f t="shared" si="8"/>
        <v>64822.6515</v>
      </c>
      <c r="R30" s="67" t="s">
        <v>92</v>
      </c>
      <c r="S30" s="54">
        <v>45427</v>
      </c>
      <c r="T30" s="53">
        <v>463</v>
      </c>
      <c r="U30" s="53" t="s">
        <v>252</v>
      </c>
    </row>
    <row r="31" spans="1:26" x14ac:dyDescent="0.2">
      <c r="A31" s="59">
        <v>19</v>
      </c>
      <c r="B31" s="54">
        <v>45373</v>
      </c>
      <c r="C31" s="53" t="s">
        <v>157</v>
      </c>
      <c r="D31" s="76">
        <v>275</v>
      </c>
      <c r="E31" s="53" t="s">
        <v>158</v>
      </c>
      <c r="F31" s="53" t="s">
        <v>160</v>
      </c>
      <c r="G31" s="62">
        <v>19200</v>
      </c>
      <c r="H31" s="62">
        <f t="shared" si="9"/>
        <v>22.818553298611111</v>
      </c>
      <c r="I31" s="62">
        <f>1314348.67*G31/57600</f>
        <v>438116.22333333333</v>
      </c>
      <c r="J31" s="69"/>
      <c r="K31" s="69"/>
      <c r="L31" s="69"/>
      <c r="M31" s="70">
        <f t="shared" si="7"/>
        <v>438116.22333333333</v>
      </c>
      <c r="N31" s="62"/>
      <c r="P31" s="66">
        <f t="shared" si="5"/>
        <v>372398.78983333334</v>
      </c>
      <c r="Q31" s="71">
        <f t="shared" si="8"/>
        <v>65717.433499999999</v>
      </c>
      <c r="R31" s="67" t="s">
        <v>92</v>
      </c>
      <c r="S31" s="54">
        <v>45490</v>
      </c>
    </row>
    <row r="32" spans="1:26" x14ac:dyDescent="0.2">
      <c r="A32" s="59">
        <v>20</v>
      </c>
      <c r="B32" s="54">
        <v>45373</v>
      </c>
      <c r="C32" s="53" t="s">
        <v>157</v>
      </c>
      <c r="D32" s="76">
        <v>276</v>
      </c>
      <c r="E32" s="53" t="s">
        <v>158</v>
      </c>
      <c r="F32" s="53" t="s">
        <v>159</v>
      </c>
      <c r="G32" s="62">
        <v>19200</v>
      </c>
      <c r="H32" s="62">
        <f t="shared" si="9"/>
        <v>22.818553298611111</v>
      </c>
      <c r="I32" s="62">
        <f>1314348.67*G32/57600</f>
        <v>438116.22333333333</v>
      </c>
      <c r="J32" s="69"/>
      <c r="K32" s="69"/>
      <c r="L32" s="69"/>
      <c r="M32" s="70">
        <f t="shared" si="7"/>
        <v>438116.22333333333</v>
      </c>
      <c r="N32" s="62"/>
      <c r="P32" s="66">
        <f t="shared" si="5"/>
        <v>372398.78983333334</v>
      </c>
      <c r="Q32" s="71">
        <f t="shared" si="8"/>
        <v>65717.433499999999</v>
      </c>
      <c r="R32" s="67" t="s">
        <v>92</v>
      </c>
      <c r="S32" s="54">
        <v>45490</v>
      </c>
    </row>
    <row r="33" spans="1:21" x14ac:dyDescent="0.2">
      <c r="A33" s="59">
        <v>21</v>
      </c>
      <c r="B33" s="54">
        <v>45400</v>
      </c>
      <c r="C33" s="53" t="s">
        <v>161</v>
      </c>
      <c r="D33" s="61">
        <v>279</v>
      </c>
      <c r="E33" s="53" t="s">
        <v>158</v>
      </c>
      <c r="F33" s="53" t="s">
        <v>162</v>
      </c>
      <c r="G33" s="62">
        <v>16800</v>
      </c>
      <c r="H33" s="62">
        <f t="shared" si="9"/>
        <v>18.154761904761905</v>
      </c>
      <c r="I33" s="62">
        <v>305000</v>
      </c>
      <c r="J33" s="69"/>
      <c r="K33" s="69"/>
      <c r="L33" s="69"/>
      <c r="M33" s="70">
        <f t="shared" si="7"/>
        <v>305000</v>
      </c>
      <c r="N33" s="62"/>
      <c r="P33" s="66">
        <f t="shared" si="5"/>
        <v>259250</v>
      </c>
      <c r="Q33" s="71">
        <f t="shared" si="8"/>
        <v>45750</v>
      </c>
      <c r="R33" s="67" t="s">
        <v>92</v>
      </c>
      <c r="S33" s="54">
        <v>45547</v>
      </c>
      <c r="U33" s="53" t="s">
        <v>186</v>
      </c>
    </row>
    <row r="34" spans="1:21" x14ac:dyDescent="0.2">
      <c r="A34" s="59">
        <v>21</v>
      </c>
      <c r="B34" s="54">
        <v>45400</v>
      </c>
      <c r="C34" s="53" t="s">
        <v>161</v>
      </c>
      <c r="D34" s="61">
        <v>279</v>
      </c>
      <c r="E34" s="53" t="s">
        <v>158</v>
      </c>
      <c r="F34" s="53" t="s">
        <v>162</v>
      </c>
      <c r="G34" s="62"/>
      <c r="H34" s="62">
        <f>+I34/G33</f>
        <v>10.369371428571428</v>
      </c>
      <c r="I34" s="62">
        <v>174205.44</v>
      </c>
      <c r="J34" s="69"/>
      <c r="K34" s="69"/>
      <c r="L34" s="69"/>
      <c r="M34" s="70">
        <f t="shared" si="7"/>
        <v>174205.44</v>
      </c>
      <c r="N34" s="62"/>
      <c r="P34" s="66">
        <f t="shared" si="5"/>
        <v>148074.62400000001</v>
      </c>
      <c r="Q34" s="71">
        <f t="shared" si="8"/>
        <v>26130.815999999999</v>
      </c>
      <c r="R34" s="67" t="s">
        <v>92</v>
      </c>
      <c r="S34" s="54">
        <v>45610</v>
      </c>
      <c r="U34" s="53" t="s">
        <v>187</v>
      </c>
    </row>
    <row r="35" spans="1:21" x14ac:dyDescent="0.2">
      <c r="A35" s="59">
        <v>22</v>
      </c>
      <c r="B35" s="54">
        <v>45421</v>
      </c>
      <c r="C35" s="53" t="s">
        <v>157</v>
      </c>
      <c r="D35" s="76">
        <v>283</v>
      </c>
      <c r="E35" s="53" t="s">
        <v>158</v>
      </c>
      <c r="F35" s="53" t="s">
        <v>163</v>
      </c>
      <c r="G35" s="62">
        <v>19200</v>
      </c>
      <c r="H35" s="62">
        <f t="shared" si="9"/>
        <v>22.818553298611111</v>
      </c>
      <c r="I35" s="62">
        <f>1314348.67*G35/57600</f>
        <v>438116.22333333333</v>
      </c>
      <c r="J35" s="69"/>
      <c r="K35" s="69"/>
      <c r="L35" s="69"/>
      <c r="M35" s="70">
        <f t="shared" si="7"/>
        <v>438116.22333333333</v>
      </c>
      <c r="N35" s="62"/>
      <c r="P35" s="66">
        <f t="shared" si="5"/>
        <v>372398.78983333334</v>
      </c>
      <c r="Q35" s="71">
        <f t="shared" si="8"/>
        <v>65717.433499999999</v>
      </c>
      <c r="R35" s="67" t="s">
        <v>92</v>
      </c>
      <c r="S35" s="54">
        <v>45490</v>
      </c>
    </row>
    <row r="36" spans="1:21" x14ac:dyDescent="0.2">
      <c r="A36" s="59">
        <v>23</v>
      </c>
      <c r="B36" s="54">
        <v>45432</v>
      </c>
      <c r="C36" s="53" t="s">
        <v>161</v>
      </c>
      <c r="D36" s="61">
        <v>286</v>
      </c>
      <c r="E36" s="53" t="s">
        <v>158</v>
      </c>
      <c r="F36" s="53" t="s">
        <v>164</v>
      </c>
      <c r="G36" s="62">
        <f>16800+2400</f>
        <v>19200</v>
      </c>
      <c r="H36" s="62">
        <f t="shared" si="9"/>
        <v>27.860240104166667</v>
      </c>
      <c r="I36" s="62">
        <v>534916.61</v>
      </c>
      <c r="J36" s="69"/>
      <c r="K36" s="69"/>
      <c r="L36" s="69"/>
      <c r="M36" s="62">
        <f t="shared" si="7"/>
        <v>534916.61</v>
      </c>
      <c r="N36" s="62"/>
      <c r="P36" s="66">
        <f t="shared" si="5"/>
        <v>454679.11849999998</v>
      </c>
      <c r="Q36" s="67">
        <f t="shared" si="8"/>
        <v>80237.491499999989</v>
      </c>
      <c r="R36" s="67"/>
    </row>
    <row r="37" spans="1:21" x14ac:dyDescent="0.2">
      <c r="A37" s="59">
        <v>24</v>
      </c>
      <c r="B37" s="54">
        <v>45456</v>
      </c>
      <c r="C37" s="53" t="s">
        <v>157</v>
      </c>
      <c r="D37" s="61">
        <v>288</v>
      </c>
      <c r="E37" s="53" t="s">
        <v>158</v>
      </c>
      <c r="F37" s="53" t="s">
        <v>165</v>
      </c>
      <c r="G37" s="62">
        <v>19200</v>
      </c>
      <c r="H37" s="62">
        <f t="shared" si="9"/>
        <v>29.833108333333335</v>
      </c>
      <c r="I37" s="62">
        <v>572795.68000000005</v>
      </c>
      <c r="J37" s="69"/>
      <c r="K37" s="69"/>
      <c r="L37" s="69"/>
      <c r="M37" s="70">
        <f t="shared" si="7"/>
        <v>572795.68000000005</v>
      </c>
      <c r="N37" s="62"/>
      <c r="P37" s="66">
        <f t="shared" si="5"/>
        <v>486876.32800000004</v>
      </c>
      <c r="Q37" s="71">
        <f t="shared" si="8"/>
        <v>85919.351999999999</v>
      </c>
      <c r="R37" s="67" t="s">
        <v>92</v>
      </c>
      <c r="S37" s="54">
        <v>45603</v>
      </c>
    </row>
    <row r="38" spans="1:21" x14ac:dyDescent="0.2">
      <c r="A38" s="59">
        <v>25</v>
      </c>
      <c r="B38" s="54">
        <v>45470</v>
      </c>
      <c r="C38" s="53" t="s">
        <v>166</v>
      </c>
      <c r="D38" s="61">
        <v>306</v>
      </c>
      <c r="E38" s="53" t="s">
        <v>167</v>
      </c>
      <c r="F38" s="53" t="s">
        <v>168</v>
      </c>
      <c r="G38" s="62">
        <v>3000</v>
      </c>
      <c r="H38" s="62">
        <f t="shared" si="9"/>
        <v>27.570666666666668</v>
      </c>
      <c r="I38" s="62">
        <v>82712</v>
      </c>
      <c r="J38" s="69">
        <f>+I38*0.015</f>
        <v>1240.68</v>
      </c>
      <c r="K38" s="69"/>
      <c r="L38" s="69"/>
      <c r="M38" s="70">
        <f t="shared" si="7"/>
        <v>81471.320000000007</v>
      </c>
      <c r="N38" s="62"/>
      <c r="P38" s="66">
        <f t="shared" si="5"/>
        <v>69250.622000000003</v>
      </c>
      <c r="Q38" s="71">
        <f t="shared" si="8"/>
        <v>12220.698</v>
      </c>
      <c r="R38" s="67" t="s">
        <v>92</v>
      </c>
      <c r="S38" s="54">
        <v>45471</v>
      </c>
      <c r="U38" s="62"/>
    </row>
    <row r="39" spans="1:21" x14ac:dyDescent="0.2">
      <c r="A39" s="59">
        <v>26</v>
      </c>
      <c r="B39" s="54">
        <v>45483</v>
      </c>
      <c r="C39" s="53" t="s">
        <v>157</v>
      </c>
      <c r="D39" s="61">
        <v>322</v>
      </c>
      <c r="E39" s="53" t="s">
        <v>158</v>
      </c>
      <c r="F39" s="53" t="s">
        <v>169</v>
      </c>
      <c r="G39" s="62">
        <v>19200</v>
      </c>
      <c r="H39" s="62">
        <f t="shared" si="9"/>
        <v>30.166121875000002</v>
      </c>
      <c r="I39" s="62">
        <v>579189.54</v>
      </c>
      <c r="J39" s="69"/>
      <c r="K39" s="69"/>
      <c r="L39" s="69"/>
      <c r="M39" s="70">
        <f t="shared" si="7"/>
        <v>579189.54</v>
      </c>
      <c r="N39" s="62"/>
      <c r="P39" s="66">
        <f t="shared" si="5"/>
        <v>492311.109</v>
      </c>
      <c r="Q39" s="71">
        <f t="shared" si="8"/>
        <v>86878.430999999997</v>
      </c>
      <c r="R39" s="67" t="s">
        <v>92</v>
      </c>
      <c r="S39" s="54">
        <v>45603</v>
      </c>
    </row>
    <row r="40" spans="1:21" x14ac:dyDescent="0.2">
      <c r="A40" s="59">
        <v>27</v>
      </c>
      <c r="B40" s="54">
        <v>45485</v>
      </c>
      <c r="C40" s="53" t="s">
        <v>170</v>
      </c>
      <c r="D40" s="61" t="s">
        <v>97</v>
      </c>
      <c r="E40" s="53" t="s">
        <v>171</v>
      </c>
      <c r="F40" s="53" t="s">
        <v>172</v>
      </c>
      <c r="G40" s="62">
        <f>8280+10</f>
        <v>8290</v>
      </c>
      <c r="H40" s="62">
        <f t="shared" si="9"/>
        <v>25.460667068757537</v>
      </c>
      <c r="I40" s="62">
        <f>210814.32+254.61</f>
        <v>211068.93</v>
      </c>
      <c r="J40" s="69">
        <f>+I40*0.006200249</f>
        <v>1308.6799221635699</v>
      </c>
      <c r="K40" s="69"/>
      <c r="L40" s="69"/>
      <c r="M40" s="70">
        <f t="shared" si="7"/>
        <v>209760.25007783642</v>
      </c>
      <c r="N40" s="62"/>
      <c r="P40" s="66">
        <f t="shared" si="5"/>
        <v>178296.21256616095</v>
      </c>
      <c r="Q40" s="71">
        <f t="shared" si="8"/>
        <v>31464.037511675462</v>
      </c>
      <c r="R40" s="67" t="s">
        <v>92</v>
      </c>
      <c r="S40" s="54">
        <v>45485</v>
      </c>
      <c r="T40" s="77"/>
      <c r="U40" s="77"/>
    </row>
    <row r="41" spans="1:21" x14ac:dyDescent="0.2">
      <c r="A41" s="59">
        <v>28</v>
      </c>
      <c r="B41" s="54">
        <v>45555</v>
      </c>
      <c r="C41" s="53" t="s">
        <v>157</v>
      </c>
      <c r="D41" s="61">
        <v>424</v>
      </c>
      <c r="E41" s="53" t="s">
        <v>158</v>
      </c>
      <c r="F41" s="53" t="s">
        <v>163</v>
      </c>
      <c r="G41" s="62">
        <v>19200</v>
      </c>
      <c r="H41" s="62">
        <f t="shared" si="9"/>
        <v>35.923940972222219</v>
      </c>
      <c r="I41" s="62">
        <f>2069219/3</f>
        <v>689739.66666666663</v>
      </c>
      <c r="J41" s="62"/>
      <c r="K41" s="62"/>
      <c r="L41" s="62"/>
      <c r="M41" s="62">
        <f t="shared" si="7"/>
        <v>689739.66666666663</v>
      </c>
      <c r="N41" s="62"/>
      <c r="P41" s="66">
        <f t="shared" si="5"/>
        <v>586278.71666666667</v>
      </c>
      <c r="Q41" s="71">
        <f t="shared" si="8"/>
        <v>103460.95</v>
      </c>
      <c r="R41" s="67" t="s">
        <v>92</v>
      </c>
      <c r="S41" s="54">
        <v>45636</v>
      </c>
    </row>
    <row r="42" spans="1:21" x14ac:dyDescent="0.2">
      <c r="A42" s="59">
        <v>29</v>
      </c>
      <c r="B42" s="54">
        <v>45555</v>
      </c>
      <c r="C42" s="53" t="s">
        <v>157</v>
      </c>
      <c r="D42" s="61">
        <v>425</v>
      </c>
      <c r="E42" s="53" t="s">
        <v>158</v>
      </c>
      <c r="F42" s="53" t="s">
        <v>173</v>
      </c>
      <c r="G42" s="62">
        <v>19200</v>
      </c>
      <c r="H42" s="62">
        <f t="shared" si="9"/>
        <v>35.923940972222219</v>
      </c>
      <c r="I42" s="62">
        <f>2069219/3</f>
        <v>689739.66666666663</v>
      </c>
      <c r="J42" s="62"/>
      <c r="K42" s="62"/>
      <c r="L42" s="62"/>
      <c r="M42" s="62">
        <f t="shared" si="7"/>
        <v>689739.66666666663</v>
      </c>
      <c r="N42" s="62"/>
      <c r="P42" s="66">
        <f t="shared" si="5"/>
        <v>586278.71666666667</v>
      </c>
      <c r="Q42" s="71">
        <f t="shared" si="8"/>
        <v>103460.95</v>
      </c>
      <c r="R42" s="67" t="s">
        <v>92</v>
      </c>
      <c r="S42" s="54">
        <v>45636</v>
      </c>
    </row>
    <row r="43" spans="1:21" x14ac:dyDescent="0.2">
      <c r="A43" s="59">
        <v>30</v>
      </c>
      <c r="B43" s="54">
        <v>45555</v>
      </c>
      <c r="C43" s="53" t="s">
        <v>157</v>
      </c>
      <c r="D43" s="61">
        <v>426</v>
      </c>
      <c r="E43" s="53" t="s">
        <v>158</v>
      </c>
      <c r="F43" s="53" t="s">
        <v>173</v>
      </c>
      <c r="G43" s="62">
        <v>19200</v>
      </c>
      <c r="H43" s="62">
        <f t="shared" si="9"/>
        <v>35.923940972222219</v>
      </c>
      <c r="I43" s="62">
        <f>2069219/3</f>
        <v>689739.66666666663</v>
      </c>
      <c r="J43" s="62"/>
      <c r="K43" s="62"/>
      <c r="L43" s="62"/>
      <c r="M43" s="62">
        <f t="shared" si="7"/>
        <v>689739.66666666663</v>
      </c>
      <c r="N43" s="62"/>
      <c r="P43" s="66">
        <f t="shared" si="5"/>
        <v>586278.71666666667</v>
      </c>
      <c r="Q43" s="71">
        <f t="shared" si="8"/>
        <v>103460.95</v>
      </c>
      <c r="R43" s="67" t="s">
        <v>92</v>
      </c>
      <c r="S43" s="54">
        <v>45636</v>
      </c>
    </row>
    <row r="44" spans="1:21" x14ac:dyDescent="0.2">
      <c r="A44" s="59">
        <v>31</v>
      </c>
      <c r="B44" s="54">
        <v>45589</v>
      </c>
      <c r="C44" s="53" t="s">
        <v>157</v>
      </c>
      <c r="D44" s="61">
        <v>470</v>
      </c>
      <c r="G44" s="62">
        <v>19200</v>
      </c>
      <c r="H44" s="62">
        <f t="shared" si="9"/>
        <v>31.1677</v>
      </c>
      <c r="I44" s="62">
        <v>598419.84</v>
      </c>
      <c r="J44" s="62"/>
      <c r="K44" s="62"/>
      <c r="L44" s="62"/>
      <c r="M44" s="62">
        <f t="shared" si="7"/>
        <v>598419.84</v>
      </c>
      <c r="N44" s="62"/>
      <c r="P44" s="66">
        <f t="shared" si="5"/>
        <v>508656.86399999994</v>
      </c>
      <c r="Q44" s="67">
        <f t="shared" si="8"/>
        <v>89762.975999999995</v>
      </c>
      <c r="R44" s="67"/>
    </row>
    <row r="45" spans="1:21" x14ac:dyDescent="0.2">
      <c r="A45" s="59">
        <v>32</v>
      </c>
      <c r="B45" s="54">
        <v>45610</v>
      </c>
      <c r="C45" s="53" t="s">
        <v>157</v>
      </c>
      <c r="D45" s="61">
        <v>504</v>
      </c>
      <c r="G45" s="62">
        <v>19200</v>
      </c>
      <c r="H45" s="62">
        <f t="shared" si="9"/>
        <v>23.221690104166669</v>
      </c>
      <c r="I45" s="62">
        <v>445856.45</v>
      </c>
      <c r="J45" s="62"/>
      <c r="K45" s="62"/>
      <c r="L45" s="62"/>
      <c r="M45" s="62">
        <f t="shared" si="7"/>
        <v>445856.45</v>
      </c>
      <c r="N45" s="62"/>
      <c r="P45" s="66">
        <f t="shared" si="5"/>
        <v>378977.98249999998</v>
      </c>
      <c r="Q45" s="67">
        <f t="shared" si="8"/>
        <v>66878.467499999999</v>
      </c>
      <c r="R45" s="67"/>
    </row>
    <row r="46" spans="1:21" x14ac:dyDescent="0.2">
      <c r="A46" s="59">
        <v>33</v>
      </c>
      <c r="B46" s="54">
        <v>45610</v>
      </c>
      <c r="C46" s="53" t="s">
        <v>157</v>
      </c>
      <c r="D46" s="61">
        <v>506</v>
      </c>
      <c r="G46" s="62">
        <v>19200</v>
      </c>
      <c r="H46" s="62">
        <f t="shared" si="9"/>
        <v>23.221690104166669</v>
      </c>
      <c r="I46" s="62">
        <v>445856.45</v>
      </c>
      <c r="J46" s="62"/>
      <c r="K46" s="62"/>
      <c r="L46" s="62"/>
      <c r="M46" s="62">
        <f t="shared" si="7"/>
        <v>445856.45</v>
      </c>
      <c r="N46" s="62"/>
      <c r="P46" s="66">
        <f t="shared" si="5"/>
        <v>378977.98249999998</v>
      </c>
      <c r="Q46" s="67">
        <f t="shared" si="8"/>
        <v>66878.467499999999</v>
      </c>
      <c r="R46" s="67"/>
    </row>
    <row r="47" spans="1:21" x14ac:dyDescent="0.2">
      <c r="A47" s="59">
        <v>34</v>
      </c>
      <c r="B47" s="54">
        <v>45610</v>
      </c>
      <c r="C47" s="53" t="s">
        <v>157</v>
      </c>
      <c r="D47" s="61">
        <v>507</v>
      </c>
      <c r="G47" s="62">
        <v>19200</v>
      </c>
      <c r="H47" s="62">
        <f t="shared" si="9"/>
        <v>23.221690104166669</v>
      </c>
      <c r="I47" s="62">
        <v>445856.45</v>
      </c>
      <c r="J47" s="62"/>
      <c r="K47" s="62"/>
      <c r="L47" s="62"/>
      <c r="M47" s="62">
        <f t="shared" si="7"/>
        <v>445856.45</v>
      </c>
      <c r="N47" s="62"/>
      <c r="P47" s="66">
        <f t="shared" si="5"/>
        <v>378977.98249999998</v>
      </c>
      <c r="Q47" s="67">
        <f t="shared" si="8"/>
        <v>66878.467499999999</v>
      </c>
      <c r="R47" s="67"/>
    </row>
    <row r="48" spans="1:21" x14ac:dyDescent="0.2">
      <c r="A48" s="59">
        <v>35</v>
      </c>
      <c r="B48" s="54">
        <v>45625</v>
      </c>
      <c r="C48" s="53" t="s">
        <v>174</v>
      </c>
      <c r="D48" s="61">
        <v>517</v>
      </c>
      <c r="G48" s="62">
        <v>19200</v>
      </c>
      <c r="H48" s="62">
        <f t="shared" si="9"/>
        <v>19.456130208333335</v>
      </c>
      <c r="I48" s="62">
        <v>373557.7</v>
      </c>
      <c r="J48" s="62"/>
      <c r="K48" s="62"/>
      <c r="L48" s="62"/>
      <c r="M48" s="62">
        <f t="shared" si="7"/>
        <v>373557.7</v>
      </c>
      <c r="N48" s="62"/>
      <c r="P48" s="66">
        <f t="shared" si="5"/>
        <v>317524.04499999998</v>
      </c>
      <c r="Q48" s="67">
        <f t="shared" si="8"/>
        <v>56033.654999999999</v>
      </c>
      <c r="R48" s="67"/>
    </row>
    <row r="49" spans="1:19" x14ac:dyDescent="0.2">
      <c r="A49" s="59">
        <v>36</v>
      </c>
      <c r="B49" s="54">
        <v>45629</v>
      </c>
      <c r="C49" s="53" t="s">
        <v>175</v>
      </c>
      <c r="D49" s="61">
        <v>523</v>
      </c>
      <c r="G49" s="62">
        <v>600</v>
      </c>
      <c r="H49" s="62">
        <f t="shared" si="9"/>
        <v>36.666666666666664</v>
      </c>
      <c r="I49" s="62">
        <v>22000</v>
      </c>
      <c r="J49" s="62"/>
      <c r="K49" s="62"/>
      <c r="L49" s="62"/>
      <c r="M49" s="62">
        <f t="shared" si="7"/>
        <v>22000</v>
      </c>
      <c r="N49" s="62"/>
      <c r="P49" s="66">
        <f t="shared" si="5"/>
        <v>18700</v>
      </c>
      <c r="Q49" s="71">
        <f t="shared" si="8"/>
        <v>3300</v>
      </c>
      <c r="R49" s="67" t="s">
        <v>92</v>
      </c>
      <c r="S49" s="54">
        <v>45632</v>
      </c>
    </row>
    <row r="50" spans="1:19" x14ac:dyDescent="0.2">
      <c r="A50" s="59">
        <v>36</v>
      </c>
      <c r="B50" s="54">
        <v>45629</v>
      </c>
      <c r="C50" s="53" t="s">
        <v>175</v>
      </c>
      <c r="D50" s="61">
        <v>523</v>
      </c>
      <c r="G50" s="62">
        <v>150</v>
      </c>
      <c r="H50" s="62">
        <f t="shared" si="9"/>
        <v>36.666666666666664</v>
      </c>
      <c r="I50" s="62">
        <v>5500</v>
      </c>
      <c r="J50" s="62"/>
      <c r="K50" s="62"/>
      <c r="L50" s="62"/>
      <c r="M50" s="62">
        <f t="shared" si="7"/>
        <v>5500</v>
      </c>
      <c r="N50" s="62"/>
      <c r="P50" s="66">
        <f t="shared" si="5"/>
        <v>4675</v>
      </c>
      <c r="Q50" s="71">
        <f t="shared" si="8"/>
        <v>825</v>
      </c>
      <c r="R50" s="67" t="s">
        <v>92</v>
      </c>
      <c r="S50" s="54" t="s">
        <v>188</v>
      </c>
    </row>
    <row r="51" spans="1:19" x14ac:dyDescent="0.2">
      <c r="A51" s="59">
        <v>36</v>
      </c>
      <c r="B51" s="54">
        <v>45629</v>
      </c>
      <c r="C51" s="53" t="s">
        <v>175</v>
      </c>
      <c r="D51" s="61">
        <v>523</v>
      </c>
      <c r="G51" s="62">
        <v>450</v>
      </c>
      <c r="H51" s="62">
        <f t="shared" si="9"/>
        <v>36.666666666666664</v>
      </c>
      <c r="I51" s="62">
        <v>16500</v>
      </c>
      <c r="J51" s="62"/>
      <c r="K51" s="62"/>
      <c r="L51" s="62"/>
      <c r="M51" s="62">
        <f t="shared" si="7"/>
        <v>16500</v>
      </c>
      <c r="N51" s="62"/>
      <c r="P51" s="66">
        <f t="shared" si="5"/>
        <v>14025</v>
      </c>
      <c r="Q51" s="67">
        <f t="shared" si="8"/>
        <v>2475</v>
      </c>
      <c r="R51" s="67"/>
    </row>
    <row r="52" spans="1:19" x14ac:dyDescent="0.2">
      <c r="A52" s="59">
        <v>37</v>
      </c>
      <c r="B52" s="54">
        <v>45631</v>
      </c>
      <c r="C52" s="53" t="s">
        <v>136</v>
      </c>
      <c r="D52" s="61">
        <v>524</v>
      </c>
      <c r="G52" s="62">
        <v>30000</v>
      </c>
      <c r="H52" s="62">
        <f t="shared" si="9"/>
        <v>35.083333333333336</v>
      </c>
      <c r="I52" s="62">
        <v>1052500</v>
      </c>
      <c r="J52" s="62">
        <f>+I52*0.015</f>
        <v>15787.5</v>
      </c>
      <c r="K52" s="62"/>
      <c r="L52" s="62"/>
      <c r="M52" s="62">
        <f t="shared" si="7"/>
        <v>1036712.5</v>
      </c>
      <c r="N52" s="62"/>
      <c r="P52" s="66">
        <f t="shared" si="5"/>
        <v>881205.625</v>
      </c>
      <c r="Q52" s="71">
        <f t="shared" si="8"/>
        <v>155506.875</v>
      </c>
      <c r="R52" s="67" t="s">
        <v>92</v>
      </c>
      <c r="S52" s="54" t="s">
        <v>176</v>
      </c>
    </row>
    <row r="53" spans="1:19" x14ac:dyDescent="0.2">
      <c r="A53" s="91">
        <v>38</v>
      </c>
      <c r="B53" s="92">
        <v>45635</v>
      </c>
      <c r="C53" s="93" t="s">
        <v>177</v>
      </c>
      <c r="D53" s="94">
        <v>528</v>
      </c>
      <c r="E53" s="93"/>
      <c r="F53" s="93"/>
      <c r="G53" s="95">
        <v>30000</v>
      </c>
      <c r="H53" s="95">
        <f t="shared" si="9"/>
        <v>37.878700000000002</v>
      </c>
      <c r="I53" s="95">
        <v>1136361</v>
      </c>
      <c r="J53" s="95"/>
      <c r="K53" s="95"/>
      <c r="L53" s="95"/>
      <c r="M53" s="95">
        <f t="shared" si="7"/>
        <v>1136361</v>
      </c>
      <c r="N53" s="95"/>
      <c r="O53" s="93"/>
      <c r="P53" s="96">
        <f t="shared" si="5"/>
        <v>965906.85</v>
      </c>
      <c r="Q53" s="97">
        <f t="shared" si="8"/>
        <v>170454.15</v>
      </c>
      <c r="R53" s="97" t="s">
        <v>98</v>
      </c>
    </row>
    <row r="54" spans="1:19" x14ac:dyDescent="0.2">
      <c r="A54" s="59">
        <v>39</v>
      </c>
      <c r="B54" s="54">
        <v>45637</v>
      </c>
      <c r="C54" s="53" t="s">
        <v>189</v>
      </c>
      <c r="D54" s="61">
        <v>531</v>
      </c>
      <c r="G54" s="62">
        <v>120</v>
      </c>
      <c r="H54" s="62">
        <f t="shared" si="9"/>
        <v>41.550166666666669</v>
      </c>
      <c r="I54" s="62">
        <v>4986.0200000000004</v>
      </c>
      <c r="J54" s="62"/>
      <c r="K54" s="62"/>
      <c r="L54" s="62"/>
      <c r="M54" s="62">
        <f t="shared" si="7"/>
        <v>4986.0200000000004</v>
      </c>
      <c r="N54" s="62"/>
      <c r="P54" s="66">
        <f t="shared" si="5"/>
        <v>4238.1170000000002</v>
      </c>
      <c r="Q54" s="71">
        <f t="shared" si="8"/>
        <v>747.90300000000002</v>
      </c>
      <c r="R54" s="67" t="s">
        <v>92</v>
      </c>
      <c r="S54" s="54" t="s">
        <v>190</v>
      </c>
    </row>
    <row r="55" spans="1:19" x14ac:dyDescent="0.2">
      <c r="A55" s="59">
        <v>39</v>
      </c>
      <c r="B55" s="54">
        <v>45637</v>
      </c>
      <c r="C55" s="53" t="s">
        <v>189</v>
      </c>
      <c r="D55" s="61">
        <v>531</v>
      </c>
      <c r="G55" s="62">
        <v>120</v>
      </c>
      <c r="H55" s="62">
        <f t="shared" si="9"/>
        <v>41.550166666666669</v>
      </c>
      <c r="I55" s="62">
        <v>4986.0200000000004</v>
      </c>
      <c r="J55" s="62"/>
      <c r="K55" s="62"/>
      <c r="L55" s="62"/>
      <c r="M55" s="62">
        <f t="shared" si="7"/>
        <v>4986.0200000000004</v>
      </c>
      <c r="N55" s="62"/>
      <c r="P55" s="66">
        <f t="shared" si="5"/>
        <v>4238.1170000000002</v>
      </c>
      <c r="Q55" s="71">
        <f t="shared" si="8"/>
        <v>747.90300000000002</v>
      </c>
      <c r="R55" s="67" t="s">
        <v>92</v>
      </c>
      <c r="S55" s="54" t="s">
        <v>191</v>
      </c>
    </row>
    <row r="56" spans="1:19" x14ac:dyDescent="0.2">
      <c r="A56" s="59">
        <v>39</v>
      </c>
      <c r="B56" s="54">
        <v>45637</v>
      </c>
      <c r="C56" s="53" t="s">
        <v>189</v>
      </c>
      <c r="D56" s="61">
        <v>531</v>
      </c>
      <c r="G56" s="62">
        <v>240</v>
      </c>
      <c r="H56" s="62">
        <f t="shared" si="9"/>
        <v>41.550249999999998</v>
      </c>
      <c r="I56" s="62">
        <v>9972.06</v>
      </c>
      <c r="J56" s="62"/>
      <c r="K56" s="62"/>
      <c r="L56" s="62"/>
      <c r="M56" s="62">
        <f t="shared" si="7"/>
        <v>9972.06</v>
      </c>
      <c r="N56" s="62"/>
      <c r="P56" s="66">
        <f t="shared" si="5"/>
        <v>8476.2510000000002</v>
      </c>
      <c r="Q56" s="67">
        <f t="shared" si="8"/>
        <v>1495.809</v>
      </c>
      <c r="R56" s="67"/>
    </row>
    <row r="57" spans="1:19" x14ac:dyDescent="0.2">
      <c r="A57" s="59">
        <v>40</v>
      </c>
      <c r="B57" s="54">
        <v>45653</v>
      </c>
      <c r="C57" s="53" t="s">
        <v>192</v>
      </c>
      <c r="D57" s="61">
        <v>533</v>
      </c>
      <c r="G57" s="62">
        <v>19200</v>
      </c>
      <c r="H57" s="62">
        <f t="shared" si="9"/>
        <v>33.680409895833336</v>
      </c>
      <c r="I57" s="62">
        <v>646663.87</v>
      </c>
      <c r="J57" s="62"/>
      <c r="K57" s="62"/>
      <c r="L57" s="62"/>
      <c r="M57" s="62">
        <f t="shared" si="7"/>
        <v>646663.87</v>
      </c>
      <c r="N57" s="62"/>
      <c r="P57" s="66">
        <f t="shared" si="5"/>
        <v>549664.28949999996</v>
      </c>
      <c r="Q57" s="67">
        <f t="shared" si="8"/>
        <v>96999.580499999996</v>
      </c>
      <c r="R57" s="67"/>
    </row>
    <row r="58" spans="1:19" x14ac:dyDescent="0.2">
      <c r="A58" s="59">
        <v>41</v>
      </c>
      <c r="B58" s="54">
        <v>45671</v>
      </c>
      <c r="C58" s="53" t="s">
        <v>174</v>
      </c>
      <c r="D58" s="61">
        <v>537</v>
      </c>
      <c r="G58" s="62">
        <v>19200</v>
      </c>
      <c r="H58" s="62">
        <f t="shared" si="9"/>
        <v>23.156859895833335</v>
      </c>
      <c r="I58" s="62">
        <v>444611.71</v>
      </c>
      <c r="J58" s="62"/>
      <c r="K58" s="62"/>
      <c r="L58" s="62"/>
      <c r="M58" s="62">
        <f t="shared" si="7"/>
        <v>444611.71</v>
      </c>
      <c r="N58" s="62"/>
      <c r="P58" s="66">
        <f t="shared" si="5"/>
        <v>377919.9535</v>
      </c>
      <c r="Q58" s="67">
        <f t="shared" si="8"/>
        <v>66691.756500000003</v>
      </c>
      <c r="R58" s="67"/>
    </row>
    <row r="59" spans="1:19" x14ac:dyDescent="0.2">
      <c r="A59" s="59">
        <v>42</v>
      </c>
      <c r="B59" s="54">
        <v>45672</v>
      </c>
      <c r="C59" s="53" t="s">
        <v>157</v>
      </c>
      <c r="D59" s="61">
        <v>538</v>
      </c>
      <c r="G59" s="62">
        <v>19200</v>
      </c>
      <c r="H59" s="62">
        <f t="shared" si="9"/>
        <v>25</v>
      </c>
      <c r="I59" s="62">
        <v>480000</v>
      </c>
      <c r="J59" s="62"/>
      <c r="K59" s="62"/>
      <c r="L59" s="62"/>
      <c r="M59" s="62">
        <f t="shared" si="7"/>
        <v>480000</v>
      </c>
      <c r="N59" s="62"/>
      <c r="P59" s="66">
        <f t="shared" si="5"/>
        <v>408000</v>
      </c>
      <c r="Q59" s="67">
        <f t="shared" si="8"/>
        <v>72000</v>
      </c>
      <c r="R59" s="67"/>
    </row>
    <row r="60" spans="1:19" x14ac:dyDescent="0.2">
      <c r="A60" s="59">
        <v>43</v>
      </c>
      <c r="B60" s="54">
        <v>45672</v>
      </c>
      <c r="C60" s="53" t="s">
        <v>157</v>
      </c>
      <c r="D60" s="61">
        <v>539</v>
      </c>
      <c r="G60" s="62">
        <v>19200</v>
      </c>
      <c r="H60" s="62">
        <f t="shared" si="9"/>
        <v>25</v>
      </c>
      <c r="I60" s="62">
        <v>480000</v>
      </c>
      <c r="J60" s="62"/>
      <c r="K60" s="62"/>
      <c r="L60" s="62"/>
      <c r="M60" s="62">
        <f t="shared" si="7"/>
        <v>480000</v>
      </c>
      <c r="N60" s="62"/>
      <c r="P60" s="66">
        <f t="shared" si="5"/>
        <v>408000</v>
      </c>
      <c r="Q60" s="67">
        <f t="shared" si="8"/>
        <v>72000</v>
      </c>
      <c r="R60" s="67"/>
    </row>
    <row r="61" spans="1:19" x14ac:dyDescent="0.2">
      <c r="A61" s="59">
        <v>44</v>
      </c>
      <c r="B61" s="54">
        <v>45677</v>
      </c>
      <c r="C61" s="53" t="s">
        <v>177</v>
      </c>
      <c r="D61" s="61">
        <v>540</v>
      </c>
      <c r="G61" s="62">
        <v>30000</v>
      </c>
      <c r="H61" s="62">
        <f t="shared" si="9"/>
        <v>37.878700000000002</v>
      </c>
      <c r="I61" s="62">
        <v>1136361</v>
      </c>
      <c r="J61" s="62"/>
      <c r="K61" s="62"/>
      <c r="L61" s="62"/>
      <c r="M61" s="62">
        <f t="shared" si="7"/>
        <v>1136361</v>
      </c>
      <c r="N61" s="62"/>
      <c r="P61" s="66">
        <f t="shared" si="5"/>
        <v>965906.85</v>
      </c>
      <c r="Q61" s="67">
        <f t="shared" si="8"/>
        <v>170454.15</v>
      </c>
      <c r="R61" s="67"/>
    </row>
    <row r="62" spans="1:19" x14ac:dyDescent="0.2">
      <c r="A62" s="59"/>
      <c r="B62" s="54"/>
      <c r="D62" s="61"/>
      <c r="G62" s="62"/>
      <c r="H62" s="62"/>
      <c r="I62" s="62"/>
      <c r="J62" s="62"/>
      <c r="K62" s="62"/>
      <c r="L62" s="62"/>
      <c r="M62" s="62"/>
      <c r="N62" s="62"/>
      <c r="P62" s="66"/>
      <c r="Q62" s="67"/>
      <c r="R62" s="67"/>
    </row>
    <row r="63" spans="1:19" x14ac:dyDescent="0.2">
      <c r="A63" s="59"/>
      <c r="B63" s="54"/>
      <c r="D63" s="61"/>
      <c r="G63" s="62"/>
      <c r="H63" s="62"/>
      <c r="I63" s="62"/>
      <c r="J63" s="62"/>
      <c r="K63" s="62"/>
      <c r="L63" s="62"/>
      <c r="M63" s="62"/>
      <c r="N63" s="62"/>
      <c r="P63" s="66"/>
      <c r="Q63" s="67"/>
      <c r="R63" s="67"/>
    </row>
    <row r="64" spans="1:19" x14ac:dyDescent="0.2">
      <c r="A64" s="59"/>
      <c r="B64" s="54"/>
      <c r="D64" s="61"/>
      <c r="G64" s="62"/>
      <c r="H64" s="62"/>
      <c r="I64" s="62"/>
      <c r="J64" s="62"/>
      <c r="K64" s="62"/>
      <c r="L64" s="62"/>
      <c r="M64" s="62"/>
      <c r="N64" s="62"/>
      <c r="P64" s="66"/>
      <c r="Q64" s="67"/>
      <c r="R64" s="67"/>
    </row>
    <row r="65" spans="1:18" x14ac:dyDescent="0.2">
      <c r="A65" s="59"/>
      <c r="B65" s="54"/>
      <c r="D65" s="61"/>
      <c r="G65" s="62"/>
      <c r="H65" s="62"/>
      <c r="I65" s="62"/>
      <c r="J65" s="62"/>
      <c r="K65" s="62"/>
      <c r="L65" s="62"/>
      <c r="M65" s="62"/>
      <c r="N65" s="62"/>
      <c r="P65" s="66"/>
      <c r="Q65" s="67"/>
      <c r="R65" s="67"/>
    </row>
    <row r="66" spans="1:18" x14ac:dyDescent="0.2">
      <c r="A66" s="59"/>
      <c r="B66" s="54"/>
      <c r="D66" s="61"/>
      <c r="G66" s="62"/>
      <c r="H66" s="62"/>
      <c r="I66" s="62"/>
      <c r="J66" s="62"/>
      <c r="K66" s="62"/>
      <c r="L66" s="62"/>
      <c r="M66" s="62"/>
      <c r="N66" s="62"/>
      <c r="P66" s="66"/>
      <c r="Q66" s="67"/>
      <c r="R66" s="67"/>
    </row>
    <row r="67" spans="1:18" x14ac:dyDescent="0.2">
      <c r="A67" s="59"/>
      <c r="B67" s="54"/>
      <c r="D67" s="61"/>
      <c r="G67" s="62"/>
      <c r="H67" s="62"/>
      <c r="I67" s="62"/>
      <c r="J67" s="62"/>
      <c r="K67" s="62"/>
      <c r="L67" s="62"/>
      <c r="M67" s="62"/>
      <c r="N67" s="62"/>
      <c r="P67" s="66"/>
      <c r="Q67" s="67"/>
      <c r="R67" s="67"/>
    </row>
    <row r="68" spans="1:18" x14ac:dyDescent="0.2">
      <c r="A68" s="59"/>
      <c r="B68" s="54"/>
      <c r="D68" s="61"/>
      <c r="G68" s="62"/>
      <c r="H68" s="62"/>
      <c r="I68" s="62"/>
      <c r="J68" s="62"/>
      <c r="K68" s="62"/>
      <c r="L68" s="62"/>
      <c r="M68" s="62"/>
      <c r="N68" s="62"/>
      <c r="P68" s="66"/>
      <c r="Q68" s="67"/>
      <c r="R68" s="67"/>
    </row>
    <row r="69" spans="1:18" ht="16" thickBot="1" x14ac:dyDescent="0.25">
      <c r="A69" s="78"/>
      <c r="B69" s="79"/>
      <c r="C69" s="79"/>
      <c r="D69" s="79"/>
      <c r="E69" s="79"/>
      <c r="F69" s="79"/>
      <c r="G69" s="80">
        <f>SUM(G10:G68)</f>
        <v>717428</v>
      </c>
      <c r="H69" s="80">
        <f>+I69/G69</f>
        <v>25.1787225819232</v>
      </c>
      <c r="I69" s="80">
        <f t="shared" ref="I69:P69" si="10">SUM(I10:I68)</f>
        <v>18063920.584503997</v>
      </c>
      <c r="J69" s="80">
        <f t="shared" si="10"/>
        <v>57237.384804171568</v>
      </c>
      <c r="K69" s="80">
        <f t="shared" si="10"/>
        <v>0</v>
      </c>
      <c r="L69" s="80">
        <f t="shared" si="10"/>
        <v>4904.5200000000004</v>
      </c>
      <c r="M69" s="80">
        <f t="shared" si="10"/>
        <v>18011587.719699826</v>
      </c>
      <c r="N69" s="80">
        <f t="shared" si="10"/>
        <v>0</v>
      </c>
      <c r="O69" s="79">
        <f t="shared" si="10"/>
        <v>0</v>
      </c>
      <c r="P69" s="81">
        <f t="shared" si="10"/>
        <v>15309849.561744854</v>
      </c>
      <c r="Q69" s="82">
        <f>SUM(Q10:Q68)</f>
        <v>2701738.1579549746</v>
      </c>
      <c r="R69" s="82"/>
    </row>
    <row r="70" spans="1:18" x14ac:dyDescent="0.2">
      <c r="G70" s="62"/>
      <c r="H70" s="62"/>
      <c r="I70" s="62"/>
    </row>
    <row r="71" spans="1:18" x14ac:dyDescent="0.2">
      <c r="G71" s="62">
        <f>+G69/60</f>
        <v>11957.133333333333</v>
      </c>
      <c r="H71" s="62"/>
      <c r="I71" s="62"/>
    </row>
    <row r="72" spans="1:18" x14ac:dyDescent="0.2">
      <c r="A72" s="52" t="s">
        <v>178</v>
      </c>
    </row>
    <row r="73" spans="1:18" ht="16" thickBot="1" x14ac:dyDescent="0.25"/>
    <row r="74" spans="1:18" x14ac:dyDescent="0.2">
      <c r="A74" s="55" t="s">
        <v>100</v>
      </c>
      <c r="B74" s="56" t="s">
        <v>101</v>
      </c>
      <c r="C74" s="56" t="s">
        <v>102</v>
      </c>
      <c r="D74" s="56" t="s">
        <v>93</v>
      </c>
      <c r="E74" s="56" t="s">
        <v>103</v>
      </c>
      <c r="F74" s="56" t="s">
        <v>104</v>
      </c>
      <c r="G74" s="58" t="s">
        <v>105</v>
      </c>
      <c r="H74" s="83"/>
      <c r="I74" s="83"/>
      <c r="J74" s="83"/>
      <c r="K74" s="83"/>
      <c r="L74" s="83"/>
      <c r="M74" s="83"/>
      <c r="N74" s="212"/>
      <c r="O74" s="212"/>
      <c r="P74" s="83"/>
      <c r="Q74" s="83"/>
      <c r="R74" s="83"/>
    </row>
    <row r="75" spans="1:18" x14ac:dyDescent="0.2">
      <c r="A75" s="59">
        <v>1</v>
      </c>
      <c r="B75" s="54">
        <v>45071</v>
      </c>
      <c r="C75" s="53" t="s">
        <v>179</v>
      </c>
      <c r="D75" s="61"/>
      <c r="G75" s="67">
        <v>130</v>
      </c>
      <c r="H75" s="84"/>
      <c r="I75" s="84"/>
      <c r="J75" s="84"/>
      <c r="K75" s="84"/>
      <c r="L75" s="84"/>
      <c r="M75" s="84"/>
      <c r="N75" s="84"/>
      <c r="O75" s="85"/>
      <c r="P75" s="84"/>
      <c r="Q75" s="84"/>
      <c r="R75" s="84"/>
    </row>
    <row r="76" spans="1:18" x14ac:dyDescent="0.2">
      <c r="A76" s="59">
        <v>2</v>
      </c>
      <c r="B76" s="54">
        <v>45260</v>
      </c>
      <c r="C76" s="53" t="s">
        <v>180</v>
      </c>
      <c r="D76" s="61"/>
      <c r="G76" s="67">
        <v>13870</v>
      </c>
      <c r="H76" s="84"/>
      <c r="I76" s="84"/>
      <c r="J76" s="84"/>
      <c r="K76" s="84"/>
      <c r="L76" s="84"/>
      <c r="M76" s="84"/>
      <c r="N76" s="84"/>
      <c r="O76" s="85"/>
      <c r="P76" s="84"/>
      <c r="Q76" s="84"/>
      <c r="R76" s="84"/>
    </row>
    <row r="77" spans="1:18" x14ac:dyDescent="0.2">
      <c r="A77" s="59">
        <v>3</v>
      </c>
      <c r="B77" s="54">
        <v>45260</v>
      </c>
      <c r="C77" s="53" t="s">
        <v>180</v>
      </c>
      <c r="D77" s="61"/>
      <c r="G77" s="67">
        <v>4130</v>
      </c>
      <c r="H77" s="84"/>
      <c r="I77" s="84"/>
      <c r="J77" s="84"/>
      <c r="K77" s="84"/>
      <c r="L77" s="84"/>
      <c r="M77" s="84"/>
      <c r="N77" s="84"/>
      <c r="O77" s="83"/>
      <c r="P77" s="84"/>
      <c r="Q77" s="84"/>
      <c r="R77" s="84"/>
    </row>
    <row r="78" spans="1:18" x14ac:dyDescent="0.2">
      <c r="A78" s="59"/>
      <c r="B78" s="54"/>
      <c r="D78" s="61"/>
      <c r="G78" s="67"/>
      <c r="H78" s="84"/>
      <c r="I78" s="84"/>
      <c r="J78" s="84"/>
      <c r="K78" s="84"/>
      <c r="L78" s="84"/>
      <c r="M78" s="84"/>
      <c r="N78" s="84"/>
      <c r="O78" s="83"/>
      <c r="P78" s="84"/>
      <c r="Q78" s="84"/>
      <c r="R78" s="84"/>
    </row>
    <row r="79" spans="1:18" x14ac:dyDescent="0.2">
      <c r="A79" s="59"/>
      <c r="B79" s="54"/>
      <c r="D79" s="61"/>
      <c r="G79" s="67"/>
      <c r="H79" s="84"/>
      <c r="I79" s="84"/>
      <c r="J79" s="84"/>
      <c r="K79" s="84"/>
      <c r="L79" s="84"/>
      <c r="M79" s="84"/>
      <c r="N79" s="84"/>
      <c r="O79" s="83"/>
      <c r="P79" s="84"/>
      <c r="Q79" s="84"/>
      <c r="R79" s="84"/>
    </row>
    <row r="80" spans="1:18" x14ac:dyDescent="0.2">
      <c r="A80" s="59"/>
      <c r="B80" s="54"/>
      <c r="D80" s="61"/>
      <c r="G80" s="67"/>
      <c r="H80" s="84"/>
      <c r="I80" s="84"/>
      <c r="J80" s="84"/>
      <c r="K80" s="84"/>
      <c r="L80" s="84"/>
      <c r="M80" s="84"/>
      <c r="N80" s="84"/>
      <c r="O80" s="83"/>
      <c r="P80" s="84"/>
      <c r="Q80" s="84"/>
      <c r="R80" s="84"/>
    </row>
    <row r="81" spans="1:18" ht="16" thickBot="1" x14ac:dyDescent="0.25">
      <c r="A81" s="78"/>
      <c r="B81" s="79"/>
      <c r="C81" s="79"/>
      <c r="D81" s="79"/>
      <c r="E81" s="79"/>
      <c r="F81" s="79"/>
      <c r="G81" s="82">
        <f>SUM(G75:G80)</f>
        <v>18130</v>
      </c>
      <c r="H81" s="84"/>
      <c r="I81" s="84"/>
      <c r="J81" s="84"/>
      <c r="K81" s="84"/>
      <c r="L81" s="84"/>
      <c r="M81" s="84"/>
      <c r="N81" s="84"/>
      <c r="O81" s="83"/>
      <c r="P81" s="84"/>
      <c r="Q81" s="84"/>
      <c r="R81" s="84"/>
    </row>
    <row r="82" spans="1:18" x14ac:dyDescent="0.2">
      <c r="G82" s="62"/>
      <c r="H82" s="84"/>
      <c r="I82" s="84"/>
      <c r="J82" s="83"/>
      <c r="K82" s="83"/>
      <c r="L82" s="83"/>
      <c r="M82" s="83"/>
      <c r="N82" s="83"/>
      <c r="O82" s="83"/>
      <c r="P82" s="83"/>
      <c r="Q82" s="83"/>
      <c r="R82" s="83"/>
    </row>
    <row r="83" spans="1:18" x14ac:dyDescent="0.2">
      <c r="G83" s="62">
        <f>+G69+G81</f>
        <v>735558</v>
      </c>
      <c r="H83" s="62"/>
      <c r="I83" s="62"/>
    </row>
    <row r="84" spans="1:18" x14ac:dyDescent="0.2">
      <c r="G84" s="62"/>
      <c r="H84" s="62"/>
      <c r="I84" s="62"/>
    </row>
    <row r="85" spans="1:18" x14ac:dyDescent="0.2">
      <c r="G85" s="62"/>
      <c r="H85" s="62"/>
      <c r="I85" s="62"/>
    </row>
    <row r="86" spans="1:18" x14ac:dyDescent="0.2">
      <c r="G86" s="62"/>
      <c r="H86" s="62"/>
      <c r="I86" s="62"/>
    </row>
    <row r="87" spans="1:18" x14ac:dyDescent="0.2">
      <c r="G87" s="62"/>
      <c r="H87" s="62"/>
      <c r="I87" s="62"/>
    </row>
  </sheetData>
  <autoFilter ref="A3:Z61" xr:uid="{00000000-0009-0000-0000-000001000000}">
    <filterColumn colId="13" showButton="0"/>
  </autoFilter>
  <mergeCells count="2">
    <mergeCell ref="N3:O3"/>
    <mergeCell ref="N74:O74"/>
  </mergeCells>
  <pageMargins left="0" right="0" top="0.78740157480314965" bottom="0.78740157480314965" header="0.31496062992125984" footer="0.31496062992125984"/>
  <pageSetup paperSize="9" scale="55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D4A3-199D-D147-B22F-B612BB29F5B3}">
  <sheetPr codeName="Sheet3"/>
  <dimension ref="B2:V44"/>
  <sheetViews>
    <sheetView zoomScale="80" zoomScaleNormal="80" workbookViewId="0">
      <selection activeCell="B9" sqref="B9:B11"/>
    </sheetView>
  </sheetViews>
  <sheetFormatPr baseColWidth="10" defaultRowHeight="16" x14ac:dyDescent="0.2"/>
  <cols>
    <col min="3" max="3" width="13.33203125" style="50" customWidth="1"/>
    <col min="4" max="4" width="17.5" style="50" customWidth="1"/>
    <col min="5" max="5" width="17.1640625" style="50" customWidth="1"/>
    <col min="6" max="6" width="18" customWidth="1"/>
    <col min="7" max="7" width="15" style="102" customWidth="1"/>
    <col min="8" max="8" width="14.5" style="98" customWidth="1"/>
    <col min="9" max="9" width="23.5" customWidth="1"/>
    <col min="10" max="10" width="24.33203125" customWidth="1"/>
    <col min="11" max="11" width="26" customWidth="1"/>
    <col min="12" max="12" width="19.33203125" customWidth="1"/>
    <col min="13" max="13" width="17.83203125" style="50" customWidth="1"/>
    <col min="14" max="14" width="19.33203125" customWidth="1"/>
    <col min="17" max="17" width="21.83203125" customWidth="1"/>
  </cols>
  <sheetData>
    <row r="2" spans="2:17" x14ac:dyDescent="0.2">
      <c r="B2" s="103" t="s">
        <v>185</v>
      </c>
      <c r="C2" s="104" t="s">
        <v>16</v>
      </c>
      <c r="D2" s="104" t="s">
        <v>193</v>
      </c>
      <c r="E2" s="107" t="s">
        <v>198</v>
      </c>
      <c r="F2" s="104" t="s">
        <v>195</v>
      </c>
      <c r="G2" s="105" t="s">
        <v>196</v>
      </c>
      <c r="H2" s="106" t="s">
        <v>194</v>
      </c>
      <c r="I2" s="107" t="s">
        <v>197</v>
      </c>
      <c r="J2" s="107" t="s">
        <v>199</v>
      </c>
      <c r="K2" s="109" t="s">
        <v>206</v>
      </c>
      <c r="L2" s="109" t="s">
        <v>205</v>
      </c>
      <c r="M2" s="109" t="s">
        <v>203</v>
      </c>
      <c r="N2" s="109" t="s">
        <v>204</v>
      </c>
      <c r="O2" s="109" t="s">
        <v>207</v>
      </c>
      <c r="P2" s="109" t="s">
        <v>208</v>
      </c>
      <c r="Q2" s="110" t="s">
        <v>209</v>
      </c>
    </row>
    <row r="3" spans="2:17" x14ac:dyDescent="0.2">
      <c r="B3" t="s">
        <v>22</v>
      </c>
      <c r="C3" s="50" t="s">
        <v>91</v>
      </c>
      <c r="D3" s="100">
        <v>149846.78</v>
      </c>
      <c r="E3" s="100">
        <f t="shared" ref="E3:E12" si="0">F3/H3</f>
        <v>104892.7607461476</v>
      </c>
      <c r="F3" s="100">
        <v>646663.87</v>
      </c>
      <c r="G3" s="101">
        <v>533</v>
      </c>
      <c r="H3" s="99">
        <v>6.165</v>
      </c>
      <c r="I3" s="100">
        <f t="shared" ref="I3:I11" si="1">D3-E3</f>
        <v>44954.019253852399</v>
      </c>
      <c r="J3" s="100">
        <f t="shared" ref="J3:J12" si="2">I3*H3</f>
        <v>277141.52870000002</v>
      </c>
      <c r="K3" s="101">
        <v>551</v>
      </c>
      <c r="L3" s="50">
        <v>149838.78</v>
      </c>
      <c r="M3" s="50">
        <v>5.8236999999999997</v>
      </c>
      <c r="N3" s="50">
        <f>L3*M3</f>
        <v>872616.10308599996</v>
      </c>
      <c r="O3" s="100">
        <f>D3-L3</f>
        <v>8</v>
      </c>
      <c r="Q3" s="100">
        <f>N3-(J3+F3)</f>
        <v>-51189.295614000061</v>
      </c>
    </row>
    <row r="4" spans="2:17" x14ac:dyDescent="0.2">
      <c r="B4" t="s">
        <v>6</v>
      </c>
      <c r="C4" s="50" t="s">
        <v>1</v>
      </c>
      <c r="D4" s="100">
        <v>149000.19</v>
      </c>
      <c r="E4" s="100">
        <f t="shared" si="0"/>
        <v>79123.052831121735</v>
      </c>
      <c r="F4" s="100">
        <v>480000</v>
      </c>
      <c r="G4" s="101">
        <v>539</v>
      </c>
      <c r="H4" s="99">
        <v>6.0664999999999996</v>
      </c>
      <c r="I4" s="100">
        <f t="shared" si="1"/>
        <v>69877.137168878267</v>
      </c>
      <c r="J4" s="100">
        <f t="shared" si="2"/>
        <v>423909.65263500001</v>
      </c>
      <c r="K4" s="101">
        <v>552</v>
      </c>
    </row>
    <row r="5" spans="2:17" x14ac:dyDescent="0.2">
      <c r="B5" t="s">
        <v>3</v>
      </c>
      <c r="C5" s="50" t="s">
        <v>1</v>
      </c>
      <c r="D5" s="100">
        <v>149000.19</v>
      </c>
      <c r="E5" s="100">
        <f t="shared" si="0"/>
        <v>79123.052831121735</v>
      </c>
      <c r="F5" s="100">
        <v>480000</v>
      </c>
      <c r="G5" s="101">
        <v>538</v>
      </c>
      <c r="H5" s="99">
        <v>6.0664999999999996</v>
      </c>
      <c r="I5" s="100">
        <f t="shared" si="1"/>
        <v>69877.137168878267</v>
      </c>
      <c r="J5" s="100">
        <f t="shared" si="2"/>
        <v>423909.65263500001</v>
      </c>
      <c r="K5" s="101">
        <v>553</v>
      </c>
    </row>
    <row r="6" spans="2:17" x14ac:dyDescent="0.2">
      <c r="B6" t="s">
        <v>20</v>
      </c>
      <c r="C6" s="50" t="s">
        <v>19</v>
      </c>
      <c r="D6" s="100">
        <v>104000</v>
      </c>
      <c r="E6" s="100">
        <f t="shared" si="0"/>
        <v>72800.044209388769</v>
      </c>
      <c r="F6" s="100">
        <v>444611.71</v>
      </c>
      <c r="G6" s="101">
        <v>537</v>
      </c>
      <c r="H6" s="99">
        <v>6.1073000000000004</v>
      </c>
      <c r="I6" s="100">
        <f t="shared" si="1"/>
        <v>31199.955790611231</v>
      </c>
      <c r="J6" s="100">
        <f t="shared" si="2"/>
        <v>190547.49</v>
      </c>
      <c r="K6" s="101">
        <v>554</v>
      </c>
      <c r="L6" s="50">
        <f>25970</f>
        <v>25970</v>
      </c>
      <c r="M6" s="50">
        <v>5.8236999999999997</v>
      </c>
      <c r="N6" s="50">
        <f>L6*M6</f>
        <v>151241.489</v>
      </c>
      <c r="O6" s="100">
        <f>(D6/4-L6)</f>
        <v>30</v>
      </c>
      <c r="P6" s="100">
        <f>D6-L6-O6</f>
        <v>78000</v>
      </c>
      <c r="Q6" s="100">
        <f>N6-(J6+F6)/4</f>
        <v>-7548.310999999987</v>
      </c>
    </row>
    <row r="7" spans="2:17" x14ac:dyDescent="0.2">
      <c r="B7" t="s">
        <v>21</v>
      </c>
      <c r="C7" s="50" t="s">
        <v>19</v>
      </c>
      <c r="D7" s="100">
        <v>104000</v>
      </c>
      <c r="E7" s="100">
        <f t="shared" si="0"/>
        <v>62400.016704251233</v>
      </c>
      <c r="F7" s="100">
        <v>373557.7</v>
      </c>
      <c r="G7" s="101">
        <v>517</v>
      </c>
      <c r="H7" s="99">
        <v>5.9865000000000004</v>
      </c>
      <c r="I7" s="100">
        <f t="shared" si="1"/>
        <v>41599.983295748767</v>
      </c>
      <c r="J7" s="100">
        <f t="shared" si="2"/>
        <v>249038.30000000002</v>
      </c>
      <c r="K7" s="101">
        <v>555</v>
      </c>
    </row>
    <row r="8" spans="2:17" ht="17" customHeight="1" x14ac:dyDescent="0.2">
      <c r="B8" t="s">
        <v>200</v>
      </c>
      <c r="C8" s="50" t="s">
        <v>201</v>
      </c>
      <c r="D8" s="100">
        <v>88706.97</v>
      </c>
      <c r="E8" s="100">
        <f t="shared" si="0"/>
        <v>67059.996569010545</v>
      </c>
      <c r="F8" s="100">
        <v>351816.86</v>
      </c>
      <c r="G8" s="101">
        <v>279</v>
      </c>
      <c r="H8" s="99">
        <v>5.2462999999999997</v>
      </c>
      <c r="I8" s="100">
        <f t="shared" si="1"/>
        <v>21646.973430989456</v>
      </c>
      <c r="J8" s="100">
        <f t="shared" si="2"/>
        <v>113566.51671099997</v>
      </c>
      <c r="K8" s="101">
        <v>556</v>
      </c>
      <c r="L8" s="50">
        <v>30244</v>
      </c>
      <c r="M8" s="50">
        <v>5.76</v>
      </c>
      <c r="N8" s="50">
        <f>L8*M8</f>
        <v>174205.44</v>
      </c>
      <c r="O8" s="100">
        <f>30300-L8</f>
        <v>56</v>
      </c>
      <c r="P8" s="100">
        <f>D8-L8-O8</f>
        <v>58406.97</v>
      </c>
      <c r="Q8" s="100">
        <f>N8-(30300*H8)</f>
        <v>15242.550000000017</v>
      </c>
    </row>
    <row r="9" spans="2:17" x14ac:dyDescent="0.2">
      <c r="B9" t="s">
        <v>9</v>
      </c>
      <c r="C9" s="50" t="s">
        <v>1</v>
      </c>
      <c r="D9" s="100">
        <v>157995.23000000001</v>
      </c>
      <c r="E9" s="100">
        <f t="shared" si="0"/>
        <v>77262.108583014196</v>
      </c>
      <c r="F9" s="100">
        <v>445856.45</v>
      </c>
      <c r="G9" s="101">
        <v>504</v>
      </c>
      <c r="H9" s="99">
        <v>5.7706999999999997</v>
      </c>
      <c r="I9" s="100">
        <f t="shared" si="1"/>
        <v>80733.121416985814</v>
      </c>
      <c r="J9" s="100">
        <f t="shared" si="2"/>
        <v>465886.623761</v>
      </c>
      <c r="K9" s="101">
        <v>557</v>
      </c>
    </row>
    <row r="10" spans="2:17" x14ac:dyDescent="0.2">
      <c r="B10" t="s">
        <v>8</v>
      </c>
      <c r="C10" s="50" t="s">
        <v>1</v>
      </c>
      <c r="D10" s="100">
        <v>141063.39000000001</v>
      </c>
      <c r="E10" s="100">
        <f t="shared" si="0"/>
        <v>77262.108583014196</v>
      </c>
      <c r="F10" s="100">
        <v>445856.45</v>
      </c>
      <c r="G10" s="101">
        <v>506</v>
      </c>
      <c r="H10" s="99">
        <v>5.7706999999999997</v>
      </c>
      <c r="I10" s="100">
        <f t="shared" si="1"/>
        <v>63801.281416985817</v>
      </c>
      <c r="J10" s="100">
        <f t="shared" si="2"/>
        <v>368178.05467300006</v>
      </c>
      <c r="K10" s="101">
        <v>558</v>
      </c>
    </row>
    <row r="11" spans="2:17" x14ac:dyDescent="0.2">
      <c r="B11" t="s">
        <v>7</v>
      </c>
      <c r="C11" s="50" t="s">
        <v>1</v>
      </c>
      <c r="D11" s="100">
        <v>133444.06</v>
      </c>
      <c r="E11" s="100">
        <f t="shared" si="0"/>
        <v>77262.108583014196</v>
      </c>
      <c r="F11" s="100">
        <v>445856.45</v>
      </c>
      <c r="G11" s="101">
        <v>507</v>
      </c>
      <c r="H11" s="99">
        <v>5.7706999999999997</v>
      </c>
      <c r="I11" s="100">
        <f t="shared" si="1"/>
        <v>56181.951416985801</v>
      </c>
      <c r="J11" s="100">
        <f t="shared" si="2"/>
        <v>324209.18704199995</v>
      </c>
      <c r="K11" s="101">
        <v>559</v>
      </c>
    </row>
    <row r="12" spans="2:17" x14ac:dyDescent="0.2">
      <c r="B12" t="s">
        <v>202</v>
      </c>
      <c r="C12" s="50" t="s">
        <v>1</v>
      </c>
      <c r="D12" s="100">
        <v>122438.37</v>
      </c>
      <c r="E12" s="100">
        <f t="shared" si="0"/>
        <v>104723.03519241202</v>
      </c>
      <c r="F12" s="100">
        <v>598418.84</v>
      </c>
      <c r="G12" s="101">
        <v>470</v>
      </c>
      <c r="H12" s="99">
        <v>5.7142999999999997</v>
      </c>
      <c r="I12" s="108">
        <f>D12-E12-11365.47</f>
        <v>6349.8648075879773</v>
      </c>
      <c r="J12" s="100">
        <f t="shared" si="2"/>
        <v>36285.032469999976</v>
      </c>
      <c r="K12" s="101">
        <v>560</v>
      </c>
      <c r="L12">
        <f>638669/E12</f>
        <v>6.0986486767361807</v>
      </c>
      <c r="O12" s="50"/>
    </row>
    <row r="13" spans="2:17" x14ac:dyDescent="0.2">
      <c r="D13" s="100"/>
      <c r="E13" s="100"/>
      <c r="F13" s="100"/>
      <c r="G13" s="101"/>
      <c r="H13" s="99"/>
      <c r="I13" s="100"/>
      <c r="J13" s="100"/>
    </row>
    <row r="14" spans="2:17" x14ac:dyDescent="0.2">
      <c r="D14" s="100"/>
      <c r="E14" s="100"/>
      <c r="F14" s="100"/>
      <c r="G14" s="101"/>
      <c r="H14" s="99"/>
      <c r="I14" s="100"/>
      <c r="J14" s="100"/>
    </row>
    <row r="15" spans="2:17" x14ac:dyDescent="0.2">
      <c r="D15" s="100"/>
      <c r="E15" s="100"/>
      <c r="F15" s="100"/>
      <c r="G15" s="101"/>
      <c r="H15" s="99"/>
      <c r="I15" s="100"/>
      <c r="J15" s="100"/>
    </row>
    <row r="16" spans="2:17" x14ac:dyDescent="0.2">
      <c r="D16" s="100"/>
      <c r="E16" s="100"/>
      <c r="F16" s="100"/>
      <c r="G16" s="101"/>
      <c r="H16" s="99"/>
      <c r="I16" s="100"/>
      <c r="J16" s="100"/>
    </row>
    <row r="17" spans="2:22" x14ac:dyDescent="0.2">
      <c r="D17" s="100"/>
      <c r="E17" s="100"/>
      <c r="F17" s="100"/>
      <c r="G17" s="101"/>
      <c r="H17" s="99"/>
      <c r="I17" s="100"/>
      <c r="J17" s="100"/>
    </row>
    <row r="18" spans="2:22" x14ac:dyDescent="0.2">
      <c r="D18" s="100"/>
      <c r="E18" s="100"/>
      <c r="F18" s="100"/>
      <c r="G18" s="101"/>
      <c r="H18" s="99"/>
      <c r="I18" s="100"/>
      <c r="J18" s="100"/>
    </row>
    <row r="19" spans="2:22" x14ac:dyDescent="0.2">
      <c r="D19" s="100"/>
      <c r="E19" s="100"/>
      <c r="F19" s="100"/>
      <c r="G19" s="101"/>
      <c r="H19" s="99"/>
      <c r="I19" s="100"/>
      <c r="J19" s="100"/>
    </row>
    <row r="20" spans="2:22" ht="16" customHeight="1" x14ac:dyDescent="0.2">
      <c r="B20" s="111" t="s">
        <v>210</v>
      </c>
      <c r="C20" s="112" t="s">
        <v>211</v>
      </c>
      <c r="D20" s="111" t="s">
        <v>227</v>
      </c>
      <c r="E20" s="111" t="s">
        <v>212</v>
      </c>
      <c r="F20" s="111" t="s">
        <v>213</v>
      </c>
      <c r="G20" s="111" t="s">
        <v>214</v>
      </c>
      <c r="H20" s="111" t="s">
        <v>215</v>
      </c>
      <c r="I20" s="111" t="s">
        <v>216</v>
      </c>
      <c r="J20" s="113" t="s">
        <v>23</v>
      </c>
      <c r="K20" s="114" t="s">
        <v>93</v>
      </c>
      <c r="L20" s="114" t="s">
        <v>217</v>
      </c>
      <c r="M20" s="114" t="s">
        <v>218</v>
      </c>
      <c r="N20" s="151" t="s">
        <v>219</v>
      </c>
    </row>
    <row r="21" spans="2:22" ht="16" customHeight="1" x14ac:dyDescent="0.2">
      <c r="B21" s="115">
        <v>2024</v>
      </c>
      <c r="C21" s="124">
        <v>3320241350600</v>
      </c>
      <c r="D21" s="116">
        <v>45636.455324074072</v>
      </c>
      <c r="E21" s="117">
        <v>342869.76000000001</v>
      </c>
      <c r="F21" s="125">
        <v>6.0350000000000001</v>
      </c>
      <c r="G21" s="126">
        <v>2069219</v>
      </c>
      <c r="H21" s="127">
        <v>45636</v>
      </c>
      <c r="I21" s="127">
        <v>45636</v>
      </c>
      <c r="J21" s="122" t="s">
        <v>220</v>
      </c>
      <c r="K21" s="119" t="s">
        <v>221</v>
      </c>
      <c r="L21" s="120">
        <f>619257.02*3</f>
        <v>1857771.06</v>
      </c>
      <c r="M21" s="119">
        <f>5.4183</f>
        <v>5.4183000000000003</v>
      </c>
      <c r="N21" s="120">
        <f>G21-L21</f>
        <v>211447.93999999994</v>
      </c>
    </row>
    <row r="22" spans="2:22" ht="16" customHeight="1" x14ac:dyDescent="0.2">
      <c r="B22" s="115">
        <v>2024</v>
      </c>
      <c r="C22" s="124">
        <v>3320241239879</v>
      </c>
      <c r="D22" s="116">
        <v>45608.536122685182</v>
      </c>
      <c r="E22" s="117">
        <v>30244</v>
      </c>
      <c r="F22" s="125">
        <v>5.76</v>
      </c>
      <c r="G22" s="126">
        <v>174205.44</v>
      </c>
      <c r="H22" s="127">
        <v>45610</v>
      </c>
      <c r="I22" s="127">
        <v>45610</v>
      </c>
      <c r="J22" s="122" t="s">
        <v>222</v>
      </c>
      <c r="K22" s="119">
        <v>279</v>
      </c>
      <c r="L22" s="120">
        <v>351816.86</v>
      </c>
      <c r="M22" s="119">
        <v>5.2462999999999997</v>
      </c>
      <c r="N22" s="120">
        <f>G22-L22*(30300/88706.97)</f>
        <v>54033.926329766429</v>
      </c>
    </row>
    <row r="23" spans="2:22" ht="16" customHeight="1" x14ac:dyDescent="0.2">
      <c r="B23" s="115">
        <v>2024</v>
      </c>
      <c r="C23" s="124">
        <v>3320241216036</v>
      </c>
      <c r="D23" s="116">
        <v>45602.551307870373</v>
      </c>
      <c r="E23" s="117">
        <v>101612.2</v>
      </c>
      <c r="F23" s="125">
        <v>5.7</v>
      </c>
      <c r="G23" s="126">
        <v>579189.54</v>
      </c>
      <c r="H23" s="127">
        <v>45602</v>
      </c>
      <c r="I23" s="127">
        <v>45602</v>
      </c>
      <c r="J23" s="122" t="s">
        <v>223</v>
      </c>
      <c r="K23" s="119">
        <v>322</v>
      </c>
      <c r="L23" s="120">
        <v>552577.31000000006</v>
      </c>
      <c r="M23" s="119">
        <v>5.4381000000000004</v>
      </c>
      <c r="N23" s="120">
        <f>G23-L23</f>
        <v>26612.229999999981</v>
      </c>
    </row>
    <row r="24" spans="2:22" ht="16" customHeight="1" x14ac:dyDescent="0.2">
      <c r="B24" s="115">
        <v>2024</v>
      </c>
      <c r="C24" s="124">
        <v>3320241215986</v>
      </c>
      <c r="D24" s="116">
        <v>45602.551307870373</v>
      </c>
      <c r="E24" s="117">
        <v>100490.47</v>
      </c>
      <c r="F24" s="125">
        <v>5.7</v>
      </c>
      <c r="G24" s="126">
        <v>572795.68000000005</v>
      </c>
      <c r="H24" s="127">
        <v>45602</v>
      </c>
      <c r="I24" s="127">
        <v>45602</v>
      </c>
      <c r="J24" s="122" t="s">
        <v>1</v>
      </c>
      <c r="K24" s="119">
        <v>288</v>
      </c>
      <c r="L24" s="120">
        <v>541488.21</v>
      </c>
      <c r="M24" s="119">
        <v>5.3884999999999996</v>
      </c>
      <c r="N24" s="120">
        <f>G24-L24</f>
        <v>31307.470000000088</v>
      </c>
    </row>
    <row r="25" spans="2:22" ht="16" customHeight="1" x14ac:dyDescent="0.2">
      <c r="B25" s="115">
        <v>2024</v>
      </c>
      <c r="C25" s="124">
        <v>332024757713</v>
      </c>
      <c r="D25" s="116">
        <v>45490.524618055555</v>
      </c>
      <c r="E25" s="117">
        <v>240723.20000000001</v>
      </c>
      <c r="F25" s="125">
        <v>5.46</v>
      </c>
      <c r="G25" s="126">
        <v>1314348.67</v>
      </c>
      <c r="H25" s="127">
        <v>45490</v>
      </c>
      <c r="I25" s="127">
        <v>45490</v>
      </c>
      <c r="J25" s="122" t="s">
        <v>1</v>
      </c>
      <c r="K25" s="119" t="s">
        <v>224</v>
      </c>
      <c r="L25" s="120">
        <f>L34+L35+L36</f>
        <v>1252954.3299999998</v>
      </c>
      <c r="M25" s="119">
        <v>5.0880999999999998</v>
      </c>
      <c r="N25" s="120">
        <f>G25-L25</f>
        <v>61394.340000000084</v>
      </c>
    </row>
    <row r="26" spans="2:22" ht="16" customHeight="1" x14ac:dyDescent="0.2">
      <c r="B26" s="115">
        <v>2024</v>
      </c>
      <c r="C26" s="124">
        <v>332024500052</v>
      </c>
      <c r="D26" s="116">
        <v>45425.706458333334</v>
      </c>
      <c r="E26" s="117">
        <v>84108.800000000003</v>
      </c>
      <c r="F26" s="125">
        <v>5.1379999999999999</v>
      </c>
      <c r="G26" s="126">
        <v>432151.01</v>
      </c>
      <c r="H26" s="127">
        <v>45427</v>
      </c>
      <c r="I26" s="127">
        <v>45427</v>
      </c>
      <c r="J26" s="122" t="s">
        <v>1</v>
      </c>
      <c r="K26" s="119">
        <v>274</v>
      </c>
      <c r="L26" s="120">
        <v>389977.69</v>
      </c>
      <c r="M26" s="119">
        <v>4.9801000000000002</v>
      </c>
      <c r="N26" s="120">
        <f>G26-L26</f>
        <v>42173.320000000007</v>
      </c>
    </row>
    <row r="27" spans="2:22" ht="16" customHeight="1" x14ac:dyDescent="0.2">
      <c r="B27" s="115">
        <v>2024</v>
      </c>
      <c r="C27" s="124">
        <v>332024154765</v>
      </c>
      <c r="D27" s="116">
        <v>45336.542430555557</v>
      </c>
      <c r="E27" s="121">
        <v>-1500</v>
      </c>
      <c r="F27" s="125">
        <v>5.0641999999999996</v>
      </c>
      <c r="G27" s="128">
        <v>-7596.3</v>
      </c>
      <c r="H27" s="127">
        <v>45336</v>
      </c>
      <c r="I27" s="127">
        <v>45336</v>
      </c>
      <c r="J27" s="122"/>
      <c r="K27" s="119"/>
      <c r="L27" s="120"/>
      <c r="M27" s="119"/>
      <c r="N27" s="119"/>
    </row>
    <row r="28" spans="2:22" ht="16" customHeight="1" x14ac:dyDescent="0.2">
      <c r="B28" s="115">
        <v>2025</v>
      </c>
      <c r="C28" s="124">
        <v>332025127966</v>
      </c>
      <c r="D28" s="116">
        <v>45688.625474537039</v>
      </c>
      <c r="E28" s="117">
        <v>25970</v>
      </c>
      <c r="F28" s="125">
        <v>5.8236999999999997</v>
      </c>
      <c r="G28" s="126">
        <v>151241.49</v>
      </c>
      <c r="H28" s="127">
        <v>45688</v>
      </c>
      <c r="I28" s="127">
        <v>45688</v>
      </c>
      <c r="J28" s="122" t="s">
        <v>225</v>
      </c>
      <c r="K28" s="119">
        <v>537</v>
      </c>
      <c r="L28" s="120">
        <v>444611.71</v>
      </c>
      <c r="M28" s="119">
        <v>6.1073000000000004</v>
      </c>
      <c r="N28" s="120">
        <f>G28-L28/4</f>
        <v>40088.562499999985</v>
      </c>
    </row>
    <row r="29" spans="2:22" ht="16" customHeight="1" x14ac:dyDescent="0.2">
      <c r="B29" s="115">
        <v>2025</v>
      </c>
      <c r="C29" s="124">
        <v>332025128264</v>
      </c>
      <c r="D29" s="116">
        <v>45688.625474537039</v>
      </c>
      <c r="E29" s="117">
        <v>149838.78</v>
      </c>
      <c r="F29" s="125">
        <v>5.8236999999999997</v>
      </c>
      <c r="G29" s="126">
        <v>872616.1</v>
      </c>
      <c r="H29" s="127">
        <v>45688</v>
      </c>
      <c r="I29" s="127">
        <v>45688</v>
      </c>
      <c r="J29" s="122" t="s">
        <v>226</v>
      </c>
      <c r="K29" s="119">
        <v>533</v>
      </c>
      <c r="L29" s="120">
        <v>646663.87</v>
      </c>
      <c r="M29" s="119">
        <v>6.165</v>
      </c>
      <c r="N29" s="120">
        <f>G29-L29</f>
        <v>225952.22999999998</v>
      </c>
    </row>
    <row r="30" spans="2:22" x14ac:dyDescent="0.2">
      <c r="B30" s="118"/>
      <c r="C30" s="118"/>
      <c r="D30" s="118"/>
      <c r="E30" s="123"/>
      <c r="F30" s="118"/>
      <c r="G30" s="118"/>
      <c r="H30" s="118"/>
      <c r="I30" s="118"/>
      <c r="J30" s="118"/>
      <c r="K30" s="118"/>
      <c r="L30" s="118"/>
      <c r="M30" s="119"/>
      <c r="N30" s="118"/>
      <c r="O30" s="118"/>
      <c r="P30" s="118"/>
      <c r="Q30" s="118"/>
      <c r="R30" s="118"/>
      <c r="S30" s="118"/>
      <c r="T30" s="118"/>
      <c r="U30" s="118"/>
      <c r="V30" s="118"/>
    </row>
    <row r="31" spans="2:22" x14ac:dyDescent="0.2">
      <c r="B31" s="118"/>
      <c r="C31" s="118"/>
      <c r="D31" s="118"/>
      <c r="E31" s="123"/>
      <c r="F31" s="118"/>
      <c r="G31" s="118"/>
      <c r="H31" s="118"/>
      <c r="I31" s="118"/>
      <c r="J31" s="118"/>
      <c r="K31" s="118"/>
      <c r="L31" s="118"/>
      <c r="M31" s="119"/>
      <c r="N31" s="118"/>
      <c r="O31" s="118"/>
      <c r="P31" s="118"/>
      <c r="Q31" s="118"/>
      <c r="R31" s="118"/>
      <c r="S31" s="118"/>
      <c r="T31" s="118"/>
      <c r="U31" s="118"/>
      <c r="V31" s="118"/>
    </row>
    <row r="32" spans="2:22" x14ac:dyDescent="0.2">
      <c r="B32" s="118"/>
      <c r="C32" s="118"/>
      <c r="D32" s="118"/>
      <c r="E32" s="123"/>
      <c r="F32" s="118"/>
      <c r="G32" s="118"/>
      <c r="H32" s="118"/>
      <c r="I32" s="118"/>
      <c r="J32" s="118"/>
      <c r="K32" s="118"/>
      <c r="L32" s="118"/>
      <c r="M32" s="119"/>
      <c r="N32" s="118"/>
      <c r="O32" s="118"/>
      <c r="P32" s="118"/>
      <c r="Q32" s="118"/>
      <c r="R32" s="118"/>
      <c r="S32" s="118"/>
      <c r="T32" s="118"/>
      <c r="U32" s="118"/>
      <c r="V32" s="118"/>
    </row>
    <row r="33" spans="2:18" x14ac:dyDescent="0.2">
      <c r="B33" s="118"/>
      <c r="C33" s="118"/>
      <c r="D33" s="118"/>
      <c r="E33" s="123"/>
      <c r="F33" s="118"/>
      <c r="G33" s="118"/>
      <c r="H33" s="118"/>
      <c r="I33" s="118"/>
      <c r="J33" s="118"/>
      <c r="K33" s="118"/>
      <c r="L33" s="118"/>
      <c r="M33" s="119"/>
      <c r="N33" s="118"/>
      <c r="O33" s="118"/>
      <c r="Q33" s="118"/>
      <c r="R33" s="118"/>
    </row>
    <row r="34" spans="2:18" x14ac:dyDescent="0.2">
      <c r="B34" s="118"/>
      <c r="C34" s="118"/>
      <c r="D34" s="118"/>
      <c r="E34" s="123"/>
      <c r="F34" s="118"/>
      <c r="G34" s="118"/>
      <c r="H34" s="118"/>
      <c r="I34" s="118"/>
      <c r="J34" s="118"/>
      <c r="K34" s="119">
        <v>283</v>
      </c>
      <c r="L34" s="119">
        <v>444105.6</v>
      </c>
      <c r="M34" s="119">
        <v>5.0880999999999998</v>
      </c>
      <c r="N34" s="120">
        <f>SUM(N21:N29)</f>
        <v>693010.01882976643</v>
      </c>
      <c r="O34" s="118"/>
      <c r="P34" s="118"/>
      <c r="Q34" s="118"/>
      <c r="R34" s="118"/>
    </row>
    <row r="35" spans="2:18" x14ac:dyDescent="0.2">
      <c r="B35" s="118"/>
      <c r="C35" s="118"/>
      <c r="D35" s="118"/>
      <c r="E35" s="123"/>
      <c r="F35" s="118"/>
      <c r="G35" s="118"/>
      <c r="H35" s="118"/>
      <c r="I35" s="118"/>
      <c r="J35" s="118"/>
      <c r="K35" s="119">
        <v>276</v>
      </c>
      <c r="L35" s="119">
        <v>418871.03999999998</v>
      </c>
      <c r="M35" s="119">
        <v>4.9801000000000002</v>
      </c>
      <c r="P35" s="118"/>
      <c r="Q35" s="118"/>
      <c r="R35" s="118"/>
    </row>
    <row r="36" spans="2:18" x14ac:dyDescent="0.2">
      <c r="B36" s="118"/>
      <c r="C36" s="118"/>
      <c r="D36" s="118"/>
      <c r="E36" s="123"/>
      <c r="F36" s="118"/>
      <c r="G36" s="118"/>
      <c r="H36" s="118"/>
      <c r="I36" s="118"/>
      <c r="J36" s="118"/>
      <c r="K36" s="119">
        <v>275</v>
      </c>
      <c r="L36" s="119">
        <v>389977.69</v>
      </c>
      <c r="M36" s="119">
        <v>4.9801000000000002</v>
      </c>
      <c r="P36" s="118"/>
      <c r="Q36" s="118"/>
      <c r="R36" s="118"/>
    </row>
    <row r="37" spans="2:18" x14ac:dyDescent="0.2">
      <c r="B37" s="118"/>
      <c r="C37" s="118"/>
      <c r="D37" s="118"/>
      <c r="E37" s="123"/>
      <c r="F37" s="118"/>
      <c r="G37" s="118"/>
      <c r="H37" s="118"/>
      <c r="I37" s="118"/>
      <c r="J37" s="118"/>
      <c r="K37" s="119">
        <v>274</v>
      </c>
      <c r="L37" s="119">
        <v>389977.69</v>
      </c>
      <c r="M37" s="119">
        <v>4.9801000000000002</v>
      </c>
      <c r="P37" s="118"/>
      <c r="Q37" s="118"/>
      <c r="R37" s="118"/>
    </row>
    <row r="38" spans="2:18" x14ac:dyDescent="0.2">
      <c r="B38" s="118"/>
      <c r="C38" s="118"/>
      <c r="D38" s="118"/>
      <c r="E38" s="123"/>
      <c r="F38" s="118"/>
      <c r="G38" s="118"/>
      <c r="H38" s="118"/>
      <c r="I38" s="118"/>
      <c r="J38" s="118"/>
      <c r="K38" s="118"/>
      <c r="L38" s="118"/>
      <c r="P38" s="118"/>
      <c r="Q38" s="118"/>
      <c r="R38" s="118"/>
    </row>
    <row r="39" spans="2:18" x14ac:dyDescent="0.2">
      <c r="D39" s="100"/>
      <c r="E39" s="100"/>
      <c r="F39" s="100"/>
      <c r="G39" s="101"/>
      <c r="H39" s="99"/>
      <c r="I39" s="100"/>
      <c r="J39" s="100"/>
    </row>
    <row r="40" spans="2:18" x14ac:dyDescent="0.2">
      <c r="D40" s="100"/>
      <c r="E40" s="100"/>
      <c r="F40" s="100"/>
      <c r="G40" s="101"/>
      <c r="H40" s="99"/>
      <c r="I40" s="100"/>
      <c r="J40" s="100"/>
    </row>
    <row r="41" spans="2:18" x14ac:dyDescent="0.2">
      <c r="D41" s="100"/>
      <c r="E41" s="100"/>
      <c r="F41" s="100"/>
      <c r="G41" s="101"/>
      <c r="H41" s="99"/>
      <c r="I41" s="100"/>
      <c r="J41" s="100"/>
    </row>
    <row r="42" spans="2:18" x14ac:dyDescent="0.2">
      <c r="D42" s="100"/>
      <c r="E42" s="100"/>
      <c r="F42" s="100"/>
      <c r="G42" s="101"/>
      <c r="H42" s="99"/>
      <c r="I42" s="100"/>
      <c r="J42" s="100"/>
    </row>
    <row r="43" spans="2:18" x14ac:dyDescent="0.2">
      <c r="D43" s="100"/>
      <c r="E43" s="100"/>
      <c r="F43" s="100"/>
      <c r="G43" s="101"/>
      <c r="H43" s="99"/>
      <c r="I43" s="100"/>
      <c r="J43" s="100"/>
    </row>
    <row r="44" spans="2:18" x14ac:dyDescent="0.2">
      <c r="D44" s="100"/>
      <c r="E44" s="100"/>
      <c r="F44" s="100"/>
      <c r="G44" s="101"/>
      <c r="H44" s="99"/>
      <c r="I44" s="100"/>
      <c r="J44" s="100"/>
    </row>
  </sheetData>
  <pageMargins left="0.7" right="0.7" top="0.75" bottom="0.75" header="0.3" footer="0.3"/>
  <pageSetup paperSize="9" orientation="portrait" horizontalDpi="0" verticalDpi="0"/>
  <ignoredErrors>
    <ignoredError sqref="N22" formula="1"/>
  </ignoredError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3C004-C3D8-3E41-95C2-542A5BB65277}">
  <dimension ref="B2:P29"/>
  <sheetViews>
    <sheetView workbookViewId="0">
      <selection activeCell="L24" sqref="L24"/>
    </sheetView>
  </sheetViews>
  <sheetFormatPr baseColWidth="10" defaultRowHeight="16" x14ac:dyDescent="0.2"/>
  <cols>
    <col min="1" max="1" width="10.83203125" style="4"/>
    <col min="2" max="2" width="16" style="4" customWidth="1"/>
    <col min="3" max="13" width="14" style="4" customWidth="1"/>
    <col min="14" max="14" width="25.5" style="4" customWidth="1"/>
    <col min="15" max="16384" width="10.83203125" style="4"/>
  </cols>
  <sheetData>
    <row r="2" spans="2:16" x14ac:dyDescent="0.2">
      <c r="B2" s="130" t="s">
        <v>228</v>
      </c>
      <c r="C2" s="130">
        <v>10</v>
      </c>
      <c r="D2" s="131"/>
      <c r="E2" s="131"/>
      <c r="F2" s="131"/>
      <c r="G2" s="131"/>
      <c r="H2" s="131"/>
      <c r="I2" s="131"/>
      <c r="J2" s="131"/>
      <c r="K2" s="131"/>
      <c r="L2" s="131"/>
      <c r="M2" s="1"/>
    </row>
    <row r="3" spans="2:16" s="129" customFormat="1" ht="20" customHeight="1" x14ac:dyDescent="0.2">
      <c r="B3" s="132">
        <v>0.1</v>
      </c>
      <c r="C3" s="132" t="s">
        <v>229</v>
      </c>
      <c r="D3" s="132">
        <f>E3-$C$2</f>
        <v>340</v>
      </c>
      <c r="E3" s="132">
        <f>F3-$C$2</f>
        <v>350</v>
      </c>
      <c r="F3" s="132">
        <f>G3-$C$2</f>
        <v>360</v>
      </c>
      <c r="G3" s="132">
        <f>H3-$C$2</f>
        <v>370</v>
      </c>
      <c r="H3" s="132">
        <v>380</v>
      </c>
      <c r="I3" s="132">
        <f>H3+$C$2</f>
        <v>390</v>
      </c>
      <c r="J3" s="132">
        <f>I3+$C$2</f>
        <v>400</v>
      </c>
      <c r="K3" s="132">
        <f>J3+$C$2</f>
        <v>410</v>
      </c>
      <c r="L3" s="132">
        <f>K3+$C$2</f>
        <v>420</v>
      </c>
      <c r="M3" s="86"/>
    </row>
    <row r="4" spans="2:16" s="129" customFormat="1" ht="20" customHeight="1" x14ac:dyDescent="0.2">
      <c r="B4" s="133"/>
      <c r="C4" s="134">
        <f>C5-$B$3</f>
        <v>5.3000000000000016</v>
      </c>
      <c r="D4" s="135" t="e">
        <f t="shared" ref="D4:L14" si="0">($B$7-D$3)*$B$9*$C4*1.3228/1000000</f>
        <v>#REF!</v>
      </c>
      <c r="E4" s="135" t="e">
        <f t="shared" si="0"/>
        <v>#REF!</v>
      </c>
      <c r="F4" s="135" t="e">
        <f t="shared" si="0"/>
        <v>#REF!</v>
      </c>
      <c r="G4" s="135" t="e">
        <f t="shared" si="0"/>
        <v>#REF!</v>
      </c>
      <c r="H4" s="135" t="e">
        <f t="shared" si="0"/>
        <v>#REF!</v>
      </c>
      <c r="I4" s="135" t="e">
        <f t="shared" si="0"/>
        <v>#REF!</v>
      </c>
      <c r="J4" s="135" t="e">
        <f t="shared" si="0"/>
        <v>#REF!</v>
      </c>
      <c r="K4" s="135" t="e">
        <f t="shared" si="0"/>
        <v>#REF!</v>
      </c>
      <c r="L4" s="135" t="e">
        <f t="shared" si="0"/>
        <v>#REF!</v>
      </c>
      <c r="M4" s="150"/>
      <c r="N4" s="129" t="s">
        <v>251</v>
      </c>
      <c r="O4" s="129">
        <v>132</v>
      </c>
      <c r="P4" s="129" t="s">
        <v>248</v>
      </c>
    </row>
    <row r="5" spans="2:16" s="129" customFormat="1" ht="20" customHeight="1" x14ac:dyDescent="0.2">
      <c r="B5" s="133"/>
      <c r="C5" s="134">
        <f>C6-$B$3</f>
        <v>5.4000000000000012</v>
      </c>
      <c r="D5" s="135" t="e">
        <f t="shared" si="0"/>
        <v>#REF!</v>
      </c>
      <c r="E5" s="135" t="e">
        <f t="shared" si="0"/>
        <v>#REF!</v>
      </c>
      <c r="F5" s="135" t="e">
        <f t="shared" si="0"/>
        <v>#REF!</v>
      </c>
      <c r="G5" s="135" t="e">
        <f t="shared" si="0"/>
        <v>#REF!</v>
      </c>
      <c r="H5" s="135" t="e">
        <f t="shared" si="0"/>
        <v>#REF!</v>
      </c>
      <c r="I5" s="135" t="e">
        <f t="shared" si="0"/>
        <v>#REF!</v>
      </c>
      <c r="J5" s="135" t="e">
        <f t="shared" si="0"/>
        <v>#REF!</v>
      </c>
      <c r="K5" s="135" t="e">
        <f t="shared" si="0"/>
        <v>#REF!</v>
      </c>
      <c r="L5" s="135" t="e">
        <f t="shared" si="0"/>
        <v>#REF!</v>
      </c>
      <c r="M5" s="150"/>
      <c r="N5" s="148" t="s">
        <v>249</v>
      </c>
      <c r="O5" s="129">
        <v>300</v>
      </c>
      <c r="P5" s="129" t="s">
        <v>250</v>
      </c>
    </row>
    <row r="6" spans="2:16" s="129" customFormat="1" ht="20" customHeight="1" x14ac:dyDescent="0.2">
      <c r="B6" s="132" t="s">
        <v>231</v>
      </c>
      <c r="C6" s="134">
        <f>C7-$B$3</f>
        <v>5.5000000000000009</v>
      </c>
      <c r="D6" s="135" t="e">
        <f t="shared" si="0"/>
        <v>#REF!</v>
      </c>
      <c r="E6" s="135" t="e">
        <f t="shared" si="0"/>
        <v>#REF!</v>
      </c>
      <c r="F6" s="135" t="e">
        <f t="shared" si="0"/>
        <v>#REF!</v>
      </c>
      <c r="G6" s="135" t="e">
        <f t="shared" si="0"/>
        <v>#REF!</v>
      </c>
      <c r="H6" s="135" t="e">
        <f t="shared" si="0"/>
        <v>#REF!</v>
      </c>
      <c r="I6" s="135" t="e">
        <f t="shared" si="0"/>
        <v>#REF!</v>
      </c>
      <c r="J6" s="135" t="e">
        <f t="shared" si="0"/>
        <v>#REF!</v>
      </c>
      <c r="K6" s="135" t="e">
        <f t="shared" si="0"/>
        <v>#REF!</v>
      </c>
      <c r="L6" s="135" t="e">
        <f t="shared" si="0"/>
        <v>#REF!</v>
      </c>
      <c r="M6" s="150"/>
    </row>
    <row r="7" spans="2:16" s="129" customFormat="1" ht="20" customHeight="1" x14ac:dyDescent="0.2">
      <c r="B7" s="134" t="e">
        <f>(#REF!*#REF!+#REF!*#REF!+#REF!*#REF!)/SUM(#REF!)</f>
        <v>#REF!</v>
      </c>
      <c r="C7" s="134">
        <f>C8-$B$3</f>
        <v>5.6000000000000005</v>
      </c>
      <c r="D7" s="135" t="e">
        <f t="shared" si="0"/>
        <v>#REF!</v>
      </c>
      <c r="E7" s="135" t="e">
        <f t="shared" si="0"/>
        <v>#REF!</v>
      </c>
      <c r="F7" s="135" t="e">
        <f t="shared" si="0"/>
        <v>#REF!</v>
      </c>
      <c r="G7" s="135" t="e">
        <f t="shared" si="0"/>
        <v>#REF!</v>
      </c>
      <c r="H7" s="135" t="e">
        <f t="shared" si="0"/>
        <v>#REF!</v>
      </c>
      <c r="I7" s="135" t="e">
        <f t="shared" si="0"/>
        <v>#REF!</v>
      </c>
      <c r="J7" s="135" t="e">
        <f t="shared" si="0"/>
        <v>#REF!</v>
      </c>
      <c r="K7" s="135" t="e">
        <f t="shared" si="0"/>
        <v>#REF!</v>
      </c>
      <c r="L7" s="135" t="e">
        <f t="shared" si="0"/>
        <v>#REF!</v>
      </c>
      <c r="M7" s="150"/>
    </row>
    <row r="8" spans="2:16" s="129" customFormat="1" ht="20" customHeight="1" x14ac:dyDescent="0.2">
      <c r="B8" s="132" t="s">
        <v>233</v>
      </c>
      <c r="C8" s="134">
        <f>C9-$B$3</f>
        <v>5.7</v>
      </c>
      <c r="D8" s="135" t="e">
        <f t="shared" si="0"/>
        <v>#REF!</v>
      </c>
      <c r="E8" s="135" t="e">
        <f t="shared" si="0"/>
        <v>#REF!</v>
      </c>
      <c r="F8" s="135" t="e">
        <f t="shared" si="0"/>
        <v>#REF!</v>
      </c>
      <c r="G8" s="135" t="e">
        <f t="shared" si="0"/>
        <v>#REF!</v>
      </c>
      <c r="H8" s="135" t="e">
        <f t="shared" si="0"/>
        <v>#REF!</v>
      </c>
      <c r="I8" s="135" t="e">
        <f t="shared" si="0"/>
        <v>#REF!</v>
      </c>
      <c r="J8" s="135" t="e">
        <f t="shared" si="0"/>
        <v>#REF!</v>
      </c>
      <c r="K8" s="135" t="e">
        <f t="shared" si="0"/>
        <v>#REF!</v>
      </c>
      <c r="L8" s="135" t="e">
        <f t="shared" si="0"/>
        <v>#REF!</v>
      </c>
      <c r="M8" s="150"/>
    </row>
    <row r="9" spans="2:16" s="129" customFormat="1" ht="20" customHeight="1" x14ac:dyDescent="0.2">
      <c r="B9" s="136" t="e">
        <f>SUM(#REF!)</f>
        <v>#REF!</v>
      </c>
      <c r="C9" s="134">
        <v>5.8</v>
      </c>
      <c r="D9" s="135" t="e">
        <f t="shared" si="0"/>
        <v>#REF!</v>
      </c>
      <c r="E9" s="135" t="e">
        <f t="shared" si="0"/>
        <v>#REF!</v>
      </c>
      <c r="F9" s="135" t="e">
        <f t="shared" si="0"/>
        <v>#REF!</v>
      </c>
      <c r="G9" s="135" t="e">
        <f t="shared" si="0"/>
        <v>#REF!</v>
      </c>
      <c r="H9" s="137" t="e">
        <f t="shared" si="0"/>
        <v>#REF!</v>
      </c>
      <c r="I9" s="135" t="e">
        <f t="shared" si="0"/>
        <v>#REF!</v>
      </c>
      <c r="J9" s="135" t="e">
        <f t="shared" si="0"/>
        <v>#REF!</v>
      </c>
      <c r="K9" s="135" t="e">
        <f t="shared" si="0"/>
        <v>#REF!</v>
      </c>
      <c r="L9" s="135" t="e">
        <f t="shared" si="0"/>
        <v>#REF!</v>
      </c>
      <c r="M9" s="150"/>
    </row>
    <row r="10" spans="2:16" s="129" customFormat="1" ht="20" customHeight="1" x14ac:dyDescent="0.2">
      <c r="B10" s="133"/>
      <c r="C10" s="134">
        <f>C9+$B$3</f>
        <v>5.8999999999999995</v>
      </c>
      <c r="D10" s="135" t="e">
        <f t="shared" si="0"/>
        <v>#REF!</v>
      </c>
      <c r="E10" s="135" t="e">
        <f t="shared" si="0"/>
        <v>#REF!</v>
      </c>
      <c r="F10" s="135" t="e">
        <f t="shared" si="0"/>
        <v>#REF!</v>
      </c>
      <c r="G10" s="135" t="e">
        <f t="shared" si="0"/>
        <v>#REF!</v>
      </c>
      <c r="H10" s="135" t="e">
        <f t="shared" si="0"/>
        <v>#REF!</v>
      </c>
      <c r="I10" s="135" t="e">
        <f t="shared" si="0"/>
        <v>#REF!</v>
      </c>
      <c r="J10" s="135" t="e">
        <f t="shared" si="0"/>
        <v>#REF!</v>
      </c>
      <c r="K10" s="135" t="e">
        <f t="shared" si="0"/>
        <v>#REF!</v>
      </c>
      <c r="L10" s="135" t="e">
        <f t="shared" si="0"/>
        <v>#REF!</v>
      </c>
      <c r="M10" s="150"/>
    </row>
    <row r="11" spans="2:16" s="129" customFormat="1" ht="20" customHeight="1" x14ac:dyDescent="0.2">
      <c r="B11" s="133"/>
      <c r="C11" s="134">
        <f>C10+$B$3</f>
        <v>5.9999999999999991</v>
      </c>
      <c r="D11" s="135" t="e">
        <f t="shared" si="0"/>
        <v>#REF!</v>
      </c>
      <c r="E11" s="135" t="e">
        <f t="shared" si="0"/>
        <v>#REF!</v>
      </c>
      <c r="F11" s="135" t="e">
        <f t="shared" si="0"/>
        <v>#REF!</v>
      </c>
      <c r="G11" s="135" t="e">
        <f t="shared" si="0"/>
        <v>#REF!</v>
      </c>
      <c r="H11" s="135" t="e">
        <f>($B$7-H$3)*$B$9*$C11*1.3228/1000000</f>
        <v>#REF!</v>
      </c>
      <c r="I11" s="135" t="e">
        <f t="shared" si="0"/>
        <v>#REF!</v>
      </c>
      <c r="J11" s="135" t="e">
        <f t="shared" si="0"/>
        <v>#REF!</v>
      </c>
      <c r="K11" s="135" t="e">
        <f t="shared" si="0"/>
        <v>#REF!</v>
      </c>
      <c r="L11" s="135" t="e">
        <f t="shared" si="0"/>
        <v>#REF!</v>
      </c>
      <c r="M11" s="150"/>
    </row>
    <row r="12" spans="2:16" s="129" customFormat="1" ht="20" customHeight="1" x14ac:dyDescent="0.2">
      <c r="B12" s="133"/>
      <c r="C12" s="134">
        <f>C11+$B$3</f>
        <v>6.0999999999999988</v>
      </c>
      <c r="D12" s="135" t="e">
        <f t="shared" si="0"/>
        <v>#REF!</v>
      </c>
      <c r="E12" s="135" t="e">
        <f t="shared" si="0"/>
        <v>#REF!</v>
      </c>
      <c r="F12" s="135" t="e">
        <f t="shared" si="0"/>
        <v>#REF!</v>
      </c>
      <c r="G12" s="135" t="e">
        <f t="shared" si="0"/>
        <v>#REF!</v>
      </c>
      <c r="H12" s="135" t="e">
        <f t="shared" si="0"/>
        <v>#REF!</v>
      </c>
      <c r="I12" s="135" t="e">
        <f t="shared" si="0"/>
        <v>#REF!</v>
      </c>
      <c r="J12" s="135" t="e">
        <f t="shared" si="0"/>
        <v>#REF!</v>
      </c>
      <c r="K12" s="135" t="e">
        <f t="shared" si="0"/>
        <v>#REF!</v>
      </c>
      <c r="L12" s="135" t="e">
        <f t="shared" si="0"/>
        <v>#REF!</v>
      </c>
      <c r="M12" s="150"/>
    </row>
    <row r="13" spans="2:16" s="129" customFormat="1" ht="20" customHeight="1" x14ac:dyDescent="0.2">
      <c r="B13" s="133"/>
      <c r="C13" s="134">
        <f>C12+$B$3</f>
        <v>6.1999999999999984</v>
      </c>
      <c r="D13" s="135" t="e">
        <f t="shared" si="0"/>
        <v>#REF!</v>
      </c>
      <c r="E13" s="135" t="e">
        <f t="shared" si="0"/>
        <v>#REF!</v>
      </c>
      <c r="F13" s="135" t="e">
        <f t="shared" si="0"/>
        <v>#REF!</v>
      </c>
      <c r="G13" s="135" t="e">
        <f t="shared" si="0"/>
        <v>#REF!</v>
      </c>
      <c r="H13" s="135" t="e">
        <f t="shared" si="0"/>
        <v>#REF!</v>
      </c>
      <c r="I13" s="135" t="e">
        <f t="shared" si="0"/>
        <v>#REF!</v>
      </c>
      <c r="J13" s="135" t="e">
        <f t="shared" si="0"/>
        <v>#REF!</v>
      </c>
      <c r="K13" s="135" t="e">
        <f t="shared" si="0"/>
        <v>#REF!</v>
      </c>
      <c r="L13" s="135" t="e">
        <f t="shared" si="0"/>
        <v>#REF!</v>
      </c>
      <c r="M13" s="150"/>
    </row>
    <row r="14" spans="2:16" s="129" customFormat="1" ht="20" customHeight="1" x14ac:dyDescent="0.2">
      <c r="B14" s="133"/>
      <c r="C14" s="134">
        <f>C13+$B$3</f>
        <v>6.299999999999998</v>
      </c>
      <c r="D14" s="135" t="e">
        <f t="shared" si="0"/>
        <v>#REF!</v>
      </c>
      <c r="E14" s="135" t="e">
        <f t="shared" si="0"/>
        <v>#REF!</v>
      </c>
      <c r="F14" s="135" t="e">
        <f t="shared" si="0"/>
        <v>#REF!</v>
      </c>
      <c r="G14" s="135" t="e">
        <f t="shared" si="0"/>
        <v>#REF!</v>
      </c>
      <c r="H14" s="135" t="e">
        <f t="shared" si="0"/>
        <v>#REF!</v>
      </c>
      <c r="I14" s="135" t="e">
        <f t="shared" si="0"/>
        <v>#REF!</v>
      </c>
      <c r="J14" s="135" t="e">
        <f t="shared" si="0"/>
        <v>#REF!</v>
      </c>
      <c r="K14" s="135" t="e">
        <f t="shared" si="0"/>
        <v>#REF!</v>
      </c>
      <c r="L14" s="135" t="e">
        <f t="shared" si="0"/>
        <v>#REF!</v>
      </c>
      <c r="M14" s="150"/>
    </row>
    <row r="15" spans="2:16" x14ac:dyDescent="0.2">
      <c r="B15" s="1"/>
      <c r="C15" s="1"/>
      <c r="D15" s="149"/>
      <c r="E15" s="149"/>
      <c r="F15" s="149"/>
      <c r="G15" s="149"/>
      <c r="H15" s="149"/>
      <c r="I15" s="149"/>
      <c r="J15" s="149"/>
      <c r="K15" s="149"/>
      <c r="L15" s="149"/>
      <c r="M15" s="1"/>
    </row>
    <row r="16" spans="2:16" x14ac:dyDescent="0.2">
      <c r="B16" s="1" t="s">
        <v>232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2">
      <c r="B17" s="1" t="s">
        <v>234</v>
      </c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2">
      <c r="B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2">
      <c r="B19" s="1"/>
      <c r="E19" s="1"/>
      <c r="F19" s="1"/>
      <c r="G19" s="139" t="s">
        <v>235</v>
      </c>
      <c r="H19" s="139"/>
      <c r="I19" s="139" t="s">
        <v>236</v>
      </c>
      <c r="J19" s="138"/>
      <c r="K19" s="139" t="s">
        <v>237</v>
      </c>
      <c r="L19" s="139"/>
      <c r="M19" s="1"/>
    </row>
    <row r="20" spans="2:13" x14ac:dyDescent="0.2">
      <c r="B20" s="1"/>
      <c r="D20" s="4" t="s">
        <v>238</v>
      </c>
      <c r="E20" s="9">
        <v>13000</v>
      </c>
      <c r="F20" s="4" t="s">
        <v>239</v>
      </c>
      <c r="G20" s="1" t="s">
        <v>240</v>
      </c>
      <c r="H20" s="9"/>
      <c r="I20" s="1" t="s">
        <v>240</v>
      </c>
      <c r="J20" s="9"/>
      <c r="K20" s="1" t="s">
        <v>240</v>
      </c>
      <c r="L20" s="9"/>
      <c r="M20" s="1"/>
    </row>
    <row r="21" spans="2:13" x14ac:dyDescent="0.2">
      <c r="B21" s="1"/>
      <c r="D21" s="4" t="s">
        <v>241</v>
      </c>
      <c r="E21" s="141" t="e">
        <f>B9</f>
        <v>#REF!</v>
      </c>
      <c r="F21" s="4" t="s">
        <v>239</v>
      </c>
      <c r="G21" s="51" t="s">
        <v>242</v>
      </c>
      <c r="H21" s="130">
        <v>2000</v>
      </c>
      <c r="I21" s="51" t="s">
        <v>242</v>
      </c>
      <c r="J21" s="130">
        <v>2300</v>
      </c>
      <c r="K21" s="51" t="s">
        <v>242</v>
      </c>
      <c r="L21" s="130">
        <v>2500</v>
      </c>
      <c r="M21" s="1"/>
    </row>
    <row r="22" spans="2:13" x14ac:dyDescent="0.2">
      <c r="B22" s="1"/>
      <c r="C22" s="1"/>
      <c r="D22" s="4" t="s">
        <v>243</v>
      </c>
      <c r="E22" s="141" t="e">
        <f>E20-E21</f>
        <v>#REF!</v>
      </c>
      <c r="F22" s="4" t="s">
        <v>239</v>
      </c>
      <c r="G22" s="142"/>
      <c r="H22" s="143"/>
      <c r="M22" s="1"/>
    </row>
    <row r="23" spans="2:13" x14ac:dyDescent="0.2">
      <c r="G23" s="4" t="s">
        <v>244</v>
      </c>
      <c r="H23" s="144" t="e">
        <f>(($E$21*$E$24*1.3228*$E$25)+($E$22*H$21))/1000000</f>
        <v>#REF!</v>
      </c>
      <c r="I23" s="4" t="s">
        <v>244</v>
      </c>
      <c r="J23" s="144" t="e">
        <f>(($E$21*$E$24*1.3228*$E$25)+($E$22*J$21))/1000000</f>
        <v>#REF!</v>
      </c>
      <c r="K23" s="4" t="s">
        <v>244</v>
      </c>
      <c r="L23" s="144" t="e">
        <f>(($E$21*$E$24*1.3228*$E$25)+($E$22*L$21))/1000000</f>
        <v>#REF!</v>
      </c>
    </row>
    <row r="24" spans="2:13" x14ac:dyDescent="0.2">
      <c r="D24" s="4" t="s">
        <v>245</v>
      </c>
      <c r="E24" s="9">
        <f>H3</f>
        <v>380</v>
      </c>
      <c r="G24" s="145" t="s">
        <v>246</v>
      </c>
      <c r="H24" s="146" t="e">
        <f>($B$7-E$24)*$B$9*$E$25*1.3228/1000000</f>
        <v>#REF!</v>
      </c>
      <c r="I24" s="145" t="s">
        <v>246</v>
      </c>
      <c r="J24" s="146" t="e">
        <f>($B$7-E$24)*$B$9*$E$25*1.3228/1000000</f>
        <v>#REF!</v>
      </c>
      <c r="K24" s="145" t="s">
        <v>246</v>
      </c>
      <c r="L24" s="146" t="e">
        <f>($B$7-E$24)*$B$9*$E$25*1.3228/1000000</f>
        <v>#REF!</v>
      </c>
    </row>
    <row r="25" spans="2:13" x14ac:dyDescent="0.2">
      <c r="D25" s="4" t="s">
        <v>230</v>
      </c>
      <c r="E25" s="147">
        <f>C9</f>
        <v>5.8</v>
      </c>
      <c r="F25" s="138"/>
      <c r="G25" s="4" t="s">
        <v>247</v>
      </c>
      <c r="H25" s="146" t="e">
        <f>H23+H24</f>
        <v>#REF!</v>
      </c>
      <c r="I25" s="4" t="s">
        <v>247</v>
      </c>
      <c r="J25" s="146" t="e">
        <f>J23+J24</f>
        <v>#REF!</v>
      </c>
      <c r="K25" s="4" t="s">
        <v>247</v>
      </c>
      <c r="L25" s="146" t="e">
        <f>L23+L24</f>
        <v>#REF!</v>
      </c>
    </row>
    <row r="26" spans="2:13" x14ac:dyDescent="0.2">
      <c r="D26" s="138"/>
      <c r="E26" s="138"/>
      <c r="F26" s="138"/>
      <c r="G26" s="138"/>
    </row>
    <row r="27" spans="2:13" x14ac:dyDescent="0.2">
      <c r="D27" s="138"/>
      <c r="E27" s="138"/>
      <c r="F27" s="138"/>
      <c r="G27" s="138"/>
    </row>
    <row r="28" spans="2:13" x14ac:dyDescent="0.2">
      <c r="D28" s="139"/>
      <c r="E28" s="138"/>
      <c r="F28" s="138"/>
      <c r="G28" s="138"/>
    </row>
    <row r="29" spans="2:13" x14ac:dyDescent="0.2">
      <c r="D29" s="138"/>
      <c r="E29" s="140"/>
      <c r="F29" s="140"/>
      <c r="G29" s="140"/>
    </row>
  </sheetData>
  <conditionalFormatting sqref="D4:L14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A3F8-D334-EE4C-BD1E-4C0C06D34B86}">
  <sheetPr codeName="Sheet7"/>
  <dimension ref="B3:O50"/>
  <sheetViews>
    <sheetView zoomScaleNormal="100" workbookViewId="0">
      <selection activeCell="B3" sqref="B3:B4"/>
    </sheetView>
  </sheetViews>
  <sheetFormatPr baseColWidth="10" defaultRowHeight="16" x14ac:dyDescent="0.2"/>
  <cols>
    <col min="2" max="2" width="12.1640625" bestFit="1" customWidth="1"/>
    <col min="3" max="3" width="16.6640625" customWidth="1"/>
    <col min="4" max="4" width="6" customWidth="1"/>
    <col min="5" max="5" width="21" bestFit="1" customWidth="1"/>
    <col min="7" max="7" width="31.1640625" bestFit="1" customWidth="1"/>
    <col min="8" max="8" width="22.83203125" bestFit="1" customWidth="1"/>
    <col min="9" max="9" width="31.1640625" bestFit="1" customWidth="1"/>
    <col min="10" max="10" width="20.6640625" bestFit="1" customWidth="1"/>
    <col min="11" max="11" width="21" bestFit="1" customWidth="1"/>
    <col min="12" max="12" width="13.33203125" customWidth="1"/>
    <col min="13" max="13" width="14.1640625" customWidth="1"/>
    <col min="14" max="14" width="13.1640625" customWidth="1"/>
    <col min="15" max="15" width="12.6640625" bestFit="1" customWidth="1"/>
  </cols>
  <sheetData>
    <row r="3" spans="2:13" x14ac:dyDescent="0.2">
      <c r="B3" s="50" t="s">
        <v>83</v>
      </c>
    </row>
    <row r="4" spans="2:13" x14ac:dyDescent="0.2">
      <c r="B4" s="49">
        <v>45635</v>
      </c>
    </row>
    <row r="8" spans="2:13" ht="17" thickBot="1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2:13" x14ac:dyDescent="0.2">
      <c r="B9" s="213"/>
      <c r="C9" s="214"/>
      <c r="D9" s="6"/>
      <c r="E9" s="6" t="s">
        <v>48</v>
      </c>
      <c r="F9" s="6" t="s">
        <v>49</v>
      </c>
      <c r="G9" s="6" t="s">
        <v>50</v>
      </c>
      <c r="H9" s="6" t="s">
        <v>51</v>
      </c>
      <c r="I9" s="6" t="s">
        <v>52</v>
      </c>
      <c r="J9" s="6" t="s">
        <v>53</v>
      </c>
      <c r="K9" s="6" t="s">
        <v>54</v>
      </c>
      <c r="L9" s="6" t="s">
        <v>55</v>
      </c>
      <c r="M9" s="7" t="s">
        <v>56</v>
      </c>
    </row>
    <row r="10" spans="2:13" x14ac:dyDescent="0.2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10"/>
    </row>
    <row r="11" spans="2:13" x14ac:dyDescent="0.2">
      <c r="B11" s="8"/>
      <c r="C11" s="9" t="s">
        <v>57</v>
      </c>
      <c r="D11" s="9"/>
      <c r="E11" s="11" t="s">
        <v>58</v>
      </c>
      <c r="F11" s="9"/>
      <c r="G11" s="12" t="s">
        <v>59</v>
      </c>
      <c r="H11" s="9"/>
      <c r="I11" s="13" t="s">
        <v>60</v>
      </c>
      <c r="J11" s="14" t="s">
        <v>61</v>
      </c>
      <c r="K11" s="15" t="s">
        <v>62</v>
      </c>
      <c r="L11" s="9"/>
      <c r="M11" s="10"/>
    </row>
    <row r="12" spans="2:13" x14ac:dyDescent="0.2">
      <c r="B12" s="8"/>
      <c r="C12" s="9"/>
      <c r="D12" s="9"/>
      <c r="E12" s="9"/>
      <c r="F12" s="9"/>
      <c r="G12" s="12" t="s">
        <v>63</v>
      </c>
      <c r="H12" s="9"/>
      <c r="I12" s="16" t="s">
        <v>59</v>
      </c>
      <c r="J12" s="9"/>
      <c r="K12" s="9"/>
      <c r="L12" s="9"/>
      <c r="M12" s="10"/>
    </row>
    <row r="13" spans="2:13" x14ac:dyDescent="0.2">
      <c r="B13" s="8" t="s">
        <v>64</v>
      </c>
      <c r="C13" s="9"/>
      <c r="D13" s="9"/>
      <c r="E13" s="9"/>
      <c r="F13" s="9"/>
      <c r="G13" s="9"/>
      <c r="H13" s="17" t="s">
        <v>62</v>
      </c>
      <c r="I13" s="16" t="s">
        <v>63</v>
      </c>
      <c r="J13" s="9"/>
      <c r="K13" s="9"/>
      <c r="L13" s="9"/>
      <c r="M13" s="10"/>
    </row>
    <row r="14" spans="2:13" x14ac:dyDescent="0.2">
      <c r="B14" s="8"/>
      <c r="C14" s="9"/>
      <c r="D14" s="9"/>
      <c r="E14" s="9"/>
      <c r="F14" s="9"/>
      <c r="G14" s="9"/>
      <c r="H14" s="17" t="s">
        <v>65</v>
      </c>
      <c r="I14" s="9"/>
      <c r="J14" s="9"/>
      <c r="K14" s="9"/>
      <c r="L14" s="9"/>
      <c r="M14" s="10"/>
    </row>
    <row r="15" spans="2:13" x14ac:dyDescent="0.2">
      <c r="B15" s="8"/>
      <c r="C15" s="9"/>
      <c r="D15" s="9"/>
      <c r="E15" s="9"/>
      <c r="F15" s="9"/>
      <c r="G15" s="9"/>
      <c r="H15" s="17" t="s">
        <v>66</v>
      </c>
      <c r="I15" s="9"/>
      <c r="J15" s="9"/>
      <c r="K15" s="9"/>
      <c r="L15" s="9"/>
      <c r="M15" s="10"/>
    </row>
    <row r="16" spans="2:13" x14ac:dyDescent="0.2"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2:15" x14ac:dyDescent="0.2">
      <c r="B17" s="8"/>
      <c r="C17" s="9" t="s">
        <v>67</v>
      </c>
      <c r="D17" s="9"/>
      <c r="E17" s="9"/>
      <c r="F17" s="9"/>
      <c r="G17" s="18">
        <v>331504.26</v>
      </c>
      <c r="H17" s="9"/>
      <c r="I17" s="19">
        <v>49771.14</v>
      </c>
      <c r="J17" s="19">
        <v>56755.53</v>
      </c>
      <c r="K17" s="20">
        <v>212418.4</v>
      </c>
      <c r="L17" s="21">
        <v>88964.12</v>
      </c>
      <c r="M17" s="22">
        <v>105049.37</v>
      </c>
      <c r="O17" s="23"/>
    </row>
    <row r="18" spans="2:15" x14ac:dyDescent="0.2">
      <c r="B18" s="8"/>
      <c r="C18" s="9"/>
      <c r="D18" s="9"/>
      <c r="E18" s="9"/>
      <c r="F18" s="9"/>
      <c r="G18" s="23"/>
      <c r="H18" s="9"/>
      <c r="I18" s="24"/>
      <c r="J18" s="25">
        <v>106209.2</v>
      </c>
      <c r="K18" s="26">
        <v>58478.34</v>
      </c>
      <c r="L18" s="26">
        <v>65462.73</v>
      </c>
      <c r="M18" s="10"/>
    </row>
    <row r="19" spans="2:15" x14ac:dyDescent="0.2">
      <c r="B19" s="8"/>
      <c r="C19" s="9"/>
      <c r="D19" s="9"/>
      <c r="E19" s="9"/>
      <c r="F19" s="9"/>
      <c r="G19" s="23"/>
      <c r="H19" s="9"/>
      <c r="I19" s="24"/>
      <c r="J19" s="24"/>
      <c r="K19" s="25">
        <v>123141.04</v>
      </c>
      <c r="L19" s="24"/>
      <c r="M19" s="10"/>
    </row>
    <row r="20" spans="2:15" ht="17" thickBot="1" x14ac:dyDescent="0.25">
      <c r="B20" s="27"/>
      <c r="C20" s="28"/>
      <c r="D20" s="28"/>
      <c r="E20" s="28"/>
      <c r="F20" s="28"/>
      <c r="G20" s="28"/>
      <c r="H20" s="28"/>
      <c r="I20" s="28"/>
      <c r="J20" s="29"/>
      <c r="K20" s="30">
        <v>98589.87</v>
      </c>
      <c r="L20" s="28"/>
      <c r="M20" s="31"/>
    </row>
    <row r="21" spans="2:15" x14ac:dyDescent="0.2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</row>
    <row r="22" spans="2:15" x14ac:dyDescent="0.2">
      <c r="B22" s="8"/>
      <c r="C22" s="9" t="s">
        <v>57</v>
      </c>
      <c r="D22" s="9"/>
      <c r="E22" s="9"/>
      <c r="F22" s="9"/>
      <c r="G22" s="9"/>
      <c r="H22" s="32" t="s">
        <v>68</v>
      </c>
      <c r="I22" s="9"/>
      <c r="J22" s="9"/>
      <c r="K22" s="9"/>
      <c r="L22" s="9"/>
      <c r="M22" s="10"/>
    </row>
    <row r="23" spans="2:15" x14ac:dyDescent="0.2">
      <c r="B23" s="8" t="s">
        <v>69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  <row r="24" spans="2:15" x14ac:dyDescent="0.2">
      <c r="B24" s="8"/>
      <c r="C24" s="9" t="s">
        <v>67</v>
      </c>
      <c r="D24" s="9"/>
      <c r="E24" s="9"/>
      <c r="F24" s="9"/>
      <c r="G24" s="24"/>
      <c r="H24" s="33">
        <v>113511.06</v>
      </c>
      <c r="I24" s="9"/>
      <c r="J24" s="9"/>
      <c r="K24" s="9"/>
      <c r="L24" s="9"/>
      <c r="M24" s="10"/>
    </row>
    <row r="25" spans="2:15" ht="17" thickBot="1" x14ac:dyDescent="0.25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31"/>
    </row>
    <row r="26" spans="2:15" x14ac:dyDescent="0.2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</row>
    <row r="27" spans="2:15" x14ac:dyDescent="0.2">
      <c r="B27" s="8"/>
      <c r="C27" s="9" t="s">
        <v>57</v>
      </c>
      <c r="D27" s="9"/>
      <c r="E27" s="9"/>
      <c r="F27" s="9"/>
      <c r="G27" s="9" t="s">
        <v>70</v>
      </c>
      <c r="H27" s="9"/>
      <c r="I27" s="9" t="s">
        <v>70</v>
      </c>
      <c r="J27" s="9"/>
      <c r="K27" s="9"/>
      <c r="L27" s="9"/>
      <c r="M27" s="10"/>
    </row>
    <row r="28" spans="2:15" x14ac:dyDescent="0.2">
      <c r="B28" s="8" t="s">
        <v>71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</row>
    <row r="29" spans="2:15" x14ac:dyDescent="0.2">
      <c r="B29" s="8"/>
      <c r="C29" s="9" t="s">
        <v>67</v>
      </c>
      <c r="D29" s="9"/>
      <c r="E29" s="9"/>
      <c r="F29" s="9"/>
      <c r="G29" s="9"/>
      <c r="H29" s="34">
        <v>26000</v>
      </c>
      <c r="I29" s="34">
        <v>26000</v>
      </c>
      <c r="J29" s="34">
        <v>26000</v>
      </c>
      <c r="K29" s="34">
        <v>26000</v>
      </c>
      <c r="L29" s="9"/>
      <c r="M29" s="10"/>
    </row>
    <row r="30" spans="2:15" ht="17" thickBot="1" x14ac:dyDescent="0.25">
      <c r="B30" s="27"/>
      <c r="C30" s="28"/>
      <c r="D30" s="28"/>
      <c r="E30" s="28"/>
      <c r="F30" s="28"/>
      <c r="G30" s="28"/>
      <c r="H30" s="28"/>
      <c r="I30" s="28"/>
      <c r="J30" s="35">
        <v>26000</v>
      </c>
      <c r="K30" s="35">
        <v>26000</v>
      </c>
      <c r="L30" s="35">
        <v>26000</v>
      </c>
      <c r="M30" s="36">
        <v>26000</v>
      </c>
    </row>
    <row r="31" spans="2:15" x14ac:dyDescent="0.2"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</row>
    <row r="32" spans="2:15" x14ac:dyDescent="0.2">
      <c r="B32" s="8"/>
      <c r="C32" s="9" t="s">
        <v>57</v>
      </c>
      <c r="D32" s="9"/>
      <c r="E32" s="9"/>
      <c r="F32" s="9"/>
      <c r="G32" s="9"/>
      <c r="H32" s="9"/>
      <c r="I32" s="9"/>
      <c r="J32" s="9"/>
      <c r="K32" s="9"/>
      <c r="L32" s="9"/>
      <c r="M32" s="10"/>
    </row>
    <row r="33" spans="2:15" x14ac:dyDescent="0.2">
      <c r="B33" s="8" t="s">
        <v>72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</row>
    <row r="34" spans="2:15" x14ac:dyDescent="0.2">
      <c r="B34" s="8"/>
      <c r="C34" s="9" t="s">
        <v>67</v>
      </c>
      <c r="D34" s="9"/>
      <c r="E34" s="9"/>
      <c r="F34" s="9"/>
      <c r="G34" s="9"/>
      <c r="H34" s="9"/>
      <c r="I34" s="9"/>
      <c r="J34" s="24"/>
      <c r="K34" s="9"/>
      <c r="L34" s="9"/>
      <c r="M34" s="10"/>
      <c r="O34" s="23"/>
    </row>
    <row r="35" spans="2:15" ht="17" thickBot="1" x14ac:dyDescent="0.25"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31"/>
    </row>
    <row r="36" spans="2:15" x14ac:dyDescent="0.2">
      <c r="B36" s="5"/>
      <c r="C36" s="9"/>
      <c r="D36" s="6"/>
      <c r="E36" s="6"/>
      <c r="F36" s="6"/>
      <c r="G36" s="6"/>
      <c r="H36" s="6"/>
      <c r="I36" s="6"/>
      <c r="J36" s="6"/>
      <c r="K36" s="6"/>
      <c r="L36" s="6"/>
      <c r="M36" s="7"/>
    </row>
    <row r="37" spans="2:15" x14ac:dyDescent="0.2">
      <c r="B37" s="8"/>
      <c r="C37" s="9" t="s">
        <v>57</v>
      </c>
      <c r="D37" s="9"/>
      <c r="E37" s="9"/>
      <c r="F37" s="9"/>
      <c r="G37" s="9"/>
      <c r="H37" s="9"/>
      <c r="I37" s="9"/>
      <c r="J37" s="9"/>
      <c r="K37" s="9"/>
      <c r="L37" s="9"/>
      <c r="M37" s="10"/>
    </row>
    <row r="38" spans="2:15" x14ac:dyDescent="0.2">
      <c r="B38" s="8" t="s">
        <v>73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10"/>
    </row>
    <row r="39" spans="2:15" x14ac:dyDescent="0.2">
      <c r="B39" s="8"/>
      <c r="C39" s="9" t="s">
        <v>67</v>
      </c>
      <c r="D39" s="9"/>
      <c r="E39" s="9"/>
      <c r="F39" s="9"/>
      <c r="G39" s="9"/>
      <c r="H39" s="24"/>
      <c r="I39" s="9"/>
      <c r="J39" s="9"/>
      <c r="K39" s="9"/>
      <c r="L39" s="9"/>
      <c r="M39" s="10"/>
    </row>
    <row r="40" spans="2:15" ht="17" thickBot="1" x14ac:dyDescent="0.25"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31"/>
    </row>
    <row r="41" spans="2:15" x14ac:dyDescent="0.2">
      <c r="N41" s="37"/>
      <c r="O41" s="37"/>
    </row>
    <row r="42" spans="2:15" x14ac:dyDescent="0.2">
      <c r="G42" s="38">
        <f>SUM(G17)</f>
        <v>331504.26</v>
      </c>
      <c r="H42" s="38">
        <f>SUM(H24+H29+H39)</f>
        <v>139511.06</v>
      </c>
      <c r="I42" s="38">
        <f>SUM(I17+I18+I29)</f>
        <v>75771.14</v>
      </c>
      <c r="J42" s="38">
        <f>SUM(J17+J18+J20+J29+J30+J34)</f>
        <v>214964.72999999998</v>
      </c>
      <c r="K42" s="38">
        <f>SUM(K17+K18+K29+K30)</f>
        <v>322896.74</v>
      </c>
      <c r="L42" s="38">
        <f>SUM(L17+L18+L30)</f>
        <v>180426.85</v>
      </c>
      <c r="M42" s="38">
        <f>SUM(M17+M30)</f>
        <v>131049.37</v>
      </c>
      <c r="N42" s="39"/>
      <c r="O42" s="40"/>
    </row>
    <row r="43" spans="2:15" x14ac:dyDescent="0.2">
      <c r="B43" s="41"/>
      <c r="C43" s="215" t="s">
        <v>74</v>
      </c>
      <c r="D43" s="215"/>
    </row>
    <row r="44" spans="2:15" x14ac:dyDescent="0.2">
      <c r="B44" s="42"/>
      <c r="C44" t="s">
        <v>75</v>
      </c>
    </row>
    <row r="45" spans="2:15" x14ac:dyDescent="0.2">
      <c r="B45" s="43"/>
      <c r="C45" s="215" t="s">
        <v>76</v>
      </c>
      <c r="D45" s="215"/>
    </row>
    <row r="46" spans="2:15" x14ac:dyDescent="0.2">
      <c r="B46" s="44"/>
      <c r="C46" t="s">
        <v>77</v>
      </c>
      <c r="I46" s="37" t="s">
        <v>78</v>
      </c>
      <c r="J46" s="37" t="s">
        <v>79</v>
      </c>
    </row>
    <row r="47" spans="2:15" x14ac:dyDescent="0.2">
      <c r="B47" s="45"/>
      <c r="C47" t="s">
        <v>80</v>
      </c>
      <c r="I47" s="39">
        <f>SUM(G42:M42)</f>
        <v>1396124.15</v>
      </c>
      <c r="J47" s="39">
        <f>SUM(I47*5.77)</f>
        <v>8055636.3454999989</v>
      </c>
    </row>
    <row r="48" spans="2:15" x14ac:dyDescent="0.2">
      <c r="B48" s="46"/>
      <c r="C48" t="s">
        <v>80</v>
      </c>
    </row>
    <row r="49" spans="2:3" x14ac:dyDescent="0.2">
      <c r="B49" s="47"/>
      <c r="C49" t="s">
        <v>81</v>
      </c>
    </row>
    <row r="50" spans="2:3" x14ac:dyDescent="0.2">
      <c r="B50" s="48"/>
      <c r="C50" t="s">
        <v>82</v>
      </c>
    </row>
  </sheetData>
  <mergeCells count="3">
    <mergeCell ref="B9:C9"/>
    <mergeCell ref="C43:D43"/>
    <mergeCell ref="C45:D45"/>
  </mergeCells>
  <pageMargins left="0.511811024" right="0.511811024" top="0.78740157499999996" bottom="0.78740157499999996" header="0.31496062000000002" footer="0.31496062000000002"/>
  <pageSetup paperSize="9" scale="55" fitToHeight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Sheet2 (2)</vt:lpstr>
      <vt:lpstr>Sheet2</vt:lpstr>
      <vt:lpstr>futuros</vt:lpstr>
      <vt:lpstr>medias_historicas</vt:lpstr>
      <vt:lpstr>medias_diarias</vt:lpstr>
      <vt:lpstr>VENDA CAFÉ 220125</vt:lpstr>
      <vt:lpstr>DU-E</vt:lpstr>
      <vt:lpstr>hedgedez25</vt:lpstr>
      <vt:lpstr>CashFlow_Edson_Luiz</vt:lpstr>
      <vt:lpstr>'VENDA CAFÉ 220125'!Print_Area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Castro</dc:creator>
  <cp:lastModifiedBy>Rodolfo Castro</cp:lastModifiedBy>
  <cp:lastPrinted>2025-06-04T11:40:30Z</cp:lastPrinted>
  <dcterms:created xsi:type="dcterms:W3CDTF">2024-11-20T00:40:58Z</dcterms:created>
  <dcterms:modified xsi:type="dcterms:W3CDTF">2025-06-30T12:17:45Z</dcterms:modified>
</cp:coreProperties>
</file>