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E5A28441-E9FC-8C46-BCDE-AB3C8E94F2DE}" xr6:coauthVersionLast="47" xr6:coauthVersionMax="47" xr10:uidLastSave="{00000000-0000-0000-0000-000000000000}"/>
  <bookViews>
    <workbookView xWindow="2680" yWindow="900" windowWidth="26560" windowHeight="18080" activeTab="2" xr2:uid="{AC82ADC5-E628-F847-8939-89BAF5623AE6}"/>
  </bookViews>
  <sheets>
    <sheet name="Sheet2" sheetId="2" r:id="rId1"/>
    <sheet name="medias_historicas" sheetId="12" r:id="rId2"/>
    <sheet name="futuros" sheetId="14" r:id="rId3"/>
    <sheet name="cambios_southland" sheetId="11" r:id="rId4"/>
    <sheet name="VENDA CAFÉ 220125" sheetId="7" state="hidden" r:id="rId5"/>
    <sheet name="DU-E" sheetId="8" state="hidden" r:id="rId6"/>
    <sheet name="hedgedez25" sheetId="10" state="hidden" r:id="rId7"/>
    <sheet name="CashFlow_Edson_Luiz" sheetId="3" state="hidden" r:id="rId8"/>
  </sheets>
  <definedNames>
    <definedName name="_xlnm._FilterDatabase" localSheetId="4" hidden="1">'VENDA CAFÉ 220125'!$A$3:$Z$61</definedName>
    <definedName name="LITRAGEM" localSheetId="6">#REF!</definedName>
    <definedName name="LITRAGEM" localSheetId="4">#REF!</definedName>
    <definedName name="LITRAGEM">#REF!</definedName>
    <definedName name="_xlnm.Print_Area" localSheetId="4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2" l="1"/>
  <c r="M40" i="2"/>
  <c r="M39" i="2"/>
  <c r="M38" i="2"/>
  <c r="M37" i="2"/>
  <c r="L37" i="2"/>
  <c r="L38" i="2" s="1"/>
  <c r="L39" i="2" s="1"/>
  <c r="L40" i="2"/>
  <c r="L41" i="2" s="1"/>
  <c r="N3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N37" i="2" l="1"/>
  <c r="N40" i="2"/>
  <c r="N38" i="2" l="1"/>
  <c r="N41" i="2"/>
  <c r="N39" i="2"/>
  <c r="C3" i="14"/>
  <c r="C4" i="14"/>
  <c r="C5" i="14"/>
  <c r="C6" i="14"/>
  <c r="C7" i="14"/>
  <c r="C8" i="14"/>
  <c r="C9" i="14"/>
  <c r="C10" i="14"/>
  <c r="C2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K41" i="2" l="1"/>
  <c r="K40" i="2"/>
  <c r="K39" i="2"/>
  <c r="K38" i="2"/>
  <c r="K37" i="2"/>
  <c r="K36" i="2"/>
  <c r="Q35" i="2" l="1"/>
  <c r="O11" i="2"/>
  <c r="P11" i="2" s="1"/>
  <c r="Q11" i="2" s="1"/>
  <c r="O20" i="2" l="1"/>
  <c r="A13" i="11" l="1"/>
  <c r="B13" i="11" s="1"/>
  <c r="P2" i="2"/>
  <c r="P13" i="2"/>
  <c r="Q13" i="2" s="1"/>
  <c r="P12" i="2"/>
  <c r="Q12" i="2" s="1"/>
  <c r="P20" i="2" l="1"/>
  <c r="Q20" i="2" s="1"/>
  <c r="P6" i="2"/>
  <c r="Q6" i="2" s="1"/>
  <c r="P5" i="2"/>
  <c r="Q5" i="2" s="1"/>
  <c r="P9" i="2"/>
  <c r="Q9" i="2" s="1"/>
  <c r="P8" i="2"/>
  <c r="Q8" i="2" s="1"/>
  <c r="P7" i="2"/>
  <c r="Q7" i="2" s="1"/>
  <c r="I25" i="2" l="1"/>
  <c r="I8" i="2"/>
  <c r="I9" i="2" s="1"/>
  <c r="P17" i="2"/>
  <c r="Q17" i="2" s="1"/>
  <c r="P16" i="2"/>
  <c r="Q16" i="2" s="1"/>
  <c r="P18" i="2"/>
  <c r="Q18" i="2" s="1"/>
  <c r="O19" i="2"/>
  <c r="P19" i="2" s="1"/>
  <c r="Q19" i="2" s="1"/>
  <c r="P4" i="2"/>
  <c r="Q4" i="2" s="1"/>
  <c r="P3" i="2"/>
  <c r="Q3" i="2" s="1"/>
  <c r="Q2" i="2"/>
  <c r="Q25" i="2"/>
  <c r="Q26" i="2"/>
  <c r="Q27" i="2"/>
  <c r="Q28" i="2"/>
  <c r="Q29" i="2"/>
  <c r="Q30" i="2"/>
  <c r="Q31" i="2"/>
  <c r="Q32" i="2"/>
  <c r="Q33" i="2"/>
  <c r="Q34" i="2"/>
  <c r="Q2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<sst xmlns="http://schemas.openxmlformats.org/spreadsheetml/2006/main" count="578" uniqueCount="279">
  <si>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</si>
  <si>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</si>
  <si>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</si>
  <si>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</si>
  <si>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</si>
  <si>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</si>
  <si>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</si>
  <si>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</si>
  <si>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</si>
  <si>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</si>
  <si>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</si>
  <si>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</si>
  <si>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</si>
  <si>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</si>
  <si>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</si>
  <si>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</si>
  <si>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</si>
  <si>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</si>
  <si>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</si>
  <si>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</si>
  <si>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</si>
  <si>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</si>
  <si>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</si>
  <si>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</si>
  <si>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</si>
  <si>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</si>
  <si>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</si>
  <si>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</si>
  <si>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</si>
  <si>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</si>
  <si>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</si>
  <si>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</si>
  <si>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</si>
  <si>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</si>
  <si>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</si>
  <si>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</si>
  <si>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</si>
  <si>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</si>
  <si>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</si>
  <si>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</si>
  <si>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</si>
  <si>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</si>
  <si>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</si>
  <si>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</si>
  <si>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</si>
  <si>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</si>
  <si>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</si>
  <si>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</si>
  <si>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</si>
  <si>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</si>
  <si>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</si>
  <si>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</si>
  <si>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</si>
  <si>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</si>
  <si>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</si>
  <si>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</si>
  <si>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</si>
  <si>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</si>
  <si>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</si>
  <si>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</si>
  <si>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</si>
  <si>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</si>
  <si>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</si>
  <si>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</si>
  <si>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</si>
  <si>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</si>
  <si>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</si>
  <si>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</si>
  <si>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</si>
  <si>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</si>
  <si>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</si>
  <si>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</si>
  <si>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</si>
  <si>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</si>
  <si>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</si>
  <si>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</si>
  <si>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</si>
  <si>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</si>
  <si>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</si>
  <si>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</si>
  <si>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</si>
  <si>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</si>
  <si>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</si>
  <si>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</si>
  <si>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</si>
  <si>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</si>
  <si>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</si>
  <si>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</si>
  <si>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</si>
  <si>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</si>
  <si>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</si>
  <si>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</si>
  <si>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</si>
  <si>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</si>
  <si>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</si>
  <si>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</si>
  <si>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</si>
  <si>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</si>
  <si>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</si>
  <si>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</si>
  <si>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</si>
  <si>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</si>
  <si>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</si>
  <si>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</si>
  <si>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</si>
  <si>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</si>
  <si>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</si>
  <si>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</si>
  <si>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</si>
  <si>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</si>
  <si>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</si>
  <si>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</si>
  <si>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</si>
  <si>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</si>
  <si>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</si>
  <si>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</si>
  <si>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</si>
  <si>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</si>
  <si>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</si>
  <si>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</si>
  <si>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</si>
  <si>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</si>
  <si>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</si>
  <si>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</si>
  <si>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</si>
  <si>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</si>
  <si>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</si>
  <si>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</si>
  <si>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</si>
  <si>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</si>
  <si>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</si>
  <si>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</si>
  <si>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</si>
  <si>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</si>
  <si>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</si>
  <si>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</si>
  <si>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</si>
  <si>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</si>
  <si>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</si>
  <si>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</si>
  <si>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</si>
  <si>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</si>
  <si>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</si>
  <si>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</si>
  <si>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</si>
  <si>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</si>
  <si>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</si>
  <si>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</si>
  <si>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</si>
  <si>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</si>
  <si>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</si>
  <si>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</si>
  <si>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</si>
  <si>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</si>
  <si>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</si>
  <si>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</si>
  <si>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</si>
  <si>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</si>
  <si>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</si>
  <si>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</si>
  <si>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</si>
  <si>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</si>
  <si>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</si>
  <si>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</si>
  <si>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</si>
  <si>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</si>
  <si>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</si>
  <si>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</si>
  <si>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</si>
  <si>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</si>
  <si>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</si>
  <si>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</si>
  <si>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</si>
  <si>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</si>
  <si>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</si>
  <si>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</si>
  <si>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</si>
  <si>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</si>
  <si>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</si>
  <si>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</si>
  <si>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</si>
  <si>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</si>
  <si>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</si>
  <si>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</si>
  <si>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</si>
  <si>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</si>
  <si>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</si>
  <si>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</si>
  <si>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</si>
  <si>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</si>
  <si>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</si>
  <si>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</si>
  <si>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</si>
  <si>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</si>
  <si>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</si>
  <si>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</si>
  <si>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</si>
  <si>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</si>
  <si>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</si>
  <si>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</si>
  <si>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</si>
  <si>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</si>
  <si>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</si>
  <si>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</si>
  <si>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</si>
  <si>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</si>
  <si>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</si>
  <si>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</si>
  <si>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</si>
  <si>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</si>
  <si>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</si>
  <si>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</si>
  <si>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</si>
  <si>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</si>
  <si>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</si>
  <si>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</si>
  <si>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</si>
  <si>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</si>
  <si>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</si>
  <si>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</si>
  <si>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</si>
  <si>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</si>
  <si>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</si>
  <si>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</si>
  <si>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</si>
  <si>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</si>
  <si>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</si>
  <si>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</si>
  <si>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</si>
  <si>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</si>
  <si>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</si>
  <si>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</si>
  <si>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</si>
  <si>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</si>
  <si>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</si>
  <si>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</si>
  <si>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</si>
  <si>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</si>
  <si>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</si>
  <si>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</si>
  <si>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</si>
  <si>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</si>
  <si>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</si>
  <si>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</si>
  <si>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</si>
  <si>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</si>
  <si>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</si>
  <si>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</si>
  <si>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</si>
  <si>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</si>
  <si>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</si>
  <si>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</si>
  <si>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</si>
  <si>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</si>
  <si>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</si>
  <si>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</si>
  <si>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</si>
  <si>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</si>
  <si>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</si>
  <si>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</si>
  <si>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cambios</t>
  </si>
  <si>
    <t>southland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</si>
  <si>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</si>
  <si>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</si>
  <si>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</si>
  <si>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</si>
  <si>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</si>
  <si>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</si>
  <si>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</si>
  <si>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</si>
  <si>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</si>
  <si>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</si>
  <si>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</si>
  <si>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</si>
  <si>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</si>
  <si>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</si>
  <si>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data da última atualização</t>
  </si>
  <si>
    <t>Saca (U$)</t>
  </si>
  <si>
    <t>Preço (cts/lb)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</si>
</sst>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/yy"/>
    <numFmt numFmtId="165" formatCode="0.0000"/>
    <numFmt numFmtId="166" formatCode="0.000"/>
    <numFmt numFmtId="167" formatCode="0.0"/>
    <numFmt numFmtId="168" formatCode="_-[$$-409]* #,##0.00_ ;_-[$$-409]* \-#,##0.00\ ;_-[$$-409]* &quot;-&quot;??_ ;_-@_ "/>
  </numFmts>
  <fonts count="16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7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5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6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6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7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7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vertical="center"/>
    </xf>
    <xf numFmtId="166" fontId="2" fillId="2" borderId="0" xfId="0" applyNumberFormat="1" applyFont="1" applyFill="1"/>
    <xf numFmtId="166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6" fontId="1" fillId="1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165" fontId="2" fillId="2" borderId="0" xfId="0" applyNumberFormat="1" applyFont="1" applyFill="1" applyBorder="1"/>
    <xf numFmtId="2" fontId="2" fillId="2" borderId="0" xfId="0" applyNumberFormat="1" applyFont="1" applyFill="1" applyBorder="1"/>
    <xf numFmtId="166" fontId="2" fillId="2" borderId="0" xfId="0" applyNumberFormat="1" applyFont="1" applyFill="1" applyBorder="1"/>
    <xf numFmtId="17" fontId="2" fillId="2" borderId="0" xfId="0" applyNumberFormat="1" applyFont="1" applyFill="1" applyBorder="1" applyAlignment="1">
      <alignment horizontal="center"/>
    </xf>
    <xf numFmtId="17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55"/>
  <sheetViews>
    <sheetView zoomScale="80" zoomScaleNormal="80" workbookViewId="0">
      <selection activeCell="N37" sqref="N37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5" width="10.83203125" style="2"/>
    <col min="6" max="7" width="10.83203125" style="1"/>
    <col min="8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32</v>
      </c>
      <c r="B1" s="153" t="s">
        <v>15</v>
      </c>
      <c r="C1" s="153" t="s">
        <v>45</v>
      </c>
      <c r="D1" s="153" t="s">
        <v>16</v>
      </c>
      <c r="E1" s="153" t="s">
        <v>14</v>
      </c>
      <c r="F1" s="153" t="s">
        <v>33</v>
      </c>
      <c r="G1" s="153" t="s">
        <v>34</v>
      </c>
      <c r="H1" s="153" t="s">
        <v>13</v>
      </c>
      <c r="I1" s="153" t="s">
        <v>18</v>
      </c>
      <c r="J1" s="153" t="s">
        <v>272</v>
      </c>
      <c r="K1" s="153" t="s">
        <v>271</v>
      </c>
      <c r="L1" s="153" t="s">
        <v>278</v>
      </c>
      <c r="M1" s="154" t="s">
        <v>17</v>
      </c>
      <c r="N1" s="153" t="s">
        <v>258</v>
      </c>
      <c r="O1" s="157" t="s">
        <v>257</v>
      </c>
      <c r="P1" s="156" t="s">
        <v>94</v>
      </c>
      <c r="Q1" s="156" t="s">
        <v>259</v>
      </c>
    </row>
    <row r="2" spans="1:17" s="164" customFormat="1" x14ac:dyDescent="0.2">
      <c r="A2" s="164">
        <v>2024</v>
      </c>
      <c r="B2" s="164" t="s">
        <v>12</v>
      </c>
      <c r="C2" s="164" t="s">
        <v>46</v>
      </c>
      <c r="D2" s="165" t="s">
        <v>270</v>
      </c>
      <c r="E2" s="164">
        <v>320</v>
      </c>
      <c r="F2" s="164" t="s">
        <v>27</v>
      </c>
      <c r="G2" s="164" t="s">
        <v>37</v>
      </c>
      <c r="H2" s="164">
        <v>10</v>
      </c>
      <c r="I2" s="166">
        <v>45564</v>
      </c>
      <c r="J2" s="164">
        <v>1</v>
      </c>
      <c r="K2" s="166">
        <v>45627</v>
      </c>
      <c r="L2" s="167">
        <v>251.05</v>
      </c>
      <c r="M2" s="167">
        <v>345.31693999999999</v>
      </c>
      <c r="N2" s="168">
        <f>M2*E2</f>
        <v>110501.42079999999</v>
      </c>
      <c r="O2" s="169">
        <v>5.8349509259259262</v>
      </c>
      <c r="P2" s="168">
        <f>M2*O2</f>
        <v>2014.9073987909073</v>
      </c>
      <c r="Q2" s="168">
        <f>P2*E2</f>
        <v>644770.36761309032</v>
      </c>
    </row>
    <row r="3" spans="1:17" s="170" customFormat="1" x14ac:dyDescent="0.2">
      <c r="A3" s="164">
        <v>2024</v>
      </c>
      <c r="B3" s="164" t="s">
        <v>11</v>
      </c>
      <c r="C3" s="164" t="s">
        <v>46</v>
      </c>
      <c r="D3" s="165" t="s">
        <v>270</v>
      </c>
      <c r="E3" s="164">
        <v>320</v>
      </c>
      <c r="F3" s="164" t="s">
        <v>27</v>
      </c>
      <c r="G3" s="164" t="s">
        <v>37</v>
      </c>
      <c r="H3" s="164">
        <v>10</v>
      </c>
      <c r="I3" s="166">
        <v>45564</v>
      </c>
      <c r="J3" s="164">
        <v>1</v>
      </c>
      <c r="K3" s="166">
        <v>45627</v>
      </c>
      <c r="L3" s="167">
        <v>251.05</v>
      </c>
      <c r="M3" s="167">
        <v>345.31693999999999</v>
      </c>
      <c r="N3" s="168">
        <f>M3*E3</f>
        <v>110501.42079999999</v>
      </c>
      <c r="O3" s="169">
        <v>5.8349509259259262</v>
      </c>
      <c r="P3" s="168">
        <f t="shared" ref="P3:P9" si="0">M3*O3</f>
        <v>2014.9073987909073</v>
      </c>
      <c r="Q3" s="168">
        <f>P3*E3</f>
        <v>644770.36761309032</v>
      </c>
    </row>
    <row r="4" spans="1:17" s="170" customFormat="1" x14ac:dyDescent="0.2">
      <c r="A4" s="164">
        <v>2024</v>
      </c>
      <c r="B4" s="164" t="s">
        <v>10</v>
      </c>
      <c r="C4" s="164" t="s">
        <v>46</v>
      </c>
      <c r="D4" s="165" t="s">
        <v>270</v>
      </c>
      <c r="E4" s="164">
        <v>320</v>
      </c>
      <c r="F4" s="164" t="s">
        <v>27</v>
      </c>
      <c r="G4" s="164" t="s">
        <v>38</v>
      </c>
      <c r="H4" s="164">
        <v>10</v>
      </c>
      <c r="I4" s="166">
        <v>45564</v>
      </c>
      <c r="J4" s="164">
        <v>1</v>
      </c>
      <c r="K4" s="166">
        <v>45627</v>
      </c>
      <c r="L4" s="167">
        <v>251.05</v>
      </c>
      <c r="M4" s="167">
        <v>345.31693999999999</v>
      </c>
      <c r="N4" s="168">
        <f>M4*E4</f>
        <v>110501.42079999999</v>
      </c>
      <c r="O4" s="169">
        <v>5.8349509259259262</v>
      </c>
      <c r="P4" s="168">
        <f t="shared" si="0"/>
        <v>2014.9073987909073</v>
      </c>
      <c r="Q4" s="168">
        <f>P4*E4</f>
        <v>644770.36761309032</v>
      </c>
    </row>
    <row r="5" spans="1:17" s="170" customFormat="1" x14ac:dyDescent="0.2">
      <c r="A5" s="164">
        <v>2024</v>
      </c>
      <c r="B5" s="164" t="s">
        <v>5</v>
      </c>
      <c r="C5" s="164" t="s">
        <v>46</v>
      </c>
      <c r="D5" s="165" t="s">
        <v>270</v>
      </c>
      <c r="E5" s="164">
        <v>160</v>
      </c>
      <c r="F5" s="164" t="s">
        <v>27</v>
      </c>
      <c r="G5" s="164" t="s">
        <v>39</v>
      </c>
      <c r="H5" s="164">
        <v>25</v>
      </c>
      <c r="I5" s="166">
        <v>45599</v>
      </c>
      <c r="J5" s="164">
        <v>1</v>
      </c>
      <c r="K5" s="166">
        <v>45658</v>
      </c>
      <c r="L5" s="167">
        <v>280.75</v>
      </c>
      <c r="M5" s="167">
        <v>404.4461</v>
      </c>
      <c r="N5" s="168">
        <f>M5*E5</f>
        <v>64711.376000000004</v>
      </c>
      <c r="O5" s="169">
        <v>5.7499741972351099</v>
      </c>
      <c r="P5" s="168">
        <f t="shared" si="0"/>
        <v>2325.554639172371</v>
      </c>
      <c r="Q5" s="168">
        <f>P5*E5</f>
        <v>372088.74226757936</v>
      </c>
    </row>
    <row r="6" spans="1:17" s="170" customFormat="1" x14ac:dyDescent="0.2">
      <c r="A6" s="164">
        <v>2024</v>
      </c>
      <c r="B6" s="164" t="s">
        <v>4</v>
      </c>
      <c r="C6" s="164" t="s">
        <v>46</v>
      </c>
      <c r="D6" s="165" t="s">
        <v>270</v>
      </c>
      <c r="E6" s="164">
        <v>160</v>
      </c>
      <c r="F6" s="164" t="s">
        <v>28</v>
      </c>
      <c r="G6" s="164" t="s">
        <v>40</v>
      </c>
      <c r="H6" s="164">
        <v>-8</v>
      </c>
      <c r="I6" s="166">
        <v>45599</v>
      </c>
      <c r="J6" s="164">
        <v>1</v>
      </c>
      <c r="K6" s="166">
        <v>45658</v>
      </c>
      <c r="L6" s="167">
        <v>280.75</v>
      </c>
      <c r="M6" s="167">
        <v>360.7937</v>
      </c>
      <c r="N6" s="168">
        <f>M6*E6</f>
        <v>57726.991999999998</v>
      </c>
      <c r="O6" s="169">
        <v>5.7499741972351099</v>
      </c>
      <c r="P6" s="168">
        <f t="shared" si="0"/>
        <v>2074.5544655249851</v>
      </c>
      <c r="Q6" s="168">
        <f>P6*E6</f>
        <v>331928.71448399761</v>
      </c>
    </row>
    <row r="7" spans="1:17" s="170" customFormat="1" x14ac:dyDescent="0.2">
      <c r="A7" s="164">
        <v>2024</v>
      </c>
      <c r="B7" s="164" t="s">
        <v>9</v>
      </c>
      <c r="C7" s="164" t="s">
        <v>46</v>
      </c>
      <c r="D7" s="165" t="s">
        <v>270</v>
      </c>
      <c r="E7" s="164">
        <v>320</v>
      </c>
      <c r="F7" s="164" t="s">
        <v>27</v>
      </c>
      <c r="G7" s="164" t="s">
        <v>40</v>
      </c>
      <c r="H7" s="164">
        <v>10</v>
      </c>
      <c r="I7" s="166">
        <v>45630</v>
      </c>
      <c r="J7" s="164">
        <v>1</v>
      </c>
      <c r="K7" s="166">
        <v>45689</v>
      </c>
      <c r="L7" s="167">
        <v>323.25</v>
      </c>
      <c r="M7" s="167">
        <v>440.82310000000001</v>
      </c>
      <c r="N7" s="168">
        <f>M7*E7</f>
        <v>141063.39199999999</v>
      </c>
      <c r="O7" s="169">
        <v>5.7669999035936632</v>
      </c>
      <c r="P7" s="168">
        <f t="shared" si="0"/>
        <v>2542.2267752018597</v>
      </c>
      <c r="Q7" s="168">
        <f>P7*E7</f>
        <v>813512.56806459511</v>
      </c>
    </row>
    <row r="8" spans="1:17" s="170" customFormat="1" x14ac:dyDescent="0.2">
      <c r="A8" s="164">
        <v>2024</v>
      </c>
      <c r="B8" s="164" t="s">
        <v>8</v>
      </c>
      <c r="C8" s="164" t="s">
        <v>46</v>
      </c>
      <c r="D8" s="165" t="s">
        <v>270</v>
      </c>
      <c r="E8" s="164">
        <v>320</v>
      </c>
      <c r="F8" s="164" t="s">
        <v>27</v>
      </c>
      <c r="G8" s="164" t="s">
        <v>41</v>
      </c>
      <c r="H8" s="164">
        <v>50</v>
      </c>
      <c r="I8" s="166">
        <f>I7</f>
        <v>45630</v>
      </c>
      <c r="J8" s="164">
        <v>1</v>
      </c>
      <c r="K8" s="166">
        <v>45689</v>
      </c>
      <c r="L8" s="167">
        <v>323.25</v>
      </c>
      <c r="M8" s="167">
        <v>493.73509999999999</v>
      </c>
      <c r="N8" s="168">
        <f>M8*E8</f>
        <v>157995.23199999999</v>
      </c>
      <c r="O8" s="169">
        <v>5.7669999035936632</v>
      </c>
      <c r="P8" s="168">
        <f t="shared" si="0"/>
        <v>2847.3702741008078</v>
      </c>
      <c r="Q8" s="168">
        <f>P8*E8</f>
        <v>911158.48771225847</v>
      </c>
    </row>
    <row r="9" spans="1:17" s="170" customFormat="1" x14ac:dyDescent="0.2">
      <c r="A9" s="164">
        <v>2024</v>
      </c>
      <c r="B9" s="164" t="s">
        <v>7</v>
      </c>
      <c r="C9" s="164" t="s">
        <v>46</v>
      </c>
      <c r="D9" s="165" t="s">
        <v>270</v>
      </c>
      <c r="E9" s="164">
        <v>320</v>
      </c>
      <c r="F9" s="164" t="s">
        <v>28</v>
      </c>
      <c r="G9" s="164" t="s">
        <v>42</v>
      </c>
      <c r="H9" s="164">
        <v>-8</v>
      </c>
      <c r="I9" s="166">
        <f>I8</f>
        <v>45630</v>
      </c>
      <c r="J9" s="164">
        <v>1</v>
      </c>
      <c r="K9" s="166">
        <v>45689</v>
      </c>
      <c r="L9" s="167">
        <v>323.25</v>
      </c>
      <c r="M9" s="167">
        <v>417.0127</v>
      </c>
      <c r="N9" s="168">
        <f>M9*E9</f>
        <v>133444.06400000001</v>
      </c>
      <c r="O9" s="169">
        <v>5.7669999035936632</v>
      </c>
      <c r="P9" s="168">
        <f t="shared" si="0"/>
        <v>2404.912200697333</v>
      </c>
      <c r="Q9" s="168">
        <f>P9*E9</f>
        <v>769571.90422314662</v>
      </c>
    </row>
    <row r="10" spans="1:17" s="170" customFormat="1" x14ac:dyDescent="0.2">
      <c r="A10" s="164">
        <v>2024</v>
      </c>
      <c r="B10" s="164" t="s">
        <v>5</v>
      </c>
      <c r="C10" s="164" t="s">
        <v>46</v>
      </c>
      <c r="D10" s="165" t="s">
        <v>270</v>
      </c>
      <c r="E10" s="164">
        <v>160</v>
      </c>
      <c r="F10" s="164" t="s">
        <v>27</v>
      </c>
      <c r="G10" s="164" t="s">
        <v>39</v>
      </c>
      <c r="H10" s="164">
        <v>25</v>
      </c>
      <c r="I10" s="166">
        <v>45349</v>
      </c>
      <c r="J10" s="164">
        <v>1</v>
      </c>
      <c r="K10" s="166">
        <v>45778</v>
      </c>
      <c r="L10" s="167">
        <v>393.05</v>
      </c>
      <c r="M10" s="167">
        <v>557.75861999999995</v>
      </c>
      <c r="N10" s="168">
        <f>M10*E10</f>
        <v>89241.379199999996</v>
      </c>
      <c r="O10" s="169"/>
      <c r="P10" s="168"/>
      <c r="Q10" s="168"/>
    </row>
    <row r="11" spans="1:17" s="170" customFormat="1" x14ac:dyDescent="0.2">
      <c r="A11" s="164">
        <v>2024</v>
      </c>
      <c r="B11" s="164" t="s">
        <v>4</v>
      </c>
      <c r="C11" s="164" t="s">
        <v>46</v>
      </c>
      <c r="D11" s="165" t="s">
        <v>270</v>
      </c>
      <c r="E11" s="164">
        <v>160</v>
      </c>
      <c r="F11" s="164" t="s">
        <v>27</v>
      </c>
      <c r="G11" s="164" t="s">
        <v>40</v>
      </c>
      <c r="H11" s="164">
        <v>-8</v>
      </c>
      <c r="I11" s="166">
        <v>45349</v>
      </c>
      <c r="J11" s="164">
        <v>1</v>
      </c>
      <c r="K11" s="166">
        <v>45748</v>
      </c>
      <c r="L11" s="167">
        <v>393.05</v>
      </c>
      <c r="M11" s="167">
        <v>526.34211999999991</v>
      </c>
      <c r="N11" s="168">
        <f>M11*E11</f>
        <v>84214.739199999982</v>
      </c>
      <c r="O11" s="169">
        <f>(499233.9/(SUM(N10:N11)/2))</f>
        <v>5.7563135230403049</v>
      </c>
      <c r="P11" s="168">
        <f t="shared" ref="P11:P13" si="1">M11*O11</f>
        <v>3029.7902631017023</v>
      </c>
      <c r="Q11" s="168">
        <f>P11*E11</f>
        <v>484766.44209627237</v>
      </c>
    </row>
    <row r="12" spans="1:17" s="170" customFormat="1" x14ac:dyDescent="0.2">
      <c r="A12" s="164">
        <v>2024</v>
      </c>
      <c r="B12" s="164" t="s">
        <v>6</v>
      </c>
      <c r="C12" s="164" t="s">
        <v>46</v>
      </c>
      <c r="D12" s="165" t="s">
        <v>270</v>
      </c>
      <c r="E12" s="164">
        <v>320</v>
      </c>
      <c r="F12" s="164" t="s">
        <v>27</v>
      </c>
      <c r="G12" s="164" t="s">
        <v>40</v>
      </c>
      <c r="H12" s="164">
        <v>10</v>
      </c>
      <c r="I12" s="166">
        <v>45678</v>
      </c>
      <c r="J12" s="164">
        <v>1</v>
      </c>
      <c r="K12" s="166">
        <v>45717</v>
      </c>
      <c r="L12" s="167">
        <v>342</v>
      </c>
      <c r="M12" s="167">
        <v>465.62559999999996</v>
      </c>
      <c r="N12" s="168">
        <f>M12*E12</f>
        <v>149000.19199999998</v>
      </c>
      <c r="O12" s="169">
        <v>5.7249999999999996</v>
      </c>
      <c r="P12" s="168">
        <f t="shared" si="1"/>
        <v>2665.7065599999996</v>
      </c>
      <c r="Q12" s="168">
        <f>P12*E12</f>
        <v>853026.09919999982</v>
      </c>
    </row>
    <row r="13" spans="1:17" s="170" customFormat="1" x14ac:dyDescent="0.2">
      <c r="A13" s="164">
        <v>2024</v>
      </c>
      <c r="B13" s="164" t="s">
        <v>3</v>
      </c>
      <c r="C13" s="164" t="s">
        <v>46</v>
      </c>
      <c r="D13" s="165" t="s">
        <v>270</v>
      </c>
      <c r="E13" s="164">
        <v>320</v>
      </c>
      <c r="F13" s="164" t="s">
        <v>27</v>
      </c>
      <c r="G13" s="164" t="s">
        <v>38</v>
      </c>
      <c r="H13" s="164">
        <v>10</v>
      </c>
      <c r="I13" s="166">
        <v>45678</v>
      </c>
      <c r="J13" s="164">
        <v>1</v>
      </c>
      <c r="K13" s="166">
        <v>45717</v>
      </c>
      <c r="L13" s="167">
        <v>342</v>
      </c>
      <c r="M13" s="167">
        <v>465.62559999999996</v>
      </c>
      <c r="N13" s="168">
        <f>M13*E13</f>
        <v>149000.19199999998</v>
      </c>
      <c r="O13" s="169">
        <v>5.7249999999999996</v>
      </c>
      <c r="P13" s="168">
        <f t="shared" si="1"/>
        <v>2665.7065599999996</v>
      </c>
      <c r="Q13" s="168">
        <f>P13*E13</f>
        <v>853026.09919999982</v>
      </c>
    </row>
    <row r="14" spans="1:17" s="170" customFormat="1" x14ac:dyDescent="0.2">
      <c r="A14" s="164">
        <v>2024</v>
      </c>
      <c r="B14" s="164" t="s">
        <v>2</v>
      </c>
      <c r="C14" s="164" t="s">
        <v>46</v>
      </c>
      <c r="D14" s="165" t="s">
        <v>270</v>
      </c>
      <c r="E14" s="164">
        <v>320</v>
      </c>
      <c r="F14" s="164" t="s">
        <v>29</v>
      </c>
      <c r="G14" s="164" t="s">
        <v>42</v>
      </c>
      <c r="H14" s="164">
        <v>-28</v>
      </c>
      <c r="I14" s="166">
        <v>45746</v>
      </c>
      <c r="J14" s="164">
        <v>1</v>
      </c>
      <c r="K14" s="166">
        <v>45809</v>
      </c>
      <c r="L14" s="167">
        <v>370.95</v>
      </c>
      <c r="M14" s="167">
        <v>453.65425999999997</v>
      </c>
      <c r="N14" s="168">
        <f>M14*E14</f>
        <v>145169.36319999999</v>
      </c>
      <c r="O14" s="169"/>
      <c r="P14" s="168"/>
      <c r="Q14" s="168"/>
    </row>
    <row r="15" spans="1:17" s="170" customFormat="1" x14ac:dyDescent="0.2">
      <c r="A15" s="164">
        <v>2024</v>
      </c>
      <c r="B15" s="164" t="s">
        <v>0</v>
      </c>
      <c r="C15" s="164" t="s">
        <v>46</v>
      </c>
      <c r="D15" s="165" t="s">
        <v>270</v>
      </c>
      <c r="E15" s="164">
        <v>320</v>
      </c>
      <c r="F15" s="164" t="s">
        <v>27</v>
      </c>
      <c r="G15" s="164" t="s">
        <v>40</v>
      </c>
      <c r="H15" s="164">
        <v>10</v>
      </c>
      <c r="I15" s="166">
        <v>45746</v>
      </c>
      <c r="J15" s="164">
        <v>1</v>
      </c>
      <c r="K15" s="166">
        <v>45809</v>
      </c>
      <c r="L15" s="167">
        <v>329.5</v>
      </c>
      <c r="M15" s="167">
        <v>449.09059999999999</v>
      </c>
      <c r="N15" s="168">
        <f>M15*E15</f>
        <v>143708.992</v>
      </c>
      <c r="O15" s="169"/>
      <c r="P15" s="168"/>
      <c r="Q15" s="168"/>
    </row>
    <row r="16" spans="1:17" s="170" customFormat="1" x14ac:dyDescent="0.2">
      <c r="A16" s="164">
        <v>2024</v>
      </c>
      <c r="B16" s="164" t="s">
        <v>20</v>
      </c>
      <c r="C16" s="164" t="s">
        <v>46</v>
      </c>
      <c r="D16" s="165" t="s">
        <v>19</v>
      </c>
      <c r="E16" s="164">
        <v>320</v>
      </c>
      <c r="F16" s="164" t="s">
        <v>27</v>
      </c>
      <c r="G16" s="164" t="s">
        <v>40</v>
      </c>
      <c r="H16" s="164">
        <v>0</v>
      </c>
      <c r="I16" s="166">
        <v>45671</v>
      </c>
      <c r="J16" s="164">
        <v>4</v>
      </c>
      <c r="K16" s="166">
        <v>45748</v>
      </c>
      <c r="L16" s="167"/>
      <c r="M16" s="167">
        <v>325</v>
      </c>
      <c r="N16" s="168">
        <f>M16*E16</f>
        <v>104000</v>
      </c>
      <c r="O16" s="169">
        <v>5.8240999999999996</v>
      </c>
      <c r="P16" s="168">
        <f>M16*O16</f>
        <v>1892.8325</v>
      </c>
      <c r="Q16" s="168">
        <f>P16*E16</f>
        <v>605706.4</v>
      </c>
    </row>
    <row r="17" spans="1:20" s="170" customFormat="1" x14ac:dyDescent="0.2">
      <c r="A17" s="164">
        <v>2024</v>
      </c>
      <c r="B17" s="164" t="s">
        <v>21</v>
      </c>
      <c r="C17" s="164" t="s">
        <v>46</v>
      </c>
      <c r="D17" s="165" t="s">
        <v>19</v>
      </c>
      <c r="E17" s="164">
        <v>320</v>
      </c>
      <c r="F17" s="164" t="s">
        <v>35</v>
      </c>
      <c r="G17" s="164" t="s">
        <v>35</v>
      </c>
      <c r="H17" s="164">
        <v>0</v>
      </c>
      <c r="I17" s="166">
        <v>45702</v>
      </c>
      <c r="J17" s="164">
        <v>4</v>
      </c>
      <c r="K17" s="166">
        <v>45778</v>
      </c>
      <c r="L17" s="167"/>
      <c r="M17" s="167">
        <v>325</v>
      </c>
      <c r="N17" s="168">
        <f>M17*E17</f>
        <v>104000</v>
      </c>
      <c r="O17" s="169">
        <v>5.8240999999999996</v>
      </c>
      <c r="P17" s="168">
        <f>M17*O17</f>
        <v>1892.8325</v>
      </c>
      <c r="Q17" s="168">
        <f>P17*E17</f>
        <v>605706.4</v>
      </c>
    </row>
    <row r="18" spans="1:20" s="170" customFormat="1" x14ac:dyDescent="0.2">
      <c r="A18" s="164">
        <v>2024</v>
      </c>
      <c r="B18" s="164" t="s">
        <v>22</v>
      </c>
      <c r="C18" s="164" t="s">
        <v>46</v>
      </c>
      <c r="D18" s="165" t="s">
        <v>95</v>
      </c>
      <c r="E18" s="164">
        <v>320</v>
      </c>
      <c r="F18" s="164" t="s">
        <v>27</v>
      </c>
      <c r="G18" s="164" t="s">
        <v>43</v>
      </c>
      <c r="H18" s="164">
        <v>25</v>
      </c>
      <c r="I18" s="166">
        <v>45666</v>
      </c>
      <c r="J18" s="164">
        <v>1</v>
      </c>
      <c r="K18" s="166">
        <v>45658</v>
      </c>
      <c r="L18" s="167"/>
      <c r="M18" s="167">
        <v>468.27119999999996</v>
      </c>
      <c r="N18" s="168">
        <f>M18*E18</f>
        <v>149846.78399999999</v>
      </c>
      <c r="O18" s="169">
        <v>5.8236999999999997</v>
      </c>
      <c r="P18" s="168">
        <f>M18*O18</f>
        <v>2727.0709874399995</v>
      </c>
      <c r="Q18" s="168">
        <f>P18*E18</f>
        <v>872662.71598079987</v>
      </c>
    </row>
    <row r="19" spans="1:20" s="170" customFormat="1" x14ac:dyDescent="0.2">
      <c r="A19" s="164">
        <v>2023</v>
      </c>
      <c r="B19" s="164"/>
      <c r="C19" s="164" t="s">
        <v>46</v>
      </c>
      <c r="D19" s="165" t="s">
        <v>50</v>
      </c>
      <c r="E19" s="164">
        <v>280</v>
      </c>
      <c r="F19" s="164" t="s">
        <v>35</v>
      </c>
      <c r="G19" s="164" t="s">
        <v>35</v>
      </c>
      <c r="H19" s="164">
        <v>0</v>
      </c>
      <c r="I19" s="166"/>
      <c r="J19" s="164">
        <v>2</v>
      </c>
      <c r="K19" s="166">
        <v>45597</v>
      </c>
      <c r="L19" s="167"/>
      <c r="M19" s="167">
        <v>316.81060714285712</v>
      </c>
      <c r="N19" s="168">
        <f>M19*E19</f>
        <v>88706.97</v>
      </c>
      <c r="O19" s="169">
        <f>5.76</f>
        <v>5.76</v>
      </c>
      <c r="P19" s="168">
        <f>M19*O19</f>
        <v>1824.8290971428569</v>
      </c>
      <c r="Q19" s="168">
        <f>P19*E19</f>
        <v>510952.14719999995</v>
      </c>
    </row>
    <row r="20" spans="1:20" s="170" customFormat="1" x14ac:dyDescent="0.2">
      <c r="A20" s="164">
        <v>2023</v>
      </c>
      <c r="B20" s="164"/>
      <c r="C20" s="164" t="s">
        <v>46</v>
      </c>
      <c r="D20" s="165" t="s">
        <v>50</v>
      </c>
      <c r="E20" s="164">
        <v>320</v>
      </c>
      <c r="F20" s="164" t="s">
        <v>35</v>
      </c>
      <c r="G20" s="164" t="s">
        <v>35</v>
      </c>
      <c r="H20" s="164">
        <v>0</v>
      </c>
      <c r="I20" s="166"/>
      <c r="J20" s="164">
        <v>2</v>
      </c>
      <c r="K20" s="166">
        <v>45748</v>
      </c>
      <c r="L20" s="167"/>
      <c r="M20" s="167">
        <v>326.8</v>
      </c>
      <c r="N20" s="168">
        <f>M20*E20</f>
        <v>104576</v>
      </c>
      <c r="O20" s="169">
        <f>(5.725*0.5+5.6337*0.5)</f>
        <v>5.6793499999999995</v>
      </c>
      <c r="P20" s="168">
        <f>M20*O20</f>
        <v>1856.0115799999999</v>
      </c>
      <c r="Q20" s="168">
        <f>P20*E20</f>
        <v>593923.70559999999</v>
      </c>
    </row>
    <row r="21" spans="1:20" s="170" customFormat="1" x14ac:dyDescent="0.2">
      <c r="A21" s="164">
        <v>2024</v>
      </c>
      <c r="B21" s="164" t="s">
        <v>51</v>
      </c>
      <c r="C21" s="164" t="s">
        <v>46</v>
      </c>
      <c r="D21" s="165" t="s">
        <v>50</v>
      </c>
      <c r="E21" s="164">
        <v>320</v>
      </c>
      <c r="F21" s="164" t="s">
        <v>27</v>
      </c>
      <c r="G21" s="164" t="s">
        <v>42</v>
      </c>
      <c r="H21" s="164">
        <v>0</v>
      </c>
      <c r="I21" s="166">
        <v>45695</v>
      </c>
      <c r="J21" s="164">
        <v>1</v>
      </c>
      <c r="K21" s="166">
        <v>45809</v>
      </c>
      <c r="L21" s="167"/>
      <c r="M21" s="167">
        <v>413</v>
      </c>
      <c r="N21" s="168">
        <f>M21*E21</f>
        <v>132160</v>
      </c>
      <c r="O21" s="169"/>
      <c r="P21" s="168"/>
      <c r="Q21" s="168"/>
    </row>
    <row r="22" spans="1:20" s="170" customFormat="1" x14ac:dyDescent="0.2">
      <c r="A22" s="164">
        <v>2024</v>
      </c>
      <c r="B22" s="164" t="s">
        <v>88</v>
      </c>
      <c r="C22" s="164" t="s">
        <v>46</v>
      </c>
      <c r="D22" s="165" t="s">
        <v>50</v>
      </c>
      <c r="E22" s="164">
        <v>320</v>
      </c>
      <c r="F22" s="164" t="s">
        <v>27</v>
      </c>
      <c r="G22" s="164" t="s">
        <v>42</v>
      </c>
      <c r="H22" s="164">
        <v>0</v>
      </c>
      <c r="I22" s="166">
        <v>45695</v>
      </c>
      <c r="J22" s="164">
        <v>1</v>
      </c>
      <c r="K22" s="166">
        <v>45809</v>
      </c>
      <c r="L22" s="167"/>
      <c r="M22" s="167">
        <v>450</v>
      </c>
      <c r="N22" s="168">
        <f>M22*E22</f>
        <v>144000</v>
      </c>
      <c r="O22" s="169"/>
      <c r="P22" s="168"/>
      <c r="Q22" s="168"/>
    </row>
    <row r="23" spans="1:20" s="170" customFormat="1" x14ac:dyDescent="0.2">
      <c r="A23" s="164">
        <v>2024</v>
      </c>
      <c r="B23" s="164" t="s">
        <v>89</v>
      </c>
      <c r="C23" s="164" t="s">
        <v>46</v>
      </c>
      <c r="D23" s="165" t="s">
        <v>50</v>
      </c>
      <c r="E23" s="164">
        <v>223</v>
      </c>
      <c r="F23" s="164" t="s">
        <v>36</v>
      </c>
      <c r="G23" s="164" t="s">
        <v>35</v>
      </c>
      <c r="H23" s="164">
        <v>0</v>
      </c>
      <c r="I23" s="166">
        <v>45695</v>
      </c>
      <c r="J23" s="164">
        <v>1</v>
      </c>
      <c r="K23" s="166">
        <v>45809</v>
      </c>
      <c r="L23" s="167"/>
      <c r="M23" s="167">
        <v>409.35</v>
      </c>
      <c r="N23" s="168">
        <f>M23*E23</f>
        <v>91285.05</v>
      </c>
      <c r="O23" s="169"/>
      <c r="P23" s="168"/>
      <c r="Q23" s="168"/>
    </row>
    <row r="24" spans="1:20" s="170" customFormat="1" x14ac:dyDescent="0.2">
      <c r="A24" s="164">
        <v>2024</v>
      </c>
      <c r="B24" s="164" t="s">
        <v>25</v>
      </c>
      <c r="C24" s="164" t="s">
        <v>93</v>
      </c>
      <c r="D24" s="165" t="s">
        <v>24</v>
      </c>
      <c r="E24" s="164">
        <v>4</v>
      </c>
      <c r="F24" s="164" t="s">
        <v>35</v>
      </c>
      <c r="G24" s="164" t="s">
        <v>35</v>
      </c>
      <c r="H24" s="164">
        <v>0</v>
      </c>
      <c r="I24" s="166">
        <v>45656</v>
      </c>
      <c r="J24" s="164">
        <v>4</v>
      </c>
      <c r="K24" s="166">
        <v>45717</v>
      </c>
      <c r="L24" s="166"/>
      <c r="M24" s="167"/>
      <c r="N24" s="168"/>
      <c r="O24" s="169"/>
      <c r="P24" s="168">
        <v>2500</v>
      </c>
      <c r="Q24" s="168">
        <f>E24*P24</f>
        <v>10000</v>
      </c>
    </row>
    <row r="25" spans="1:20" s="170" customFormat="1" x14ac:dyDescent="0.2">
      <c r="A25" s="164">
        <v>2024</v>
      </c>
      <c r="B25" s="164" t="s">
        <v>26</v>
      </c>
      <c r="C25" s="164" t="s">
        <v>93</v>
      </c>
      <c r="D25" s="165" t="s">
        <v>24</v>
      </c>
      <c r="E25" s="164">
        <v>4</v>
      </c>
      <c r="F25" s="164" t="s">
        <v>35</v>
      </c>
      <c r="G25" s="164" t="s">
        <v>35</v>
      </c>
      <c r="H25" s="164">
        <v>0</v>
      </c>
      <c r="I25" s="166">
        <f>I24</f>
        <v>45656</v>
      </c>
      <c r="J25" s="164">
        <v>4</v>
      </c>
      <c r="K25" s="166">
        <v>45717</v>
      </c>
      <c r="L25" s="166"/>
      <c r="M25" s="167"/>
      <c r="N25" s="168"/>
      <c r="O25" s="169"/>
      <c r="P25" s="168">
        <v>2137</v>
      </c>
      <c r="Q25" s="168">
        <f>E25*P25</f>
        <v>8548</v>
      </c>
    </row>
    <row r="26" spans="1:20" s="170" customFormat="1" x14ac:dyDescent="0.2">
      <c r="A26" s="164">
        <v>2024</v>
      </c>
      <c r="B26" s="164" t="s">
        <v>44</v>
      </c>
      <c r="C26" s="164" t="s">
        <v>93</v>
      </c>
      <c r="D26" s="165" t="s">
        <v>31</v>
      </c>
      <c r="E26" s="164">
        <v>500</v>
      </c>
      <c r="F26" s="164" t="s">
        <v>36</v>
      </c>
      <c r="G26" s="164" t="s">
        <v>43</v>
      </c>
      <c r="H26" s="164">
        <v>0</v>
      </c>
      <c r="I26" s="166">
        <v>45631</v>
      </c>
      <c r="J26" s="164">
        <v>1</v>
      </c>
      <c r="K26" s="166">
        <v>45631</v>
      </c>
      <c r="L26" s="166"/>
      <c r="M26" s="167"/>
      <c r="N26" s="168"/>
      <c r="O26" s="169"/>
      <c r="P26" s="168">
        <v>2105</v>
      </c>
      <c r="Q26" s="168">
        <f>E26*P26</f>
        <v>1052500</v>
      </c>
    </row>
    <row r="27" spans="1:20" s="170" customFormat="1" x14ac:dyDescent="0.2">
      <c r="A27" s="164">
        <v>2024</v>
      </c>
      <c r="B27" s="164" t="s">
        <v>47</v>
      </c>
      <c r="C27" s="164" t="s">
        <v>93</v>
      </c>
      <c r="D27" s="165" t="s">
        <v>263</v>
      </c>
      <c r="E27" s="164">
        <v>20</v>
      </c>
      <c r="F27" s="164" t="s">
        <v>36</v>
      </c>
      <c r="G27" s="164" t="s">
        <v>37</v>
      </c>
      <c r="H27" s="164">
        <v>0</v>
      </c>
      <c r="I27" s="166">
        <v>45632</v>
      </c>
      <c r="J27" s="164">
        <v>1</v>
      </c>
      <c r="K27" s="166">
        <v>45632</v>
      </c>
      <c r="L27" s="166"/>
      <c r="M27" s="167"/>
      <c r="N27" s="168"/>
      <c r="O27" s="169"/>
      <c r="P27" s="168">
        <v>2200</v>
      </c>
      <c r="Q27" s="168">
        <f>E27*P27</f>
        <v>44000</v>
      </c>
      <c r="T27" s="171"/>
    </row>
    <row r="28" spans="1:20" s="170" customFormat="1" x14ac:dyDescent="0.2">
      <c r="A28" s="164">
        <v>2024</v>
      </c>
      <c r="B28" s="164" t="s">
        <v>49</v>
      </c>
      <c r="C28" s="164" t="s">
        <v>93</v>
      </c>
      <c r="D28" s="165" t="s">
        <v>48</v>
      </c>
      <c r="E28" s="164">
        <v>500</v>
      </c>
      <c r="F28" s="164" t="s">
        <v>30</v>
      </c>
      <c r="G28" s="164" t="s">
        <v>35</v>
      </c>
      <c r="H28" s="164">
        <v>0</v>
      </c>
      <c r="I28" s="166">
        <v>45679</v>
      </c>
      <c r="J28" s="164">
        <v>1</v>
      </c>
      <c r="K28" s="166">
        <v>45679</v>
      </c>
      <c r="L28" s="166"/>
      <c r="M28" s="167"/>
      <c r="N28" s="168"/>
      <c r="O28" s="169"/>
      <c r="P28" s="168">
        <v>2000</v>
      </c>
      <c r="Q28" s="168">
        <f>E28*P28</f>
        <v>1000000</v>
      </c>
    </row>
    <row r="29" spans="1:20" s="170" customFormat="1" x14ac:dyDescent="0.2">
      <c r="A29" s="164">
        <v>2024</v>
      </c>
      <c r="B29" s="164" t="s">
        <v>91</v>
      </c>
      <c r="C29" s="164" t="s">
        <v>93</v>
      </c>
      <c r="D29" s="165" t="s">
        <v>90</v>
      </c>
      <c r="E29" s="164">
        <v>0.5</v>
      </c>
      <c r="F29" s="164" t="s">
        <v>29</v>
      </c>
      <c r="G29" s="164" t="s">
        <v>35</v>
      </c>
      <c r="H29" s="164">
        <v>0</v>
      </c>
      <c r="I29" s="166">
        <v>45708</v>
      </c>
      <c r="J29" s="164">
        <v>4</v>
      </c>
      <c r="K29" s="166">
        <v>45839</v>
      </c>
      <c r="L29" s="166"/>
      <c r="M29" s="167"/>
      <c r="N29" s="168"/>
      <c r="O29" s="169"/>
      <c r="P29" s="168">
        <v>2293.33</v>
      </c>
      <c r="Q29" s="168">
        <f>E29*P29</f>
        <v>1146.665</v>
      </c>
    </row>
    <row r="30" spans="1:20" s="170" customFormat="1" x14ac:dyDescent="0.2">
      <c r="A30" s="164">
        <v>2024</v>
      </c>
      <c r="B30" s="164" t="s">
        <v>92</v>
      </c>
      <c r="C30" s="164" t="s">
        <v>93</v>
      </c>
      <c r="D30" s="165" t="s">
        <v>90</v>
      </c>
      <c r="E30" s="164">
        <v>7</v>
      </c>
      <c r="F30" s="164" t="s">
        <v>36</v>
      </c>
      <c r="G30" s="164" t="s">
        <v>41</v>
      </c>
      <c r="H30" s="164">
        <v>0</v>
      </c>
      <c r="I30" s="166">
        <v>45708</v>
      </c>
      <c r="J30" s="164">
        <v>4</v>
      </c>
      <c r="K30" s="166">
        <v>45839</v>
      </c>
      <c r="L30" s="166"/>
      <c r="M30" s="167"/>
      <c r="N30" s="168"/>
      <c r="O30" s="169"/>
      <c r="P30" s="168">
        <v>2616.61</v>
      </c>
      <c r="Q30" s="168">
        <f>E30*P30</f>
        <v>18316.27</v>
      </c>
    </row>
    <row r="31" spans="1:20" s="170" customFormat="1" x14ac:dyDescent="0.2">
      <c r="A31" s="164">
        <v>2024</v>
      </c>
      <c r="B31" s="164" t="s">
        <v>185</v>
      </c>
      <c r="C31" s="164" t="s">
        <v>93</v>
      </c>
      <c r="D31" s="165" t="s">
        <v>98</v>
      </c>
      <c r="E31" s="164">
        <v>486.3</v>
      </c>
      <c r="F31" s="164" t="s">
        <v>35</v>
      </c>
      <c r="G31" s="164" t="s">
        <v>35</v>
      </c>
      <c r="H31" s="164">
        <v>0</v>
      </c>
      <c r="I31" s="166">
        <v>45684</v>
      </c>
      <c r="J31" s="164">
        <v>1</v>
      </c>
      <c r="K31" s="166">
        <v>45684</v>
      </c>
      <c r="L31" s="166"/>
      <c r="M31" s="167"/>
      <c r="N31" s="168"/>
      <c r="O31" s="169"/>
      <c r="P31" s="168">
        <v>810</v>
      </c>
      <c r="Q31" s="168">
        <f>E31*P31</f>
        <v>393903</v>
      </c>
    </row>
    <row r="32" spans="1:20" s="170" customFormat="1" x14ac:dyDescent="0.2">
      <c r="A32" s="164">
        <v>2024</v>
      </c>
      <c r="B32" s="164" t="s">
        <v>186</v>
      </c>
      <c r="C32" s="164" t="s">
        <v>93</v>
      </c>
      <c r="D32" s="165" t="s">
        <v>98</v>
      </c>
      <c r="E32" s="164">
        <v>632.20000000000005</v>
      </c>
      <c r="F32" s="164" t="s">
        <v>35</v>
      </c>
      <c r="G32" s="164" t="s">
        <v>35</v>
      </c>
      <c r="H32" s="164">
        <v>0</v>
      </c>
      <c r="I32" s="166">
        <v>45700</v>
      </c>
      <c r="J32" s="164">
        <v>1</v>
      </c>
      <c r="K32" s="166">
        <v>45700</v>
      </c>
      <c r="L32" s="166"/>
      <c r="M32" s="167"/>
      <c r="N32" s="168"/>
      <c r="O32" s="169"/>
      <c r="P32" s="168">
        <v>2220</v>
      </c>
      <c r="Q32" s="168">
        <f>E32*P32</f>
        <v>1403484</v>
      </c>
    </row>
    <row r="33" spans="1:17" s="170" customFormat="1" x14ac:dyDescent="0.2">
      <c r="A33" s="164">
        <v>2024</v>
      </c>
      <c r="B33" s="164" t="s">
        <v>187</v>
      </c>
      <c r="C33" s="164" t="s">
        <v>93</v>
      </c>
      <c r="D33" s="165" t="s">
        <v>98</v>
      </c>
      <c r="E33" s="164">
        <v>363</v>
      </c>
      <c r="F33" s="164" t="s">
        <v>35</v>
      </c>
      <c r="G33" s="164" t="s">
        <v>35</v>
      </c>
      <c r="H33" s="164">
        <v>0</v>
      </c>
      <c r="I33" s="166">
        <v>45684</v>
      </c>
      <c r="J33" s="164">
        <v>1</v>
      </c>
      <c r="K33" s="166">
        <v>45684</v>
      </c>
      <c r="L33" s="166"/>
      <c r="M33" s="172"/>
      <c r="N33" s="168"/>
      <c r="O33" s="173"/>
      <c r="P33" s="168">
        <v>1750</v>
      </c>
      <c r="Q33" s="168">
        <f>E33*P33</f>
        <v>635250</v>
      </c>
    </row>
    <row r="34" spans="1:17" s="170" customFormat="1" x14ac:dyDescent="0.2">
      <c r="A34" s="164">
        <v>2024</v>
      </c>
      <c r="B34" s="164" t="s">
        <v>188</v>
      </c>
      <c r="C34" s="164" t="s">
        <v>93</v>
      </c>
      <c r="D34" s="165" t="s">
        <v>98</v>
      </c>
      <c r="E34" s="164">
        <v>44.2</v>
      </c>
      <c r="F34" s="164" t="s">
        <v>35</v>
      </c>
      <c r="G34" s="164" t="s">
        <v>35</v>
      </c>
      <c r="H34" s="164">
        <v>0</v>
      </c>
      <c r="I34" s="166">
        <v>45700</v>
      </c>
      <c r="J34" s="164">
        <v>1</v>
      </c>
      <c r="K34" s="166">
        <v>45700</v>
      </c>
      <c r="L34" s="166"/>
      <c r="M34" s="172"/>
      <c r="N34" s="168"/>
      <c r="O34" s="173"/>
      <c r="P34" s="168">
        <v>2400</v>
      </c>
      <c r="Q34" s="168">
        <f>E34*P34</f>
        <v>106080</v>
      </c>
    </row>
    <row r="35" spans="1:17" s="170" customFormat="1" x14ac:dyDescent="0.2">
      <c r="A35" s="164">
        <v>2024</v>
      </c>
      <c r="B35" s="164" t="s">
        <v>262</v>
      </c>
      <c r="C35" s="164" t="s">
        <v>93</v>
      </c>
      <c r="D35" s="165" t="s">
        <v>263</v>
      </c>
      <c r="E35" s="164">
        <v>5</v>
      </c>
      <c r="F35" s="164" t="s">
        <v>35</v>
      </c>
      <c r="G35" s="164" t="s">
        <v>35</v>
      </c>
      <c r="H35" s="164">
        <v>0</v>
      </c>
      <c r="I35" s="174">
        <v>45778</v>
      </c>
      <c r="J35" s="164">
        <v>4</v>
      </c>
      <c r="K35" s="174">
        <v>45870</v>
      </c>
      <c r="L35" s="174"/>
      <c r="M35" s="172"/>
      <c r="N35" s="168"/>
      <c r="O35" s="173"/>
      <c r="P35" s="168">
        <v>2700</v>
      </c>
      <c r="Q35" s="168">
        <f>E35*P35</f>
        <v>13500</v>
      </c>
    </row>
    <row r="36" spans="1:17" x14ac:dyDescent="0.2">
      <c r="A36" s="2">
        <v>2025</v>
      </c>
      <c r="B36" s="2" t="s">
        <v>264</v>
      </c>
      <c r="C36" s="2" t="s">
        <v>46</v>
      </c>
      <c r="D36" s="165" t="s">
        <v>270</v>
      </c>
      <c r="E36" s="2">
        <v>320</v>
      </c>
      <c r="F36" s="1" t="s">
        <v>27</v>
      </c>
      <c r="G36" s="2" t="s">
        <v>40</v>
      </c>
      <c r="I36" s="175">
        <v>45870</v>
      </c>
      <c r="J36" s="164">
        <v>1</v>
      </c>
      <c r="K36" s="175">
        <f>I36+60</f>
        <v>45930</v>
      </c>
      <c r="L36" s="175"/>
      <c r="M36" s="155">
        <v>505</v>
      </c>
      <c r="N36" s="168">
        <f>M36*E36</f>
        <v>161600</v>
      </c>
      <c r="P36" s="168"/>
      <c r="Q36" s="168"/>
    </row>
    <row r="37" spans="1:17" x14ac:dyDescent="0.2">
      <c r="A37" s="2">
        <v>2025</v>
      </c>
      <c r="B37" s="2" t="s">
        <v>265</v>
      </c>
      <c r="C37" s="2" t="s">
        <v>46</v>
      </c>
      <c r="D37" s="165" t="s">
        <v>270</v>
      </c>
      <c r="E37" s="2">
        <v>320</v>
      </c>
      <c r="F37" s="1" t="s">
        <v>27</v>
      </c>
      <c r="G37" s="2" t="s">
        <v>40</v>
      </c>
      <c r="H37" s="2">
        <v>30</v>
      </c>
      <c r="I37" s="175">
        <v>45901</v>
      </c>
      <c r="J37" s="164">
        <v>1</v>
      </c>
      <c r="K37" s="175">
        <f>I37+60</f>
        <v>45961</v>
      </c>
      <c r="L37" s="155">
        <f>futuros!B5</f>
        <v>367.8</v>
      </c>
      <c r="M37" s="155">
        <f>(L37+H37)*1.3228</f>
        <v>526.20983999999999</v>
      </c>
      <c r="N37" s="168">
        <f>(E37*(M37+H37))</f>
        <v>177987.1488</v>
      </c>
    </row>
    <row r="38" spans="1:17" x14ac:dyDescent="0.2">
      <c r="A38" s="2">
        <v>2025</v>
      </c>
      <c r="B38" s="2" t="s">
        <v>266</v>
      </c>
      <c r="C38" s="2" t="s">
        <v>46</v>
      </c>
      <c r="D38" s="165" t="s">
        <v>270</v>
      </c>
      <c r="E38" s="2">
        <v>320</v>
      </c>
      <c r="F38" s="1" t="s">
        <v>27</v>
      </c>
      <c r="G38" s="2" t="s">
        <v>40</v>
      </c>
      <c r="H38" s="2">
        <v>30</v>
      </c>
      <c r="I38" s="175">
        <v>45931</v>
      </c>
      <c r="J38" s="164">
        <v>1</v>
      </c>
      <c r="K38" s="175">
        <f>I38+60</f>
        <v>45991</v>
      </c>
      <c r="L38" s="155">
        <f>L37</f>
        <v>367.8</v>
      </c>
      <c r="M38" s="155">
        <f>(L38+H38)*1.3228</f>
        <v>526.20983999999999</v>
      </c>
      <c r="N38" s="168">
        <f>(E38*(M38+H38))</f>
        <v>177987.1488</v>
      </c>
    </row>
    <row r="39" spans="1:17" x14ac:dyDescent="0.2">
      <c r="A39" s="2">
        <v>2025</v>
      </c>
      <c r="B39" s="2" t="s">
        <v>267</v>
      </c>
      <c r="C39" s="2" t="s">
        <v>46</v>
      </c>
      <c r="D39" s="165" t="s">
        <v>270</v>
      </c>
      <c r="E39" s="2">
        <v>320</v>
      </c>
      <c r="F39" s="1" t="s">
        <v>27</v>
      </c>
      <c r="G39" s="2" t="s">
        <v>40</v>
      </c>
      <c r="H39" s="2">
        <v>30</v>
      </c>
      <c r="I39" s="175">
        <v>45962</v>
      </c>
      <c r="J39" s="164">
        <v>1</v>
      </c>
      <c r="K39" s="175">
        <f>I39+60</f>
        <v>46022</v>
      </c>
      <c r="L39" s="155">
        <f>L38</f>
        <v>367.8</v>
      </c>
      <c r="M39" s="155">
        <f>(L39+H39)*1.3228</f>
        <v>526.20983999999999</v>
      </c>
      <c r="N39" s="168">
        <f>(E39*(M39+H39))</f>
        <v>177987.1488</v>
      </c>
    </row>
    <row r="40" spans="1:17" x14ac:dyDescent="0.2">
      <c r="A40" s="2">
        <v>2025</v>
      </c>
      <c r="B40" s="2" t="s">
        <v>268</v>
      </c>
      <c r="C40" s="2" t="s">
        <v>46</v>
      </c>
      <c r="D40" s="165" t="s">
        <v>270</v>
      </c>
      <c r="E40" s="2">
        <v>320</v>
      </c>
      <c r="F40" s="1" t="s">
        <v>27</v>
      </c>
      <c r="G40" s="2" t="s">
        <v>40</v>
      </c>
      <c r="H40" s="2">
        <v>30</v>
      </c>
      <c r="I40" s="175">
        <v>45992</v>
      </c>
      <c r="J40" s="164">
        <v>1</v>
      </c>
      <c r="K40" s="175">
        <f>I40+60</f>
        <v>46052</v>
      </c>
      <c r="L40" s="155">
        <f>futuros!B6</f>
        <v>360.1</v>
      </c>
      <c r="M40" s="155">
        <f>(L40+H40)*1.3228</f>
        <v>516.02427999999998</v>
      </c>
      <c r="N40" s="168">
        <f>(E40*(M40+H40))</f>
        <v>174727.7696</v>
      </c>
    </row>
    <row r="41" spans="1:17" x14ac:dyDescent="0.2">
      <c r="A41" s="2">
        <v>2025</v>
      </c>
      <c r="B41" s="2" t="s">
        <v>269</v>
      </c>
      <c r="C41" s="2" t="s">
        <v>46</v>
      </c>
      <c r="D41" s="165" t="s">
        <v>270</v>
      </c>
      <c r="E41" s="2">
        <v>320</v>
      </c>
      <c r="F41" s="1" t="s">
        <v>27</v>
      </c>
      <c r="G41" s="2" t="s">
        <v>40</v>
      </c>
      <c r="H41" s="2">
        <v>30</v>
      </c>
      <c r="I41" s="175">
        <v>46054</v>
      </c>
      <c r="J41" s="164">
        <v>1</v>
      </c>
      <c r="K41" s="175">
        <f>I41+60</f>
        <v>46114</v>
      </c>
      <c r="L41" s="155">
        <f>L40</f>
        <v>360.1</v>
      </c>
      <c r="M41" s="155">
        <f>(L41+H41)*1.3228</f>
        <v>516.02427999999998</v>
      </c>
      <c r="N41" s="168">
        <f>(E41*(M41+H41))</f>
        <v>174727.7696</v>
      </c>
    </row>
    <row r="42" spans="1:17" x14ac:dyDescent="0.2">
      <c r="N42" s="168"/>
    </row>
    <row r="43" spans="1:17" x14ac:dyDescent="0.2">
      <c r="N43" s="168"/>
    </row>
    <row r="44" spans="1:17" x14ac:dyDescent="0.2">
      <c r="N44" s="168"/>
    </row>
    <row r="45" spans="1:17" x14ac:dyDescent="0.2">
      <c r="N45" s="168"/>
    </row>
    <row r="46" spans="1:17" x14ac:dyDescent="0.2">
      <c r="N46" s="168"/>
    </row>
    <row r="47" spans="1:17" x14ac:dyDescent="0.2">
      <c r="N47" s="168"/>
    </row>
    <row r="48" spans="1:17" x14ac:dyDescent="0.2">
      <c r="N48" s="168"/>
    </row>
    <row r="49" spans="14:14" x14ac:dyDescent="0.2">
      <c r="N49" s="168"/>
    </row>
    <row r="50" spans="14:14" x14ac:dyDescent="0.2">
      <c r="N50" s="168"/>
    </row>
    <row r="51" spans="14:14" x14ac:dyDescent="0.2">
      <c r="N51" s="168"/>
    </row>
    <row r="52" spans="14:14" x14ac:dyDescent="0.2">
      <c r="N52" s="168"/>
    </row>
    <row r="53" spans="14:14" x14ac:dyDescent="0.2">
      <c r="N53" s="168"/>
    </row>
    <row r="54" spans="14:14" x14ac:dyDescent="0.2">
      <c r="N54" s="168"/>
    </row>
    <row r="55" spans="14:14" x14ac:dyDescent="0.2">
      <c r="N55" s="168"/>
    </row>
  </sheetData>
  <phoneticPr fontId="5" type="noConversion"/>
  <pageMargins left="0.7" right="0.7" top="0.75" bottom="0.75" header="0.3" footer="0.3"/>
  <pageSetup paperSize="9" orientation="portrait" horizontalDpi="0" verticalDpi="0"/>
  <ignoredErrors>
    <ignoredError sqref="O11" formulaRange="1"/>
    <ignoredError sqref="L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41" sqref="D4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87</v>
      </c>
      <c r="B1" s="154" t="s">
        <v>273</v>
      </c>
      <c r="C1" s="154" t="s">
        <v>274</v>
      </c>
      <c r="D1" s="153" t="s">
        <v>275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2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E10"/>
  <sheetViews>
    <sheetView tabSelected="1" workbookViewId="0">
      <selection activeCell="H13" sqref="H13"/>
    </sheetView>
  </sheetViews>
  <sheetFormatPr baseColWidth="10" defaultRowHeight="14" x14ac:dyDescent="0.2"/>
  <cols>
    <col min="1" max="1" width="10.83203125" style="158"/>
    <col min="2" max="2" width="10.83203125" style="155"/>
    <col min="3" max="16384" width="10.83203125" style="1"/>
  </cols>
  <sheetData>
    <row r="1" spans="1:5" x14ac:dyDescent="0.2">
      <c r="A1" s="153" t="s">
        <v>87</v>
      </c>
      <c r="B1" s="154" t="s">
        <v>274</v>
      </c>
      <c r="C1" s="154" t="s">
        <v>277</v>
      </c>
      <c r="D1" s="176">
        <v>45797</v>
      </c>
      <c r="E1" s="1" t="s">
        <v>276</v>
      </c>
    </row>
    <row r="2" spans="1:5" x14ac:dyDescent="0.2">
      <c r="A2" s="158">
        <v>45808</v>
      </c>
      <c r="B2" s="155">
        <v>378</v>
      </c>
      <c r="C2" s="155">
        <f>B2*1.3228</f>
        <v>500.01839999999999</v>
      </c>
    </row>
    <row r="3" spans="1:5" x14ac:dyDescent="0.2">
      <c r="A3" s="158">
        <v>45866</v>
      </c>
      <c r="B3" s="155">
        <v>375.75</v>
      </c>
      <c r="C3" s="155">
        <f t="shared" ref="C3:C10" si="0">B3*1.3228</f>
        <v>497.0421</v>
      </c>
    </row>
    <row r="4" spans="1:5" x14ac:dyDescent="0.2">
      <c r="A4" s="158">
        <v>45930</v>
      </c>
      <c r="B4" s="155">
        <v>373.05</v>
      </c>
      <c r="C4" s="155">
        <f t="shared" si="0"/>
        <v>493.47054000000003</v>
      </c>
    </row>
    <row r="5" spans="1:5" x14ac:dyDescent="0.2">
      <c r="A5" s="158">
        <v>46021</v>
      </c>
      <c r="B5" s="155">
        <v>367.8</v>
      </c>
      <c r="C5" s="155">
        <f t="shared" si="0"/>
        <v>486.52584000000002</v>
      </c>
    </row>
    <row r="6" spans="1:5" x14ac:dyDescent="0.2">
      <c r="A6" s="158">
        <v>46112</v>
      </c>
      <c r="B6" s="155">
        <v>360.1</v>
      </c>
      <c r="C6" s="155">
        <f t="shared" si="0"/>
        <v>476.34028000000001</v>
      </c>
    </row>
    <row r="7" spans="1:5" x14ac:dyDescent="0.2">
      <c r="A7" s="158">
        <v>46173</v>
      </c>
      <c r="B7" s="155">
        <v>352.3</v>
      </c>
      <c r="C7" s="155">
        <f t="shared" si="0"/>
        <v>466.02244000000002</v>
      </c>
    </row>
    <row r="8" spans="1:5" x14ac:dyDescent="0.2">
      <c r="A8" s="158">
        <v>46231</v>
      </c>
      <c r="B8" s="155">
        <v>340.3</v>
      </c>
      <c r="C8" s="155">
        <f t="shared" si="0"/>
        <v>450.14884000000001</v>
      </c>
    </row>
    <row r="9" spans="1:5" x14ac:dyDescent="0.2">
      <c r="A9" s="158">
        <v>46295</v>
      </c>
      <c r="B9" s="155">
        <v>325.8</v>
      </c>
      <c r="C9" s="155">
        <f t="shared" si="0"/>
        <v>430.96823999999998</v>
      </c>
    </row>
    <row r="10" spans="1:5" x14ac:dyDescent="0.2">
      <c r="A10" s="158">
        <v>46386</v>
      </c>
      <c r="B10" s="155">
        <v>314.39999999999998</v>
      </c>
      <c r="C10" s="155">
        <f t="shared" si="0"/>
        <v>415.88831999999996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6415-7DC8-7D45-94FE-89DF311CD7C6}">
  <dimension ref="A1:B13"/>
  <sheetViews>
    <sheetView workbookViewId="0">
      <selection activeCell="D13" sqref="D13"/>
    </sheetView>
  </sheetViews>
  <sheetFormatPr baseColWidth="10" defaultRowHeight="14" x14ac:dyDescent="0.2"/>
  <cols>
    <col min="1" max="16384" width="10.83203125" style="2"/>
  </cols>
  <sheetData>
    <row r="1" spans="1:2" x14ac:dyDescent="0.2">
      <c r="A1" s="2" t="s">
        <v>260</v>
      </c>
      <c r="B1" s="2" t="s">
        <v>261</v>
      </c>
    </row>
    <row r="2" spans="1:2" x14ac:dyDescent="0.2">
      <c r="A2" s="2">
        <v>26000</v>
      </c>
      <c r="B2" s="2">
        <v>5.8239999999999998</v>
      </c>
    </row>
    <row r="3" spans="1:2" x14ac:dyDescent="0.2">
      <c r="A3" s="2">
        <v>26000</v>
      </c>
      <c r="B3" s="2">
        <v>5.8239999999999998</v>
      </c>
    </row>
    <row r="4" spans="1:2" x14ac:dyDescent="0.2">
      <c r="A4" s="2">
        <v>26000</v>
      </c>
      <c r="B4" s="2">
        <v>5.7249999999999996</v>
      </c>
    </row>
    <row r="5" spans="1:2" x14ac:dyDescent="0.2">
      <c r="B5" s="2">
        <v>5.7249999999999996</v>
      </c>
    </row>
    <row r="6" spans="1:2" x14ac:dyDescent="0.2">
      <c r="A6" s="2">
        <v>26000</v>
      </c>
      <c r="B6" s="2">
        <v>6.0149999999999997</v>
      </c>
    </row>
    <row r="7" spans="1:2" x14ac:dyDescent="0.2">
      <c r="A7" s="2">
        <v>26000</v>
      </c>
      <c r="B7" s="2">
        <v>5.7249999999999996</v>
      </c>
    </row>
    <row r="8" spans="1:2" x14ac:dyDescent="0.2">
      <c r="A8" s="2">
        <v>10000</v>
      </c>
      <c r="B8" s="2">
        <v>5.8280000000000003</v>
      </c>
    </row>
    <row r="9" spans="1:2" x14ac:dyDescent="0.2">
      <c r="A9" s="2">
        <v>16000</v>
      </c>
      <c r="B9" s="2">
        <v>5.8280000000000003</v>
      </c>
    </row>
    <row r="10" spans="1:2" x14ac:dyDescent="0.2">
      <c r="A10" s="2">
        <v>3863</v>
      </c>
      <c r="B10" s="2">
        <v>5.8280000000000003</v>
      </c>
    </row>
    <row r="11" spans="1:2" x14ac:dyDescent="0.2">
      <c r="A11" s="2">
        <v>22107</v>
      </c>
      <c r="B11" s="2">
        <v>5.8280000000000003</v>
      </c>
    </row>
    <row r="13" spans="1:2" x14ac:dyDescent="0.2">
      <c r="A13" s="2">
        <f>SUM(A2:A11)</f>
        <v>181970</v>
      </c>
      <c r="B13" s="2">
        <f>SUMPRODUCT(A2:A11,B2:B11)/A13</f>
        <v>5.8241422212452596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103</v>
      </c>
    </row>
    <row r="2" spans="1:19" ht="16" thickBot="1" x14ac:dyDescent="0.25"/>
    <row r="3" spans="1:19" x14ac:dyDescent="0.2">
      <c r="A3" s="55" t="s">
        <v>104</v>
      </c>
      <c r="B3" s="56" t="s">
        <v>105</v>
      </c>
      <c r="C3" s="56" t="s">
        <v>106</v>
      </c>
      <c r="D3" s="56" t="s">
        <v>97</v>
      </c>
      <c r="E3" s="56" t="s">
        <v>107</v>
      </c>
      <c r="F3" s="56" t="s">
        <v>108</v>
      </c>
      <c r="G3" s="56" t="s">
        <v>109</v>
      </c>
      <c r="H3" s="56" t="s">
        <v>110</v>
      </c>
      <c r="I3" s="56" t="s">
        <v>111</v>
      </c>
      <c r="J3" s="57" t="s">
        <v>112</v>
      </c>
      <c r="K3" s="57" t="s">
        <v>113</v>
      </c>
      <c r="L3" s="57" t="s">
        <v>114</v>
      </c>
      <c r="M3" s="56" t="s">
        <v>115</v>
      </c>
      <c r="N3" s="159" t="s">
        <v>116</v>
      </c>
      <c r="O3" s="159"/>
      <c r="P3" s="55" t="s">
        <v>117</v>
      </c>
      <c r="Q3" s="58" t="s">
        <v>118</v>
      </c>
      <c r="R3" s="58" t="s">
        <v>119</v>
      </c>
    </row>
    <row r="4" spans="1:19" x14ac:dyDescent="0.2">
      <c r="A4" s="59">
        <v>1</v>
      </c>
      <c r="B4" s="60">
        <v>44958</v>
      </c>
      <c r="C4" s="53" t="s">
        <v>120</v>
      </c>
      <c r="D4" s="61">
        <v>44</v>
      </c>
      <c r="E4" s="53" t="s">
        <v>121</v>
      </c>
      <c r="F4" s="53" t="s">
        <v>122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120</v>
      </c>
      <c r="D5" s="61">
        <v>45</v>
      </c>
      <c r="E5" s="53" t="s">
        <v>121</v>
      </c>
      <c r="F5" s="53" t="s">
        <v>123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120</v>
      </c>
      <c r="D6" s="61">
        <v>46</v>
      </c>
      <c r="E6" s="53" t="s">
        <v>121</v>
      </c>
      <c r="F6" s="53" t="s">
        <v>124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120</v>
      </c>
      <c r="D7" s="61">
        <v>48</v>
      </c>
      <c r="E7" s="53" t="s">
        <v>121</v>
      </c>
      <c r="F7" s="53" t="s">
        <v>124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120</v>
      </c>
      <c r="D8" s="61">
        <v>47</v>
      </c>
      <c r="E8" s="53" t="s">
        <v>121</v>
      </c>
      <c r="F8" s="53" t="s">
        <v>125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120</v>
      </c>
      <c r="D9" s="61">
        <v>50</v>
      </c>
      <c r="E9" s="53" t="s">
        <v>121</v>
      </c>
      <c r="F9" s="53" t="s">
        <v>126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127</v>
      </c>
      <c r="D10" s="61">
        <v>57</v>
      </c>
      <c r="E10" s="53" t="s">
        <v>128</v>
      </c>
      <c r="F10" s="53" t="s">
        <v>129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96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127</v>
      </c>
      <c r="D11" s="61">
        <v>58</v>
      </c>
      <c r="E11" s="53" t="s">
        <v>128</v>
      </c>
      <c r="F11" s="53" t="s">
        <v>129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96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130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96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131</v>
      </c>
      <c r="D13" s="61">
        <v>163</v>
      </c>
      <c r="E13" s="53" t="s">
        <v>132</v>
      </c>
      <c r="F13" s="53" t="s">
        <v>133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96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131</v>
      </c>
      <c r="D14" s="61">
        <v>164</v>
      </c>
      <c r="E14" s="53" t="s">
        <v>132</v>
      </c>
      <c r="F14" s="53" t="s">
        <v>134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96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127</v>
      </c>
      <c r="D15" s="61">
        <v>239</v>
      </c>
      <c r="E15" s="53" t="s">
        <v>128</v>
      </c>
      <c r="F15" s="53" t="s">
        <v>135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96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127</v>
      </c>
      <c r="D16" s="61">
        <v>240</v>
      </c>
      <c r="E16" s="53" t="s">
        <v>128</v>
      </c>
      <c r="F16" s="53" t="s">
        <v>136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96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137</v>
      </c>
      <c r="D17" s="61">
        <v>254</v>
      </c>
      <c r="E17" s="53" t="s">
        <v>138</v>
      </c>
      <c r="F17" s="53" t="s">
        <v>139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96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140</v>
      </c>
      <c r="D18" s="61">
        <v>261</v>
      </c>
      <c r="E18" s="53" t="s">
        <v>141</v>
      </c>
      <c r="F18" s="53" t="s">
        <v>142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96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143</v>
      </c>
      <c r="D19" s="76">
        <v>262</v>
      </c>
      <c r="E19" s="63" t="s">
        <v>144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102</v>
      </c>
      <c r="S19" s="54" t="s">
        <v>102</v>
      </c>
    </row>
    <row r="20" spans="1:26" x14ac:dyDescent="0.2">
      <c r="A20" s="59"/>
      <c r="B20" s="54">
        <v>45314</v>
      </c>
      <c r="C20" s="53" t="s">
        <v>143</v>
      </c>
      <c r="D20" s="61">
        <v>262</v>
      </c>
      <c r="E20" s="53" t="s">
        <v>144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96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145</v>
      </c>
      <c r="D21" s="61">
        <v>263</v>
      </c>
      <c r="E21" s="53" t="s">
        <v>146</v>
      </c>
      <c r="F21" s="53" t="s">
        <v>147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96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148</v>
      </c>
      <c r="D22" s="61">
        <v>265</v>
      </c>
      <c r="E22" s="53" t="s">
        <v>149</v>
      </c>
      <c r="F22" s="53" t="s">
        <v>150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96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143</v>
      </c>
      <c r="D23" s="61">
        <v>266</v>
      </c>
      <c r="E23" s="53" t="s">
        <v>144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96</v>
      </c>
      <c r="T23" s="53" t="s">
        <v>151</v>
      </c>
      <c r="Z23" s="53" t="s">
        <v>152</v>
      </c>
    </row>
    <row r="24" spans="1:26" x14ac:dyDescent="0.2">
      <c r="A24" s="59">
        <v>14</v>
      </c>
      <c r="B24" s="54">
        <v>45349</v>
      </c>
      <c r="C24" s="53" t="s">
        <v>153</v>
      </c>
      <c r="D24" s="61">
        <v>267</v>
      </c>
      <c r="E24" s="53" t="s">
        <v>144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96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153</v>
      </c>
      <c r="D25" s="61">
        <v>267</v>
      </c>
      <c r="E25" s="53" t="s">
        <v>144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96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153</v>
      </c>
      <c r="D26" s="61">
        <v>267</v>
      </c>
      <c r="E26" s="53" t="s">
        <v>144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154</v>
      </c>
      <c r="D27" s="61" t="s">
        <v>99</v>
      </c>
      <c r="E27" s="53" t="s">
        <v>155</v>
      </c>
      <c r="F27" s="53" t="s">
        <v>156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96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157</v>
      </c>
      <c r="D28" s="61" t="s">
        <v>100</v>
      </c>
      <c r="E28" s="53" t="s">
        <v>158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96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154</v>
      </c>
      <c r="D29" s="61">
        <v>271</v>
      </c>
      <c r="E29" s="53" t="s">
        <v>159</v>
      </c>
      <c r="F29" s="53" t="s">
        <v>160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96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161</v>
      </c>
      <c r="D30" s="61">
        <v>274</v>
      </c>
      <c r="E30" s="53" t="s">
        <v>162</v>
      </c>
      <c r="F30" s="53" t="s">
        <v>163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96</v>
      </c>
      <c r="S30" s="54">
        <v>45427</v>
      </c>
      <c r="T30" s="53">
        <v>463</v>
      </c>
      <c r="U30" s="53" t="s">
        <v>256</v>
      </c>
    </row>
    <row r="31" spans="1:26" x14ac:dyDescent="0.2">
      <c r="A31" s="59">
        <v>19</v>
      </c>
      <c r="B31" s="54">
        <v>45373</v>
      </c>
      <c r="C31" s="53" t="s">
        <v>161</v>
      </c>
      <c r="D31" s="76">
        <v>275</v>
      </c>
      <c r="E31" s="53" t="s">
        <v>162</v>
      </c>
      <c r="F31" s="53" t="s">
        <v>164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96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161</v>
      </c>
      <c r="D32" s="76">
        <v>276</v>
      </c>
      <c r="E32" s="53" t="s">
        <v>162</v>
      </c>
      <c r="F32" s="53" t="s">
        <v>163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96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165</v>
      </c>
      <c r="D33" s="61">
        <v>279</v>
      </c>
      <c r="E33" s="53" t="s">
        <v>162</v>
      </c>
      <c r="F33" s="53" t="s">
        <v>166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96</v>
      </c>
      <c r="S33" s="54">
        <v>45547</v>
      </c>
      <c r="U33" s="53" t="s">
        <v>190</v>
      </c>
    </row>
    <row r="34" spans="1:21" x14ac:dyDescent="0.2">
      <c r="A34" s="59">
        <v>21</v>
      </c>
      <c r="B34" s="54">
        <v>45400</v>
      </c>
      <c r="C34" s="53" t="s">
        <v>165</v>
      </c>
      <c r="D34" s="61">
        <v>279</v>
      </c>
      <c r="E34" s="53" t="s">
        <v>162</v>
      </c>
      <c r="F34" s="53" t="s">
        <v>166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96</v>
      </c>
      <c r="S34" s="54">
        <v>45610</v>
      </c>
      <c r="U34" s="53" t="s">
        <v>191</v>
      </c>
    </row>
    <row r="35" spans="1:21" x14ac:dyDescent="0.2">
      <c r="A35" s="59">
        <v>22</v>
      </c>
      <c r="B35" s="54">
        <v>45421</v>
      </c>
      <c r="C35" s="53" t="s">
        <v>161</v>
      </c>
      <c r="D35" s="76">
        <v>283</v>
      </c>
      <c r="E35" s="53" t="s">
        <v>162</v>
      </c>
      <c r="F35" s="53" t="s">
        <v>167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96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165</v>
      </c>
      <c r="D36" s="61">
        <v>286</v>
      </c>
      <c r="E36" s="53" t="s">
        <v>162</v>
      </c>
      <c r="F36" s="53" t="s">
        <v>168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161</v>
      </c>
      <c r="D37" s="61">
        <v>288</v>
      </c>
      <c r="E37" s="53" t="s">
        <v>162</v>
      </c>
      <c r="F37" s="53" t="s">
        <v>169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96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170</v>
      </c>
      <c r="D38" s="61">
        <v>306</v>
      </c>
      <c r="E38" s="53" t="s">
        <v>171</v>
      </c>
      <c r="F38" s="53" t="s">
        <v>172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96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161</v>
      </c>
      <c r="D39" s="61">
        <v>322</v>
      </c>
      <c r="E39" s="53" t="s">
        <v>162</v>
      </c>
      <c r="F39" s="53" t="s">
        <v>173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96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174</v>
      </c>
      <c r="D40" s="61" t="s">
        <v>101</v>
      </c>
      <c r="E40" s="53" t="s">
        <v>175</v>
      </c>
      <c r="F40" s="53" t="s">
        <v>176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96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161</v>
      </c>
      <c r="D41" s="61">
        <v>424</v>
      </c>
      <c r="E41" s="53" t="s">
        <v>162</v>
      </c>
      <c r="F41" s="53" t="s">
        <v>167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96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161</v>
      </c>
      <c r="D42" s="61">
        <v>425</v>
      </c>
      <c r="E42" s="53" t="s">
        <v>162</v>
      </c>
      <c r="F42" s="53" t="s">
        <v>177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96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161</v>
      </c>
      <c r="D43" s="61">
        <v>426</v>
      </c>
      <c r="E43" s="53" t="s">
        <v>162</v>
      </c>
      <c r="F43" s="53" t="s">
        <v>177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96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161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161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161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161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178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179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96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179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96</v>
      </c>
      <c r="S50" s="54" t="s">
        <v>192</v>
      </c>
    </row>
    <row r="51" spans="1:19" x14ac:dyDescent="0.2">
      <c r="A51" s="59">
        <v>36</v>
      </c>
      <c r="B51" s="54">
        <v>45629</v>
      </c>
      <c r="C51" s="53" t="s">
        <v>179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140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96</v>
      </c>
      <c r="S52" s="54" t="s">
        <v>180</v>
      </c>
    </row>
    <row r="53" spans="1:19" x14ac:dyDescent="0.2">
      <c r="A53" s="91">
        <v>38</v>
      </c>
      <c r="B53" s="92">
        <v>45635</v>
      </c>
      <c r="C53" s="93" t="s">
        <v>181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102</v>
      </c>
    </row>
    <row r="54" spans="1:19" x14ac:dyDescent="0.2">
      <c r="A54" s="59">
        <v>39</v>
      </c>
      <c r="B54" s="54">
        <v>45637</v>
      </c>
      <c r="C54" s="53" t="s">
        <v>193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96</v>
      </c>
      <c r="S54" s="54" t="s">
        <v>194</v>
      </c>
    </row>
    <row r="55" spans="1:19" x14ac:dyDescent="0.2">
      <c r="A55" s="59">
        <v>39</v>
      </c>
      <c r="B55" s="54">
        <v>45637</v>
      </c>
      <c r="C55" s="53" t="s">
        <v>193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96</v>
      </c>
      <c r="S55" s="54" t="s">
        <v>195</v>
      </c>
    </row>
    <row r="56" spans="1:19" x14ac:dyDescent="0.2">
      <c r="A56" s="59">
        <v>39</v>
      </c>
      <c r="B56" s="54">
        <v>45637</v>
      </c>
      <c r="C56" s="53" t="s">
        <v>193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196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178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161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161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181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182</v>
      </c>
    </row>
    <row r="73" spans="1:18" ht="16" thickBot="1" x14ac:dyDescent="0.25"/>
    <row r="74" spans="1:18" x14ac:dyDescent="0.2">
      <c r="A74" s="55" t="s">
        <v>104</v>
      </c>
      <c r="B74" s="56" t="s">
        <v>105</v>
      </c>
      <c r="C74" s="56" t="s">
        <v>106</v>
      </c>
      <c r="D74" s="56" t="s">
        <v>97</v>
      </c>
      <c r="E74" s="56" t="s">
        <v>107</v>
      </c>
      <c r="F74" s="56" t="s">
        <v>108</v>
      </c>
      <c r="G74" s="58" t="s">
        <v>109</v>
      </c>
      <c r="H74" s="83"/>
      <c r="I74" s="83"/>
      <c r="J74" s="83"/>
      <c r="K74" s="83"/>
      <c r="L74" s="83"/>
      <c r="M74" s="83"/>
      <c r="N74" s="160"/>
      <c r="O74" s="160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183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184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184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189</v>
      </c>
      <c r="C2" s="104" t="s">
        <v>16</v>
      </c>
      <c r="D2" s="104" t="s">
        <v>197</v>
      </c>
      <c r="E2" s="107" t="s">
        <v>202</v>
      </c>
      <c r="F2" s="104" t="s">
        <v>199</v>
      </c>
      <c r="G2" s="105" t="s">
        <v>200</v>
      </c>
      <c r="H2" s="106" t="s">
        <v>198</v>
      </c>
      <c r="I2" s="107" t="s">
        <v>201</v>
      </c>
      <c r="J2" s="107" t="s">
        <v>203</v>
      </c>
      <c r="K2" s="109" t="s">
        <v>210</v>
      </c>
      <c r="L2" s="109" t="s">
        <v>209</v>
      </c>
      <c r="M2" s="109" t="s">
        <v>207</v>
      </c>
      <c r="N2" s="109" t="s">
        <v>208</v>
      </c>
      <c r="O2" s="109" t="s">
        <v>211</v>
      </c>
      <c r="P2" s="109" t="s">
        <v>212</v>
      </c>
      <c r="Q2" s="110" t="s">
        <v>213</v>
      </c>
    </row>
    <row r="3" spans="2:17" x14ac:dyDescent="0.2">
      <c r="B3" t="s">
        <v>22</v>
      </c>
      <c r="C3" s="50" t="s">
        <v>95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204</v>
      </c>
      <c r="C8" s="50" t="s">
        <v>205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206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214</v>
      </c>
      <c r="C20" s="112" t="s">
        <v>215</v>
      </c>
      <c r="D20" s="111" t="s">
        <v>231</v>
      </c>
      <c r="E20" s="111" t="s">
        <v>216</v>
      </c>
      <c r="F20" s="111" t="s">
        <v>217</v>
      </c>
      <c r="G20" s="111" t="s">
        <v>218</v>
      </c>
      <c r="H20" s="111" t="s">
        <v>219</v>
      </c>
      <c r="I20" s="111" t="s">
        <v>220</v>
      </c>
      <c r="J20" s="113" t="s">
        <v>23</v>
      </c>
      <c r="K20" s="114" t="s">
        <v>97</v>
      </c>
      <c r="L20" s="114" t="s">
        <v>221</v>
      </c>
      <c r="M20" s="114" t="s">
        <v>222</v>
      </c>
      <c r="N20" s="151" t="s">
        <v>223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224</v>
      </c>
      <c r="K21" s="119" t="s">
        <v>225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226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227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228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229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230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232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233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255</v>
      </c>
      <c r="O4" s="129">
        <v>132</v>
      </c>
      <c r="P4" s="129" t="s">
        <v>252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253</v>
      </c>
      <c r="O5" s="129">
        <v>300</v>
      </c>
      <c r="P5" s="129" t="s">
        <v>254</v>
      </c>
    </row>
    <row r="6" spans="2:16" s="129" customFormat="1" ht="20" customHeight="1" x14ac:dyDescent="0.2">
      <c r="B6" s="132" t="s">
        <v>235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237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238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239</v>
      </c>
      <c r="H19" s="139"/>
      <c r="I19" s="139" t="s">
        <v>240</v>
      </c>
      <c r="J19" s="138"/>
      <c r="K19" s="139" t="s">
        <v>241</v>
      </c>
      <c r="L19" s="139"/>
      <c r="M19" s="1"/>
    </row>
    <row r="20" spans="2:13" x14ac:dyDescent="0.2">
      <c r="B20" s="1"/>
      <c r="D20" s="4" t="s">
        <v>242</v>
      </c>
      <c r="E20" s="9">
        <v>13000</v>
      </c>
      <c r="F20" s="4" t="s">
        <v>243</v>
      </c>
      <c r="G20" s="1" t="s">
        <v>244</v>
      </c>
      <c r="H20" s="9"/>
      <c r="I20" s="1" t="s">
        <v>244</v>
      </c>
      <c r="J20" s="9"/>
      <c r="K20" s="1" t="s">
        <v>244</v>
      </c>
      <c r="L20" s="9"/>
      <c r="M20" s="1"/>
    </row>
    <row r="21" spans="2:13" x14ac:dyDescent="0.2">
      <c r="B21" s="1"/>
      <c r="D21" s="4" t="s">
        <v>245</v>
      </c>
      <c r="E21" s="141" t="e">
        <f>B9</f>
        <v>#REF!</v>
      </c>
      <c r="F21" s="4" t="s">
        <v>243</v>
      </c>
      <c r="G21" s="51" t="s">
        <v>246</v>
      </c>
      <c r="H21" s="130">
        <v>2000</v>
      </c>
      <c r="I21" s="51" t="s">
        <v>246</v>
      </c>
      <c r="J21" s="130">
        <v>2300</v>
      </c>
      <c r="K21" s="51" t="s">
        <v>246</v>
      </c>
      <c r="L21" s="130">
        <v>2500</v>
      </c>
      <c r="M21" s="1"/>
    </row>
    <row r="22" spans="2:13" x14ac:dyDescent="0.2">
      <c r="B22" s="1"/>
      <c r="C22" s="1"/>
      <c r="D22" s="4" t="s">
        <v>247</v>
      </c>
      <c r="E22" s="141" t="e">
        <f>E20-E21</f>
        <v>#REF!</v>
      </c>
      <c r="F22" s="4" t="s">
        <v>243</v>
      </c>
      <c r="G22" s="142"/>
      <c r="H22" s="143"/>
      <c r="M22" s="1"/>
    </row>
    <row r="23" spans="2:13" x14ac:dyDescent="0.2">
      <c r="G23" s="4" t="s">
        <v>248</v>
      </c>
      <c r="H23" s="144" t="e">
        <f>(($E$21*$E$24*1.3228*$E$25)+($E$22*H$21))/1000000</f>
        <v>#REF!</v>
      </c>
      <c r="I23" s="4" t="s">
        <v>248</v>
      </c>
      <c r="J23" s="144" t="e">
        <f>(($E$21*$E$24*1.3228*$E$25)+($E$22*J$21))/1000000</f>
        <v>#REF!</v>
      </c>
      <c r="K23" s="4" t="s">
        <v>248</v>
      </c>
      <c r="L23" s="144" t="e">
        <f>(($E$21*$E$24*1.3228*$E$25)+($E$22*L$21))/1000000</f>
        <v>#REF!</v>
      </c>
    </row>
    <row r="24" spans="2:13" x14ac:dyDescent="0.2">
      <c r="D24" s="4" t="s">
        <v>249</v>
      </c>
      <c r="E24" s="9">
        <f>H3</f>
        <v>380</v>
      </c>
      <c r="G24" s="145" t="s">
        <v>250</v>
      </c>
      <c r="H24" s="146" t="e">
        <f>($B$7-E$24)*$B$9*$E$25*1.3228/1000000</f>
        <v>#REF!</v>
      </c>
      <c r="I24" s="145" t="s">
        <v>250</v>
      </c>
      <c r="J24" s="146" t="e">
        <f>($B$7-E$24)*$B$9*$E$25*1.3228/1000000</f>
        <v>#REF!</v>
      </c>
      <c r="K24" s="145" t="s">
        <v>250</v>
      </c>
      <c r="L24" s="146" t="e">
        <f>($B$7-E$24)*$B$9*$E$25*1.3228/1000000</f>
        <v>#REF!</v>
      </c>
    </row>
    <row r="25" spans="2:13" x14ac:dyDescent="0.2">
      <c r="D25" s="4" t="s">
        <v>234</v>
      </c>
      <c r="E25" s="147">
        <f>C9</f>
        <v>5.8</v>
      </c>
      <c r="F25" s="138"/>
      <c r="G25" s="4" t="s">
        <v>251</v>
      </c>
      <c r="H25" s="146" t="e">
        <f>H23+H24</f>
        <v>#REF!</v>
      </c>
      <c r="I25" s="4" t="s">
        <v>251</v>
      </c>
      <c r="J25" s="146" t="e">
        <f>J23+J24</f>
        <v>#REF!</v>
      </c>
      <c r="K25" s="4" t="s">
        <v>251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87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161"/>
      <c r="C9" s="162"/>
      <c r="D9" s="6"/>
      <c r="E9" s="6" t="s">
        <v>52</v>
      </c>
      <c r="F9" s="6" t="s">
        <v>53</v>
      </c>
      <c r="G9" s="6" t="s">
        <v>54</v>
      </c>
      <c r="H9" s="6" t="s">
        <v>55</v>
      </c>
      <c r="I9" s="6" t="s">
        <v>56</v>
      </c>
      <c r="J9" s="6" t="s">
        <v>57</v>
      </c>
      <c r="K9" s="6" t="s">
        <v>58</v>
      </c>
      <c r="L9" s="6" t="s">
        <v>59</v>
      </c>
      <c r="M9" s="7" t="s">
        <v>60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61</v>
      </c>
      <c r="D11" s="9"/>
      <c r="E11" s="11" t="s">
        <v>62</v>
      </c>
      <c r="F11" s="9"/>
      <c r="G11" s="12" t="s">
        <v>63</v>
      </c>
      <c r="H11" s="9"/>
      <c r="I11" s="13" t="s">
        <v>64</v>
      </c>
      <c r="J11" s="14" t="s">
        <v>65</v>
      </c>
      <c r="K11" s="15" t="s">
        <v>66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67</v>
      </c>
      <c r="H12" s="9"/>
      <c r="I12" s="16" t="s">
        <v>63</v>
      </c>
      <c r="J12" s="9"/>
      <c r="K12" s="9"/>
      <c r="L12" s="9"/>
      <c r="M12" s="10"/>
    </row>
    <row r="13" spans="2:13" x14ac:dyDescent="0.2">
      <c r="B13" s="8" t="s">
        <v>68</v>
      </c>
      <c r="C13" s="9"/>
      <c r="D13" s="9"/>
      <c r="E13" s="9"/>
      <c r="F13" s="9"/>
      <c r="G13" s="9"/>
      <c r="H13" s="17" t="s">
        <v>66</v>
      </c>
      <c r="I13" s="16" t="s">
        <v>67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69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70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71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61</v>
      </c>
      <c r="D22" s="9"/>
      <c r="E22" s="9"/>
      <c r="F22" s="9"/>
      <c r="G22" s="9"/>
      <c r="H22" s="32" t="s">
        <v>72</v>
      </c>
      <c r="I22" s="9"/>
      <c r="J22" s="9"/>
      <c r="K22" s="9"/>
      <c r="L22" s="9"/>
      <c r="M22" s="10"/>
    </row>
    <row r="23" spans="2:15" x14ac:dyDescent="0.2">
      <c r="B23" s="8" t="s">
        <v>73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71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61</v>
      </c>
      <c r="D27" s="9"/>
      <c r="E27" s="9"/>
      <c r="F27" s="9"/>
      <c r="G27" s="9" t="s">
        <v>74</v>
      </c>
      <c r="H27" s="9"/>
      <c r="I27" s="9" t="s">
        <v>74</v>
      </c>
      <c r="J27" s="9"/>
      <c r="K27" s="9"/>
      <c r="L27" s="9"/>
      <c r="M27" s="10"/>
    </row>
    <row r="28" spans="2:15" x14ac:dyDescent="0.2">
      <c r="B28" s="8" t="s">
        <v>75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71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61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71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61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71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163" t="s">
        <v>78</v>
      </c>
      <c r="D43" s="163"/>
    </row>
    <row r="44" spans="2:15" x14ac:dyDescent="0.2">
      <c r="B44" s="42"/>
      <c r="C44" t="s">
        <v>79</v>
      </c>
    </row>
    <row r="45" spans="2:15" x14ac:dyDescent="0.2">
      <c r="B45" s="43"/>
      <c r="C45" s="163" t="s">
        <v>80</v>
      </c>
      <c r="D45" s="163"/>
    </row>
    <row r="46" spans="2:15" x14ac:dyDescent="0.2">
      <c r="B46" s="44"/>
      <c r="C46" t="s">
        <v>81</v>
      </c>
      <c r="I46" s="37" t="s">
        <v>82</v>
      </c>
      <c r="J46" s="37" t="s">
        <v>83</v>
      </c>
    </row>
    <row r="47" spans="2:15" x14ac:dyDescent="0.2">
      <c r="B47" s="45"/>
      <c r="C47" t="s">
        <v>84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84</v>
      </c>
    </row>
    <row r="49" spans="2:3" x14ac:dyDescent="0.2">
      <c r="B49" s="47"/>
      <c r="C49" t="s">
        <v>85</v>
      </c>
    </row>
    <row r="50" spans="2:3" x14ac:dyDescent="0.2">
      <c r="B50" s="48"/>
      <c r="C50" t="s">
        <v>86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Sheet2</vt:lpstr>
      <vt:lpstr>medias_historicas</vt:lpstr>
      <vt:lpstr>futuros</vt:lpstr>
      <vt:lpstr>cambios_southland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2025-02-25T14:19:35Z</cp:lastPrinted>
  <dcterms:created xsi:type="dcterms:W3CDTF">2024-11-20T00:40:58Z</dcterms:created>
  <dcterms:modified xsi:type="dcterms:W3CDTF">2025-05-20T14:47:52Z</dcterms:modified>
</cp:coreProperties>
</file>