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rotocastro/PycharmProjects/Vendas Cafe/"/>
    </mc:Choice>
  </mc:AlternateContent>
  <xr:revisionPtr revIDLastSave="0" documentId="13_ncr:1_{FD057F15-7A42-AE43-A1BD-B6DB2BC31CFE}" xr6:coauthVersionLast="47" xr6:coauthVersionMax="47" xr10:uidLastSave="{00000000-0000-0000-0000-000000000000}"/>
  <bookViews>
    <workbookView xWindow="400" yWindow="940" windowWidth="29000" windowHeight="16540" activeTab="1" xr2:uid="{AC82ADC5-E628-F847-8939-89BAF5623AE6}"/>
  </bookViews>
  <sheets>
    <sheet name="Sheet2 (2)" sheetId="16" state="hidden" r:id="rId1"/>
    <sheet name="Sheet2" sheetId="2" r:id="rId2"/>
    <sheet name="futuros" sheetId="14" r:id="rId3"/>
    <sheet name="hedge" sheetId="17" r:id="rId4"/>
    <sheet name="medias_historicas" sheetId="12" state="hidden" r:id="rId5"/>
    <sheet name="VENDA CAFÉ 220125" sheetId="7" state="hidden" r:id="rId6"/>
    <sheet name="DU-E" sheetId="8" state="hidden" r:id="rId7"/>
    <sheet name="hedgedez25" sheetId="10" state="hidden" r:id="rId8"/>
    <sheet name="CashFlow_Edson_Luiz" sheetId="3" state="hidden" r:id="rId9"/>
  </sheets>
  <definedNames>
    <definedName name="_xlnm._FilterDatabase" localSheetId="1" hidden="1">Sheet2!$A$1:$Q$66</definedName>
    <definedName name="_xlnm._FilterDatabase" localSheetId="5" hidden="1">'VENDA CAFÉ 220125'!$A$3:$Z$61</definedName>
    <definedName name="LITRAGEM" localSheetId="7">#REF!</definedName>
    <definedName name="LITRAGEM" localSheetId="5">#REF!</definedName>
    <definedName name="LITRAGEM">#REF!</definedName>
    <definedName name="_xlnm.Print_Area" localSheetId="5">'VENDA CAFÉ 220125'!$A$1:$S$69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0" i="2" l="1"/>
  <c r="K29" i="2"/>
  <c r="N66" i="2"/>
  <c r="N65" i="2"/>
  <c r="N54" i="2"/>
  <c r="N53" i="2"/>
  <c r="N6" i="2"/>
  <c r="M55" i="2"/>
  <c r="N55" i="2" s="1"/>
  <c r="M48" i="2"/>
  <c r="N48" i="2" s="1"/>
  <c r="K63" i="2"/>
  <c r="K62" i="2"/>
  <c r="K61" i="2"/>
  <c r="K57" i="2"/>
  <c r="K56" i="2"/>
  <c r="K55" i="2"/>
  <c r="K52" i="2"/>
  <c r="K51" i="2"/>
  <c r="K50" i="2"/>
  <c r="K49" i="2"/>
  <c r="K48" i="2"/>
  <c r="K47" i="2"/>
  <c r="H27" i="17"/>
  <c r="D27" i="17"/>
  <c r="H26" i="17"/>
  <c r="D26" i="17"/>
  <c r="F19" i="17"/>
  <c r="M15" i="17"/>
  <c r="G15" i="17"/>
  <c r="C15" i="17"/>
  <c r="D15" i="17"/>
  <c r="P9" i="2"/>
  <c r="Q9" i="2" s="1"/>
  <c r="P5" i="2"/>
  <c r="Q5" i="2" s="1"/>
  <c r="P4" i="2"/>
  <c r="Q4" i="2" s="1"/>
  <c r="P8" i="2"/>
  <c r="Q8" i="2" s="1"/>
  <c r="P3" i="2"/>
  <c r="Q3" i="2" s="1"/>
  <c r="L26" i="17" l="1"/>
  <c r="L27" i="17"/>
  <c r="L15" i="17"/>
  <c r="N15" i="17" s="1"/>
  <c r="K5" i="2"/>
  <c r="K4" i="2"/>
  <c r="K8" i="2"/>
  <c r="K3" i="2"/>
  <c r="K9" i="2"/>
  <c r="K11" i="2"/>
  <c r="K13" i="2"/>
  <c r="N5" i="2"/>
  <c r="N4" i="2"/>
  <c r="N13" i="2"/>
  <c r="O13" i="2" s="1"/>
  <c r="P13" i="2" s="1"/>
  <c r="Q13" i="2" s="1"/>
  <c r="N11" i="2"/>
  <c r="O11" i="2" s="1"/>
  <c r="P11" i="2" s="1"/>
  <c r="Q11" i="2" s="1"/>
  <c r="P29" i="2"/>
  <c r="N8" i="2"/>
  <c r="N3" i="2"/>
  <c r="Q12" i="2"/>
  <c r="Q10" i="2"/>
  <c r="N9" i="2"/>
  <c r="Q2" i="2"/>
  <c r="M64" i="2"/>
  <c r="N64" i="2" s="1"/>
  <c r="M60" i="2"/>
  <c r="N60" i="2" s="1"/>
  <c r="M59" i="2"/>
  <c r="N59" i="2" s="1"/>
  <c r="Q58" i="2" l="1"/>
  <c r="C13" i="14"/>
  <c r="C12" i="14"/>
  <c r="C11" i="14"/>
  <c r="C10" i="14"/>
  <c r="K3" i="17"/>
  <c r="K4" i="17"/>
  <c r="K5" i="17"/>
  <c r="K6" i="17"/>
  <c r="K7" i="17"/>
  <c r="K8" i="17"/>
  <c r="K9" i="17"/>
  <c r="K10" i="17"/>
  <c r="K11" i="17"/>
  <c r="K12" i="17"/>
  <c r="K13" i="17"/>
  <c r="K14" i="17"/>
  <c r="K2" i="17"/>
  <c r="H25" i="17"/>
  <c r="C14" i="14"/>
  <c r="H24" i="17"/>
  <c r="H23" i="17"/>
  <c r="H22" i="17"/>
  <c r="H21" i="17"/>
  <c r="H20" i="17"/>
  <c r="H19" i="17"/>
  <c r="H18" i="17"/>
  <c r="H17" i="17"/>
  <c r="H16" i="17"/>
  <c r="D16" i="17"/>
  <c r="D19" i="17"/>
  <c r="D22" i="17"/>
  <c r="D23" i="17"/>
  <c r="D3" i="17"/>
  <c r="L3" i="17" s="1"/>
  <c r="N3" i="17" s="1"/>
  <c r="D4" i="17"/>
  <c r="N4" i="17" s="1"/>
  <c r="D5" i="17"/>
  <c r="N5" i="17" s="1"/>
  <c r="D6" i="17"/>
  <c r="L6" i="17" s="1"/>
  <c r="N6" i="17" s="1"/>
  <c r="D7" i="17"/>
  <c r="L7" i="17" s="1"/>
  <c r="N7" i="17" s="1"/>
  <c r="D8" i="17"/>
  <c r="L8" i="17" s="1"/>
  <c r="N8" i="17" s="1"/>
  <c r="D10" i="17"/>
  <c r="L10" i="17" s="1"/>
  <c r="N10" i="17" s="1"/>
  <c r="D11" i="17"/>
  <c r="L11" i="17" s="1"/>
  <c r="N11" i="17" s="1"/>
  <c r="D13" i="17"/>
  <c r="L13" i="17" s="1"/>
  <c r="N13" i="17" s="1"/>
  <c r="D14" i="17"/>
  <c r="D2" i="17"/>
  <c r="L2" i="17" s="1"/>
  <c r="N2" i="17" s="1"/>
  <c r="F25" i="17"/>
  <c r="D25" i="17" s="1"/>
  <c r="F24" i="17"/>
  <c r="D24" i="17" s="1"/>
  <c r="F21" i="17"/>
  <c r="D21" i="17" s="1"/>
  <c r="F20" i="17"/>
  <c r="D20" i="17" s="1"/>
  <c r="F18" i="17"/>
  <c r="D18" i="17" s="1"/>
  <c r="F17" i="17"/>
  <c r="D17" i="17" s="1"/>
  <c r="M14" i="17"/>
  <c r="H14" i="17"/>
  <c r="F12" i="17"/>
  <c r="D12" i="17" s="1"/>
  <c r="L12" i="17" s="1"/>
  <c r="N12" i="17" s="1"/>
  <c r="F9" i="17"/>
  <c r="D9" i="17" s="1"/>
  <c r="L9" i="17" s="1"/>
  <c r="N9" i="17" s="1"/>
  <c r="P14" i="2"/>
  <c r="Q14" i="2" s="1"/>
  <c r="D27" i="16"/>
  <c r="D58" i="16"/>
  <c r="D25" i="16"/>
  <c r="I57" i="16"/>
  <c r="I58" i="16" s="1"/>
  <c r="N58" i="16" s="1"/>
  <c r="Q58" i="16" s="1"/>
  <c r="I25" i="16"/>
  <c r="I26" i="16" s="1"/>
  <c r="O26" i="16"/>
  <c r="O58" i="16" s="1"/>
  <c r="O27" i="16"/>
  <c r="K57" i="16"/>
  <c r="K58" i="16"/>
  <c r="O25" i="16"/>
  <c r="O57" i="16" s="1"/>
  <c r="G57" i="16"/>
  <c r="D57" i="16" s="1"/>
  <c r="G26" i="16"/>
  <c r="D26" i="16" s="1"/>
  <c r="K48" i="16"/>
  <c r="L18" i="17" l="1"/>
  <c r="L14" i="17"/>
  <c r="N14" i="17" s="1"/>
  <c r="L24" i="17"/>
  <c r="L25" i="17"/>
  <c r="L5" i="17"/>
  <c r="L17" i="17"/>
  <c r="L4" i="17"/>
  <c r="L21" i="17"/>
  <c r="L16" i="17"/>
  <c r="L20" i="17"/>
  <c r="L19" i="17"/>
  <c r="L23" i="17"/>
  <c r="L22" i="17"/>
  <c r="N25" i="16"/>
  <c r="Q25" i="16" s="1"/>
  <c r="N57" i="16"/>
  <c r="Q57" i="16" s="1"/>
  <c r="Q59" i="16" s="1"/>
  <c r="N26" i="16"/>
  <c r="Q26" i="16" s="1"/>
  <c r="D59" i="16"/>
  <c r="D28" i="16"/>
  <c r="I27" i="16"/>
  <c r="N27" i="16" s="1"/>
  <c r="Q27" i="16" s="1"/>
  <c r="N59" i="16" l="1"/>
  <c r="Q28" i="16"/>
  <c r="N28" i="16"/>
  <c r="E50" i="16" l="1"/>
  <c r="E19" i="16"/>
  <c r="P17" i="16"/>
  <c r="Q17" i="16" s="1"/>
  <c r="P18" i="16"/>
  <c r="Q18" i="16" s="1"/>
  <c r="P48" i="16"/>
  <c r="Q48" i="16" s="1"/>
  <c r="P49" i="16"/>
  <c r="Q49" i="16" s="1"/>
  <c r="P5" i="16"/>
  <c r="Q5" i="16" s="1"/>
  <c r="L16" i="16"/>
  <c r="M16" i="16" s="1"/>
  <c r="N16" i="16" s="1"/>
  <c r="K16" i="16"/>
  <c r="L15" i="16"/>
  <c r="M15" i="16" s="1"/>
  <c r="N15" i="16" s="1"/>
  <c r="K15" i="16"/>
  <c r="L14" i="16"/>
  <c r="M14" i="16" s="1"/>
  <c r="N14" i="16" s="1"/>
  <c r="K14" i="16"/>
  <c r="L13" i="16"/>
  <c r="M13" i="16" s="1"/>
  <c r="N13" i="16" s="1"/>
  <c r="K13" i="16"/>
  <c r="L12" i="16"/>
  <c r="M12" i="16" s="1"/>
  <c r="N12" i="16" s="1"/>
  <c r="K12" i="16"/>
  <c r="L11" i="16"/>
  <c r="M11" i="16" s="1"/>
  <c r="N11" i="16" s="1"/>
  <c r="K11" i="16"/>
  <c r="N49" i="16"/>
  <c r="K49" i="16"/>
  <c r="N48" i="16"/>
  <c r="N18" i="16"/>
  <c r="K18" i="16"/>
  <c r="N17" i="16"/>
  <c r="K17" i="16"/>
  <c r="L10" i="16"/>
  <c r="M10" i="16" s="1"/>
  <c r="N10" i="16" s="1"/>
  <c r="K10" i="16"/>
  <c r="L9" i="16"/>
  <c r="M9" i="16" s="1"/>
  <c r="N9" i="16" s="1"/>
  <c r="K9" i="16"/>
  <c r="K8" i="16"/>
  <c r="K7" i="16"/>
  <c r="L6" i="16"/>
  <c r="L7" i="16" s="1"/>
  <c r="K6" i="16"/>
  <c r="N5" i="16"/>
  <c r="K5" i="16"/>
  <c r="K66" i="2"/>
  <c r="K65" i="2"/>
  <c r="M62" i="2"/>
  <c r="N62" i="2" s="1"/>
  <c r="M63" i="2"/>
  <c r="N63" i="2" s="1"/>
  <c r="M61" i="2"/>
  <c r="N61" i="2" s="1"/>
  <c r="M57" i="2"/>
  <c r="N57" i="2" s="1"/>
  <c r="M56" i="2"/>
  <c r="N56" i="2" s="1"/>
  <c r="P15" i="16" l="1"/>
  <c r="Q15" i="16" s="1"/>
  <c r="N50" i="16"/>
  <c r="M50" i="16" s="1"/>
  <c r="P12" i="16"/>
  <c r="Q12" i="16" s="1"/>
  <c r="Q50" i="16"/>
  <c r="P50" i="16" s="1"/>
  <c r="P16" i="16"/>
  <c r="Q16" i="16" s="1"/>
  <c r="P14" i="16"/>
  <c r="Q14" i="16" s="1"/>
  <c r="P10" i="16"/>
  <c r="Q10" i="16" s="1"/>
  <c r="P13" i="16"/>
  <c r="Q13" i="16" s="1"/>
  <c r="P9" i="16"/>
  <c r="Q9" i="16" s="1"/>
  <c r="P11" i="16"/>
  <c r="Q11" i="16" s="1"/>
  <c r="M6" i="16"/>
  <c r="L8" i="16"/>
  <c r="M8" i="16" s="1"/>
  <c r="M7" i="16"/>
  <c r="Q46" i="2"/>
  <c r="N7" i="16" l="1"/>
  <c r="P7" i="16"/>
  <c r="Q7" i="16" s="1"/>
  <c r="N8" i="16"/>
  <c r="P8" i="16"/>
  <c r="Q8" i="16" s="1"/>
  <c r="N6" i="16"/>
  <c r="P6" i="16"/>
  <c r="Q6" i="16" s="1"/>
  <c r="M50" i="2"/>
  <c r="N50" i="2" s="1"/>
  <c r="M52" i="2"/>
  <c r="N52" i="2" s="1"/>
  <c r="N47" i="2"/>
  <c r="N17" i="2"/>
  <c r="N18" i="2"/>
  <c r="N19" i="2"/>
  <c r="N20" i="2"/>
  <c r="N21" i="2"/>
  <c r="N22" i="2"/>
  <c r="N23" i="2"/>
  <c r="N14" i="2"/>
  <c r="N15" i="2"/>
  <c r="N30" i="2"/>
  <c r="N31" i="2"/>
  <c r="N43" i="2"/>
  <c r="O43" i="2" s="1"/>
  <c r="P43" i="2" s="1"/>
  <c r="Q43" i="2" s="1"/>
  <c r="N44" i="2"/>
  <c r="O44" i="2" s="1"/>
  <c r="P44" i="2" s="1"/>
  <c r="Q44" i="2" s="1"/>
  <c r="N29" i="2"/>
  <c r="N40" i="2"/>
  <c r="N28" i="2"/>
  <c r="N7" i="2"/>
  <c r="N35" i="2"/>
  <c r="N36" i="2"/>
  <c r="N37" i="2"/>
  <c r="N16" i="2"/>
  <c r="N19" i="16" l="1"/>
  <c r="M19" i="16" s="1"/>
  <c r="Q19" i="16"/>
  <c r="P19" i="16" s="1"/>
  <c r="M51" i="2"/>
  <c r="N51" i="2" s="1"/>
  <c r="M49" i="2"/>
  <c r="N49" i="2" s="1"/>
  <c r="C2" i="14" l="1"/>
  <c r="C3" i="14"/>
  <c r="C4" i="14"/>
  <c r="C5" i="14"/>
  <c r="C6" i="14"/>
  <c r="C7" i="14"/>
  <c r="C8" i="14"/>
  <c r="C9" i="14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2" i="12"/>
  <c r="Q45" i="2" l="1"/>
  <c r="O15" i="2"/>
  <c r="P15" i="2" s="1"/>
  <c r="Q15" i="2" s="1"/>
  <c r="O6" i="2" l="1"/>
  <c r="P16" i="2" l="1"/>
  <c r="P31" i="2"/>
  <c r="Q31" i="2" s="1"/>
  <c r="P30" i="2"/>
  <c r="Q30" i="2" s="1"/>
  <c r="P6" i="2" l="1"/>
  <c r="Q6" i="2" s="1"/>
  <c r="P20" i="2"/>
  <c r="Q20" i="2" s="1"/>
  <c r="P19" i="2"/>
  <c r="Q19" i="2" s="1"/>
  <c r="P23" i="2"/>
  <c r="Q23" i="2" s="1"/>
  <c r="P22" i="2"/>
  <c r="Q22" i="2" s="1"/>
  <c r="P21" i="2"/>
  <c r="Q21" i="2" s="1"/>
  <c r="I27" i="2" l="1"/>
  <c r="I22" i="2"/>
  <c r="I23" i="2" s="1"/>
  <c r="P40" i="2"/>
  <c r="Q40" i="2" s="1"/>
  <c r="Q29" i="2"/>
  <c r="P28" i="2"/>
  <c r="Q28" i="2" s="1"/>
  <c r="O7" i="2"/>
  <c r="P7" i="2" s="1"/>
  <c r="Q7" i="2" s="1"/>
  <c r="P18" i="2"/>
  <c r="Q18" i="2" s="1"/>
  <c r="P17" i="2"/>
  <c r="Q17" i="2" s="1"/>
  <c r="Q16" i="2"/>
  <c r="Q27" i="2"/>
  <c r="Q24" i="2"/>
  <c r="Q25" i="2"/>
  <c r="Q32" i="2"/>
  <c r="Q41" i="2"/>
  <c r="Q42" i="2"/>
  <c r="Q33" i="2"/>
  <c r="Q38" i="2"/>
  <c r="Q34" i="2"/>
  <c r="Q39" i="2"/>
  <c r="Q26" i="2"/>
  <c r="L12" i="8" l="1"/>
  <c r="E25" i="10" l="1"/>
  <c r="E24" i="10"/>
  <c r="C10" i="10"/>
  <c r="C11" i="10" s="1"/>
  <c r="C12" i="10" s="1"/>
  <c r="C13" i="10" s="1"/>
  <c r="C14" i="10" s="1"/>
  <c r="C8" i="10"/>
  <c r="C7" i="10"/>
  <c r="C6" i="10" s="1"/>
  <c r="C5" i="10" s="1"/>
  <c r="C4" i="10" s="1"/>
  <c r="B7" i="10"/>
  <c r="I3" i="10"/>
  <c r="J3" i="10" s="1"/>
  <c r="K3" i="10" s="1"/>
  <c r="L3" i="10" s="1"/>
  <c r="G3" i="10"/>
  <c r="F3" i="10"/>
  <c r="E3" i="10" s="1"/>
  <c r="D3" i="10" s="1"/>
  <c r="N29" i="8" l="1"/>
  <c r="N28" i="8"/>
  <c r="N26" i="8"/>
  <c r="L25" i="8"/>
  <c r="N25" i="8" s="1"/>
  <c r="N24" i="8"/>
  <c r="N23" i="8"/>
  <c r="N22" i="8"/>
  <c r="M21" i="8"/>
  <c r="L21" i="8"/>
  <c r="N21" i="8" s="1"/>
  <c r="N34" i="8" l="1"/>
  <c r="O8" i="8"/>
  <c r="N8" i="8"/>
  <c r="Q8" i="8" s="1"/>
  <c r="O3" i="8"/>
  <c r="L6" i="8"/>
  <c r="N3" i="8"/>
  <c r="O6" i="8" l="1"/>
  <c r="P6" i="8" s="1"/>
  <c r="N6" i="8"/>
  <c r="E12" i="8"/>
  <c r="I12" i="8" s="1"/>
  <c r="E11" i="8"/>
  <c r="I11" i="8" s="1"/>
  <c r="J11" i="8" s="1"/>
  <c r="E10" i="8"/>
  <c r="I10" i="8" s="1"/>
  <c r="J10" i="8" s="1"/>
  <c r="E9" i="8"/>
  <c r="I9" i="8" s="1"/>
  <c r="J9" i="8" s="1"/>
  <c r="E8" i="8"/>
  <c r="I8" i="8" s="1"/>
  <c r="J8" i="8" s="1"/>
  <c r="E7" i="8"/>
  <c r="I7" i="8" s="1"/>
  <c r="J7" i="8" s="1"/>
  <c r="E6" i="8"/>
  <c r="I6" i="8" s="1"/>
  <c r="J6" i="8" s="1"/>
  <c r="E5" i="8"/>
  <c r="I5" i="8" s="1"/>
  <c r="J5" i="8" s="1"/>
  <c r="E4" i="8"/>
  <c r="I4" i="8" s="1"/>
  <c r="J4" i="8" s="1"/>
  <c r="E3" i="8"/>
  <c r="I3" i="8" s="1"/>
  <c r="J3" i="8" s="1"/>
  <c r="Q3" i="8" s="1"/>
  <c r="Q6" i="8" l="1"/>
  <c r="J12" i="8"/>
  <c r="G81" i="7"/>
  <c r="O69" i="7"/>
  <c r="N69" i="7"/>
  <c r="L69" i="7"/>
  <c r="K69" i="7"/>
  <c r="M61" i="7"/>
  <c r="Q61" i="7" s="1"/>
  <c r="H61" i="7"/>
  <c r="M60" i="7"/>
  <c r="Q60" i="7" s="1"/>
  <c r="H60" i="7"/>
  <c r="M59" i="7"/>
  <c r="P59" i="7" s="1"/>
  <c r="H59" i="7"/>
  <c r="M58" i="7"/>
  <c r="Q58" i="7" s="1"/>
  <c r="H58" i="7"/>
  <c r="M57" i="7"/>
  <c r="Q57" i="7" s="1"/>
  <c r="H57" i="7"/>
  <c r="M56" i="7"/>
  <c r="Q56" i="7" s="1"/>
  <c r="H56" i="7"/>
  <c r="M55" i="7"/>
  <c r="Q55" i="7" s="1"/>
  <c r="H55" i="7"/>
  <c r="M54" i="7"/>
  <c r="Q54" i="7" s="1"/>
  <c r="H54" i="7"/>
  <c r="M53" i="7"/>
  <c r="P53" i="7" s="1"/>
  <c r="H53" i="7"/>
  <c r="J52" i="7"/>
  <c r="M52" i="7" s="1"/>
  <c r="H52" i="7"/>
  <c r="M51" i="7"/>
  <c r="Q51" i="7" s="1"/>
  <c r="H51" i="7"/>
  <c r="M50" i="7"/>
  <c r="Q50" i="7" s="1"/>
  <c r="H50" i="7"/>
  <c r="M49" i="7"/>
  <c r="P49" i="7" s="1"/>
  <c r="H49" i="7"/>
  <c r="M48" i="7"/>
  <c r="Q48" i="7" s="1"/>
  <c r="H48" i="7"/>
  <c r="M47" i="7"/>
  <c r="Q47" i="7" s="1"/>
  <c r="H47" i="7"/>
  <c r="M46" i="7"/>
  <c r="Q46" i="7" s="1"/>
  <c r="H46" i="7"/>
  <c r="M45" i="7"/>
  <c r="P45" i="7" s="1"/>
  <c r="H45" i="7"/>
  <c r="M44" i="7"/>
  <c r="Q44" i="7" s="1"/>
  <c r="H44" i="7"/>
  <c r="M43" i="7"/>
  <c r="Q43" i="7" s="1"/>
  <c r="I43" i="7"/>
  <c r="H43" i="7"/>
  <c r="I42" i="7"/>
  <c r="H42" i="7" s="1"/>
  <c r="M41" i="7"/>
  <c r="Q41" i="7" s="1"/>
  <c r="I41" i="7"/>
  <c r="H41" i="7"/>
  <c r="J40" i="7"/>
  <c r="M40" i="7" s="1"/>
  <c r="I40" i="7"/>
  <c r="H40" i="7"/>
  <c r="G40" i="7"/>
  <c r="M39" i="7"/>
  <c r="P39" i="7" s="1"/>
  <c r="H39" i="7"/>
  <c r="J38" i="7"/>
  <c r="M38" i="7" s="1"/>
  <c r="Q38" i="7" s="1"/>
  <c r="H38" i="7"/>
  <c r="M37" i="7"/>
  <c r="P37" i="7" s="1"/>
  <c r="H37" i="7"/>
  <c r="M36" i="7"/>
  <c r="Q36" i="7" s="1"/>
  <c r="G36" i="7"/>
  <c r="H36" i="7" s="1"/>
  <c r="I35" i="7"/>
  <c r="M35" i="7" s="1"/>
  <c r="M34" i="7"/>
  <c r="Q34" i="7" s="1"/>
  <c r="H34" i="7"/>
  <c r="M33" i="7"/>
  <c r="Q33" i="7" s="1"/>
  <c r="H33" i="7"/>
  <c r="I32" i="7"/>
  <c r="H32" i="7" s="1"/>
  <c r="I31" i="7"/>
  <c r="M31" i="7" s="1"/>
  <c r="Q31" i="7" s="1"/>
  <c r="M30" i="7"/>
  <c r="P30" i="7" s="1"/>
  <c r="H30" i="7"/>
  <c r="M29" i="7"/>
  <c r="Q29" i="7" s="1"/>
  <c r="G29" i="7"/>
  <c r="H29" i="7" s="1"/>
  <c r="M28" i="7"/>
  <c r="P28" i="7" s="1"/>
  <c r="I28" i="7"/>
  <c r="H28" i="7"/>
  <c r="G28" i="7"/>
  <c r="M27" i="7"/>
  <c r="Q27" i="7" s="1"/>
  <c r="G27" i="7"/>
  <c r="H27" i="7" s="1"/>
  <c r="M26" i="7"/>
  <c r="Q26" i="7" s="1"/>
  <c r="H26" i="7"/>
  <c r="M25" i="7"/>
  <c r="Q25" i="7" s="1"/>
  <c r="H25" i="7"/>
  <c r="M24" i="7"/>
  <c r="Q24" i="7" s="1"/>
  <c r="H24" i="7"/>
  <c r="M23" i="7"/>
  <c r="Q23" i="7" s="1"/>
  <c r="I22" i="7"/>
  <c r="M21" i="7"/>
  <c r="Q21" i="7" s="1"/>
  <c r="H21" i="7"/>
  <c r="M20" i="7"/>
  <c r="Q20" i="7" s="1"/>
  <c r="I19" i="7"/>
  <c r="M19" i="7" s="1"/>
  <c r="Q19" i="7" s="1"/>
  <c r="I18" i="7"/>
  <c r="I17" i="7"/>
  <c r="J17" i="7" s="1"/>
  <c r="I16" i="7"/>
  <c r="J16" i="7" s="1"/>
  <c r="I15" i="7"/>
  <c r="J15" i="7" s="1"/>
  <c r="H14" i="7"/>
  <c r="G14" i="7"/>
  <c r="I14" i="7" s="1"/>
  <c r="I13" i="7"/>
  <c r="J13" i="7" s="1"/>
  <c r="M13" i="7" s="1"/>
  <c r="H13" i="7"/>
  <c r="G13" i="7"/>
  <c r="I12" i="7"/>
  <c r="M12" i="7" s="1"/>
  <c r="I11" i="7"/>
  <c r="I10" i="7"/>
  <c r="I9" i="7"/>
  <c r="M9" i="7" s="1"/>
  <c r="Q9" i="7" s="1"/>
  <c r="I8" i="7"/>
  <c r="M8" i="7" s="1"/>
  <c r="P8" i="7" s="1"/>
  <c r="I7" i="7"/>
  <c r="M7" i="7" s="1"/>
  <c r="Q7" i="7" s="1"/>
  <c r="I6" i="7"/>
  <c r="M6" i="7" s="1"/>
  <c r="P6" i="7" s="1"/>
  <c r="I5" i="7"/>
  <c r="M5" i="7" s="1"/>
  <c r="Q5" i="7" s="1"/>
  <c r="I4" i="7"/>
  <c r="M4" i="7" s="1"/>
  <c r="P4" i="7" s="1"/>
  <c r="H31" i="7" l="1"/>
  <c r="Q37" i="7"/>
  <c r="Q53" i="7"/>
  <c r="P43" i="7"/>
  <c r="P35" i="7"/>
  <c r="Q35" i="7"/>
  <c r="H35" i="7"/>
  <c r="P25" i="7"/>
  <c r="P51" i="7"/>
  <c r="P58" i="7"/>
  <c r="P60" i="7"/>
  <c r="Q45" i="7"/>
  <c r="P55" i="7"/>
  <c r="P61" i="7"/>
  <c r="P33" i="7"/>
  <c r="M17" i="7"/>
  <c r="Q28" i="7"/>
  <c r="P36" i="7"/>
  <c r="I69" i="7"/>
  <c r="P57" i="7"/>
  <c r="Q59" i="7"/>
  <c r="P20" i="7"/>
  <c r="Q30" i="7"/>
  <c r="Q49" i="7"/>
  <c r="P26" i="7"/>
  <c r="P23" i="7"/>
  <c r="P56" i="7"/>
  <c r="P54" i="7"/>
  <c r="P47" i="7"/>
  <c r="J10" i="7"/>
  <c r="M10" i="7" s="1"/>
  <c r="P21" i="7"/>
  <c r="P24" i="7"/>
  <c r="M15" i="7"/>
  <c r="Q15" i="7" s="1"/>
  <c r="P29" i="7"/>
  <c r="Q13" i="7"/>
  <c r="P13" i="7"/>
  <c r="J14" i="7"/>
  <c r="M14" i="7" s="1"/>
  <c r="Q12" i="7"/>
  <c r="P12" i="7"/>
  <c r="Q52" i="7"/>
  <c r="P52" i="7"/>
  <c r="P40" i="7"/>
  <c r="Q40" i="7"/>
  <c r="G69" i="7"/>
  <c r="P19" i="7"/>
  <c r="P27" i="7"/>
  <c r="M32" i="7"/>
  <c r="Q4" i="7"/>
  <c r="Q6" i="7"/>
  <c r="Q8" i="7"/>
  <c r="M16" i="7"/>
  <c r="P34" i="7"/>
  <c r="Q39" i="7"/>
  <c r="J18" i="7"/>
  <c r="M18" i="7" s="1"/>
  <c r="J22" i="7"/>
  <c r="M22" i="7" s="1"/>
  <c r="P44" i="7"/>
  <c r="P46" i="7"/>
  <c r="P48" i="7"/>
  <c r="P50" i="7"/>
  <c r="P5" i="7"/>
  <c r="P7" i="7"/>
  <c r="P9" i="7"/>
  <c r="J11" i="7"/>
  <c r="M11" i="7" s="1"/>
  <c r="P31" i="7"/>
  <c r="P38" i="7"/>
  <c r="P41" i="7"/>
  <c r="M42" i="7"/>
  <c r="P15" i="7" l="1"/>
  <c r="Q17" i="7"/>
  <c r="P17" i="7"/>
  <c r="P11" i="7"/>
  <c r="Q11" i="7"/>
  <c r="Q18" i="7"/>
  <c r="P18" i="7"/>
  <c r="Q32" i="7"/>
  <c r="P32" i="7"/>
  <c r="P14" i="7"/>
  <c r="Q14" i="7"/>
  <c r="Q22" i="7"/>
  <c r="P22" i="7"/>
  <c r="J69" i="7"/>
  <c r="P10" i="7"/>
  <c r="M69" i="7"/>
  <c r="Q10" i="7"/>
  <c r="Q42" i="7"/>
  <c r="P42" i="7"/>
  <c r="Q16" i="7"/>
  <c r="P16" i="7"/>
  <c r="G83" i="7"/>
  <c r="G71" i="7"/>
  <c r="H69" i="7"/>
  <c r="Q69" i="7" l="1"/>
  <c r="P69" i="7"/>
  <c r="M42" i="3" l="1"/>
  <c r="L42" i="3"/>
  <c r="K42" i="3"/>
  <c r="J42" i="3"/>
  <c r="I42" i="3"/>
  <c r="H42" i="3"/>
  <c r="I47" i="3" s="1"/>
  <c r="J47" i="3" s="1"/>
  <c r="G42" i="3"/>
  <c r="B9" i="10" l="1"/>
  <c r="E21" i="10" l="1"/>
  <c r="I14" i="10"/>
  <c r="E5" i="10"/>
  <c r="F12" i="10"/>
  <c r="I7" i="10"/>
  <c r="H24" i="10"/>
  <c r="E10" i="10"/>
  <c r="J7" i="10"/>
  <c r="L14" i="10"/>
  <c r="L7" i="10"/>
  <c r="D4" i="10"/>
  <c r="E11" i="10"/>
  <c r="J9" i="10"/>
  <c r="J6" i="10"/>
  <c r="K11" i="10"/>
  <c r="J4" i="10"/>
  <c r="J8" i="10"/>
  <c r="K12" i="10"/>
  <c r="F11" i="10"/>
  <c r="G7" i="10"/>
  <c r="G5" i="10"/>
  <c r="F10" i="10"/>
  <c r="I13" i="10"/>
  <c r="E8" i="10"/>
  <c r="F8" i="10"/>
  <c r="E6" i="10"/>
  <c r="F6" i="10"/>
  <c r="H6" i="10"/>
  <c r="K9" i="10"/>
  <c r="K7" i="10"/>
  <c r="K5" i="10"/>
  <c r="H10" i="10"/>
  <c r="G6" i="10"/>
  <c r="K8" i="10"/>
  <c r="G11" i="10"/>
  <c r="E13" i="10"/>
  <c r="D7" i="10"/>
  <c r="I9" i="10"/>
  <c r="E12" i="10"/>
  <c r="K14" i="10"/>
  <c r="H9" i="10"/>
  <c r="F14" i="10"/>
  <c r="K6" i="10"/>
  <c r="D13" i="10"/>
  <c r="G8" i="10"/>
  <c r="I4" i="10"/>
  <c r="H8" i="10"/>
  <c r="L4" i="10"/>
  <c r="F9" i="10"/>
  <c r="J5" i="10"/>
  <c r="E4" i="10"/>
  <c r="K10" i="10"/>
  <c r="D10" i="10"/>
  <c r="G14" i="10"/>
  <c r="K4" i="10"/>
  <c r="E7" i="10"/>
  <c r="L9" i="10"/>
  <c r="J24" i="10"/>
  <c r="J12" i="10"/>
  <c r="D6" i="10"/>
  <c r="I8" i="10"/>
  <c r="H13" i="10"/>
  <c r="D5" i="10"/>
  <c r="H11" i="10"/>
  <c r="G9" i="10"/>
  <c r="G10" i="10"/>
  <c r="K13" i="10"/>
  <c r="H7" i="10"/>
  <c r="L13" i="10"/>
  <c r="E9" i="10"/>
  <c r="G13" i="10"/>
  <c r="H5" i="10"/>
  <c r="D12" i="10"/>
  <c r="J14" i="10"/>
  <c r="E14" i="10"/>
  <c r="D11" i="10"/>
  <c r="L12" i="10"/>
  <c r="L10" i="10"/>
  <c r="L11" i="10"/>
  <c r="I10" i="10"/>
  <c r="F5" i="10"/>
  <c r="H12" i="10"/>
  <c r="F7" i="10"/>
  <c r="J13" i="10"/>
  <c r="L24" i="10"/>
  <c r="L6" i="10"/>
  <c r="D14" i="10"/>
  <c r="L8" i="10"/>
  <c r="I6" i="10"/>
  <c r="D9" i="10"/>
  <c r="H4" i="10"/>
  <c r="I11" i="10"/>
  <c r="J11" i="10"/>
  <c r="H14" i="10"/>
  <c r="G12" i="10"/>
  <c r="I12" i="10"/>
  <c r="F4" i="10"/>
  <c r="J10" i="10"/>
  <c r="F13" i="10"/>
  <c r="D8" i="10"/>
  <c r="G4" i="10"/>
  <c r="I5" i="10"/>
  <c r="L5" i="10"/>
  <c r="E22" i="10" l="1"/>
  <c r="L23" i="10" s="1"/>
  <c r="L25" i="10" s="1"/>
  <c r="H23" i="10" l="1"/>
  <c r="H25" i="10" s="1"/>
  <c r="J23" i="10"/>
  <c r="J25" i="10" s="1"/>
  <c r="P8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tc={E3D98B5E-7837-8841-B2F2-BBA413DD5825}</author>
  </authors>
  <commentList>
    <comment ref="I12" authorId="0" shapeId="0" xr:uid="{E3D98B5E-7837-8841-B2F2-BBA413DD5825}">
      <text>
        <t>[Threaded comment]
Your version of Excel allows you to read this threaded comment; however, any edits to it will get removed if the file is opened in a newer version of Excel. Learn more: https://go.microsoft.com/fwlink/?linkid=870924
Comment:
    diferença de depósito acima de 11365.47 usd</t>
      </text>
    </comment>
  </commentList>
</comments>
</file>

<file path=xl/sharedStrings.xml><?xml version="1.0" encoding="utf-8"?>
<sst xmlns="http://schemas.openxmlformats.org/spreadsheetml/2006/main" count="930" uniqueCount="346">
  <si>
    <t>026/24</t>
  </si>
  <si>
    <t>Unroasted</t>
  </si>
  <si>
    <t>029/24</t>
  </si>
  <si>
    <t>023/24</t>
  </si>
  <si>
    <t>028/24</t>
  </si>
  <si>
    <t>027/24</t>
  </si>
  <si>
    <t>025/24</t>
  </si>
  <si>
    <t>035/24</t>
  </si>
  <si>
    <t>030/24</t>
  </si>
  <si>
    <t>024/24</t>
  </si>
  <si>
    <t>022/24</t>
  </si>
  <si>
    <t>019/24</t>
  </si>
  <si>
    <t>018/24</t>
  </si>
  <si>
    <t>Diferencial</t>
  </si>
  <si>
    <t># Sacas</t>
  </si>
  <si>
    <t>Código</t>
  </si>
  <si>
    <t>Cliente</t>
  </si>
  <si>
    <t>Preço (u$/sc)</t>
  </si>
  <si>
    <t>Data BL</t>
  </si>
  <si>
    <t>Southland</t>
  </si>
  <si>
    <t>031/24</t>
  </si>
  <si>
    <t>032/24</t>
  </si>
  <si>
    <t>021/24</t>
  </si>
  <si>
    <t>Contratos</t>
  </si>
  <si>
    <t>Los Baristas</t>
  </si>
  <si>
    <t>033/24</t>
  </si>
  <si>
    <t>034/24</t>
  </si>
  <si>
    <t>16/18</t>
  </si>
  <si>
    <t>14/16</t>
  </si>
  <si>
    <t>Grinders</t>
  </si>
  <si>
    <t>Escolha</t>
  </si>
  <si>
    <t>Louis Dreyfus</t>
  </si>
  <si>
    <t>Vários</t>
  </si>
  <si>
    <t>Moka</t>
  </si>
  <si>
    <t>Fine Cup</t>
  </si>
  <si>
    <t>Benedictos</t>
  </si>
  <si>
    <t>Ortu Sollis</t>
  </si>
  <si>
    <t>Petrus</t>
  </si>
  <si>
    <t>Brasilis</t>
  </si>
  <si>
    <t>Essentia</t>
  </si>
  <si>
    <t>Natural</t>
  </si>
  <si>
    <t>036/24</t>
  </si>
  <si>
    <t>Exportação</t>
  </si>
  <si>
    <t>037/24</t>
  </si>
  <si>
    <t>Melitta</t>
  </si>
  <si>
    <t>038/24</t>
  </si>
  <si>
    <t>Emporia GMBH</t>
  </si>
  <si>
    <t>039/24</t>
  </si>
  <si>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</si>
  <si>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</si>
  <si>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</si>
  <si>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</si>
  <si>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</si>
  <si>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</si>
  <si>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</si>
  <si>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</si>
  <si>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</si>
  <si>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VENDA/EMBARQUE</t>
  </si>
  <si>
    <t>960 SACAS NY + 10 BL 60</t>
  </si>
  <si>
    <t>160 SACAS NY + 25 BL 90</t>
  </si>
  <si>
    <t>640 SACAS NY + 10 BL 60</t>
  </si>
  <si>
    <t>320 SACAS NY - 28 BL 60</t>
  </si>
  <si>
    <t>320 SACAS NY + 10 BL 60</t>
  </si>
  <si>
    <t>160 SACAS NY - 8 BL 60</t>
  </si>
  <si>
    <t>UNROSTED</t>
  </si>
  <si>
    <t>320 SACAS NY + 50 BL 90</t>
  </si>
  <si>
    <t>320 SACAS NY - 8 BL 90</t>
  </si>
  <si>
    <t>RECEBIMENTO</t>
  </si>
  <si>
    <t>320 SACOS NY + 25 A VISTA</t>
  </si>
  <si>
    <t>XORXOS</t>
  </si>
  <si>
    <t>320 SACAS $ 325,00 BL 30/60/90/120</t>
  </si>
  <si>
    <t>SOUTHLAND</t>
  </si>
  <si>
    <t>EXPORTACAO</t>
  </si>
  <si>
    <t>RESIDUO</t>
  </si>
  <si>
    <t>EMBARCADO E FIXADO</t>
  </si>
  <si>
    <t>EMARCADO E NÃO FIXADO TRAVA 243,16</t>
  </si>
  <si>
    <t>ESTUFADO TRAVA 240,91</t>
  </si>
  <si>
    <t>TRAVA 240,91</t>
  </si>
  <si>
    <t xml:space="preserve">DOLAR </t>
  </si>
  <si>
    <t>REAIS</t>
  </si>
  <si>
    <t>TRAVA 338,17</t>
  </si>
  <si>
    <t>TRAVA 284,30 REF MARCO TELA SEM TRAVA</t>
  </si>
  <si>
    <t>TRAVA 243,16</t>
  </si>
  <si>
    <t>Data</t>
  </si>
  <si>
    <t>040/24</t>
  </si>
  <si>
    <t>041/24</t>
  </si>
  <si>
    <t>55 Coffee</t>
  </si>
  <si>
    <t>042/24</t>
  </si>
  <si>
    <t>043/24</t>
  </si>
  <si>
    <t>Mercado Interno</t>
  </si>
  <si>
    <t>Preço (R$/sc)</t>
  </si>
  <si>
    <t>Xorxios</t>
  </si>
  <si>
    <t>OK</t>
  </si>
  <si>
    <t>NF</t>
  </si>
  <si>
    <t>Londe e Ribeiro</t>
  </si>
  <si>
    <t>268/270</t>
  </si>
  <si>
    <t>111818/111830</t>
  </si>
  <si>
    <t>323/329</t>
  </si>
  <si>
    <t>RECUSADO</t>
  </si>
  <si>
    <t>VENDAS CAFÉ SAFRA 2023/2024</t>
  </si>
  <si>
    <t>QUANT</t>
  </si>
  <si>
    <t>DATA</t>
  </si>
  <si>
    <t>CLIENTE</t>
  </si>
  <si>
    <t>TRANSPORTADOR</t>
  </si>
  <si>
    <t>PLACA</t>
  </si>
  <si>
    <t>QUANT. KG</t>
  </si>
  <si>
    <t>PREÇO/KG</t>
  </si>
  <si>
    <t>RECEITA TOTAL</t>
  </si>
  <si>
    <t>FUNRURAL</t>
  </si>
  <si>
    <t>COMISSÃO</t>
  </si>
  <si>
    <t>PREMIO</t>
  </si>
  <si>
    <t>RECEITA LIQUIDA</t>
  </si>
  <si>
    <t>DEPOSITOS</t>
  </si>
  <si>
    <t>EDSON</t>
  </si>
  <si>
    <t>MAURICIO</t>
  </si>
  <si>
    <t>SITUAÇÃO</t>
  </si>
  <si>
    <t>OLAM AGRICOLA LTDA</t>
  </si>
  <si>
    <t>FH &amp; MARTINS TRANSPORTES LTDA</t>
  </si>
  <si>
    <t>GVK6532</t>
  </si>
  <si>
    <t>GXM3495</t>
  </si>
  <si>
    <t>BTR7755</t>
  </si>
  <si>
    <t>HDI5D13</t>
  </si>
  <si>
    <t>MDI2107</t>
  </si>
  <si>
    <t>EXPERIMENTAL AGRICOLA DO BRASIL LTDA (ILLY)</t>
  </si>
  <si>
    <t>RODOCOFFEE LTDA</t>
  </si>
  <si>
    <t>KEU7764</t>
  </si>
  <si>
    <t>DANIEL CARVALHO</t>
  </si>
  <si>
    <t>CAFEBRAS COMERCIO DE CAFES DO BRASIL S/A</t>
  </si>
  <si>
    <t>TRANSPARENCY LOGISTICA E TRANSPORTES LTDA</t>
  </si>
  <si>
    <t>KTN4A79</t>
  </si>
  <si>
    <t>QXV6H94</t>
  </si>
  <si>
    <t>BXJ3679</t>
  </si>
  <si>
    <t>HJS2432</t>
  </si>
  <si>
    <t>GRANO TRADING EXPORT. E IMPORT. LTDA</t>
  </si>
  <si>
    <t>TRANSCOFFE TRANSPORTADORA LTDA</t>
  </si>
  <si>
    <t>RNE2C88</t>
  </si>
  <si>
    <t>LOUIS DREYFUS COMPANY BRASIL S.A.</t>
  </si>
  <si>
    <t>TRANSPORTADORA EUROCAFE EIRELI</t>
  </si>
  <si>
    <t>MWF6H33</t>
  </si>
  <si>
    <t xml:space="preserve">55 COFFEE HUB PRODUTOS E SERVIÇOS </t>
  </si>
  <si>
    <t>RODONAVES</t>
  </si>
  <si>
    <t>ABEX EXPORTAÇÃO E COMERCIO DE CAFÉ LTDA</t>
  </si>
  <si>
    <t>LAURO PINTO DA MOTA</t>
  </si>
  <si>
    <t>HNM3F03</t>
  </si>
  <si>
    <t>SUCAFINA BRASIL INDUSTRIA, COM. E EXPORTAÇÃO LTDA</t>
  </si>
  <si>
    <t>SOUZA E RABELO TRANSPORTES LTDA-ME</t>
  </si>
  <si>
    <t>GPY6207</t>
  </si>
  <si>
    <t>15/05 2.800,00 - 19/07 5.600,00 - 24/10 5.000,00</t>
  </si>
  <si>
    <t>realizado</t>
  </si>
  <si>
    <t>CSG MARKETING LTDA</t>
  </si>
  <si>
    <t>LONDE E RIBEIRO AGRONEGOCIOS LTDA</t>
  </si>
  <si>
    <t>DANIEL DENIS EUZEBIO</t>
  </si>
  <si>
    <t>GSH6627</t>
  </si>
  <si>
    <t>GARDINGO TRADE IMPORTAÇÃO E EXPORTAÇÃO LTDA</t>
  </si>
  <si>
    <t>COFFEETRANS TRANSPORTES LTDA</t>
  </si>
  <si>
    <t>WARLEM NUNES DA SILVA</t>
  </si>
  <si>
    <t>AQU5J91</t>
  </si>
  <si>
    <t>AW TRADING SP. Z.O.O.</t>
  </si>
  <si>
    <t>ATMA LOGISTICA E TRANSPORTES LTDA</t>
  </si>
  <si>
    <t>RMT1I17</t>
  </si>
  <si>
    <t>KQD0J21</t>
  </si>
  <si>
    <t>EMPORIA GMBH</t>
  </si>
  <si>
    <t>CPJ4128</t>
  </si>
  <si>
    <t>BRM0143</t>
  </si>
  <si>
    <t>BTS9B66</t>
  </si>
  <si>
    <t>BYH8834</t>
  </si>
  <si>
    <t>ITAH COMERCIAL EXPORTADORA LTDA</t>
  </si>
  <si>
    <t>ALESSANDRO FERREIRA DE CARVALHO</t>
  </si>
  <si>
    <t>HHK8G80</t>
  </si>
  <si>
    <t>SHF7A22</t>
  </si>
  <si>
    <t>EXPOCACCER - COOP CAFEICULTORES DO CERRADO</t>
  </si>
  <si>
    <t>VICENTE AUGUSTO LOURENÇO</t>
  </si>
  <si>
    <t>JLG2540</t>
  </si>
  <si>
    <t>SYF7A01</t>
  </si>
  <si>
    <t>SLM COFFEE PTY LTD T/AS</t>
  </si>
  <si>
    <t>MUNDO CAFÉ MAQUINAS E EQUIPAMENTOS LTDA</t>
  </si>
  <si>
    <t>05/12 E 06/12/2024</t>
  </si>
  <si>
    <t>MELITTA DO BRASIL INDUSTRIA E COMERCIO LTDA</t>
  </si>
  <si>
    <t>RETORNO CAFÉ SAFRA 2023/2024</t>
  </si>
  <si>
    <t>EDSON LUIZ IGNACIO</t>
  </si>
  <si>
    <t>CESAR</t>
  </si>
  <si>
    <t>044/24</t>
  </si>
  <si>
    <t>045/24</t>
  </si>
  <si>
    <t>046/24</t>
  </si>
  <si>
    <t>047/24</t>
  </si>
  <si>
    <t>Contrato</t>
  </si>
  <si>
    <t>305.000,00 12/09/2024</t>
  </si>
  <si>
    <t>174.205,44 14/11/2024</t>
  </si>
  <si>
    <t>02/01/25 5.5500,00</t>
  </si>
  <si>
    <t>LOS BARISTAS CASA DE CAFES LTDA</t>
  </si>
  <si>
    <t>13/12/24 4.986,02</t>
  </si>
  <si>
    <t>20/01/25 4.986,02</t>
  </si>
  <si>
    <t>XORXIOS, SL</t>
  </si>
  <si>
    <t>Invoice</t>
  </si>
  <si>
    <t>Ptax</t>
  </si>
  <si>
    <t>Nota Inicial</t>
  </si>
  <si>
    <t>Número NF</t>
  </si>
  <si>
    <t>Diferença DU-E</t>
  </si>
  <si>
    <t>DU-E</t>
  </si>
  <si>
    <t>Nota Complementar</t>
  </si>
  <si>
    <t>EDL 02/23</t>
  </si>
  <si>
    <t>Emporia</t>
  </si>
  <si>
    <t>027 e 28/24</t>
  </si>
  <si>
    <t>TX</t>
  </si>
  <si>
    <t>V.M.N.</t>
  </si>
  <si>
    <t>V.M.E.</t>
  </si>
  <si>
    <t>Número NF Comp.</t>
  </si>
  <si>
    <t>Fees</t>
  </si>
  <si>
    <t>À ver</t>
  </si>
  <si>
    <t>Variação Cambial</t>
  </si>
  <si>
    <t>ANO</t>
  </si>
  <si>
    <t>Número Documento</t>
  </si>
  <si>
    <t>Valor M. E.</t>
  </si>
  <si>
    <t>Tx. Cliente</t>
  </si>
  <si>
    <t>Valor M.N.</t>
  </si>
  <si>
    <t>Data M.N.</t>
  </si>
  <si>
    <t>Data M.E.</t>
  </si>
  <si>
    <t>Valor Nota</t>
  </si>
  <si>
    <t>TX Nota</t>
  </si>
  <si>
    <t>Variação cambial</t>
  </si>
  <si>
    <t>Unroasted 018, 019, 022</t>
  </si>
  <si>
    <t>424, 425 e 426</t>
  </si>
  <si>
    <t>Emporia 88USD</t>
  </si>
  <si>
    <t>Unroasted 016</t>
  </si>
  <si>
    <t>275, 276 e 283</t>
  </si>
  <si>
    <t>Southland 031/24</t>
  </si>
  <si>
    <t>Xorxios 021/24</t>
  </si>
  <si>
    <t>Data/Hora</t>
  </si>
  <si>
    <t>escala</t>
  </si>
  <si>
    <t>USD/KC DEZ25</t>
  </si>
  <si>
    <t>usd</t>
  </si>
  <si>
    <t>preço médio*</t>
  </si>
  <si>
    <t>* preço médio dos três contratos de hedge 17.70 @	179.00, 7.00 @196.10 e 10.60 @ 222.20.</t>
  </si>
  <si>
    <t>scs**</t>
  </si>
  <si>
    <t>** volume dos contratos em sacas</t>
  </si>
  <si>
    <t>Cenário A</t>
  </si>
  <si>
    <t>Cenário B</t>
  </si>
  <si>
    <t>Cenário C</t>
  </si>
  <si>
    <t>Produção</t>
  </si>
  <si>
    <t>scs</t>
  </si>
  <si>
    <t>Vende 10 mil a preço de tela, paga o</t>
  </si>
  <si>
    <t>Hedgeadas</t>
  </si>
  <si>
    <t>hedge. Saldo a:</t>
  </si>
  <si>
    <t>Saldo</t>
  </si>
  <si>
    <t>Receita (R$ M)</t>
  </si>
  <si>
    <t>Preço (c/lb)</t>
  </si>
  <si>
    <t>(-) Hedge</t>
  </si>
  <si>
    <t>Resultado (R$ M)</t>
  </si>
  <si>
    <t>mil dólares</t>
  </si>
  <si>
    <t>para cada 10 centavos no dólar</t>
  </si>
  <si>
    <t>mil reais</t>
  </si>
  <si>
    <t>para cada 10 pts no café</t>
  </si>
  <si>
    <t>janeiro</t>
  </si>
  <si>
    <t>PTAX</t>
  </si>
  <si>
    <t>Receita U$</t>
  </si>
  <si>
    <t>Receita R$</t>
  </si>
  <si>
    <t>050/24</t>
  </si>
  <si>
    <t>Mundo Café</t>
  </si>
  <si>
    <t>049/25</t>
  </si>
  <si>
    <t>051/25</t>
  </si>
  <si>
    <t>052/25</t>
  </si>
  <si>
    <t>053/25</t>
  </si>
  <si>
    <t>054/25</t>
  </si>
  <si>
    <t>055/25</t>
  </si>
  <si>
    <t>AW Trading - Unroasted</t>
  </si>
  <si>
    <t>Data Pagamento</t>
  </si>
  <si>
    <t>Parcelas</t>
  </si>
  <si>
    <t>BRL=X</t>
  </si>
  <si>
    <t>KC=F</t>
  </si>
  <si>
    <t>Saca (R$)</t>
  </si>
  <si>
    <t>Saca (U$)</t>
  </si>
  <si>
    <t>Preço (cts/lb) *</t>
  </si>
  <si>
    <t>Safra</t>
  </si>
  <si>
    <t>Mercado</t>
  </si>
  <si>
    <t>Peneira</t>
  </si>
  <si>
    <t>Qualidade</t>
  </si>
  <si>
    <t>048/24</t>
  </si>
  <si>
    <t>013/24</t>
  </si>
  <si>
    <t>011/24</t>
  </si>
  <si>
    <t>056/25</t>
  </si>
  <si>
    <t>057/25</t>
  </si>
  <si>
    <t>058/25</t>
  </si>
  <si>
    <t>059/25</t>
  </si>
  <si>
    <t>060/25</t>
  </si>
  <si>
    <t>061/25</t>
  </si>
  <si>
    <t>062/25</t>
  </si>
  <si>
    <t>063/25</t>
  </si>
  <si>
    <t>064/25</t>
  </si>
  <si>
    <t>065/25</t>
  </si>
  <si>
    <t>Gran Terroir</t>
  </si>
  <si>
    <t>Titulus</t>
  </si>
  <si>
    <t>Subtotal 2025</t>
  </si>
  <si>
    <t>Liq. (cts/lb)</t>
  </si>
  <si>
    <t>Vencimento</t>
  </si>
  <si>
    <t>Resultado U$</t>
  </si>
  <si>
    <t>Itaú BBA</t>
  </si>
  <si>
    <t>Rabobank</t>
  </si>
  <si>
    <t>Resultado R$</t>
  </si>
  <si>
    <t>Subtotal 2026</t>
  </si>
  <si>
    <t>Vendas Contratadas - Safra 2026</t>
  </si>
  <si>
    <t>Operações de NDF - Safra 2026</t>
  </si>
  <si>
    <t>Vendas Contratadas - Safra 2025</t>
  </si>
  <si>
    <t>Operações de NDF - Safra 2025</t>
  </si>
  <si>
    <t>Operação estruturada</t>
  </si>
  <si>
    <t>tipo</t>
  </si>
  <si>
    <t>strike (cts/lb)</t>
  </si>
  <si>
    <t>venda  de put</t>
  </si>
  <si>
    <t>compra de call</t>
  </si>
  <si>
    <t>vende call</t>
  </si>
  <si>
    <t>Sub-total Operação Estruturada</t>
  </si>
  <si>
    <t>compra de put</t>
  </si>
  <si>
    <t>venda de call</t>
  </si>
  <si>
    <t>Trava Dólar</t>
  </si>
  <si>
    <t>Liq. (ptax)</t>
  </si>
  <si>
    <t>h3/24</t>
  </si>
  <si>
    <t>-</t>
  </si>
  <si>
    <t>h6/24</t>
  </si>
  <si>
    <t>18 e 19</t>
  </si>
  <si>
    <t>22</t>
  </si>
  <si>
    <t>27 e 28</t>
  </si>
  <si>
    <t>24, 30 e 35</t>
  </si>
  <si>
    <t>21</t>
  </si>
  <si>
    <t>23 e 25</t>
  </si>
  <si>
    <t>26 e 29</t>
  </si>
  <si>
    <t>Status</t>
  </si>
  <si>
    <t>Liquidado</t>
  </si>
  <si>
    <t>Data Liq.</t>
  </si>
  <si>
    <t>Contrato Referência</t>
  </si>
  <si>
    <t>Preço (cts/lb)</t>
  </si>
  <si>
    <t>Físico</t>
  </si>
  <si>
    <t>Financeiro</t>
  </si>
  <si>
    <t>Estoque</t>
  </si>
  <si>
    <t>012/24</t>
  </si>
  <si>
    <t>002/24</t>
  </si>
  <si>
    <t>003/24</t>
  </si>
  <si>
    <t>004/24</t>
  </si>
  <si>
    <t>005/24</t>
  </si>
  <si>
    <t>014/24</t>
  </si>
  <si>
    <t>015/24</t>
  </si>
  <si>
    <t>016/24</t>
  </si>
  <si>
    <t>017/24</t>
  </si>
  <si>
    <t>020/24</t>
  </si>
  <si>
    <t>Itah</t>
  </si>
  <si>
    <t>Expocaccer</t>
  </si>
  <si>
    <t>051-055 e 065</t>
  </si>
  <si>
    <t>060-064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</si>
</sst>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"/>
    <numFmt numFmtId="167" formatCode="_-[$$-409]* #,##0.00_ ;_-[$$-409]* \-#,##0.00\ ;_-[$$-409]* &quot;-&quot;??_ ;_-@_ "/>
    <numFmt numFmtId="168" formatCode="#,##0_ ;[Red]\-#,##0\ "/>
  </numFmts>
  <fonts count="21" x14ac:knownFonts="1">
    <font>
      <sz val="12"/>
      <color theme="1"/>
      <name val="Aptos Narrow"/>
      <family val="2"/>
      <scheme val="minor"/>
    </font>
    <font>
      <sz val="10"/>
      <color theme="0"/>
      <name val="Aptos Narrow"/>
      <scheme val="minor"/>
    </font>
    <font>
      <sz val="10"/>
      <color theme="1"/>
      <name val="Aptos Narrow"/>
      <scheme val="minor"/>
    </font>
    <font>
      <b/>
      <sz val="12"/>
      <color rgb="FFFF0000"/>
      <name val="Aptos Narrow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2"/>
      <color theme="1"/>
      <name val="Aptos Narrow"/>
      <scheme val="minor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sz val="14"/>
      <color theme="0"/>
      <name val="Aptos Narrow"/>
      <scheme val="minor"/>
    </font>
    <font>
      <sz val="14"/>
      <name val="Aptos Narrow"/>
      <scheme val="minor"/>
    </font>
    <font>
      <sz val="10"/>
      <name val="Aptos Narrow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4999237037263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226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1" borderId="0" xfId="0" applyFill="1" applyAlignment="1">
      <alignment horizontal="center"/>
    </xf>
    <xf numFmtId="4" fontId="0" fillId="6" borderId="0" xfId="0" applyNumberFormat="1" applyFill="1" applyAlignment="1">
      <alignment horizontal="center"/>
    </xf>
    <xf numFmtId="4" fontId="0" fillId="7" borderId="0" xfId="0" applyNumberFormat="1" applyFill="1" applyAlignment="1">
      <alignment horizontal="center"/>
    </xf>
    <xf numFmtId="4" fontId="0" fillId="8" borderId="0" xfId="0" applyNumberFormat="1" applyFill="1" applyAlignment="1">
      <alignment horizontal="center"/>
    </xf>
    <xf numFmtId="4" fontId="0" fillId="9" borderId="0" xfId="0" applyNumberFormat="1" applyFill="1" applyAlignment="1">
      <alignment horizontal="center"/>
    </xf>
    <xf numFmtId="4" fontId="0" fillId="10" borderId="5" xfId="0" applyNumberFormat="1" applyFill="1" applyBorder="1" applyAlignment="1">
      <alignment horizontal="center"/>
    </xf>
    <xf numFmtId="167" fontId="0" fillId="2" borderId="0" xfId="0" applyNumberFormat="1" applyFill="1" applyAlignment="1">
      <alignment horizontal="center"/>
    </xf>
    <xf numFmtId="4" fontId="0" fillId="2" borderId="0" xfId="0" applyNumberFormat="1" applyFill="1" applyAlignment="1">
      <alignment horizontal="center"/>
    </xf>
    <xf numFmtId="4" fontId="0" fillId="11" borderId="0" xfId="0" applyNumberFormat="1" applyFill="1" applyAlignment="1">
      <alignment horizontal="center"/>
    </xf>
    <xf numFmtId="4" fontId="0" fillId="5" borderId="0" xfId="0" applyNumberFormat="1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4" fontId="0" fillId="2" borderId="7" xfId="0" applyNumberFormat="1" applyFill="1" applyBorder="1" applyAlignment="1">
      <alignment horizontal="center"/>
    </xf>
    <xf numFmtId="4" fontId="0" fillId="11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0" xfId="0" applyFill="1" applyAlignment="1">
      <alignment horizontal="center"/>
    </xf>
    <xf numFmtId="4" fontId="0" fillId="4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2" borderId="7" xfId="0" applyNumberFormat="1" applyFill="1" applyBorder="1" applyAlignment="1">
      <alignment horizontal="center"/>
    </xf>
    <xf numFmtId="3" fontId="0" fillId="2" borderId="8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3" fillId="0" borderId="0" xfId="0" applyNumberFormat="1" applyFont="1"/>
    <xf numFmtId="0" fontId="0" fillId="6" borderId="0" xfId="0" applyFill="1"/>
    <xf numFmtId="0" fontId="0" fillId="7" borderId="0" xfId="0" applyFill="1"/>
    <xf numFmtId="0" fontId="0" fillId="11" borderId="0" xfId="0" applyFill="1"/>
    <xf numFmtId="0" fontId="0" fillId="8" borderId="0" xfId="0" applyFill="1"/>
    <xf numFmtId="0" fontId="0" fillId="10" borderId="0" xfId="0" applyFill="1"/>
    <xf numFmtId="0" fontId="0" fillId="9" borderId="0" xfId="0" applyFill="1"/>
    <xf numFmtId="0" fontId="0" fillId="5" borderId="0" xfId="0" applyFill="1"/>
    <xf numFmtId="0" fontId="0" fillId="4" borderId="0" xfId="0" applyFill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/>
    <xf numFmtId="0" fontId="8" fillId="0" borderId="0" xfId="1" applyFont="1"/>
    <xf numFmtId="0" fontId="7" fillId="0" borderId="0" xfId="1"/>
    <xf numFmtId="14" fontId="7" fillId="0" borderId="0" xfId="1" applyNumberFormat="1"/>
    <xf numFmtId="0" fontId="7" fillId="0" borderId="1" xfId="1" applyBorder="1"/>
    <xf numFmtId="0" fontId="7" fillId="0" borderId="2" xfId="1" applyBorder="1"/>
    <xf numFmtId="0" fontId="7" fillId="11" borderId="2" xfId="1" applyFill="1" applyBorder="1"/>
    <xf numFmtId="0" fontId="7" fillId="0" borderId="3" xfId="1" applyBorder="1"/>
    <xf numFmtId="0" fontId="7" fillId="0" borderId="4" xfId="1" applyBorder="1" applyAlignment="1">
      <alignment horizontal="center"/>
    </xf>
    <xf numFmtId="14" fontId="7" fillId="0" borderId="0" xfId="1" applyNumberFormat="1" applyAlignment="1">
      <alignment horizontal="center"/>
    </xf>
    <xf numFmtId="0" fontId="7" fillId="0" borderId="0" xfId="1" applyAlignment="1">
      <alignment horizontal="center"/>
    </xf>
    <xf numFmtId="4" fontId="7" fillId="0" borderId="0" xfId="1" applyNumberFormat="1"/>
    <xf numFmtId="0" fontId="7" fillId="11" borderId="0" xfId="1" applyFill="1"/>
    <xf numFmtId="4" fontId="7" fillId="16" borderId="0" xfId="1" applyNumberFormat="1" applyFill="1"/>
    <xf numFmtId="4" fontId="7" fillId="0" borderId="0" xfId="1" applyNumberFormat="1" applyAlignment="1">
      <alignment horizontal="center"/>
    </xf>
    <xf numFmtId="4" fontId="7" fillId="0" borderId="4" xfId="1" applyNumberFormat="1" applyBorder="1"/>
    <xf numFmtId="4" fontId="7" fillId="0" borderId="5" xfId="1" applyNumberFormat="1" applyBorder="1"/>
    <xf numFmtId="0" fontId="7" fillId="0" borderId="5" xfId="1" applyBorder="1"/>
    <xf numFmtId="4" fontId="7" fillId="11" borderId="0" xfId="1" applyNumberFormat="1" applyFill="1"/>
    <xf numFmtId="4" fontId="7" fillId="6" borderId="0" xfId="1" applyNumberFormat="1" applyFill="1"/>
    <xf numFmtId="4" fontId="7" fillId="11" borderId="5" xfId="1" applyNumberFormat="1" applyFill="1" applyBorder="1"/>
    <xf numFmtId="4" fontId="9" fillId="0" borderId="0" xfId="1" applyNumberFormat="1" applyFont="1"/>
    <xf numFmtId="4" fontId="10" fillId="6" borderId="0" xfId="1" applyNumberFormat="1" applyFont="1" applyFill="1"/>
    <xf numFmtId="4" fontId="7" fillId="0" borderId="0" xfId="1" quotePrefix="1" applyNumberFormat="1"/>
    <xf numFmtId="4" fontId="7" fillId="11" borderId="0" xfId="1" quotePrefix="1" applyNumberFormat="1" applyFill="1"/>
    <xf numFmtId="0" fontId="7" fillId="11" borderId="0" xfId="1" applyFill="1" applyAlignment="1">
      <alignment horizontal="center"/>
    </xf>
    <xf numFmtId="2" fontId="7" fillId="0" borderId="0" xfId="1" applyNumberFormat="1"/>
    <xf numFmtId="0" fontId="7" fillId="0" borderId="6" xfId="1" applyBorder="1" applyAlignment="1">
      <alignment horizontal="center"/>
    </xf>
    <xf numFmtId="0" fontId="7" fillId="0" borderId="7" xfId="1" applyBorder="1"/>
    <xf numFmtId="4" fontId="7" fillId="0" borderId="7" xfId="1" applyNumberFormat="1" applyBorder="1"/>
    <xf numFmtId="4" fontId="7" fillId="0" borderId="6" xfId="1" applyNumberFormat="1" applyBorder="1"/>
    <xf numFmtId="4" fontId="7" fillId="0" borderId="8" xfId="1" applyNumberFormat="1" applyBorder="1"/>
    <xf numFmtId="0" fontId="7" fillId="2" borderId="0" xfId="1" applyFill="1"/>
    <xf numFmtId="4" fontId="7" fillId="2" borderId="0" xfId="1" applyNumberFormat="1" applyFill="1"/>
    <xf numFmtId="14" fontId="7" fillId="2" borderId="0" xfId="1" applyNumberFormat="1" applyFill="1"/>
    <xf numFmtId="0" fontId="2" fillId="2" borderId="0" xfId="0" applyFont="1" applyFill="1" applyAlignment="1">
      <alignment vertical="center"/>
    </xf>
    <xf numFmtId="0" fontId="7" fillId="11" borderId="4" xfId="1" applyFill="1" applyBorder="1" applyAlignment="1">
      <alignment horizontal="center"/>
    </xf>
    <xf numFmtId="14" fontId="7" fillId="11" borderId="0" xfId="1" applyNumberFormat="1" applyFill="1"/>
    <xf numFmtId="4" fontId="9" fillId="11" borderId="0" xfId="1" applyNumberFormat="1" applyFont="1" applyFill="1"/>
    <xf numFmtId="4" fontId="7" fillId="11" borderId="4" xfId="1" applyNumberFormat="1" applyFill="1" applyBorder="1"/>
    <xf numFmtId="0" fontId="7" fillId="15" borderId="4" xfId="1" applyFill="1" applyBorder="1" applyAlignment="1">
      <alignment horizontal="center"/>
    </xf>
    <xf numFmtId="14" fontId="7" fillId="15" borderId="0" xfId="1" applyNumberFormat="1" applyFill="1"/>
    <xf numFmtId="0" fontId="7" fillId="15" borderId="0" xfId="1" applyFill="1"/>
    <xf numFmtId="0" fontId="7" fillId="15" borderId="0" xfId="1" applyFill="1" applyAlignment="1">
      <alignment horizontal="center"/>
    </xf>
    <xf numFmtId="4" fontId="7" fillId="15" borderId="0" xfId="1" applyNumberFormat="1" applyFill="1"/>
    <xf numFmtId="4" fontId="7" fillId="15" borderId="4" xfId="1" applyNumberFormat="1" applyFill="1" applyBorder="1"/>
    <xf numFmtId="4" fontId="7" fillId="15" borderId="5" xfId="1" applyNumberFormat="1" applyFill="1" applyBorder="1"/>
    <xf numFmtId="164" fontId="0" fillId="0" borderId="0" xfId="0" applyNumberFormat="1"/>
    <xf numFmtId="16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11" fillId="3" borderId="0" xfId="0" applyFont="1" applyFill="1"/>
    <xf numFmtId="0" fontId="11" fillId="3" borderId="0" xfId="0" applyFont="1" applyFill="1" applyAlignment="1">
      <alignment horizontal="center"/>
    </xf>
    <xf numFmtId="1" fontId="11" fillId="3" borderId="0" xfId="0" applyNumberFormat="1" applyFont="1" applyFill="1" applyAlignment="1">
      <alignment horizontal="center"/>
    </xf>
    <xf numFmtId="164" fontId="11" fillId="3" borderId="0" xfId="0" applyNumberFormat="1" applyFont="1" applyFill="1" applyAlignment="1">
      <alignment horizontal="center"/>
    </xf>
    <xf numFmtId="0" fontId="11" fillId="14" borderId="0" xfId="0" applyFont="1" applyFill="1" applyAlignment="1">
      <alignment horizontal="center"/>
    </xf>
    <xf numFmtId="4" fontId="0" fillId="15" borderId="0" xfId="0" applyNumberForma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1" fillId="13" borderId="0" xfId="0" applyFont="1" applyFill="1" applyAlignment="1">
      <alignment horizontal="center"/>
    </xf>
    <xf numFmtId="0" fontId="12" fillId="13" borderId="9" xfId="0" applyFont="1" applyFill="1" applyBorder="1" applyAlignment="1">
      <alignment horizontal="center" vertical="center" wrapText="1"/>
    </xf>
    <xf numFmtId="1" fontId="12" fillId="13" borderId="9" xfId="0" applyNumberFormat="1" applyFont="1" applyFill="1" applyBorder="1" applyAlignment="1">
      <alignment horizontal="center" vertical="center" wrapText="1"/>
    </xf>
    <xf numFmtId="0" fontId="12" fillId="13" borderId="9" xfId="0" applyFont="1" applyFill="1" applyBorder="1" applyAlignment="1">
      <alignment wrapText="1"/>
    </xf>
    <xf numFmtId="0" fontId="12" fillId="13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4" fontId="0" fillId="0" borderId="0" xfId="0" applyNumberFormat="1" applyAlignment="1">
      <alignment horizontal="center" wrapText="1"/>
    </xf>
    <xf numFmtId="4" fontId="0" fillId="15" borderId="0" xfId="0" applyNumberFormat="1" applyFill="1" applyAlignment="1">
      <alignment vertical="center" wrapText="1"/>
    </xf>
    <xf numFmtId="0" fontId="0" fillId="0" borderId="0" xfId="0" applyAlignment="1">
      <alignment horizontal="left" wrapText="1"/>
    </xf>
    <xf numFmtId="1" fontId="0" fillId="0" borderId="0" xfId="0" applyNumberFormat="1" applyAlignment="1">
      <alignment wrapText="1"/>
    </xf>
    <xf numFmtId="1" fontId="13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" fontId="0" fillId="15" borderId="0" xfId="0" applyNumberFormat="1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/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2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1" fontId="14" fillId="2" borderId="0" xfId="0" applyNumberFormat="1" applyFont="1" applyFill="1" applyAlignment="1">
      <alignment horizontal="center" vertical="center"/>
    </xf>
    <xf numFmtId="165" fontId="14" fillId="2" borderId="9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/>
    <xf numFmtId="166" fontId="15" fillId="2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6" fillId="2" borderId="0" xfId="0" applyFont="1" applyFill="1" applyAlignment="1">
      <alignment horizontal="right"/>
    </xf>
    <xf numFmtId="0" fontId="0" fillId="2" borderId="0" xfId="0" applyFill="1" applyAlignment="1">
      <alignment horizontal="left"/>
    </xf>
    <xf numFmtId="166" fontId="0" fillId="2" borderId="0" xfId="0" applyNumberFormat="1" applyFill="1" applyAlignment="1">
      <alignment horizontal="center"/>
    </xf>
    <xf numFmtId="0" fontId="15" fillId="2" borderId="0" xfId="0" applyFont="1" applyFill="1" applyAlignment="1">
      <alignment horizontal="left"/>
    </xf>
    <xf numFmtId="2" fontId="0" fillId="2" borderId="0" xfId="0" applyNumberFormat="1" applyFill="1" applyAlignment="1">
      <alignment horizontal="center"/>
    </xf>
    <xf numFmtId="2" fontId="15" fillId="2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vertical="center"/>
    </xf>
    <xf numFmtId="165" fontId="2" fillId="2" borderId="0" xfId="0" applyNumberFormat="1" applyFont="1" applyFill="1"/>
    <xf numFmtId="165" fontId="2" fillId="2" borderId="0" xfId="0" applyNumberFormat="1" applyFont="1" applyFill="1" applyAlignment="1">
      <alignment vertical="center"/>
    </xf>
    <xf numFmtId="0" fontId="12" fillId="15" borderId="9" xfId="0" applyFont="1" applyFill="1" applyBorder="1" applyAlignment="1">
      <alignment horizontal="center" wrapText="1"/>
    </xf>
    <xf numFmtId="2" fontId="2" fillId="2" borderId="0" xfId="0" applyNumberFormat="1" applyFont="1" applyFill="1"/>
    <xf numFmtId="0" fontId="1" fillId="12" borderId="0" xfId="0" applyFont="1" applyFill="1" applyAlignment="1">
      <alignment horizontal="center"/>
    </xf>
    <xf numFmtId="2" fontId="1" fillId="1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3" fontId="1" fillId="12" borderId="0" xfId="0" applyNumberFormat="1" applyFont="1" applyFill="1" applyAlignment="1">
      <alignment horizontal="center"/>
    </xf>
    <xf numFmtId="165" fontId="1" fillId="12" borderId="0" xfId="0" applyNumberFormat="1" applyFont="1" applyFill="1" applyAlignment="1">
      <alignment horizontal="center"/>
    </xf>
    <xf numFmtId="17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165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/>
    <xf numFmtId="14" fontId="2" fillId="2" borderId="0" xfId="0" applyNumberFormat="1" applyFont="1" applyFill="1" applyAlignment="1">
      <alignment horizontal="center"/>
    </xf>
    <xf numFmtId="0" fontId="16" fillId="2" borderId="0" xfId="0" applyFont="1" applyFill="1"/>
    <xf numFmtId="0" fontId="16" fillId="2" borderId="0" xfId="0" applyFont="1" applyFill="1" applyAlignment="1">
      <alignment horizontal="center"/>
    </xf>
    <xf numFmtId="2" fontId="16" fillId="2" borderId="0" xfId="0" applyNumberFormat="1" applyFont="1" applyFill="1"/>
    <xf numFmtId="165" fontId="16" fillId="2" borderId="0" xfId="0" applyNumberFormat="1" applyFont="1" applyFill="1"/>
    <xf numFmtId="3" fontId="16" fillId="2" borderId="0" xfId="0" applyNumberFormat="1" applyFont="1" applyFill="1" applyAlignment="1">
      <alignment horizontal="center"/>
    </xf>
    <xf numFmtId="0" fontId="17" fillId="2" borderId="10" xfId="0" applyFont="1" applyFill="1" applyBorder="1"/>
    <xf numFmtId="0" fontId="16" fillId="2" borderId="10" xfId="0" applyFont="1" applyFill="1" applyBorder="1" applyAlignment="1">
      <alignment horizontal="center"/>
    </xf>
    <xf numFmtId="0" fontId="16" fillId="2" borderId="10" xfId="0" applyFont="1" applyFill="1" applyBorder="1"/>
    <xf numFmtId="0" fontId="18" fillId="12" borderId="0" xfId="0" applyFont="1" applyFill="1" applyAlignment="1">
      <alignment horizontal="center"/>
    </xf>
    <xf numFmtId="2" fontId="18" fillId="12" borderId="0" xfId="0" applyNumberFormat="1" applyFont="1" applyFill="1" applyAlignment="1">
      <alignment horizontal="center"/>
    </xf>
    <xf numFmtId="165" fontId="18" fillId="12" borderId="0" xfId="0" applyNumberFormat="1" applyFont="1" applyFill="1" applyAlignment="1">
      <alignment horizontal="center"/>
    </xf>
    <xf numFmtId="3" fontId="18" fillId="1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/>
    </xf>
    <xf numFmtId="17" fontId="16" fillId="2" borderId="0" xfId="0" applyNumberFormat="1" applyFont="1" applyFill="1" applyAlignment="1">
      <alignment horizontal="center"/>
    </xf>
    <xf numFmtId="2" fontId="16" fillId="2" borderId="0" xfId="0" applyNumberFormat="1" applyFont="1" applyFill="1" applyAlignment="1">
      <alignment horizontal="center"/>
    </xf>
    <xf numFmtId="165" fontId="16" fillId="2" borderId="0" xfId="0" applyNumberFormat="1" applyFont="1" applyFill="1" applyAlignment="1">
      <alignment horizontal="center"/>
    </xf>
    <xf numFmtId="0" fontId="17" fillId="17" borderId="0" xfId="0" applyFont="1" applyFill="1" applyAlignment="1">
      <alignment horizontal="center"/>
    </xf>
    <xf numFmtId="0" fontId="17" fillId="17" borderId="0" xfId="0" applyFont="1" applyFill="1" applyAlignment="1">
      <alignment horizontal="left"/>
    </xf>
    <xf numFmtId="17" fontId="17" fillId="17" borderId="0" xfId="0" applyNumberFormat="1" applyFont="1" applyFill="1" applyAlignment="1">
      <alignment horizontal="center"/>
    </xf>
    <xf numFmtId="2" fontId="17" fillId="17" borderId="0" xfId="0" applyNumberFormat="1" applyFont="1" applyFill="1" applyAlignment="1">
      <alignment horizontal="center"/>
    </xf>
    <xf numFmtId="1" fontId="17" fillId="17" borderId="0" xfId="0" applyNumberFormat="1" applyFont="1" applyFill="1" applyAlignment="1">
      <alignment horizontal="center"/>
    </xf>
    <xf numFmtId="165" fontId="17" fillId="17" borderId="0" xfId="0" applyNumberFormat="1" applyFont="1" applyFill="1" applyAlignment="1">
      <alignment horizontal="center"/>
    </xf>
    <xf numFmtId="3" fontId="17" fillId="17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0" xfId="0" applyFont="1" applyFill="1" applyAlignment="1">
      <alignment horizontal="left"/>
    </xf>
    <xf numFmtId="17" fontId="17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1" fontId="17" fillId="2" borderId="0" xfId="0" applyNumberFormat="1" applyFont="1" applyFill="1" applyAlignment="1">
      <alignment horizontal="center"/>
    </xf>
    <xf numFmtId="165" fontId="17" fillId="2" borderId="0" xfId="0" applyNumberFormat="1" applyFont="1" applyFill="1" applyAlignment="1">
      <alignment horizontal="center"/>
    </xf>
    <xf numFmtId="3" fontId="17" fillId="2" borderId="0" xfId="0" applyNumberFormat="1" applyFont="1" applyFill="1" applyAlignment="1">
      <alignment horizontal="center"/>
    </xf>
    <xf numFmtId="0" fontId="18" fillId="3" borderId="0" xfId="0" applyFont="1" applyFill="1"/>
    <xf numFmtId="0" fontId="18" fillId="3" borderId="0" xfId="0" applyFont="1" applyFill="1" applyAlignment="1">
      <alignment horizontal="center"/>
    </xf>
    <xf numFmtId="3" fontId="18" fillId="3" borderId="0" xfId="0" applyNumberFormat="1" applyFont="1" applyFill="1" applyAlignment="1">
      <alignment horizontal="center"/>
    </xf>
    <xf numFmtId="1" fontId="16" fillId="2" borderId="0" xfId="0" applyNumberFormat="1" applyFont="1" applyFill="1" applyAlignment="1">
      <alignment horizontal="center"/>
    </xf>
    <xf numFmtId="14" fontId="16" fillId="2" borderId="0" xfId="0" applyNumberFormat="1" applyFont="1" applyFill="1" applyAlignment="1">
      <alignment horizontal="center"/>
    </xf>
    <xf numFmtId="168" fontId="19" fillId="2" borderId="0" xfId="0" applyNumberFormat="1" applyFont="1" applyFill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2" fontId="16" fillId="2" borderId="10" xfId="0" applyNumberFormat="1" applyFont="1" applyFill="1" applyBorder="1" applyAlignment="1">
      <alignment horizontal="center"/>
    </xf>
    <xf numFmtId="0" fontId="17" fillId="17" borderId="11" xfId="0" applyFont="1" applyFill="1" applyBorder="1" applyAlignment="1">
      <alignment horizontal="center"/>
    </xf>
    <xf numFmtId="1" fontId="17" fillId="17" borderId="11" xfId="0" applyNumberFormat="1" applyFont="1" applyFill="1" applyBorder="1" applyAlignment="1">
      <alignment horizontal="center"/>
    </xf>
    <xf numFmtId="0" fontId="17" fillId="2" borderId="10" xfId="0" applyFont="1" applyFill="1" applyBorder="1" applyAlignment="1">
      <alignment horizontal="left"/>
    </xf>
    <xf numFmtId="3" fontId="17" fillId="2" borderId="10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17" fillId="17" borderId="0" xfId="0" applyFont="1" applyFill="1"/>
    <xf numFmtId="168" fontId="17" fillId="17" borderId="0" xfId="0" applyNumberFormat="1" applyFont="1" applyFill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0" xfId="0" applyFont="1" applyFill="1" applyBorder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168" fontId="20" fillId="2" borderId="0" xfId="0" applyNumberFormat="1" applyFont="1" applyFill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2" fontId="2" fillId="2" borderId="10" xfId="0" applyNumberFormat="1" applyFont="1" applyFill="1" applyBorder="1" applyAlignment="1">
      <alignment horizontal="center"/>
    </xf>
    <xf numFmtId="165" fontId="2" fillId="2" borderId="10" xfId="0" applyNumberFormat="1" applyFont="1" applyFill="1" applyBorder="1" applyAlignment="1">
      <alignment horizontal="center"/>
    </xf>
    <xf numFmtId="14" fontId="2" fillId="2" borderId="10" xfId="0" applyNumberFormat="1" applyFont="1" applyFill="1" applyBorder="1" applyAlignment="1">
      <alignment horizontal="center"/>
    </xf>
    <xf numFmtId="168" fontId="20" fillId="2" borderId="10" xfId="0" applyNumberFormat="1" applyFont="1" applyFill="1" applyBorder="1" applyAlignment="1">
      <alignment horizontal="center"/>
    </xf>
    <xf numFmtId="0" fontId="7" fillId="0" borderId="2" xfId="1" applyBorder="1" applyAlignment="1">
      <alignment horizontal="center"/>
    </xf>
    <xf numFmtId="0" fontId="7" fillId="2" borderId="0" xfId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/>
  </cellXfs>
  <cellStyles count="2">
    <cellStyle name="Normal" xfId="0" builtinId="0"/>
    <cellStyle name="Normal 2" xfId="1" xr:uid="{FBDE122D-F9BE-AE4A-91C0-5CA92DAE08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34</xdr:row>
      <xdr:rowOff>0</xdr:rowOff>
    </xdr:from>
    <xdr:to>
      <xdr:col>3</xdr:col>
      <xdr:colOff>304800</xdr:colOff>
      <xdr:row>35</xdr:row>
      <xdr:rowOff>56242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010D6040-3448-2F40-B170-35725948C737}"/>
            </a:ext>
          </a:extLst>
        </xdr:cNvPr>
        <xdr:cNvSpPr>
          <a:spLocks noChangeAspect="1" noChangeArrowheads="1"/>
        </xdr:cNvSpPr>
      </xdr:nvSpPr>
      <xdr:spPr bwMode="auto">
        <a:xfrm>
          <a:off x="3136900" y="30721300"/>
          <a:ext cx="304800" cy="297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dolfo Castro" id="{13DA6435-8028-7E4E-8BAC-E13216844B55}" userId="cee4aa5b88c061f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2" dT="2025-02-05T10:37:41.33" personId="{13DA6435-8028-7E4E-8BAC-E13216844B55}" id="{E3D98B5E-7837-8841-B2F2-BBA413DD5825}">
    <text>diferença de depósito acima de 11365.47 usd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49D69-5462-9C4C-81AE-AC1D4E7D375B}">
  <sheetPr>
    <pageSetUpPr fitToPage="1"/>
  </sheetPr>
  <dimension ref="B2:T74"/>
  <sheetViews>
    <sheetView zoomScale="80" zoomScaleNormal="80" workbookViewId="0">
      <selection activeCell="Q42" sqref="B2:Q42"/>
    </sheetView>
  </sheetViews>
  <sheetFormatPr baseColWidth="10" defaultRowHeight="19" x14ac:dyDescent="0.25"/>
  <cols>
    <col min="1" max="1" width="10.83203125" style="163"/>
    <col min="2" max="2" width="12.5" style="163" customWidth="1"/>
    <col min="3" max="3" width="12.6640625" style="164" bestFit="1" customWidth="1"/>
    <col min="4" max="4" width="19.6640625" style="163" customWidth="1"/>
    <col min="5" max="5" width="11" style="164" bestFit="1" customWidth="1"/>
    <col min="6" max="6" width="10.83203125" style="164"/>
    <col min="7" max="9" width="11" style="164" bestFit="1" customWidth="1"/>
    <col min="10" max="10" width="12.5" style="164" customWidth="1"/>
    <col min="11" max="11" width="14.1640625" style="164" customWidth="1"/>
    <col min="12" max="12" width="15.6640625" style="164" customWidth="1"/>
    <col min="13" max="13" width="12.83203125" style="165" customWidth="1"/>
    <col min="14" max="14" width="13" style="163" customWidth="1"/>
    <col min="15" max="15" width="12.83203125" style="166" customWidth="1"/>
    <col min="16" max="16" width="15" style="167" customWidth="1"/>
    <col min="17" max="17" width="17" style="167" customWidth="1"/>
    <col min="18" max="16384" width="10.83203125" style="163"/>
  </cols>
  <sheetData>
    <row r="2" spans="2:20" x14ac:dyDescent="0.25">
      <c r="B2" s="168" t="s">
        <v>301</v>
      </c>
      <c r="C2" s="169"/>
      <c r="D2" s="170"/>
    </row>
    <row r="4" spans="2:20" x14ac:dyDescent="0.25">
      <c r="B4" s="171" t="s">
        <v>272</v>
      </c>
      <c r="C4" s="171" t="s">
        <v>15</v>
      </c>
      <c r="D4" s="171" t="s">
        <v>16</v>
      </c>
      <c r="E4" s="171" t="s">
        <v>14</v>
      </c>
      <c r="F4" s="171" t="s">
        <v>274</v>
      </c>
      <c r="G4" s="171" t="s">
        <v>275</v>
      </c>
      <c r="H4" s="171" t="s">
        <v>13</v>
      </c>
      <c r="I4" s="171" t="s">
        <v>18</v>
      </c>
      <c r="J4" s="171" t="s">
        <v>266</v>
      </c>
      <c r="K4" s="171" t="s">
        <v>265</v>
      </c>
      <c r="L4" s="171" t="s">
        <v>271</v>
      </c>
      <c r="M4" s="172" t="s">
        <v>17</v>
      </c>
      <c r="N4" s="171" t="s">
        <v>254</v>
      </c>
      <c r="O4" s="173" t="s">
        <v>253</v>
      </c>
      <c r="P4" s="174" t="s">
        <v>90</v>
      </c>
      <c r="Q4" s="174" t="s">
        <v>255</v>
      </c>
    </row>
    <row r="5" spans="2:20" x14ac:dyDescent="0.25">
      <c r="B5" s="164">
        <v>2025</v>
      </c>
      <c r="C5" s="164" t="s">
        <v>258</v>
      </c>
      <c r="D5" s="175" t="s">
        <v>264</v>
      </c>
      <c r="E5" s="164">
        <v>320</v>
      </c>
      <c r="F5" s="164" t="s">
        <v>27</v>
      </c>
      <c r="G5" s="164" t="s">
        <v>37</v>
      </c>
      <c r="H5" s="164">
        <v>0</v>
      </c>
      <c r="I5" s="176">
        <v>45870</v>
      </c>
      <c r="J5" s="164">
        <v>1</v>
      </c>
      <c r="K5" s="176">
        <f t="shared" ref="K5:K10" si="0">I5+60</f>
        <v>45930</v>
      </c>
      <c r="L5" s="176"/>
      <c r="M5" s="177">
        <v>505</v>
      </c>
      <c r="N5" s="167">
        <f>M5*E5</f>
        <v>161600</v>
      </c>
      <c r="O5" s="178">
        <v>5.7</v>
      </c>
      <c r="P5" s="167">
        <f>M5*O5</f>
        <v>2878.5</v>
      </c>
      <c r="Q5" s="167">
        <f>P5*E5</f>
        <v>921120</v>
      </c>
    </row>
    <row r="6" spans="2:20" x14ac:dyDescent="0.25">
      <c r="B6" s="164">
        <v>2025</v>
      </c>
      <c r="C6" s="164" t="s">
        <v>259</v>
      </c>
      <c r="D6" s="175" t="s">
        <v>264</v>
      </c>
      <c r="E6" s="164">
        <v>320</v>
      </c>
      <c r="F6" s="164" t="s">
        <v>27</v>
      </c>
      <c r="G6" s="164" t="s">
        <v>37</v>
      </c>
      <c r="H6" s="164">
        <v>30</v>
      </c>
      <c r="I6" s="176">
        <v>45901</v>
      </c>
      <c r="J6" s="164">
        <v>1</v>
      </c>
      <c r="K6" s="176">
        <f t="shared" si="0"/>
        <v>45961</v>
      </c>
      <c r="L6" s="177">
        <f>futuros!B4</f>
        <v>284.8</v>
      </c>
      <c r="M6" s="177">
        <f>(L6+H6)*1.3228</f>
        <v>416.41744</v>
      </c>
      <c r="N6" s="167">
        <f>(E6*(M6+H6))</f>
        <v>142853.5808</v>
      </c>
      <c r="O6" s="178">
        <v>5.7</v>
      </c>
      <c r="P6" s="167">
        <f t="shared" ref="P6:P16" si="1">M6*O6</f>
        <v>2373.5794080000001</v>
      </c>
      <c r="Q6" s="167">
        <f t="shared" ref="Q6:Q16" si="2">P6*E6</f>
        <v>759545.41055999999</v>
      </c>
    </row>
    <row r="7" spans="2:20" x14ac:dyDescent="0.25">
      <c r="B7" s="164">
        <v>2025</v>
      </c>
      <c r="C7" s="164" t="s">
        <v>260</v>
      </c>
      <c r="D7" s="175" t="s">
        <v>264</v>
      </c>
      <c r="E7" s="164">
        <v>320</v>
      </c>
      <c r="F7" s="164" t="s">
        <v>27</v>
      </c>
      <c r="G7" s="164" t="s">
        <v>37</v>
      </c>
      <c r="H7" s="164">
        <v>30</v>
      </c>
      <c r="I7" s="176">
        <v>45931</v>
      </c>
      <c r="J7" s="164">
        <v>1</v>
      </c>
      <c r="K7" s="176">
        <f t="shared" si="0"/>
        <v>45991</v>
      </c>
      <c r="L7" s="177">
        <f>L6</f>
        <v>284.8</v>
      </c>
      <c r="M7" s="177">
        <f>(L7+H7)*1.3228</f>
        <v>416.41744</v>
      </c>
      <c r="N7" s="167">
        <f>(E7*(M7+H7))</f>
        <v>142853.5808</v>
      </c>
      <c r="O7" s="178">
        <v>5.7</v>
      </c>
      <c r="P7" s="167">
        <f t="shared" si="1"/>
        <v>2373.5794080000001</v>
      </c>
      <c r="Q7" s="167">
        <f t="shared" si="2"/>
        <v>759545.41055999999</v>
      </c>
    </row>
    <row r="8" spans="2:20" x14ac:dyDescent="0.25">
      <c r="B8" s="164">
        <v>2025</v>
      </c>
      <c r="C8" s="164" t="s">
        <v>261</v>
      </c>
      <c r="D8" s="175" t="s">
        <v>264</v>
      </c>
      <c r="E8" s="164">
        <v>320</v>
      </c>
      <c r="F8" s="164" t="s">
        <v>27</v>
      </c>
      <c r="G8" s="164" t="s">
        <v>37</v>
      </c>
      <c r="H8" s="164">
        <v>30</v>
      </c>
      <c r="I8" s="176">
        <v>45962</v>
      </c>
      <c r="J8" s="164">
        <v>1</v>
      </c>
      <c r="K8" s="176">
        <f t="shared" si="0"/>
        <v>46022</v>
      </c>
      <c r="L8" s="177">
        <f>L7</f>
        <v>284.8</v>
      </c>
      <c r="M8" s="177">
        <f>(L8+H8)*1.3228</f>
        <v>416.41744</v>
      </c>
      <c r="N8" s="167">
        <f>(E8*(M8+H8))</f>
        <v>142853.5808</v>
      </c>
      <c r="O8" s="178">
        <v>5.7</v>
      </c>
      <c r="P8" s="167">
        <f t="shared" si="1"/>
        <v>2373.5794080000001</v>
      </c>
      <c r="Q8" s="167">
        <f t="shared" si="2"/>
        <v>759545.41055999999</v>
      </c>
    </row>
    <row r="9" spans="2:20" x14ac:dyDescent="0.25">
      <c r="B9" s="164">
        <v>2025</v>
      </c>
      <c r="C9" s="164" t="s">
        <v>262</v>
      </c>
      <c r="D9" s="175" t="s">
        <v>264</v>
      </c>
      <c r="E9" s="164">
        <v>320</v>
      </c>
      <c r="F9" s="164" t="s">
        <v>27</v>
      </c>
      <c r="G9" s="164" t="s">
        <v>37</v>
      </c>
      <c r="H9" s="164">
        <v>30</v>
      </c>
      <c r="I9" s="176">
        <v>45992</v>
      </c>
      <c r="J9" s="164">
        <v>1</v>
      </c>
      <c r="K9" s="176">
        <f t="shared" si="0"/>
        <v>46052</v>
      </c>
      <c r="L9" s="177">
        <f>futuros!B4</f>
        <v>284.8</v>
      </c>
      <c r="M9" s="177">
        <f>(L9+H9)*1.3228</f>
        <v>416.41744</v>
      </c>
      <c r="N9" s="167">
        <f>(E9*(M9+H9))</f>
        <v>142853.5808</v>
      </c>
      <c r="O9" s="178">
        <v>5.7</v>
      </c>
      <c r="P9" s="167">
        <f t="shared" si="1"/>
        <v>2373.5794080000001</v>
      </c>
      <c r="Q9" s="167">
        <f t="shared" si="2"/>
        <v>759545.41055999999</v>
      </c>
    </row>
    <row r="10" spans="2:20" x14ac:dyDescent="0.25">
      <c r="B10" s="164">
        <v>2025</v>
      </c>
      <c r="C10" s="164" t="s">
        <v>263</v>
      </c>
      <c r="D10" s="175" t="s">
        <v>264</v>
      </c>
      <c r="E10" s="164">
        <v>320</v>
      </c>
      <c r="F10" s="164" t="s">
        <v>27</v>
      </c>
      <c r="G10" s="164" t="s">
        <v>37</v>
      </c>
      <c r="H10" s="164">
        <v>30</v>
      </c>
      <c r="I10" s="176">
        <v>46054</v>
      </c>
      <c r="J10" s="164">
        <v>1</v>
      </c>
      <c r="K10" s="176">
        <f t="shared" si="0"/>
        <v>46114</v>
      </c>
      <c r="L10" s="177">
        <f>futuros!B5</f>
        <v>278.25</v>
      </c>
      <c r="M10" s="177">
        <f>(L10+H10)*1.3228</f>
        <v>407.75310000000002</v>
      </c>
      <c r="N10" s="167">
        <f>(E10*(M10+H10))</f>
        <v>140080.992</v>
      </c>
      <c r="O10" s="178">
        <v>5.7</v>
      </c>
      <c r="P10" s="167">
        <f t="shared" si="1"/>
        <v>2324.1926700000004</v>
      </c>
      <c r="Q10" s="167">
        <f t="shared" si="2"/>
        <v>743741.65440000012</v>
      </c>
    </row>
    <row r="11" spans="2:20" x14ac:dyDescent="0.25">
      <c r="B11" s="164">
        <v>2025</v>
      </c>
      <c r="C11" s="164" t="s">
        <v>283</v>
      </c>
      <c r="D11" s="175" t="s">
        <v>264</v>
      </c>
      <c r="E11" s="164">
        <v>320</v>
      </c>
      <c r="F11" s="164" t="s">
        <v>27</v>
      </c>
      <c r="G11" s="164" t="s">
        <v>37</v>
      </c>
      <c r="H11" s="164">
        <v>28</v>
      </c>
      <c r="I11" s="176">
        <v>45901</v>
      </c>
      <c r="J11" s="164">
        <v>1</v>
      </c>
      <c r="K11" s="176">
        <f t="shared" ref="K11:K16" si="3">I11+60</f>
        <v>45961</v>
      </c>
      <c r="L11" s="177">
        <f>futuros!B4</f>
        <v>284.8</v>
      </c>
      <c r="M11" s="177">
        <f t="shared" ref="M11:M16" si="4">(L11+H11)*1.3228</f>
        <v>413.77184</v>
      </c>
      <c r="N11" s="167">
        <f t="shared" ref="N11:N16" si="5">(E11*(M11+H11))</f>
        <v>141366.98879999999</v>
      </c>
      <c r="O11" s="178">
        <v>5.7</v>
      </c>
      <c r="P11" s="167">
        <f t="shared" si="1"/>
        <v>2358.4994879999999</v>
      </c>
      <c r="Q11" s="167">
        <f t="shared" si="2"/>
        <v>754719.83615999995</v>
      </c>
    </row>
    <row r="12" spans="2:20" x14ac:dyDescent="0.25">
      <c r="B12" s="164">
        <v>2025</v>
      </c>
      <c r="C12" s="164" t="s">
        <v>284</v>
      </c>
      <c r="D12" s="175" t="s">
        <v>264</v>
      </c>
      <c r="E12" s="164">
        <v>320</v>
      </c>
      <c r="F12" s="164" t="s">
        <v>27</v>
      </c>
      <c r="G12" s="164" t="s">
        <v>37</v>
      </c>
      <c r="H12" s="164">
        <v>28</v>
      </c>
      <c r="I12" s="176">
        <v>45962</v>
      </c>
      <c r="J12" s="164">
        <v>1</v>
      </c>
      <c r="K12" s="176">
        <f t="shared" si="3"/>
        <v>46022</v>
      </c>
      <c r="L12" s="177">
        <f>futuros!B4</f>
        <v>284.8</v>
      </c>
      <c r="M12" s="177">
        <f t="shared" si="4"/>
        <v>413.77184</v>
      </c>
      <c r="N12" s="167">
        <f t="shared" si="5"/>
        <v>141366.98879999999</v>
      </c>
      <c r="O12" s="178">
        <v>5.7</v>
      </c>
      <c r="P12" s="167">
        <f t="shared" si="1"/>
        <v>2358.4994879999999</v>
      </c>
      <c r="Q12" s="167">
        <f t="shared" si="2"/>
        <v>754719.83615999995</v>
      </c>
    </row>
    <row r="13" spans="2:20" s="166" customFormat="1" x14ac:dyDescent="0.25">
      <c r="B13" s="164">
        <v>2025</v>
      </c>
      <c r="C13" s="164" t="s">
        <v>285</v>
      </c>
      <c r="D13" s="175" t="s">
        <v>264</v>
      </c>
      <c r="E13" s="164">
        <v>320</v>
      </c>
      <c r="F13" s="164" t="s">
        <v>27</v>
      </c>
      <c r="G13" s="164" t="s">
        <v>37</v>
      </c>
      <c r="H13" s="164">
        <v>28</v>
      </c>
      <c r="I13" s="176">
        <v>46023</v>
      </c>
      <c r="J13" s="164">
        <v>1</v>
      </c>
      <c r="K13" s="176">
        <f t="shared" si="3"/>
        <v>46083</v>
      </c>
      <c r="L13" s="177">
        <f>futuros!B5</f>
        <v>278.25</v>
      </c>
      <c r="M13" s="177">
        <f t="shared" si="4"/>
        <v>405.10750000000002</v>
      </c>
      <c r="N13" s="167">
        <f t="shared" si="5"/>
        <v>138594.4</v>
      </c>
      <c r="O13" s="178">
        <v>5.7</v>
      </c>
      <c r="P13" s="167">
        <f t="shared" si="1"/>
        <v>2309.1127500000002</v>
      </c>
      <c r="Q13" s="167">
        <f t="shared" si="2"/>
        <v>738916.08000000007</v>
      </c>
      <c r="R13" s="163"/>
      <c r="S13" s="163"/>
      <c r="T13" s="163"/>
    </row>
    <row r="14" spans="2:20" s="166" customFormat="1" x14ac:dyDescent="0.25">
      <c r="B14" s="164">
        <v>2025</v>
      </c>
      <c r="C14" s="164" t="s">
        <v>286</v>
      </c>
      <c r="D14" s="175" t="s">
        <v>264</v>
      </c>
      <c r="E14" s="164">
        <v>320</v>
      </c>
      <c r="F14" s="164" t="s">
        <v>27</v>
      </c>
      <c r="G14" s="164" t="s">
        <v>37</v>
      </c>
      <c r="H14" s="164">
        <v>28</v>
      </c>
      <c r="I14" s="176">
        <v>46082</v>
      </c>
      <c r="J14" s="164">
        <v>1</v>
      </c>
      <c r="K14" s="176">
        <f t="shared" si="3"/>
        <v>46142</v>
      </c>
      <c r="L14" s="177">
        <f>futuros!B6</f>
        <v>273</v>
      </c>
      <c r="M14" s="177">
        <f t="shared" si="4"/>
        <v>398.1628</v>
      </c>
      <c r="N14" s="167">
        <f t="shared" si="5"/>
        <v>136372.09599999999</v>
      </c>
      <c r="O14" s="178">
        <v>5.7</v>
      </c>
      <c r="P14" s="167">
        <f t="shared" si="1"/>
        <v>2269.5279599999999</v>
      </c>
      <c r="Q14" s="167">
        <f t="shared" si="2"/>
        <v>726248.94719999994</v>
      </c>
      <c r="R14" s="163"/>
      <c r="S14" s="163"/>
      <c r="T14" s="163"/>
    </row>
    <row r="15" spans="2:20" s="166" customFormat="1" x14ac:dyDescent="0.25">
      <c r="B15" s="164">
        <v>2025</v>
      </c>
      <c r="C15" s="164" t="s">
        <v>287</v>
      </c>
      <c r="D15" s="175" t="s">
        <v>264</v>
      </c>
      <c r="E15" s="164">
        <v>320</v>
      </c>
      <c r="F15" s="164" t="s">
        <v>29</v>
      </c>
      <c r="G15" s="164" t="s">
        <v>32</v>
      </c>
      <c r="H15" s="164">
        <v>-22</v>
      </c>
      <c r="I15" s="176">
        <v>45992</v>
      </c>
      <c r="J15" s="164">
        <v>1</v>
      </c>
      <c r="K15" s="176">
        <f t="shared" si="3"/>
        <v>46052</v>
      </c>
      <c r="L15" s="177">
        <f>futuros!B5</f>
        <v>278.25</v>
      </c>
      <c r="M15" s="177">
        <f t="shared" si="4"/>
        <v>338.96749999999997</v>
      </c>
      <c r="N15" s="167">
        <f t="shared" si="5"/>
        <v>101429.59999999999</v>
      </c>
      <c r="O15" s="178">
        <v>5.7</v>
      </c>
      <c r="P15" s="167">
        <f t="shared" si="1"/>
        <v>1932.11475</v>
      </c>
      <c r="Q15" s="167">
        <f t="shared" si="2"/>
        <v>618276.72</v>
      </c>
      <c r="R15" s="163"/>
      <c r="S15" s="163"/>
      <c r="T15" s="163"/>
    </row>
    <row r="16" spans="2:20" s="166" customFormat="1" x14ac:dyDescent="0.25">
      <c r="B16" s="164">
        <v>2025</v>
      </c>
      <c r="C16" s="164" t="s">
        <v>288</v>
      </c>
      <c r="D16" s="175" t="s">
        <v>264</v>
      </c>
      <c r="E16" s="164">
        <v>320</v>
      </c>
      <c r="F16" s="164" t="s">
        <v>27</v>
      </c>
      <c r="G16" s="164" t="s">
        <v>290</v>
      </c>
      <c r="H16" s="164">
        <v>53</v>
      </c>
      <c r="I16" s="176">
        <v>45931</v>
      </c>
      <c r="J16" s="164">
        <v>1</v>
      </c>
      <c r="K16" s="176">
        <f t="shared" si="3"/>
        <v>45991</v>
      </c>
      <c r="L16" s="177">
        <f>futuros!B4</f>
        <v>284.8</v>
      </c>
      <c r="M16" s="177">
        <f t="shared" si="4"/>
        <v>446.84183999999999</v>
      </c>
      <c r="N16" s="167">
        <f t="shared" si="5"/>
        <v>159949.38879999999</v>
      </c>
      <c r="O16" s="178">
        <v>5.7</v>
      </c>
      <c r="P16" s="167">
        <f t="shared" si="1"/>
        <v>2546.9984880000002</v>
      </c>
      <c r="Q16" s="167">
        <f t="shared" si="2"/>
        <v>815039.51616000012</v>
      </c>
      <c r="R16" s="163"/>
      <c r="S16" s="163"/>
      <c r="T16" s="163"/>
    </row>
    <row r="17" spans="2:17" x14ac:dyDescent="0.25">
      <c r="B17" s="164">
        <v>2025</v>
      </c>
      <c r="C17" s="164" t="s">
        <v>279</v>
      </c>
      <c r="D17" s="175" t="s">
        <v>19</v>
      </c>
      <c r="E17" s="164">
        <v>320</v>
      </c>
      <c r="F17" s="164" t="s">
        <v>27</v>
      </c>
      <c r="G17" s="164" t="s">
        <v>39</v>
      </c>
      <c r="H17" s="164">
        <v>0</v>
      </c>
      <c r="I17" s="176">
        <v>45962</v>
      </c>
      <c r="J17" s="164">
        <v>4</v>
      </c>
      <c r="K17" s="176">
        <f>I17+120</f>
        <v>46082</v>
      </c>
      <c r="M17" s="177">
        <v>488</v>
      </c>
      <c r="N17" s="167">
        <f>(E17*(M17+H17))</f>
        <v>156160</v>
      </c>
      <c r="O17" s="178">
        <v>5.7</v>
      </c>
      <c r="P17" s="167">
        <f>M17*O17</f>
        <v>2781.6</v>
      </c>
      <c r="Q17" s="167">
        <f>P17*E17</f>
        <v>890112</v>
      </c>
    </row>
    <row r="18" spans="2:17" x14ac:dyDescent="0.25">
      <c r="B18" s="164">
        <v>2025</v>
      </c>
      <c r="C18" s="164" t="s">
        <v>280</v>
      </c>
      <c r="D18" s="175" t="s">
        <v>19</v>
      </c>
      <c r="E18" s="164">
        <v>320</v>
      </c>
      <c r="F18" s="164" t="s">
        <v>27</v>
      </c>
      <c r="G18" s="164" t="s">
        <v>289</v>
      </c>
      <c r="H18" s="164">
        <v>0</v>
      </c>
      <c r="I18" s="176">
        <v>45962</v>
      </c>
      <c r="J18" s="164">
        <v>4</v>
      </c>
      <c r="K18" s="176">
        <f>I18+120</f>
        <v>46082</v>
      </c>
      <c r="M18" s="177">
        <v>500</v>
      </c>
      <c r="N18" s="167">
        <f>(E18*(M18+H18))</f>
        <v>160000</v>
      </c>
      <c r="O18" s="178">
        <v>5.7</v>
      </c>
      <c r="P18" s="167">
        <f>M18*O18</f>
        <v>2850</v>
      </c>
      <c r="Q18" s="167">
        <f>P18*E18</f>
        <v>912000</v>
      </c>
    </row>
    <row r="19" spans="2:17" x14ac:dyDescent="0.25">
      <c r="B19" s="179" t="s">
        <v>291</v>
      </c>
      <c r="C19" s="179"/>
      <c r="D19" s="180"/>
      <c r="E19" s="179">
        <f>SUM(E5:E18)</f>
        <v>4480</v>
      </c>
      <c r="F19" s="179"/>
      <c r="G19" s="179"/>
      <c r="H19" s="179"/>
      <c r="I19" s="181"/>
      <c r="J19" s="179"/>
      <c r="K19" s="181"/>
      <c r="L19" s="179"/>
      <c r="M19" s="182">
        <f>N19/E19</f>
        <v>448.28901285714284</v>
      </c>
      <c r="N19" s="183">
        <f>SUM(N5:N18)</f>
        <v>2008334.7775999999</v>
      </c>
      <c r="O19" s="184"/>
      <c r="P19" s="185">
        <f>Q19/E19</f>
        <v>2435.9545161428568</v>
      </c>
      <c r="Q19" s="183">
        <f>SUM(Q5:Q18)</f>
        <v>10913076.232319999</v>
      </c>
    </row>
    <row r="20" spans="2:17" x14ac:dyDescent="0.25">
      <c r="B20" s="186"/>
      <c r="C20" s="186"/>
      <c r="D20" s="187"/>
      <c r="E20" s="186"/>
      <c r="F20" s="186"/>
      <c r="G20" s="186"/>
      <c r="H20" s="186"/>
      <c r="I20" s="188"/>
      <c r="J20" s="186"/>
      <c r="K20" s="188"/>
      <c r="L20" s="186"/>
      <c r="M20" s="189"/>
      <c r="N20" s="190"/>
      <c r="O20" s="191"/>
      <c r="P20" s="192"/>
      <c r="Q20" s="186"/>
    </row>
    <row r="21" spans="2:17" x14ac:dyDescent="0.25">
      <c r="B21" s="186"/>
      <c r="C21" s="186"/>
      <c r="D21" s="187"/>
      <c r="E21" s="186"/>
      <c r="F21" s="186"/>
      <c r="G21" s="186"/>
      <c r="H21" s="186"/>
      <c r="I21" s="188"/>
      <c r="J21" s="186"/>
      <c r="K21" s="188"/>
      <c r="L21" s="186"/>
      <c r="M21" s="189"/>
      <c r="N21" s="190"/>
      <c r="O21" s="191"/>
      <c r="P21" s="192"/>
      <c r="Q21" s="186"/>
    </row>
    <row r="22" spans="2:17" x14ac:dyDescent="0.25">
      <c r="B22" s="168" t="s">
        <v>302</v>
      </c>
      <c r="C22" s="169"/>
      <c r="D22" s="170"/>
      <c r="E22" s="186"/>
      <c r="F22" s="186"/>
      <c r="G22" s="186"/>
      <c r="H22" s="186"/>
      <c r="I22" s="188"/>
      <c r="J22" s="186"/>
      <c r="K22" s="188"/>
      <c r="L22" s="186"/>
      <c r="M22" s="189"/>
      <c r="N22" s="190"/>
      <c r="O22" s="191"/>
      <c r="P22" s="192"/>
      <c r="Q22" s="186"/>
    </row>
    <row r="23" spans="2:17" x14ac:dyDescent="0.25">
      <c r="D23" s="164">
        <v>283.5</v>
      </c>
    </row>
    <row r="24" spans="2:17" x14ac:dyDescent="0.25">
      <c r="B24" s="193" t="s">
        <v>16</v>
      </c>
      <c r="C24" s="194" t="s">
        <v>15</v>
      </c>
      <c r="D24" s="194" t="s">
        <v>14</v>
      </c>
      <c r="E24" s="194"/>
      <c r="F24" s="194"/>
      <c r="G24" s="194" t="s">
        <v>23</v>
      </c>
      <c r="H24" s="194" t="s">
        <v>271</v>
      </c>
      <c r="I24" s="194" t="s">
        <v>292</v>
      </c>
      <c r="J24" s="194"/>
      <c r="K24" s="194"/>
      <c r="L24" s="194" t="s">
        <v>293</v>
      </c>
      <c r="M24" s="194"/>
      <c r="N24" s="195" t="s">
        <v>294</v>
      </c>
      <c r="O24" s="194" t="s">
        <v>253</v>
      </c>
      <c r="P24" s="194"/>
      <c r="Q24" s="195" t="s">
        <v>297</v>
      </c>
    </row>
    <row r="25" spans="2:17" x14ac:dyDescent="0.25">
      <c r="B25" s="163" t="s">
        <v>295</v>
      </c>
      <c r="C25" s="164">
        <v>25852</v>
      </c>
      <c r="D25" s="196">
        <f>$D$23*G25</f>
        <v>5017.95</v>
      </c>
      <c r="E25" s="196"/>
      <c r="F25" s="196"/>
      <c r="G25" s="177">
        <v>17.7</v>
      </c>
      <c r="H25" s="177">
        <v>179</v>
      </c>
      <c r="I25" s="177">
        <f>futuros!B4</f>
        <v>284.8</v>
      </c>
      <c r="K25" s="163"/>
      <c r="L25" s="197">
        <v>45973</v>
      </c>
      <c r="M25" s="163"/>
      <c r="N25" s="198">
        <f>(H25-I25)*1.3228*D25</f>
        <v>-702273.3427080001</v>
      </c>
      <c r="O25" s="178">
        <f>O5</f>
        <v>5.7</v>
      </c>
      <c r="Q25" s="198">
        <f>N25*O25</f>
        <v>-4002958.0534356008</v>
      </c>
    </row>
    <row r="26" spans="2:17" x14ac:dyDescent="0.25">
      <c r="B26" s="163" t="s">
        <v>296</v>
      </c>
      <c r="C26" s="164">
        <v>507931308</v>
      </c>
      <c r="D26" s="196">
        <f>$D$23*G26</f>
        <v>1984.5</v>
      </c>
      <c r="E26" s="196"/>
      <c r="F26" s="196"/>
      <c r="G26" s="177">
        <f>262500/37500</f>
        <v>7</v>
      </c>
      <c r="H26" s="177">
        <v>196.1</v>
      </c>
      <c r="I26" s="177">
        <f>I25</f>
        <v>284.8</v>
      </c>
      <c r="K26" s="163"/>
      <c r="L26" s="197">
        <v>45973</v>
      </c>
      <c r="M26" s="163"/>
      <c r="N26" s="198">
        <f>(H26-I26)*1.3228*D26</f>
        <v>-232846.06842000005</v>
      </c>
      <c r="O26" s="178">
        <f>O6</f>
        <v>5.7</v>
      </c>
      <c r="Q26" s="198">
        <f t="shared" ref="Q26:Q27" si="6">N26*O26</f>
        <v>-1327222.5899940003</v>
      </c>
    </row>
    <row r="27" spans="2:17" x14ac:dyDescent="0.25">
      <c r="B27" s="170" t="s">
        <v>295</v>
      </c>
      <c r="C27" s="169">
        <v>47616</v>
      </c>
      <c r="D27" s="199">
        <f>$D$23*G27</f>
        <v>3005.1</v>
      </c>
      <c r="E27" s="199"/>
      <c r="F27" s="199"/>
      <c r="G27" s="200">
        <v>10.6</v>
      </c>
      <c r="H27" s="200">
        <v>222.2</v>
      </c>
      <c r="I27" s="200">
        <f>I26</f>
        <v>284.8</v>
      </c>
      <c r="K27" s="163"/>
      <c r="L27" s="197">
        <v>45980</v>
      </c>
      <c r="M27" s="163"/>
      <c r="N27" s="198">
        <f>(H27-I27)*1.3228*D27</f>
        <v>-248844.15712800011</v>
      </c>
      <c r="O27" s="178">
        <f>O7</f>
        <v>5.7</v>
      </c>
      <c r="Q27" s="198">
        <f t="shared" si="6"/>
        <v>-1418411.6956296007</v>
      </c>
    </row>
    <row r="28" spans="2:17" x14ac:dyDescent="0.25">
      <c r="B28" s="179" t="s">
        <v>291</v>
      </c>
      <c r="C28" s="179"/>
      <c r="D28" s="183">
        <f>SUM(D25:D27)</f>
        <v>10007.549999999999</v>
      </c>
      <c r="E28" s="179"/>
      <c r="F28" s="179"/>
      <c r="G28" s="179"/>
      <c r="H28" s="179"/>
      <c r="I28" s="179"/>
      <c r="J28" s="201"/>
      <c r="K28" s="202"/>
      <c r="L28" s="201"/>
      <c r="M28" s="202"/>
      <c r="N28" s="202">
        <f>SUM(N25:N27)</f>
        <v>-1183963.5682560003</v>
      </c>
      <c r="O28" s="201"/>
      <c r="P28" s="201"/>
      <c r="Q28" s="202">
        <f>SUM(Q25:Q27)</f>
        <v>-6748592.339059202</v>
      </c>
    </row>
    <row r="29" spans="2:17" x14ac:dyDescent="0.25">
      <c r="B29" s="186"/>
      <c r="C29" s="186"/>
      <c r="D29" s="187"/>
      <c r="E29" s="186"/>
      <c r="F29" s="186"/>
      <c r="G29" s="186"/>
      <c r="H29" s="186"/>
      <c r="I29" s="188"/>
      <c r="J29" s="186"/>
      <c r="K29" s="188"/>
      <c r="L29" s="186"/>
      <c r="M29" s="189"/>
      <c r="N29" s="190"/>
      <c r="O29" s="191"/>
      <c r="P29" s="192"/>
      <c r="Q29" s="186"/>
    </row>
    <row r="30" spans="2:17" x14ac:dyDescent="0.25">
      <c r="B30" s="186"/>
      <c r="C30" s="186"/>
      <c r="D30" s="187"/>
      <c r="E30" s="186"/>
      <c r="F30" s="186"/>
      <c r="G30" s="186"/>
      <c r="H30" s="186"/>
      <c r="I30" s="188"/>
      <c r="J30" s="186"/>
      <c r="K30" s="188"/>
      <c r="L30" s="186"/>
      <c r="M30" s="189"/>
      <c r="N30" s="190"/>
      <c r="O30" s="191"/>
      <c r="P30" s="192"/>
      <c r="Q30" s="186"/>
    </row>
    <row r="31" spans="2:17" x14ac:dyDescent="0.25">
      <c r="B31" s="203" t="s">
        <v>303</v>
      </c>
      <c r="C31" s="204"/>
      <c r="D31" s="204"/>
      <c r="E31" s="204"/>
      <c r="F31" s="204"/>
      <c r="G31" s="204"/>
      <c r="H31" s="204"/>
      <c r="I31" s="170"/>
      <c r="J31" s="204"/>
      <c r="K31" s="163"/>
      <c r="L31" s="197"/>
      <c r="M31" s="189"/>
      <c r="N31" s="190"/>
      <c r="O31" s="191"/>
      <c r="P31" s="192"/>
      <c r="Q31" s="186"/>
    </row>
    <row r="32" spans="2:17" x14ac:dyDescent="0.25">
      <c r="D32" s="196"/>
      <c r="E32" s="196"/>
      <c r="F32" s="196"/>
      <c r="G32" s="177"/>
      <c r="K32" s="163"/>
      <c r="L32" s="197"/>
      <c r="M32" s="189"/>
      <c r="N32" s="190"/>
      <c r="O32" s="191"/>
      <c r="P32" s="192"/>
      <c r="Q32" s="186"/>
    </row>
    <row r="33" spans="2:17" x14ac:dyDescent="0.25">
      <c r="B33" s="193" t="s">
        <v>16</v>
      </c>
      <c r="C33" s="194" t="s">
        <v>15</v>
      </c>
      <c r="D33" s="194" t="s">
        <v>14</v>
      </c>
      <c r="E33" s="194" t="s">
        <v>304</v>
      </c>
      <c r="F33" s="194"/>
      <c r="G33" s="194"/>
      <c r="H33" s="194" t="s">
        <v>305</v>
      </c>
      <c r="I33" s="194"/>
      <c r="J33" s="194"/>
      <c r="K33" s="194"/>
      <c r="L33" s="194" t="s">
        <v>293</v>
      </c>
      <c r="M33" s="189"/>
      <c r="N33" s="190"/>
      <c r="O33" s="191"/>
      <c r="P33" s="192"/>
      <c r="Q33" s="186"/>
    </row>
    <row r="34" spans="2:17" x14ac:dyDescent="0.25">
      <c r="B34" s="163" t="s">
        <v>295</v>
      </c>
      <c r="D34" s="196">
        <v>9999.0499999999993</v>
      </c>
      <c r="E34" s="196" t="s">
        <v>306</v>
      </c>
      <c r="F34" s="167"/>
      <c r="G34" s="205"/>
      <c r="H34" s="177">
        <v>350</v>
      </c>
      <c r="I34" s="177"/>
      <c r="J34" s="167"/>
      <c r="K34" s="167"/>
      <c r="L34" s="197">
        <v>45821</v>
      </c>
      <c r="M34" s="189"/>
      <c r="N34" s="190"/>
      <c r="O34" s="191"/>
      <c r="P34" s="192"/>
      <c r="Q34" s="186"/>
    </row>
    <row r="35" spans="2:17" x14ac:dyDescent="0.25">
      <c r="B35" s="163" t="s">
        <v>295</v>
      </c>
      <c r="D35" s="196">
        <v>9999.0499999999993</v>
      </c>
      <c r="E35" s="196" t="s">
        <v>307</v>
      </c>
      <c r="F35" s="167"/>
      <c r="G35" s="205"/>
      <c r="H35" s="177">
        <v>360</v>
      </c>
      <c r="I35" s="177"/>
      <c r="J35" s="167"/>
      <c r="K35" s="167"/>
      <c r="L35" s="197">
        <v>45974</v>
      </c>
      <c r="M35" s="189"/>
      <c r="N35" s="190"/>
      <c r="O35" s="191"/>
      <c r="P35" s="192"/>
      <c r="Q35" s="186"/>
    </row>
    <row r="36" spans="2:17" x14ac:dyDescent="0.25">
      <c r="B36" s="163" t="s">
        <v>295</v>
      </c>
      <c r="D36" s="196">
        <v>9999.0499999999993</v>
      </c>
      <c r="E36" s="196" t="s">
        <v>308</v>
      </c>
      <c r="F36" s="167"/>
      <c r="G36" s="205"/>
      <c r="H36" s="177">
        <v>450</v>
      </c>
      <c r="I36" s="177"/>
      <c r="J36" s="167"/>
      <c r="K36" s="167"/>
      <c r="L36" s="197">
        <v>45974</v>
      </c>
      <c r="M36" s="189"/>
      <c r="N36" s="190"/>
      <c r="O36" s="191"/>
      <c r="P36" s="192"/>
      <c r="Q36" s="186"/>
    </row>
    <row r="37" spans="2:17" x14ac:dyDescent="0.25">
      <c r="B37" s="206" t="s">
        <v>309</v>
      </c>
      <c r="C37" s="179"/>
      <c r="D37" s="183"/>
      <c r="E37" s="183"/>
      <c r="F37" s="185"/>
      <c r="G37" s="179"/>
      <c r="H37" s="179"/>
      <c r="I37" s="207"/>
      <c r="J37" s="185"/>
      <c r="K37" s="185"/>
      <c r="L37" s="179"/>
      <c r="M37" s="189"/>
      <c r="N37" s="190"/>
      <c r="O37" s="191"/>
      <c r="P37" s="192"/>
      <c r="Q37" s="186"/>
    </row>
    <row r="38" spans="2:17" x14ac:dyDescent="0.25">
      <c r="B38" s="163" t="s">
        <v>295</v>
      </c>
      <c r="D38" s="196">
        <v>2500</v>
      </c>
      <c r="E38" s="196" t="s">
        <v>306</v>
      </c>
      <c r="F38" s="167"/>
      <c r="G38" s="205"/>
      <c r="H38" s="177">
        <v>310</v>
      </c>
      <c r="I38" s="177"/>
      <c r="J38" s="167"/>
      <c r="K38" s="167"/>
      <c r="L38" s="197">
        <v>45974</v>
      </c>
      <c r="M38" s="189"/>
      <c r="N38" s="190"/>
      <c r="O38" s="191"/>
      <c r="P38" s="192"/>
      <c r="Q38" s="186"/>
    </row>
    <row r="39" spans="2:17" x14ac:dyDescent="0.25">
      <c r="B39" s="163" t="s">
        <v>295</v>
      </c>
      <c r="D39" s="196">
        <v>2500</v>
      </c>
      <c r="E39" s="196" t="s">
        <v>310</v>
      </c>
      <c r="F39" s="167"/>
      <c r="G39" s="205"/>
      <c r="H39" s="177">
        <v>375</v>
      </c>
      <c r="I39" s="177"/>
      <c r="J39" s="167"/>
      <c r="K39" s="167"/>
      <c r="L39" s="197">
        <v>45974</v>
      </c>
      <c r="M39" s="189"/>
      <c r="N39" s="190"/>
      <c r="O39" s="191"/>
      <c r="P39" s="192"/>
      <c r="Q39" s="186"/>
    </row>
    <row r="40" spans="2:17" x14ac:dyDescent="0.25">
      <c r="B40" s="163" t="s">
        <v>295</v>
      </c>
      <c r="D40" s="196">
        <v>2500</v>
      </c>
      <c r="E40" s="196" t="s">
        <v>311</v>
      </c>
      <c r="F40" s="167"/>
      <c r="G40" s="205"/>
      <c r="H40" s="177">
        <v>410</v>
      </c>
      <c r="I40" s="177"/>
      <c r="J40" s="167"/>
      <c r="K40" s="167"/>
      <c r="L40" s="197">
        <v>45974</v>
      </c>
      <c r="M40" s="189"/>
      <c r="N40" s="190"/>
      <c r="O40" s="191"/>
      <c r="P40" s="192"/>
      <c r="Q40" s="186"/>
    </row>
    <row r="41" spans="2:17" x14ac:dyDescent="0.25">
      <c r="B41" s="206" t="s">
        <v>309</v>
      </c>
      <c r="C41" s="179"/>
      <c r="D41" s="183"/>
      <c r="E41" s="183"/>
      <c r="F41" s="185"/>
      <c r="G41" s="179"/>
      <c r="H41" s="179"/>
      <c r="I41" s="207"/>
      <c r="J41" s="185"/>
      <c r="K41" s="185"/>
      <c r="L41" s="179"/>
      <c r="M41" s="189"/>
      <c r="N41" s="190"/>
      <c r="O41" s="191"/>
      <c r="P41" s="192"/>
      <c r="Q41" s="186"/>
    </row>
    <row r="42" spans="2:17" x14ac:dyDescent="0.25">
      <c r="C42" s="163"/>
      <c r="E42" s="163"/>
      <c r="F42" s="163"/>
      <c r="G42" s="163"/>
      <c r="H42" s="163"/>
      <c r="I42" s="163"/>
      <c r="J42" s="163"/>
      <c r="K42" s="163"/>
      <c r="L42" s="163"/>
      <c r="M42" s="163"/>
      <c r="O42" s="163"/>
      <c r="P42" s="163"/>
      <c r="Q42" s="163"/>
    </row>
    <row r="43" spans="2:17" x14ac:dyDescent="0.25">
      <c r="C43" s="163"/>
      <c r="E43" s="163"/>
      <c r="F43" s="163"/>
      <c r="G43" s="163"/>
      <c r="H43" s="163"/>
      <c r="I43" s="163"/>
      <c r="J43" s="163"/>
      <c r="K43" s="163"/>
      <c r="L43" s="163"/>
      <c r="M43" s="163"/>
      <c r="O43" s="163"/>
      <c r="P43" s="163"/>
      <c r="Q43" s="163"/>
    </row>
    <row r="44" spans="2:17" x14ac:dyDescent="0.25">
      <c r="C44" s="163"/>
      <c r="E44" s="163"/>
      <c r="F44" s="163"/>
      <c r="G44" s="163"/>
      <c r="H44" s="163"/>
      <c r="I44" s="163"/>
      <c r="J44" s="163"/>
      <c r="K44" s="163"/>
      <c r="L44" s="163"/>
      <c r="M44" s="163"/>
      <c r="O44" s="163"/>
      <c r="P44" s="163"/>
      <c r="Q44" s="163"/>
    </row>
    <row r="45" spans="2:17" x14ac:dyDescent="0.25">
      <c r="B45" s="168" t="s">
        <v>299</v>
      </c>
      <c r="C45" s="169"/>
      <c r="D45" s="170"/>
      <c r="E45" s="163"/>
      <c r="F45" s="163"/>
      <c r="G45" s="163"/>
      <c r="H45" s="163"/>
      <c r="I45" s="163"/>
      <c r="J45" s="163"/>
      <c r="K45" s="163"/>
      <c r="L45" s="163"/>
      <c r="M45" s="163"/>
      <c r="O45" s="163"/>
      <c r="P45" s="163"/>
      <c r="Q45" s="163"/>
    </row>
    <row r="47" spans="2:17" x14ac:dyDescent="0.25">
      <c r="B47" s="171" t="s">
        <v>272</v>
      </c>
      <c r="C47" s="171" t="s">
        <v>15</v>
      </c>
      <c r="D47" s="171" t="s">
        <v>16</v>
      </c>
      <c r="E47" s="171" t="s">
        <v>14</v>
      </c>
      <c r="F47" s="171" t="s">
        <v>274</v>
      </c>
      <c r="G47" s="171" t="s">
        <v>275</v>
      </c>
      <c r="H47" s="171" t="s">
        <v>13</v>
      </c>
      <c r="I47" s="171" t="s">
        <v>18</v>
      </c>
      <c r="J47" s="171" t="s">
        <v>266</v>
      </c>
      <c r="K47" s="171" t="s">
        <v>265</v>
      </c>
      <c r="L47" s="171" t="s">
        <v>271</v>
      </c>
      <c r="M47" s="172" t="s">
        <v>17</v>
      </c>
      <c r="N47" s="171" t="s">
        <v>254</v>
      </c>
      <c r="O47" s="173" t="s">
        <v>253</v>
      </c>
      <c r="P47" s="174" t="s">
        <v>90</v>
      </c>
      <c r="Q47" s="174" t="s">
        <v>255</v>
      </c>
    </row>
    <row r="48" spans="2:17" x14ac:dyDescent="0.25">
      <c r="B48" s="164">
        <v>2026</v>
      </c>
      <c r="C48" s="164" t="s">
        <v>281</v>
      </c>
      <c r="D48" s="175" t="s">
        <v>19</v>
      </c>
      <c r="E48" s="164">
        <v>320</v>
      </c>
      <c r="F48" s="164" t="s">
        <v>27</v>
      </c>
      <c r="G48" s="164" t="s">
        <v>39</v>
      </c>
      <c r="H48" s="164">
        <v>0</v>
      </c>
      <c r="I48" s="176">
        <v>46327</v>
      </c>
      <c r="J48" s="164">
        <v>4</v>
      </c>
      <c r="K48" s="176">
        <f>I48+120</f>
        <v>46447</v>
      </c>
      <c r="M48" s="177">
        <v>423</v>
      </c>
      <c r="N48" s="167">
        <f>(E48*(M48+H48))</f>
        <v>135360</v>
      </c>
      <c r="O48" s="178">
        <v>5.7</v>
      </c>
      <c r="P48" s="167">
        <f>M48*O48</f>
        <v>2411.1</v>
      </c>
      <c r="Q48" s="167">
        <f>P48*E48</f>
        <v>771552</v>
      </c>
    </row>
    <row r="49" spans="2:17" x14ac:dyDescent="0.25">
      <c r="B49" s="164">
        <v>2026</v>
      </c>
      <c r="C49" s="164" t="s">
        <v>282</v>
      </c>
      <c r="D49" s="175" t="s">
        <v>19</v>
      </c>
      <c r="E49" s="164">
        <v>320</v>
      </c>
      <c r="F49" s="164" t="s">
        <v>27</v>
      </c>
      <c r="G49" s="164" t="s">
        <v>289</v>
      </c>
      <c r="H49" s="164">
        <v>0</v>
      </c>
      <c r="I49" s="176">
        <v>46327</v>
      </c>
      <c r="J49" s="164">
        <v>4</v>
      </c>
      <c r="K49" s="176">
        <f>I49+120</f>
        <v>46447</v>
      </c>
      <c r="M49" s="177">
        <v>436</v>
      </c>
      <c r="N49" s="167">
        <f>(E49*(M49+H49))</f>
        <v>139520</v>
      </c>
      <c r="O49" s="178">
        <v>5.7</v>
      </c>
      <c r="P49" s="167">
        <f>M49*O49</f>
        <v>2485.2000000000003</v>
      </c>
      <c r="Q49" s="167">
        <f>P49*E49</f>
        <v>795264.00000000012</v>
      </c>
    </row>
    <row r="50" spans="2:17" x14ac:dyDescent="0.25">
      <c r="B50" s="179" t="s">
        <v>298</v>
      </c>
      <c r="C50" s="179"/>
      <c r="D50" s="180"/>
      <c r="E50" s="179">
        <f>SUM(E48:E49)</f>
        <v>640</v>
      </c>
      <c r="F50" s="179"/>
      <c r="G50" s="179"/>
      <c r="H50" s="179"/>
      <c r="I50" s="181"/>
      <c r="J50" s="179"/>
      <c r="K50" s="181"/>
      <c r="L50" s="179"/>
      <c r="M50" s="182">
        <f>N50/E50</f>
        <v>429.5</v>
      </c>
      <c r="N50" s="179">
        <f>SUM(N48:N49)</f>
        <v>274880</v>
      </c>
      <c r="O50" s="184"/>
      <c r="P50" s="185">
        <f>Q50/E50</f>
        <v>2448.15</v>
      </c>
      <c r="Q50" s="179">
        <f>SUM(Q48:Q49)</f>
        <v>1566816</v>
      </c>
    </row>
    <row r="51" spans="2:17" x14ac:dyDescent="0.25">
      <c r="C51" s="163"/>
      <c r="E51" s="163"/>
      <c r="F51" s="163"/>
      <c r="G51" s="163"/>
      <c r="H51" s="163"/>
      <c r="I51" s="163"/>
      <c r="J51" s="163"/>
      <c r="K51" s="163"/>
      <c r="L51" s="163"/>
      <c r="M51" s="163"/>
      <c r="O51" s="163"/>
      <c r="P51" s="163"/>
      <c r="Q51" s="163"/>
    </row>
    <row r="52" spans="2:17" x14ac:dyDescent="0.25">
      <c r="C52" s="163"/>
      <c r="E52" s="163"/>
      <c r="F52" s="163"/>
      <c r="G52" s="163"/>
      <c r="H52" s="163"/>
      <c r="I52" s="163"/>
      <c r="J52" s="163"/>
      <c r="K52" s="163"/>
      <c r="L52" s="163"/>
      <c r="M52" s="163"/>
      <c r="O52" s="163"/>
      <c r="P52" s="163"/>
      <c r="Q52" s="163"/>
    </row>
    <row r="53" spans="2:17" x14ac:dyDescent="0.25">
      <c r="C53" s="163"/>
      <c r="E53" s="163"/>
      <c r="F53" s="163"/>
      <c r="G53" s="163"/>
      <c r="H53" s="163"/>
      <c r="I53" s="163"/>
      <c r="J53" s="163"/>
      <c r="K53" s="163"/>
      <c r="L53" s="163"/>
      <c r="M53" s="163"/>
      <c r="O53" s="163"/>
      <c r="P53" s="163"/>
      <c r="Q53" s="163"/>
    </row>
    <row r="54" spans="2:17" x14ac:dyDescent="0.25">
      <c r="B54" s="168" t="s">
        <v>300</v>
      </c>
      <c r="C54" s="169"/>
      <c r="D54" s="170"/>
      <c r="E54" s="163"/>
      <c r="F54" s="163"/>
      <c r="G54" s="163"/>
      <c r="H54" s="163"/>
      <c r="I54" s="163"/>
      <c r="J54" s="163"/>
      <c r="K54" s="163"/>
      <c r="L54" s="163"/>
      <c r="M54" s="163"/>
      <c r="O54" s="163"/>
      <c r="P54" s="163"/>
      <c r="Q54" s="163"/>
    </row>
    <row r="55" spans="2:17" x14ac:dyDescent="0.25">
      <c r="D55" s="164">
        <v>283.5</v>
      </c>
    </row>
    <row r="56" spans="2:17" x14ac:dyDescent="0.25">
      <c r="B56" s="193" t="s">
        <v>16</v>
      </c>
      <c r="C56" s="194" t="s">
        <v>15</v>
      </c>
      <c r="D56" s="194" t="s">
        <v>14</v>
      </c>
      <c r="E56" s="194"/>
      <c r="F56" s="194"/>
      <c r="G56" s="194" t="s">
        <v>23</v>
      </c>
      <c r="H56" s="194" t="s">
        <v>271</v>
      </c>
      <c r="I56" s="194" t="s">
        <v>292</v>
      </c>
      <c r="J56" s="194"/>
      <c r="K56" s="194"/>
      <c r="L56" s="194" t="s">
        <v>293</v>
      </c>
      <c r="M56" s="194"/>
      <c r="N56" s="195" t="s">
        <v>294</v>
      </c>
      <c r="O56" s="194" t="s">
        <v>253</v>
      </c>
      <c r="P56" s="194"/>
      <c r="Q56" s="195" t="s">
        <v>297</v>
      </c>
    </row>
    <row r="57" spans="2:17" x14ac:dyDescent="0.25">
      <c r="B57" s="163" t="s">
        <v>296</v>
      </c>
      <c r="C57" s="164">
        <v>28133721</v>
      </c>
      <c r="D57" s="196">
        <f>$D$23*G57</f>
        <v>2551.5</v>
      </c>
      <c r="E57" s="196"/>
      <c r="F57" s="196"/>
      <c r="G57" s="177">
        <f>337500/37500</f>
        <v>9</v>
      </c>
      <c r="H57" s="177">
        <v>300.8</v>
      </c>
      <c r="I57" s="177">
        <f>futuros!B9</f>
        <v>258.5</v>
      </c>
      <c r="K57" s="178">
        <f>O8</f>
        <v>5.7</v>
      </c>
      <c r="L57" s="197">
        <v>46345</v>
      </c>
      <c r="M57" s="198"/>
      <c r="N57" s="198">
        <f>(H57-I57)*1.3228*D57</f>
        <v>142767.75366000005</v>
      </c>
      <c r="O57" s="166">
        <f>O25</f>
        <v>5.7</v>
      </c>
      <c r="Q57" s="198">
        <f>N57*O57</f>
        <v>813776.19586200034</v>
      </c>
    </row>
    <row r="58" spans="2:17" x14ac:dyDescent="0.25">
      <c r="B58" s="163" t="s">
        <v>296</v>
      </c>
      <c r="C58" s="164">
        <v>28594897</v>
      </c>
      <c r="D58" s="196">
        <f>$D$23*G58</f>
        <v>2268</v>
      </c>
      <c r="E58" s="196"/>
      <c r="F58" s="196"/>
      <c r="G58" s="177">
        <v>8</v>
      </c>
      <c r="H58" s="177">
        <v>322.39999999999998</v>
      </c>
      <c r="I58" s="177">
        <f>I57</f>
        <v>258.5</v>
      </c>
      <c r="K58" s="178">
        <f>O9</f>
        <v>5.7</v>
      </c>
      <c r="L58" s="197">
        <v>46345</v>
      </c>
      <c r="M58" s="198"/>
      <c r="N58" s="198">
        <f>(H58-I58)*1.3228*D58</f>
        <v>191707.0545599999</v>
      </c>
      <c r="O58" s="166">
        <f>O26</f>
        <v>5.7</v>
      </c>
      <c r="Q58" s="198">
        <f>N58*O58</f>
        <v>1092730.2109919994</v>
      </c>
    </row>
    <row r="59" spans="2:17" x14ac:dyDescent="0.25">
      <c r="B59" s="201" t="s">
        <v>298</v>
      </c>
      <c r="C59" s="201"/>
      <c r="D59" s="202">
        <f>SUM(D56:D58)</f>
        <v>4819.5</v>
      </c>
      <c r="E59" s="201"/>
      <c r="F59" s="201"/>
      <c r="G59" s="201"/>
      <c r="H59" s="201"/>
      <c r="I59" s="201"/>
      <c r="J59" s="201"/>
      <c r="K59" s="202"/>
      <c r="L59" s="201"/>
      <c r="M59" s="201"/>
      <c r="N59" s="202">
        <f>SUM(N56:N58)</f>
        <v>334474.80821999995</v>
      </c>
      <c r="O59" s="201"/>
      <c r="P59" s="201"/>
      <c r="Q59" s="202">
        <f>SUM(Q56:Q58)</f>
        <v>1906506.4068539997</v>
      </c>
    </row>
    <row r="64" spans="2:17" x14ac:dyDescent="0.25">
      <c r="C64" s="163"/>
      <c r="E64" s="163"/>
      <c r="F64" s="163"/>
      <c r="G64" s="163"/>
      <c r="H64" s="163"/>
      <c r="I64" s="163"/>
      <c r="J64" s="163"/>
      <c r="K64" s="163"/>
      <c r="L64" s="163"/>
    </row>
    <row r="65" spans="3:12" x14ac:dyDescent="0.25">
      <c r="C65" s="163"/>
      <c r="E65" s="163"/>
      <c r="F65" s="163"/>
      <c r="G65" s="163"/>
      <c r="H65" s="163"/>
      <c r="I65" s="163"/>
      <c r="J65" s="163"/>
      <c r="K65" s="163"/>
      <c r="L65" s="163"/>
    </row>
    <row r="66" spans="3:12" x14ac:dyDescent="0.25">
      <c r="C66" s="163"/>
      <c r="E66" s="163"/>
      <c r="F66" s="163"/>
      <c r="G66" s="163"/>
      <c r="H66" s="163"/>
      <c r="I66" s="163"/>
      <c r="J66" s="163"/>
      <c r="K66" s="163"/>
      <c r="L66" s="163"/>
    </row>
    <row r="67" spans="3:12" x14ac:dyDescent="0.25">
      <c r="C67" s="163"/>
      <c r="E67" s="163"/>
      <c r="F67" s="163"/>
      <c r="G67" s="163"/>
      <c r="H67" s="163"/>
      <c r="I67" s="163"/>
      <c r="J67" s="163"/>
      <c r="K67" s="163"/>
      <c r="L67" s="163"/>
    </row>
    <row r="68" spans="3:12" x14ac:dyDescent="0.25">
      <c r="C68" s="163"/>
      <c r="E68" s="163"/>
      <c r="F68" s="163"/>
      <c r="G68" s="163"/>
      <c r="H68" s="163"/>
      <c r="I68" s="163"/>
      <c r="J68" s="163"/>
      <c r="K68" s="163"/>
      <c r="L68" s="163"/>
    </row>
    <row r="69" spans="3:12" x14ac:dyDescent="0.25">
      <c r="C69" s="163"/>
      <c r="E69" s="163"/>
      <c r="F69" s="163"/>
      <c r="G69" s="163"/>
      <c r="H69" s="163"/>
      <c r="I69" s="163"/>
      <c r="J69" s="163"/>
      <c r="K69" s="163"/>
      <c r="L69" s="163"/>
    </row>
    <row r="70" spans="3:12" x14ac:dyDescent="0.25">
      <c r="C70" s="163"/>
      <c r="E70" s="163"/>
      <c r="F70" s="163"/>
      <c r="G70" s="163"/>
      <c r="H70" s="163"/>
      <c r="I70" s="163"/>
      <c r="J70" s="163"/>
      <c r="K70" s="163"/>
      <c r="L70" s="163"/>
    </row>
    <row r="71" spans="3:12" x14ac:dyDescent="0.25">
      <c r="C71" s="163"/>
      <c r="E71" s="163"/>
      <c r="F71" s="163"/>
      <c r="G71" s="163"/>
      <c r="H71" s="163"/>
      <c r="I71" s="163"/>
      <c r="J71" s="163"/>
      <c r="K71" s="163"/>
      <c r="L71" s="163"/>
    </row>
    <row r="72" spans="3:12" x14ac:dyDescent="0.25">
      <c r="C72" s="163"/>
      <c r="E72" s="163"/>
      <c r="F72" s="163"/>
      <c r="G72" s="163"/>
      <c r="H72" s="163"/>
      <c r="I72" s="163"/>
      <c r="J72" s="163"/>
      <c r="K72" s="163"/>
      <c r="L72" s="163"/>
    </row>
    <row r="73" spans="3:12" x14ac:dyDescent="0.25">
      <c r="C73" s="163"/>
      <c r="E73" s="163"/>
      <c r="F73" s="163"/>
      <c r="G73" s="163"/>
      <c r="H73" s="163"/>
      <c r="I73" s="163"/>
      <c r="J73" s="163"/>
      <c r="K73" s="163"/>
      <c r="L73" s="163"/>
    </row>
    <row r="74" spans="3:12" x14ac:dyDescent="0.25">
      <c r="C74" s="163"/>
      <c r="E74" s="163"/>
      <c r="F74" s="163"/>
      <c r="G74" s="163"/>
      <c r="H74" s="163"/>
      <c r="I74" s="163"/>
      <c r="J74" s="163"/>
      <c r="K74" s="163"/>
      <c r="L74" s="163"/>
    </row>
  </sheetData>
  <phoneticPr fontId="5" type="noConversion"/>
  <pageMargins left="0.7" right="0.7" top="0.75" bottom="0.75" header="0.3" footer="0.3"/>
  <pageSetup paperSize="9" scale="58" orientation="landscape" horizontalDpi="0" verticalDpi="0"/>
  <ignoredErrors>
    <ignoredError sqref="L14 N19:O19 P19:Q19 L10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115D-D1E6-C943-B0EC-2BC4BD1B44BA}">
  <sheetPr codeName="Sheet1"/>
  <dimension ref="A1:T66"/>
  <sheetViews>
    <sheetView tabSelected="1" topLeftCell="A25" zoomScale="80" zoomScaleNormal="80" workbookViewId="0">
      <selection activeCell="J59" sqref="J59"/>
    </sheetView>
  </sheetViews>
  <sheetFormatPr baseColWidth="10" defaultRowHeight="14" x14ac:dyDescent="0.2"/>
  <cols>
    <col min="1" max="1" width="15.5" style="1" customWidth="1"/>
    <col min="2" max="2" width="10.83203125" style="2"/>
    <col min="3" max="3" width="15.83203125" style="2" customWidth="1"/>
    <col min="4" max="4" width="19.6640625" style="1" customWidth="1"/>
    <col min="5" max="12" width="10.83203125" style="2"/>
    <col min="13" max="13" width="10.83203125" style="152"/>
    <col min="14" max="14" width="10.83203125" style="1"/>
    <col min="15" max="15" width="10.83203125" style="149"/>
    <col min="16" max="17" width="14" style="3" customWidth="1"/>
    <col min="18" max="16384" width="10.83203125" style="1"/>
  </cols>
  <sheetData>
    <row r="1" spans="1:17" x14ac:dyDescent="0.2">
      <c r="A1" s="153" t="s">
        <v>272</v>
      </c>
      <c r="B1" s="153" t="s">
        <v>15</v>
      </c>
      <c r="C1" s="153" t="s">
        <v>273</v>
      </c>
      <c r="D1" s="153" t="s">
        <v>16</v>
      </c>
      <c r="E1" s="153" t="s">
        <v>14</v>
      </c>
      <c r="F1" s="153" t="s">
        <v>274</v>
      </c>
      <c r="G1" s="153" t="s">
        <v>275</v>
      </c>
      <c r="H1" s="153" t="s">
        <v>13</v>
      </c>
      <c r="I1" s="153" t="s">
        <v>18</v>
      </c>
      <c r="J1" s="153" t="s">
        <v>266</v>
      </c>
      <c r="K1" s="153" t="s">
        <v>265</v>
      </c>
      <c r="L1" s="153" t="s">
        <v>271</v>
      </c>
      <c r="M1" s="154" t="s">
        <v>17</v>
      </c>
      <c r="N1" s="153" t="s">
        <v>254</v>
      </c>
      <c r="O1" s="157" t="s">
        <v>253</v>
      </c>
      <c r="P1" s="156" t="s">
        <v>90</v>
      </c>
      <c r="Q1" s="156" t="s">
        <v>255</v>
      </c>
    </row>
    <row r="2" spans="1:17" x14ac:dyDescent="0.2">
      <c r="A2" s="2">
        <v>2023</v>
      </c>
      <c r="B2" s="2" t="s">
        <v>332</v>
      </c>
      <c r="C2" s="2" t="s">
        <v>89</v>
      </c>
      <c r="D2" s="159" t="s">
        <v>86</v>
      </c>
      <c r="E2" s="2">
        <v>0.5</v>
      </c>
      <c r="F2" s="2" t="s">
        <v>32</v>
      </c>
      <c r="G2" s="2" t="s">
        <v>32</v>
      </c>
      <c r="H2" s="2">
        <v>0</v>
      </c>
      <c r="I2" s="158">
        <v>45371</v>
      </c>
      <c r="J2" s="2">
        <v>1</v>
      </c>
      <c r="K2" s="158">
        <v>45371</v>
      </c>
      <c r="L2" s="155"/>
      <c r="M2" s="155"/>
      <c r="N2" s="3"/>
      <c r="O2" s="160"/>
      <c r="P2" s="3">
        <v>1400</v>
      </c>
      <c r="Q2" s="3">
        <f>P2*E2</f>
        <v>700</v>
      </c>
    </row>
    <row r="3" spans="1:17" x14ac:dyDescent="0.2">
      <c r="A3" s="2">
        <v>2023</v>
      </c>
      <c r="B3" s="2" t="s">
        <v>333</v>
      </c>
      <c r="C3" s="2" t="s">
        <v>42</v>
      </c>
      <c r="D3" s="159" t="s">
        <v>264</v>
      </c>
      <c r="E3" s="2">
        <v>320</v>
      </c>
      <c r="F3" s="2" t="s">
        <v>27</v>
      </c>
      <c r="G3" s="2" t="s">
        <v>32</v>
      </c>
      <c r="H3" s="2">
        <v>13.7</v>
      </c>
      <c r="I3" s="158">
        <v>45371</v>
      </c>
      <c r="J3" s="2">
        <v>1</v>
      </c>
      <c r="K3" s="158">
        <f>I3+90</f>
        <v>45461</v>
      </c>
      <c r="L3" s="155"/>
      <c r="M3" s="155">
        <v>271.5</v>
      </c>
      <c r="N3" s="3">
        <f>M3*E3</f>
        <v>86880</v>
      </c>
      <c r="O3" s="160">
        <v>4.9740000000000002</v>
      </c>
      <c r="P3" s="3">
        <f>O3*M3</f>
        <v>1350.441</v>
      </c>
      <c r="Q3" s="3">
        <f>P3*E3</f>
        <v>432141.12</v>
      </c>
    </row>
    <row r="4" spans="1:17" x14ac:dyDescent="0.2">
      <c r="A4" s="2">
        <v>2023</v>
      </c>
      <c r="B4" s="2" t="s">
        <v>335</v>
      </c>
      <c r="C4" s="2" t="s">
        <v>42</v>
      </c>
      <c r="D4" s="159" t="s">
        <v>264</v>
      </c>
      <c r="E4" s="2">
        <v>320</v>
      </c>
      <c r="F4" s="2" t="s">
        <v>32</v>
      </c>
      <c r="G4" s="2" t="s">
        <v>32</v>
      </c>
      <c r="H4" s="2">
        <v>0</v>
      </c>
      <c r="I4" s="158">
        <v>45371</v>
      </c>
      <c r="J4" s="2">
        <v>1</v>
      </c>
      <c r="K4" s="158">
        <f>I4+60</f>
        <v>45431</v>
      </c>
      <c r="L4" s="155"/>
      <c r="M4" s="155">
        <v>271.5</v>
      </c>
      <c r="N4" s="3">
        <f>M4*E4</f>
        <v>86880</v>
      </c>
      <c r="O4" s="160">
        <v>5.0419999999999998</v>
      </c>
      <c r="P4" s="3">
        <f>O4*M4</f>
        <v>1368.903</v>
      </c>
      <c r="Q4" s="3">
        <f>P4*E4</f>
        <v>438048.96</v>
      </c>
    </row>
    <row r="5" spans="1:17" x14ac:dyDescent="0.2">
      <c r="A5" s="2">
        <v>2023</v>
      </c>
      <c r="B5" s="2" t="s">
        <v>336</v>
      </c>
      <c r="C5" s="2" t="s">
        <v>42</v>
      </c>
      <c r="D5" s="159" t="s">
        <v>264</v>
      </c>
      <c r="E5" s="2">
        <v>320</v>
      </c>
      <c r="F5" s="2" t="s">
        <v>32</v>
      </c>
      <c r="G5" s="2" t="s">
        <v>32</v>
      </c>
      <c r="H5" s="2">
        <v>0</v>
      </c>
      <c r="I5" s="158">
        <v>45371</v>
      </c>
      <c r="J5" s="2">
        <v>1</v>
      </c>
      <c r="K5" s="158">
        <f>I5+60</f>
        <v>45431</v>
      </c>
      <c r="L5" s="155"/>
      <c r="M5" s="155">
        <v>271.5</v>
      </c>
      <c r="N5" s="3">
        <f>M5*E5</f>
        <v>86880</v>
      </c>
      <c r="O5" s="160">
        <v>5.0419999999999998</v>
      </c>
      <c r="P5" s="3">
        <f>O5*M5</f>
        <v>1368.903</v>
      </c>
      <c r="Q5" s="3">
        <f>P5*E5</f>
        <v>438048.96</v>
      </c>
    </row>
    <row r="6" spans="1:17" x14ac:dyDescent="0.2">
      <c r="A6" s="2">
        <v>2023</v>
      </c>
      <c r="B6" s="2" t="s">
        <v>278</v>
      </c>
      <c r="C6" s="2" t="s">
        <v>42</v>
      </c>
      <c r="D6" s="159" t="s">
        <v>46</v>
      </c>
      <c r="E6" s="2">
        <v>320</v>
      </c>
      <c r="F6" s="2" t="s">
        <v>32</v>
      </c>
      <c r="G6" s="2" t="s">
        <v>32</v>
      </c>
      <c r="H6" s="2">
        <v>20</v>
      </c>
      <c r="I6" s="158">
        <v>45383</v>
      </c>
      <c r="J6" s="2">
        <v>2</v>
      </c>
      <c r="K6" s="158">
        <v>45748</v>
      </c>
      <c r="L6" s="155"/>
      <c r="M6" s="155">
        <v>326.8</v>
      </c>
      <c r="N6" s="3">
        <f>M6*E6</f>
        <v>104576</v>
      </c>
      <c r="O6" s="160">
        <f>(5.725*0.5+5.6337*0.5)</f>
        <v>5.6793499999999995</v>
      </c>
      <c r="P6" s="3">
        <f>M6*O6</f>
        <v>1856.0115799999999</v>
      </c>
      <c r="Q6" s="3">
        <f>P6*E6</f>
        <v>593923.70559999999</v>
      </c>
    </row>
    <row r="7" spans="1:17" x14ac:dyDescent="0.2">
      <c r="A7" s="2">
        <v>2023</v>
      </c>
      <c r="B7" s="2" t="s">
        <v>277</v>
      </c>
      <c r="C7" s="2" t="s">
        <v>42</v>
      </c>
      <c r="D7" s="159" t="s">
        <v>46</v>
      </c>
      <c r="E7" s="2">
        <v>280</v>
      </c>
      <c r="F7" s="2" t="s">
        <v>32</v>
      </c>
      <c r="G7" s="2" t="s">
        <v>32</v>
      </c>
      <c r="H7" s="2">
        <v>18</v>
      </c>
      <c r="I7" s="158">
        <v>45383</v>
      </c>
      <c r="J7" s="2">
        <v>2</v>
      </c>
      <c r="K7" s="158">
        <v>45597</v>
      </c>
      <c r="L7" s="155"/>
      <c r="M7" s="155">
        <v>316.81060714285712</v>
      </c>
      <c r="N7" s="3">
        <f>M7*E7</f>
        <v>88706.97</v>
      </c>
      <c r="O7" s="160">
        <f>5.76</f>
        <v>5.76</v>
      </c>
      <c r="P7" s="3">
        <f>M7*O7</f>
        <v>1824.8290971428569</v>
      </c>
      <c r="Q7" s="3">
        <f>P7*E7</f>
        <v>510952.14719999995</v>
      </c>
    </row>
    <row r="8" spans="1:17" x14ac:dyDescent="0.2">
      <c r="A8" s="2">
        <v>2023</v>
      </c>
      <c r="B8" s="2" t="s">
        <v>334</v>
      </c>
      <c r="C8" s="2" t="s">
        <v>42</v>
      </c>
      <c r="D8" s="159" t="s">
        <v>264</v>
      </c>
      <c r="E8" s="2">
        <v>320</v>
      </c>
      <c r="F8" s="2" t="s">
        <v>27</v>
      </c>
      <c r="G8" s="2" t="s">
        <v>32</v>
      </c>
      <c r="H8" s="2">
        <v>13.7</v>
      </c>
      <c r="I8" s="158">
        <v>45442</v>
      </c>
      <c r="J8" s="2">
        <v>1</v>
      </c>
      <c r="K8" s="158">
        <f>I8+90</f>
        <v>45532</v>
      </c>
      <c r="L8" s="155"/>
      <c r="M8" s="155">
        <v>271.5</v>
      </c>
      <c r="N8" s="3">
        <f>M8*E8</f>
        <v>86880</v>
      </c>
      <c r="O8" s="160">
        <v>5.0419999999999998</v>
      </c>
      <c r="P8" s="3">
        <f>O8*M8</f>
        <v>1368.903</v>
      </c>
      <c r="Q8" s="3">
        <f>P8*E8</f>
        <v>438048.96</v>
      </c>
    </row>
    <row r="9" spans="1:17" x14ac:dyDescent="0.2">
      <c r="A9" s="2">
        <v>2023</v>
      </c>
      <c r="B9" s="2" t="s">
        <v>337</v>
      </c>
      <c r="C9" s="2" t="s">
        <v>42</v>
      </c>
      <c r="D9" s="159" t="s">
        <v>342</v>
      </c>
      <c r="E9" s="2">
        <v>50</v>
      </c>
      <c r="F9" s="2" t="s">
        <v>32</v>
      </c>
      <c r="G9" s="2" t="s">
        <v>32</v>
      </c>
      <c r="H9" s="2">
        <v>0</v>
      </c>
      <c r="I9" s="158">
        <v>45473</v>
      </c>
      <c r="J9" s="2">
        <v>1</v>
      </c>
      <c r="K9" s="158">
        <f>I9</f>
        <v>45473</v>
      </c>
      <c r="L9" s="155"/>
      <c r="M9" s="155">
        <v>300.27999999999997</v>
      </c>
      <c r="N9" s="3">
        <f>M9*E9</f>
        <v>15013.999999999998</v>
      </c>
      <c r="O9" s="160">
        <v>5.4260000000000002</v>
      </c>
      <c r="P9" s="3">
        <f>M9*O9</f>
        <v>1629.3192799999999</v>
      </c>
      <c r="Q9" s="3">
        <f>P9*E9</f>
        <v>81465.963999999993</v>
      </c>
    </row>
    <row r="10" spans="1:17" x14ac:dyDescent="0.2">
      <c r="A10" s="2">
        <v>2023</v>
      </c>
      <c r="B10" s="2" t="s">
        <v>340</v>
      </c>
      <c r="C10" s="2" t="s">
        <v>89</v>
      </c>
      <c r="D10" s="159" t="s">
        <v>86</v>
      </c>
      <c r="E10" s="2">
        <v>3</v>
      </c>
      <c r="F10" s="2" t="s">
        <v>33</v>
      </c>
      <c r="G10" s="2" t="s">
        <v>32</v>
      </c>
      <c r="H10" s="2">
        <v>0</v>
      </c>
      <c r="I10" s="158">
        <v>45473</v>
      </c>
      <c r="J10" s="2">
        <v>2</v>
      </c>
      <c r="K10" s="158">
        <v>45580</v>
      </c>
      <c r="L10" s="155"/>
      <c r="M10" s="155"/>
      <c r="N10" s="3"/>
      <c r="O10" s="160"/>
      <c r="P10" s="3">
        <v>1500</v>
      </c>
      <c r="Q10" s="3">
        <f>P10*E10</f>
        <v>4500</v>
      </c>
    </row>
    <row r="11" spans="1:17" x14ac:dyDescent="0.2">
      <c r="A11" s="2">
        <v>2023</v>
      </c>
      <c r="B11" s="2" t="s">
        <v>338</v>
      </c>
      <c r="C11" s="2" t="s">
        <v>42</v>
      </c>
      <c r="D11" s="159" t="s">
        <v>264</v>
      </c>
      <c r="E11" s="2">
        <v>320</v>
      </c>
      <c r="F11" s="2" t="s">
        <v>27</v>
      </c>
      <c r="G11" s="2" t="s">
        <v>32</v>
      </c>
      <c r="H11" s="2">
        <v>15</v>
      </c>
      <c r="I11" s="158">
        <v>45473</v>
      </c>
      <c r="J11" s="2">
        <v>1</v>
      </c>
      <c r="K11" s="158">
        <f>I11+90</f>
        <v>45563</v>
      </c>
      <c r="L11" s="155"/>
      <c r="M11" s="155">
        <v>308.54000000000002</v>
      </c>
      <c r="N11" s="3">
        <f>M11*E11</f>
        <v>98732.800000000003</v>
      </c>
      <c r="O11" s="160">
        <f>572795/N11</f>
        <v>5.8014661794256819</v>
      </c>
      <c r="P11" s="3">
        <f>M11*O11</f>
        <v>1789.984375</v>
      </c>
      <c r="Q11" s="3">
        <f>P11*E11</f>
        <v>572795</v>
      </c>
    </row>
    <row r="12" spans="1:17" x14ac:dyDescent="0.2">
      <c r="A12" s="2">
        <v>2023</v>
      </c>
      <c r="B12" s="2" t="s">
        <v>341</v>
      </c>
      <c r="C12" s="2" t="s">
        <v>89</v>
      </c>
      <c r="D12" s="159" t="s">
        <v>343</v>
      </c>
      <c r="E12" s="2">
        <v>138</v>
      </c>
      <c r="F12" s="2" t="s">
        <v>32</v>
      </c>
      <c r="G12" s="2" t="s">
        <v>32</v>
      </c>
      <c r="H12" s="2">
        <v>0</v>
      </c>
      <c r="I12" s="158">
        <v>45485</v>
      </c>
      <c r="J12" s="2">
        <v>1</v>
      </c>
      <c r="K12" s="158">
        <v>45485</v>
      </c>
      <c r="L12" s="155"/>
      <c r="M12" s="155"/>
      <c r="N12" s="3"/>
      <c r="O12" s="160"/>
      <c r="P12" s="3">
        <v>1520</v>
      </c>
      <c r="Q12" s="3">
        <f>P12*E12</f>
        <v>209760</v>
      </c>
    </row>
    <row r="13" spans="1:17" x14ac:dyDescent="0.2">
      <c r="A13" s="2">
        <v>2023</v>
      </c>
      <c r="B13" s="2" t="s">
        <v>339</v>
      </c>
      <c r="C13" s="2" t="s">
        <v>42</v>
      </c>
      <c r="D13" s="159" t="s">
        <v>264</v>
      </c>
      <c r="E13" s="2">
        <v>320</v>
      </c>
      <c r="F13" s="2" t="s">
        <v>27</v>
      </c>
      <c r="G13" s="2" t="s">
        <v>32</v>
      </c>
      <c r="H13" s="2">
        <v>15</v>
      </c>
      <c r="I13" s="158">
        <v>45503</v>
      </c>
      <c r="J13" s="2">
        <v>1</v>
      </c>
      <c r="K13" s="158">
        <f>I13+90</f>
        <v>45593</v>
      </c>
      <c r="L13" s="155"/>
      <c r="M13" s="155">
        <v>308.54000000000002</v>
      </c>
      <c r="N13" s="3">
        <f>M13*E13</f>
        <v>98732.800000000003</v>
      </c>
      <c r="O13" s="160">
        <f>579189/N13</f>
        <v>5.8662268263434241</v>
      </c>
      <c r="P13" s="3">
        <f>M13*O13</f>
        <v>1809.9656250000003</v>
      </c>
      <c r="Q13" s="3">
        <f>P13*E13</f>
        <v>579189.00000000012</v>
      </c>
    </row>
    <row r="14" spans="1:17" s="2" customFormat="1" x14ac:dyDescent="0.2">
      <c r="A14" s="2">
        <v>2024</v>
      </c>
      <c r="B14" s="2" t="s">
        <v>5</v>
      </c>
      <c r="C14" s="2" t="s">
        <v>42</v>
      </c>
      <c r="D14" s="159" t="s">
        <v>264</v>
      </c>
      <c r="E14" s="2">
        <v>160</v>
      </c>
      <c r="F14" s="2" t="s">
        <v>27</v>
      </c>
      <c r="G14" s="2" t="s">
        <v>36</v>
      </c>
      <c r="H14" s="2">
        <v>25</v>
      </c>
      <c r="I14" s="158">
        <v>45349</v>
      </c>
      <c r="J14" s="2">
        <v>1</v>
      </c>
      <c r="K14" s="158">
        <v>45778</v>
      </c>
      <c r="L14" s="155">
        <v>393.05</v>
      </c>
      <c r="M14" s="155">
        <v>557.75861999999995</v>
      </c>
      <c r="N14" s="3">
        <f>M14*E14</f>
        <v>89241.379199999996</v>
      </c>
      <c r="O14" s="160">
        <v>5.5049999999999999</v>
      </c>
      <c r="P14" s="3">
        <f>M14*O14</f>
        <v>3070.4612030999997</v>
      </c>
      <c r="Q14" s="3">
        <f>P14*E14</f>
        <v>491273.79249599995</v>
      </c>
    </row>
    <row r="15" spans="1:17" x14ac:dyDescent="0.2">
      <c r="A15" s="2">
        <v>2024</v>
      </c>
      <c r="B15" s="2" t="s">
        <v>4</v>
      </c>
      <c r="C15" s="2" t="s">
        <v>42</v>
      </c>
      <c r="D15" s="159" t="s">
        <v>264</v>
      </c>
      <c r="E15" s="2">
        <v>160</v>
      </c>
      <c r="F15" s="2" t="s">
        <v>27</v>
      </c>
      <c r="G15" s="2" t="s">
        <v>37</v>
      </c>
      <c r="H15" s="2">
        <v>-8</v>
      </c>
      <c r="I15" s="158">
        <v>45349</v>
      </c>
      <c r="J15" s="2">
        <v>1</v>
      </c>
      <c r="K15" s="158">
        <v>45748</v>
      </c>
      <c r="L15" s="155">
        <v>393.05</v>
      </c>
      <c r="M15" s="155">
        <v>526.34211999999991</v>
      </c>
      <c r="N15" s="3">
        <f>M15*E15</f>
        <v>84214.739199999982</v>
      </c>
      <c r="O15" s="160">
        <f>(499233.9/(SUM(N14:N15)/2))</f>
        <v>5.7563135230403049</v>
      </c>
      <c r="P15" s="3">
        <f>M15*O15</f>
        <v>3029.7902631017023</v>
      </c>
      <c r="Q15" s="3">
        <f>P15*E15</f>
        <v>484766.44209627237</v>
      </c>
    </row>
    <row r="16" spans="1:17" x14ac:dyDescent="0.2">
      <c r="A16" s="2">
        <v>2024</v>
      </c>
      <c r="B16" s="2" t="s">
        <v>12</v>
      </c>
      <c r="C16" s="2" t="s">
        <v>42</v>
      </c>
      <c r="D16" s="159" t="s">
        <v>264</v>
      </c>
      <c r="E16" s="2">
        <v>320</v>
      </c>
      <c r="F16" s="2" t="s">
        <v>27</v>
      </c>
      <c r="G16" s="2" t="s">
        <v>34</v>
      </c>
      <c r="H16" s="2">
        <v>10</v>
      </c>
      <c r="I16" s="158">
        <v>45564</v>
      </c>
      <c r="J16" s="2">
        <v>1</v>
      </c>
      <c r="K16" s="158">
        <v>45627</v>
      </c>
      <c r="L16" s="155">
        <v>251.05</v>
      </c>
      <c r="M16" s="155">
        <v>345.31693999999999</v>
      </c>
      <c r="N16" s="3">
        <f>M16*E16</f>
        <v>110501.42079999999</v>
      </c>
      <c r="O16" s="160">
        <v>5.8349509259259262</v>
      </c>
      <c r="P16" s="3">
        <f>M16*O16</f>
        <v>2014.9073987909073</v>
      </c>
      <c r="Q16" s="3">
        <f>P16*E16</f>
        <v>644770.36761309032</v>
      </c>
    </row>
    <row r="17" spans="1:17" x14ac:dyDescent="0.2">
      <c r="A17" s="2">
        <v>2024</v>
      </c>
      <c r="B17" s="2" t="s">
        <v>11</v>
      </c>
      <c r="C17" s="2" t="s">
        <v>42</v>
      </c>
      <c r="D17" s="159" t="s">
        <v>264</v>
      </c>
      <c r="E17" s="2">
        <v>320</v>
      </c>
      <c r="F17" s="2" t="s">
        <v>27</v>
      </c>
      <c r="G17" s="2" t="s">
        <v>34</v>
      </c>
      <c r="H17" s="2">
        <v>10</v>
      </c>
      <c r="I17" s="158">
        <v>45564</v>
      </c>
      <c r="J17" s="2">
        <v>1</v>
      </c>
      <c r="K17" s="158">
        <v>45627</v>
      </c>
      <c r="L17" s="155">
        <v>251.05</v>
      </c>
      <c r="M17" s="155">
        <v>345.31693999999999</v>
      </c>
      <c r="N17" s="3">
        <f>M17*E17</f>
        <v>110501.42079999999</v>
      </c>
      <c r="O17" s="160">
        <v>5.8349509259259262</v>
      </c>
      <c r="P17" s="3">
        <f>M17*O17</f>
        <v>2014.9073987909073</v>
      </c>
      <c r="Q17" s="3">
        <f>P17*E17</f>
        <v>644770.36761309032</v>
      </c>
    </row>
    <row r="18" spans="1:17" x14ac:dyDescent="0.2">
      <c r="A18" s="2">
        <v>2024</v>
      </c>
      <c r="B18" s="2" t="s">
        <v>10</v>
      </c>
      <c r="C18" s="2" t="s">
        <v>42</v>
      </c>
      <c r="D18" s="159" t="s">
        <v>264</v>
      </c>
      <c r="E18" s="2">
        <v>320</v>
      </c>
      <c r="F18" s="2" t="s">
        <v>27</v>
      </c>
      <c r="G18" s="2" t="s">
        <v>35</v>
      </c>
      <c r="H18" s="2">
        <v>10</v>
      </c>
      <c r="I18" s="158">
        <v>45564</v>
      </c>
      <c r="J18" s="2">
        <v>1</v>
      </c>
      <c r="K18" s="158">
        <v>45627</v>
      </c>
      <c r="L18" s="155">
        <v>251.05</v>
      </c>
      <c r="M18" s="155">
        <v>345.31693999999999</v>
      </c>
      <c r="N18" s="3">
        <f>M18*E18</f>
        <v>110501.42079999999</v>
      </c>
      <c r="O18" s="160">
        <v>5.8349509259259262</v>
      </c>
      <c r="P18" s="3">
        <f>M18*O18</f>
        <v>2014.9073987909073</v>
      </c>
      <c r="Q18" s="3">
        <f>P18*E18</f>
        <v>644770.36761309032</v>
      </c>
    </row>
    <row r="19" spans="1:17" x14ac:dyDescent="0.2">
      <c r="A19" s="2">
        <v>2024</v>
      </c>
      <c r="B19" s="2" t="s">
        <v>5</v>
      </c>
      <c r="C19" s="2" t="s">
        <v>42</v>
      </c>
      <c r="D19" s="159" t="s">
        <v>264</v>
      </c>
      <c r="E19" s="2">
        <v>160</v>
      </c>
      <c r="F19" s="2" t="s">
        <v>27</v>
      </c>
      <c r="G19" s="2" t="s">
        <v>36</v>
      </c>
      <c r="H19" s="2">
        <v>25</v>
      </c>
      <c r="I19" s="158">
        <v>45599</v>
      </c>
      <c r="J19" s="2">
        <v>1</v>
      </c>
      <c r="K19" s="158">
        <v>45658</v>
      </c>
      <c r="L19" s="155">
        <v>280.75</v>
      </c>
      <c r="M19" s="155">
        <v>404.4461</v>
      </c>
      <c r="N19" s="3">
        <f>M19*E19</f>
        <v>64711.376000000004</v>
      </c>
      <c r="O19" s="160">
        <v>5.7499741972351099</v>
      </c>
      <c r="P19" s="3">
        <f>M19*O19</f>
        <v>2325.554639172371</v>
      </c>
      <c r="Q19" s="3">
        <f>P19*E19</f>
        <v>372088.74226757936</v>
      </c>
    </row>
    <row r="20" spans="1:17" x14ac:dyDescent="0.2">
      <c r="A20" s="2">
        <v>2024</v>
      </c>
      <c r="B20" s="2" t="s">
        <v>4</v>
      </c>
      <c r="C20" s="2" t="s">
        <v>42</v>
      </c>
      <c r="D20" s="159" t="s">
        <v>264</v>
      </c>
      <c r="E20" s="2">
        <v>160</v>
      </c>
      <c r="F20" s="2" t="s">
        <v>28</v>
      </c>
      <c r="G20" s="2" t="s">
        <v>37</v>
      </c>
      <c r="H20" s="2">
        <v>-8</v>
      </c>
      <c r="I20" s="158">
        <v>45599</v>
      </c>
      <c r="J20" s="2">
        <v>1</v>
      </c>
      <c r="K20" s="158">
        <v>45658</v>
      </c>
      <c r="L20" s="155">
        <v>280.75</v>
      </c>
      <c r="M20" s="155">
        <v>360.7937</v>
      </c>
      <c r="N20" s="3">
        <f>M20*E20</f>
        <v>57726.991999999998</v>
      </c>
      <c r="O20" s="160">
        <v>5.7499741972351099</v>
      </c>
      <c r="P20" s="3">
        <f>M20*O20</f>
        <v>2074.5544655249851</v>
      </c>
      <c r="Q20" s="3">
        <f>P20*E20</f>
        <v>331928.71448399761</v>
      </c>
    </row>
    <row r="21" spans="1:17" x14ac:dyDescent="0.2">
      <c r="A21" s="2">
        <v>2024</v>
      </c>
      <c r="B21" s="2" t="s">
        <v>9</v>
      </c>
      <c r="C21" s="2" t="s">
        <v>42</v>
      </c>
      <c r="D21" s="159" t="s">
        <v>264</v>
      </c>
      <c r="E21" s="2">
        <v>320</v>
      </c>
      <c r="F21" s="2" t="s">
        <v>27</v>
      </c>
      <c r="G21" s="2" t="s">
        <v>37</v>
      </c>
      <c r="H21" s="2">
        <v>10</v>
      </c>
      <c r="I21" s="158">
        <v>45630</v>
      </c>
      <c r="J21" s="2">
        <v>1</v>
      </c>
      <c r="K21" s="158">
        <v>45689</v>
      </c>
      <c r="L21" s="155">
        <v>323.25</v>
      </c>
      <c r="M21" s="155">
        <v>440.82310000000001</v>
      </c>
      <c r="N21" s="3">
        <f>M21*E21</f>
        <v>141063.39199999999</v>
      </c>
      <c r="O21" s="160">
        <v>5.7669999035936632</v>
      </c>
      <c r="P21" s="3">
        <f>M21*O21</f>
        <v>2542.2267752018597</v>
      </c>
      <c r="Q21" s="3">
        <f>P21*E21</f>
        <v>813512.56806459511</v>
      </c>
    </row>
    <row r="22" spans="1:17" x14ac:dyDescent="0.2">
      <c r="A22" s="2">
        <v>2024</v>
      </c>
      <c r="B22" s="2" t="s">
        <v>8</v>
      </c>
      <c r="C22" s="2" t="s">
        <v>42</v>
      </c>
      <c r="D22" s="159" t="s">
        <v>264</v>
      </c>
      <c r="E22" s="2">
        <v>320</v>
      </c>
      <c r="F22" s="2" t="s">
        <v>27</v>
      </c>
      <c r="G22" s="2" t="s">
        <v>38</v>
      </c>
      <c r="H22" s="2">
        <v>50</v>
      </c>
      <c r="I22" s="158">
        <f>I21</f>
        <v>45630</v>
      </c>
      <c r="J22" s="2">
        <v>1</v>
      </c>
      <c r="K22" s="158">
        <v>45689</v>
      </c>
      <c r="L22" s="155">
        <v>323.25</v>
      </c>
      <c r="M22" s="155">
        <v>493.73509999999999</v>
      </c>
      <c r="N22" s="3">
        <f>M22*E22</f>
        <v>157995.23199999999</v>
      </c>
      <c r="O22" s="160">
        <v>5.7669999035936632</v>
      </c>
      <c r="P22" s="3">
        <f>M22*O22</f>
        <v>2847.3702741008078</v>
      </c>
      <c r="Q22" s="3">
        <f>P22*E22</f>
        <v>911158.48771225847</v>
      </c>
    </row>
    <row r="23" spans="1:17" x14ac:dyDescent="0.2">
      <c r="A23" s="2">
        <v>2024</v>
      </c>
      <c r="B23" s="2" t="s">
        <v>7</v>
      </c>
      <c r="C23" s="2" t="s">
        <v>42</v>
      </c>
      <c r="D23" s="159" t="s">
        <v>264</v>
      </c>
      <c r="E23" s="2">
        <v>320</v>
      </c>
      <c r="F23" s="2" t="s">
        <v>28</v>
      </c>
      <c r="G23" s="2" t="s">
        <v>39</v>
      </c>
      <c r="H23" s="2">
        <v>-8</v>
      </c>
      <c r="I23" s="158">
        <f>I22</f>
        <v>45630</v>
      </c>
      <c r="J23" s="2">
        <v>1</v>
      </c>
      <c r="K23" s="158">
        <v>45689</v>
      </c>
      <c r="L23" s="155">
        <v>323.25</v>
      </c>
      <c r="M23" s="155">
        <v>417.0127</v>
      </c>
      <c r="N23" s="3">
        <f>M23*E23</f>
        <v>133444.06400000001</v>
      </c>
      <c r="O23" s="160">
        <v>5.7669999035936632</v>
      </c>
      <c r="P23" s="3">
        <f>M23*O23</f>
        <v>2404.912200697333</v>
      </c>
      <c r="Q23" s="3">
        <f>P23*E23</f>
        <v>769571.90422314662</v>
      </c>
    </row>
    <row r="24" spans="1:17" x14ac:dyDescent="0.2">
      <c r="A24" s="2">
        <v>2024</v>
      </c>
      <c r="B24" s="2" t="s">
        <v>41</v>
      </c>
      <c r="C24" s="2" t="s">
        <v>89</v>
      </c>
      <c r="D24" s="159" t="s">
        <v>31</v>
      </c>
      <c r="E24" s="2">
        <v>500</v>
      </c>
      <c r="F24" s="2" t="s">
        <v>33</v>
      </c>
      <c r="G24" s="2" t="s">
        <v>40</v>
      </c>
      <c r="H24" s="2">
        <v>0</v>
      </c>
      <c r="I24" s="158">
        <v>45631</v>
      </c>
      <c r="J24" s="2">
        <v>1</v>
      </c>
      <c r="K24" s="158">
        <v>45631</v>
      </c>
      <c r="L24" s="158"/>
      <c r="M24" s="155"/>
      <c r="N24" s="3"/>
      <c r="O24" s="160"/>
      <c r="P24" s="3">
        <v>2105</v>
      </c>
      <c r="Q24" s="3">
        <f>E24*P24</f>
        <v>1052500</v>
      </c>
    </row>
    <row r="25" spans="1:17" x14ac:dyDescent="0.2">
      <c r="A25" s="2">
        <v>2024</v>
      </c>
      <c r="B25" s="2" t="s">
        <v>43</v>
      </c>
      <c r="C25" s="2" t="s">
        <v>89</v>
      </c>
      <c r="D25" s="159" t="s">
        <v>257</v>
      </c>
      <c r="E25" s="2">
        <v>20</v>
      </c>
      <c r="F25" s="2" t="s">
        <v>33</v>
      </c>
      <c r="G25" s="2" t="s">
        <v>34</v>
      </c>
      <c r="H25" s="2">
        <v>0</v>
      </c>
      <c r="I25" s="158">
        <v>45632</v>
      </c>
      <c r="J25" s="2">
        <v>1</v>
      </c>
      <c r="K25" s="158">
        <v>45632</v>
      </c>
      <c r="L25" s="158"/>
      <c r="M25" s="155"/>
      <c r="N25" s="3"/>
      <c r="O25" s="160"/>
      <c r="P25" s="3">
        <v>2200</v>
      </c>
      <c r="Q25" s="3">
        <f>E25*P25</f>
        <v>44000</v>
      </c>
    </row>
    <row r="26" spans="1:17" x14ac:dyDescent="0.2">
      <c r="A26" s="2">
        <v>2024</v>
      </c>
      <c r="B26" s="2" t="s">
        <v>25</v>
      </c>
      <c r="C26" s="2" t="s">
        <v>89</v>
      </c>
      <c r="D26" s="159" t="s">
        <v>24</v>
      </c>
      <c r="E26" s="2">
        <v>4</v>
      </c>
      <c r="F26" s="2" t="s">
        <v>32</v>
      </c>
      <c r="G26" s="2" t="s">
        <v>32</v>
      </c>
      <c r="H26" s="2">
        <v>0</v>
      </c>
      <c r="I26" s="158">
        <v>45656</v>
      </c>
      <c r="J26" s="2">
        <v>4</v>
      </c>
      <c r="K26" s="158">
        <v>45717</v>
      </c>
      <c r="L26" s="158"/>
      <c r="M26" s="155"/>
      <c r="N26" s="3"/>
      <c r="O26" s="160"/>
      <c r="P26" s="3">
        <v>2500</v>
      </c>
      <c r="Q26" s="3">
        <f>E26*P26</f>
        <v>10000</v>
      </c>
    </row>
    <row r="27" spans="1:17" x14ac:dyDescent="0.2">
      <c r="A27" s="2">
        <v>2024</v>
      </c>
      <c r="B27" s="2" t="s">
        <v>26</v>
      </c>
      <c r="C27" s="2" t="s">
        <v>89</v>
      </c>
      <c r="D27" s="159" t="s">
        <v>24</v>
      </c>
      <c r="E27" s="2">
        <v>4</v>
      </c>
      <c r="F27" s="2" t="s">
        <v>32</v>
      </c>
      <c r="G27" s="2" t="s">
        <v>32</v>
      </c>
      <c r="H27" s="2">
        <v>0</v>
      </c>
      <c r="I27" s="158">
        <f>I26</f>
        <v>45656</v>
      </c>
      <c r="J27" s="2">
        <v>4</v>
      </c>
      <c r="K27" s="158">
        <v>45717</v>
      </c>
      <c r="L27" s="158"/>
      <c r="M27" s="155"/>
      <c r="N27" s="3"/>
      <c r="O27" s="160"/>
      <c r="P27" s="3">
        <v>2137</v>
      </c>
      <c r="Q27" s="3">
        <f>E27*P27</f>
        <v>8548</v>
      </c>
    </row>
    <row r="28" spans="1:17" x14ac:dyDescent="0.2">
      <c r="A28" s="2">
        <v>2024</v>
      </c>
      <c r="B28" s="2" t="s">
        <v>22</v>
      </c>
      <c r="C28" s="2" t="s">
        <v>42</v>
      </c>
      <c r="D28" s="159" t="s">
        <v>91</v>
      </c>
      <c r="E28" s="2">
        <v>320</v>
      </c>
      <c r="F28" s="2" t="s">
        <v>27</v>
      </c>
      <c r="G28" s="2" t="s">
        <v>40</v>
      </c>
      <c r="H28" s="2">
        <v>25</v>
      </c>
      <c r="I28" s="158">
        <v>45666</v>
      </c>
      <c r="J28" s="2">
        <v>1</v>
      </c>
      <c r="K28" s="158">
        <v>45658</v>
      </c>
      <c r="L28" s="155"/>
      <c r="M28" s="155">
        <v>468.27119999999996</v>
      </c>
      <c r="N28" s="3">
        <f>M28*E28</f>
        <v>149846.78399999999</v>
      </c>
      <c r="O28" s="160">
        <v>5.8236999999999997</v>
      </c>
      <c r="P28" s="3">
        <f>M28*O28</f>
        <v>2727.0709874399995</v>
      </c>
      <c r="Q28" s="3">
        <f>P28*E28</f>
        <v>872662.71598079987</v>
      </c>
    </row>
    <row r="29" spans="1:17" x14ac:dyDescent="0.2">
      <c r="A29" s="2">
        <v>2024</v>
      </c>
      <c r="B29" s="2" t="s">
        <v>20</v>
      </c>
      <c r="C29" s="2" t="s">
        <v>42</v>
      </c>
      <c r="D29" s="159" t="s">
        <v>19</v>
      </c>
      <c r="E29" s="2">
        <v>320</v>
      </c>
      <c r="F29" s="2" t="s">
        <v>27</v>
      </c>
      <c r="G29" s="2" t="s">
        <v>37</v>
      </c>
      <c r="H29" s="2">
        <v>0</v>
      </c>
      <c r="I29" s="158">
        <v>45671</v>
      </c>
      <c r="J29" s="2">
        <v>4</v>
      </c>
      <c r="K29" s="158">
        <f>I29</f>
        <v>45671</v>
      </c>
      <c r="L29" s="155"/>
      <c r="M29" s="155">
        <v>325</v>
      </c>
      <c r="N29" s="3">
        <f>M29*E29</f>
        <v>104000</v>
      </c>
      <c r="O29" s="160">
        <v>5.8079999999999998</v>
      </c>
      <c r="P29" s="3">
        <f>M29*O29</f>
        <v>1887.6</v>
      </c>
      <c r="Q29" s="3">
        <f>P29*E29</f>
        <v>604032</v>
      </c>
    </row>
    <row r="30" spans="1:17" x14ac:dyDescent="0.2">
      <c r="A30" s="2">
        <v>2024</v>
      </c>
      <c r="B30" s="2" t="s">
        <v>6</v>
      </c>
      <c r="C30" s="2" t="s">
        <v>42</v>
      </c>
      <c r="D30" s="159" t="s">
        <v>264</v>
      </c>
      <c r="E30" s="2">
        <v>320</v>
      </c>
      <c r="F30" s="2" t="s">
        <v>27</v>
      </c>
      <c r="G30" s="2" t="s">
        <v>37</v>
      </c>
      <c r="H30" s="2">
        <v>10</v>
      </c>
      <c r="I30" s="158">
        <v>45678</v>
      </c>
      <c r="J30" s="2">
        <v>1</v>
      </c>
      <c r="K30" s="158">
        <v>45717</v>
      </c>
      <c r="L30" s="155">
        <v>342</v>
      </c>
      <c r="M30" s="155">
        <v>465.62559999999996</v>
      </c>
      <c r="N30" s="3">
        <f>M30*E30</f>
        <v>149000.19199999998</v>
      </c>
      <c r="O30" s="160">
        <v>5.7249999999999996</v>
      </c>
      <c r="P30" s="3">
        <f>M30*O30</f>
        <v>2665.7065599999996</v>
      </c>
      <c r="Q30" s="3">
        <f>P30*E30</f>
        <v>853026.09919999982</v>
      </c>
    </row>
    <row r="31" spans="1:17" x14ac:dyDescent="0.2">
      <c r="A31" s="2">
        <v>2024</v>
      </c>
      <c r="B31" s="2" t="s">
        <v>3</v>
      </c>
      <c r="C31" s="2" t="s">
        <v>42</v>
      </c>
      <c r="D31" s="159" t="s">
        <v>264</v>
      </c>
      <c r="E31" s="2">
        <v>320</v>
      </c>
      <c r="F31" s="2" t="s">
        <v>27</v>
      </c>
      <c r="G31" s="2" t="s">
        <v>35</v>
      </c>
      <c r="H31" s="2">
        <v>10</v>
      </c>
      <c r="I31" s="158">
        <v>45678</v>
      </c>
      <c r="J31" s="2">
        <v>1</v>
      </c>
      <c r="K31" s="158">
        <v>45717</v>
      </c>
      <c r="L31" s="155">
        <v>342</v>
      </c>
      <c r="M31" s="155">
        <v>465.62559999999996</v>
      </c>
      <c r="N31" s="3">
        <f>M31*E31</f>
        <v>149000.19199999998</v>
      </c>
      <c r="O31" s="160">
        <v>5.7249999999999996</v>
      </c>
      <c r="P31" s="3">
        <f>M31*O31</f>
        <v>2665.7065599999996</v>
      </c>
      <c r="Q31" s="3">
        <f>P31*E31</f>
        <v>853026.09919999982</v>
      </c>
    </row>
    <row r="32" spans="1:17" x14ac:dyDescent="0.2">
      <c r="A32" s="2">
        <v>2024</v>
      </c>
      <c r="B32" s="2" t="s">
        <v>45</v>
      </c>
      <c r="C32" s="2" t="s">
        <v>89</v>
      </c>
      <c r="D32" s="159" t="s">
        <v>44</v>
      </c>
      <c r="E32" s="2">
        <v>500</v>
      </c>
      <c r="F32" s="2" t="s">
        <v>30</v>
      </c>
      <c r="G32" s="2" t="s">
        <v>32</v>
      </c>
      <c r="H32" s="2">
        <v>0</v>
      </c>
      <c r="I32" s="158">
        <v>45679</v>
      </c>
      <c r="J32" s="2">
        <v>1</v>
      </c>
      <c r="K32" s="158">
        <v>45679</v>
      </c>
      <c r="L32" s="158"/>
      <c r="M32" s="155"/>
      <c r="N32" s="3"/>
      <c r="O32" s="160"/>
      <c r="P32" s="3">
        <v>2000</v>
      </c>
      <c r="Q32" s="3">
        <f>E32*P32</f>
        <v>1000000</v>
      </c>
    </row>
    <row r="33" spans="1:20" x14ac:dyDescent="0.2">
      <c r="A33" s="2">
        <v>2024</v>
      </c>
      <c r="B33" s="2" t="s">
        <v>181</v>
      </c>
      <c r="C33" s="2" t="s">
        <v>89</v>
      </c>
      <c r="D33" s="159" t="s">
        <v>94</v>
      </c>
      <c r="E33" s="2">
        <v>486.3</v>
      </c>
      <c r="F33" s="2" t="s">
        <v>32</v>
      </c>
      <c r="G33" s="2" t="s">
        <v>32</v>
      </c>
      <c r="H33" s="2">
        <v>0</v>
      </c>
      <c r="I33" s="158">
        <v>45684</v>
      </c>
      <c r="J33" s="2">
        <v>1</v>
      </c>
      <c r="K33" s="158">
        <v>45684</v>
      </c>
      <c r="L33" s="158"/>
      <c r="M33" s="155"/>
      <c r="N33" s="3"/>
      <c r="O33" s="160"/>
      <c r="P33" s="3">
        <v>810</v>
      </c>
      <c r="Q33" s="3">
        <f>E33*P33</f>
        <v>393903</v>
      </c>
    </row>
    <row r="34" spans="1:20" x14ac:dyDescent="0.2">
      <c r="A34" s="2">
        <v>2024</v>
      </c>
      <c r="B34" s="2" t="s">
        <v>183</v>
      </c>
      <c r="C34" s="2" t="s">
        <v>89</v>
      </c>
      <c r="D34" s="159" t="s">
        <v>94</v>
      </c>
      <c r="E34" s="2">
        <v>363</v>
      </c>
      <c r="F34" s="2" t="s">
        <v>32</v>
      </c>
      <c r="G34" s="2" t="s">
        <v>32</v>
      </c>
      <c r="H34" s="2">
        <v>0</v>
      </c>
      <c r="I34" s="158">
        <v>45684</v>
      </c>
      <c r="J34" s="2">
        <v>1</v>
      </c>
      <c r="K34" s="158">
        <v>45684</v>
      </c>
      <c r="L34" s="158"/>
      <c r="N34" s="3"/>
      <c r="P34" s="3">
        <v>1750</v>
      </c>
      <c r="Q34" s="3">
        <f>E34*P34</f>
        <v>635250</v>
      </c>
    </row>
    <row r="35" spans="1:20" x14ac:dyDescent="0.2">
      <c r="A35" s="2">
        <v>2024</v>
      </c>
      <c r="B35" s="2" t="s">
        <v>47</v>
      </c>
      <c r="C35" s="2" t="s">
        <v>42</v>
      </c>
      <c r="D35" s="159" t="s">
        <v>46</v>
      </c>
      <c r="E35" s="2">
        <v>320</v>
      </c>
      <c r="F35" s="2" t="s">
        <v>27</v>
      </c>
      <c r="G35" s="2" t="s">
        <v>39</v>
      </c>
      <c r="H35" s="2">
        <v>0</v>
      </c>
      <c r="I35" s="158">
        <v>45695</v>
      </c>
      <c r="J35" s="2">
        <v>1</v>
      </c>
      <c r="K35" s="158">
        <v>45809</v>
      </c>
      <c r="L35" s="155"/>
      <c r="M35" s="155">
        <v>413</v>
      </c>
      <c r="N35" s="3">
        <f>M35*E35</f>
        <v>132160</v>
      </c>
      <c r="O35" s="160"/>
    </row>
    <row r="36" spans="1:20" x14ac:dyDescent="0.2">
      <c r="A36" s="2">
        <v>2024</v>
      </c>
      <c r="B36" s="2" t="s">
        <v>84</v>
      </c>
      <c r="C36" s="2" t="s">
        <v>42</v>
      </c>
      <c r="D36" s="159" t="s">
        <v>46</v>
      </c>
      <c r="E36" s="2">
        <v>320</v>
      </c>
      <c r="F36" s="2" t="s">
        <v>27</v>
      </c>
      <c r="G36" s="2" t="s">
        <v>39</v>
      </c>
      <c r="H36" s="2">
        <v>0</v>
      </c>
      <c r="I36" s="158">
        <v>45695</v>
      </c>
      <c r="J36" s="2">
        <v>1</v>
      </c>
      <c r="K36" s="158">
        <v>45809</v>
      </c>
      <c r="L36" s="155"/>
      <c r="M36" s="155">
        <v>450</v>
      </c>
      <c r="N36" s="3">
        <f>M36*E36</f>
        <v>144000</v>
      </c>
      <c r="O36" s="160"/>
    </row>
    <row r="37" spans="1:20" x14ac:dyDescent="0.2">
      <c r="A37" s="2">
        <v>2024</v>
      </c>
      <c r="B37" s="2" t="s">
        <v>85</v>
      </c>
      <c r="C37" s="2" t="s">
        <v>42</v>
      </c>
      <c r="D37" s="159" t="s">
        <v>46</v>
      </c>
      <c r="E37" s="2">
        <v>223</v>
      </c>
      <c r="F37" s="2" t="s">
        <v>33</v>
      </c>
      <c r="G37" s="2" t="s">
        <v>32</v>
      </c>
      <c r="H37" s="2">
        <v>0</v>
      </c>
      <c r="I37" s="158">
        <v>45695</v>
      </c>
      <c r="J37" s="2">
        <v>1</v>
      </c>
      <c r="K37" s="158">
        <v>45809</v>
      </c>
      <c r="L37" s="155"/>
      <c r="M37" s="155">
        <v>409.35</v>
      </c>
      <c r="N37" s="3">
        <f>M37*E37</f>
        <v>91285.05</v>
      </c>
      <c r="O37" s="160"/>
      <c r="T37" s="161"/>
    </row>
    <row r="38" spans="1:20" x14ac:dyDescent="0.2">
      <c r="A38" s="2">
        <v>2024</v>
      </c>
      <c r="B38" s="2" t="s">
        <v>182</v>
      </c>
      <c r="C38" s="2" t="s">
        <v>89</v>
      </c>
      <c r="D38" s="159" t="s">
        <v>94</v>
      </c>
      <c r="E38" s="2">
        <v>632.20000000000005</v>
      </c>
      <c r="F38" s="2" t="s">
        <v>32</v>
      </c>
      <c r="G38" s="2" t="s">
        <v>32</v>
      </c>
      <c r="H38" s="2">
        <v>0</v>
      </c>
      <c r="I38" s="158">
        <v>45700</v>
      </c>
      <c r="J38" s="2">
        <v>1</v>
      </c>
      <c r="K38" s="158">
        <v>45700</v>
      </c>
      <c r="L38" s="158"/>
      <c r="M38" s="155"/>
      <c r="N38" s="3"/>
      <c r="O38" s="160"/>
      <c r="P38" s="3">
        <v>2220</v>
      </c>
      <c r="Q38" s="3">
        <f>E38*P38</f>
        <v>1403484</v>
      </c>
    </row>
    <row r="39" spans="1:20" x14ac:dyDescent="0.2">
      <c r="A39" s="2">
        <v>2024</v>
      </c>
      <c r="B39" s="2" t="s">
        <v>184</v>
      </c>
      <c r="C39" s="2" t="s">
        <v>89</v>
      </c>
      <c r="D39" s="159" t="s">
        <v>94</v>
      </c>
      <c r="E39" s="2">
        <v>44.2</v>
      </c>
      <c r="F39" s="2" t="s">
        <v>32</v>
      </c>
      <c r="G39" s="2" t="s">
        <v>32</v>
      </c>
      <c r="H39" s="2">
        <v>0</v>
      </c>
      <c r="I39" s="158">
        <v>45700</v>
      </c>
      <c r="J39" s="2">
        <v>1</v>
      </c>
      <c r="K39" s="158">
        <v>45700</v>
      </c>
      <c r="L39" s="158"/>
      <c r="N39" s="3"/>
      <c r="P39" s="3">
        <v>2400</v>
      </c>
      <c r="Q39" s="3">
        <f>E39*P39</f>
        <v>106080</v>
      </c>
    </row>
    <row r="40" spans="1:20" x14ac:dyDescent="0.2">
      <c r="A40" s="2">
        <v>2024</v>
      </c>
      <c r="B40" s="2" t="s">
        <v>21</v>
      </c>
      <c r="C40" s="2" t="s">
        <v>42</v>
      </c>
      <c r="D40" s="159" t="s">
        <v>19</v>
      </c>
      <c r="E40" s="2">
        <v>320</v>
      </c>
      <c r="F40" s="2" t="s">
        <v>32</v>
      </c>
      <c r="G40" s="2" t="s">
        <v>32</v>
      </c>
      <c r="H40" s="2">
        <v>0</v>
      </c>
      <c r="I40" s="158">
        <v>45702</v>
      </c>
      <c r="J40" s="2">
        <v>4</v>
      </c>
      <c r="K40" s="158">
        <f>I40</f>
        <v>45702</v>
      </c>
      <c r="L40" s="155"/>
      <c r="M40" s="155">
        <v>325</v>
      </c>
      <c r="N40" s="3">
        <f>M40*E40</f>
        <v>104000</v>
      </c>
      <c r="O40" s="160">
        <v>5.8079999999999998</v>
      </c>
      <c r="P40" s="3">
        <f>M40*O40</f>
        <v>1887.6</v>
      </c>
      <c r="Q40" s="3">
        <f>P40*E40</f>
        <v>604032</v>
      </c>
    </row>
    <row r="41" spans="1:20" x14ac:dyDescent="0.2">
      <c r="A41" s="2">
        <v>2024</v>
      </c>
      <c r="B41" s="2" t="s">
        <v>87</v>
      </c>
      <c r="C41" s="2" t="s">
        <v>89</v>
      </c>
      <c r="D41" s="159" t="s">
        <v>86</v>
      </c>
      <c r="E41" s="2">
        <v>0.5</v>
      </c>
      <c r="F41" s="2" t="s">
        <v>29</v>
      </c>
      <c r="G41" s="2" t="s">
        <v>32</v>
      </c>
      <c r="H41" s="2">
        <v>0</v>
      </c>
      <c r="I41" s="158">
        <v>45708</v>
      </c>
      <c r="J41" s="2">
        <v>4</v>
      </c>
      <c r="K41" s="158">
        <v>45839</v>
      </c>
      <c r="L41" s="158"/>
      <c r="M41" s="155"/>
      <c r="N41" s="3"/>
      <c r="O41" s="160"/>
      <c r="P41" s="3">
        <v>2293.33</v>
      </c>
      <c r="Q41" s="3">
        <f>E41*P41</f>
        <v>1146.665</v>
      </c>
    </row>
    <row r="42" spans="1:20" x14ac:dyDescent="0.2">
      <c r="A42" s="2">
        <v>2024</v>
      </c>
      <c r="B42" s="2" t="s">
        <v>88</v>
      </c>
      <c r="C42" s="2" t="s">
        <v>89</v>
      </c>
      <c r="D42" s="159" t="s">
        <v>86</v>
      </c>
      <c r="E42" s="2">
        <v>7</v>
      </c>
      <c r="F42" s="2" t="s">
        <v>33</v>
      </c>
      <c r="G42" s="2" t="s">
        <v>38</v>
      </c>
      <c r="H42" s="2">
        <v>0</v>
      </c>
      <c r="I42" s="158">
        <v>45708</v>
      </c>
      <c r="J42" s="2">
        <v>4</v>
      </c>
      <c r="K42" s="158">
        <v>45839</v>
      </c>
      <c r="L42" s="158"/>
      <c r="M42" s="155"/>
      <c r="N42" s="3"/>
      <c r="O42" s="160"/>
      <c r="P42" s="3">
        <v>2616.61</v>
      </c>
      <c r="Q42" s="3">
        <f>E42*P42</f>
        <v>18316.27</v>
      </c>
    </row>
    <row r="43" spans="1:20" x14ac:dyDescent="0.2">
      <c r="A43" s="2">
        <v>2024</v>
      </c>
      <c r="B43" s="2" t="s">
        <v>2</v>
      </c>
      <c r="C43" s="2" t="s">
        <v>42</v>
      </c>
      <c r="D43" s="159" t="s">
        <v>264</v>
      </c>
      <c r="E43" s="2">
        <v>320</v>
      </c>
      <c r="F43" s="2" t="s">
        <v>29</v>
      </c>
      <c r="G43" s="2" t="s">
        <v>39</v>
      </c>
      <c r="H43" s="2">
        <v>-28</v>
      </c>
      <c r="I43" s="158">
        <v>45746</v>
      </c>
      <c r="J43" s="2">
        <v>1</v>
      </c>
      <c r="K43" s="158">
        <v>45809</v>
      </c>
      <c r="L43" s="155">
        <v>370.95</v>
      </c>
      <c r="M43" s="155">
        <v>453.65425999999997</v>
      </c>
      <c r="N43" s="3">
        <f>M43*E43</f>
        <v>145169.36319999999</v>
      </c>
      <c r="O43" s="160">
        <f>806560.96/N43</f>
        <v>5.5559998488716937</v>
      </c>
      <c r="P43" s="3">
        <f>M43*O43</f>
        <v>2520.5029999999997</v>
      </c>
      <c r="Q43" s="3">
        <f>P43*E43</f>
        <v>806560.96</v>
      </c>
    </row>
    <row r="44" spans="1:20" x14ac:dyDescent="0.2">
      <c r="A44" s="2">
        <v>2024</v>
      </c>
      <c r="B44" s="2" t="s">
        <v>0</v>
      </c>
      <c r="C44" s="2" t="s">
        <v>42</v>
      </c>
      <c r="D44" s="159" t="s">
        <v>264</v>
      </c>
      <c r="E44" s="2">
        <v>320</v>
      </c>
      <c r="F44" s="2" t="s">
        <v>27</v>
      </c>
      <c r="G44" s="2" t="s">
        <v>37</v>
      </c>
      <c r="H44" s="2">
        <v>10</v>
      </c>
      <c r="I44" s="158">
        <v>45746</v>
      </c>
      <c r="J44" s="2">
        <v>1</v>
      </c>
      <c r="K44" s="158">
        <v>45809</v>
      </c>
      <c r="L44" s="155">
        <v>329.5</v>
      </c>
      <c r="M44" s="155">
        <v>449.09059999999999</v>
      </c>
      <c r="N44" s="3">
        <f>M44*E44</f>
        <v>143708.992</v>
      </c>
      <c r="O44" s="160">
        <f>798447.15/N44</f>
        <v>5.5559999335323429</v>
      </c>
      <c r="P44" s="3">
        <f>M44*O44</f>
        <v>2495.1473437499999</v>
      </c>
      <c r="Q44" s="3">
        <f>P44*E44</f>
        <v>798447.14999999991</v>
      </c>
    </row>
    <row r="45" spans="1:20" x14ac:dyDescent="0.2">
      <c r="A45" s="2">
        <v>2024</v>
      </c>
      <c r="B45" s="2" t="s">
        <v>256</v>
      </c>
      <c r="C45" s="2" t="s">
        <v>89</v>
      </c>
      <c r="D45" s="159" t="s">
        <v>257</v>
      </c>
      <c r="E45" s="2">
        <v>5</v>
      </c>
      <c r="F45" s="2" t="s">
        <v>32</v>
      </c>
      <c r="G45" s="2" t="s">
        <v>32</v>
      </c>
      <c r="H45" s="2">
        <v>0</v>
      </c>
      <c r="I45" s="158">
        <v>45778</v>
      </c>
      <c r="J45" s="2">
        <v>4</v>
      </c>
      <c r="K45" s="158">
        <v>45870</v>
      </c>
      <c r="L45" s="158"/>
      <c r="N45" s="3"/>
      <c r="P45" s="3">
        <v>2700</v>
      </c>
      <c r="Q45" s="3">
        <f>E45*P45</f>
        <v>13500</v>
      </c>
    </row>
    <row r="46" spans="1:20" x14ac:dyDescent="0.2">
      <c r="A46" s="2">
        <v>2024</v>
      </c>
      <c r="B46" s="2" t="s">
        <v>276</v>
      </c>
      <c r="C46" s="2" t="s">
        <v>89</v>
      </c>
      <c r="D46" s="159" t="s">
        <v>86</v>
      </c>
      <c r="E46" s="2">
        <v>7</v>
      </c>
      <c r="F46" s="2" t="s">
        <v>33</v>
      </c>
      <c r="G46" s="2" t="s">
        <v>35</v>
      </c>
      <c r="H46" s="2">
        <v>0</v>
      </c>
      <c r="I46" s="158">
        <v>45789</v>
      </c>
      <c r="J46" s="2">
        <v>6</v>
      </c>
      <c r="K46" s="158">
        <v>45789</v>
      </c>
      <c r="L46" s="158"/>
      <c r="N46" s="3"/>
      <c r="P46" s="3">
        <v>2616.61</v>
      </c>
      <c r="Q46" s="3">
        <f>E46*P46</f>
        <v>18316.27</v>
      </c>
    </row>
    <row r="47" spans="1:20" x14ac:dyDescent="0.2">
      <c r="A47" s="2">
        <v>2025</v>
      </c>
      <c r="B47" s="2" t="s">
        <v>258</v>
      </c>
      <c r="C47" s="2" t="s">
        <v>42</v>
      </c>
      <c r="D47" s="159" t="s">
        <v>264</v>
      </c>
      <c r="E47" s="2">
        <v>320</v>
      </c>
      <c r="F47" s="2" t="s">
        <v>27</v>
      </c>
      <c r="G47" s="2" t="s">
        <v>37</v>
      </c>
      <c r="H47" s="2">
        <v>0</v>
      </c>
      <c r="I47" s="158">
        <v>45870</v>
      </c>
      <c r="J47" s="2">
        <v>1</v>
      </c>
      <c r="K47" s="158">
        <f>I47+65</f>
        <v>45935</v>
      </c>
      <c r="L47" s="158"/>
      <c r="M47" s="155">
        <v>505</v>
      </c>
      <c r="N47" s="3">
        <f>M47*E47</f>
        <v>161600</v>
      </c>
    </row>
    <row r="48" spans="1:20" x14ac:dyDescent="0.2">
      <c r="A48" s="2">
        <v>2025</v>
      </c>
      <c r="B48" s="2" t="s">
        <v>259</v>
      </c>
      <c r="C48" s="2" t="s">
        <v>42</v>
      </c>
      <c r="D48" s="159" t="s">
        <v>264</v>
      </c>
      <c r="E48" s="2">
        <v>320</v>
      </c>
      <c r="F48" s="2" t="s">
        <v>27</v>
      </c>
      <c r="G48" s="2" t="s">
        <v>37</v>
      </c>
      <c r="H48" s="2">
        <v>30</v>
      </c>
      <c r="I48" s="158">
        <v>45901</v>
      </c>
      <c r="J48" s="2">
        <v>1</v>
      </c>
      <c r="K48" s="158">
        <f>I48+65</f>
        <v>45966</v>
      </c>
      <c r="L48" s="155">
        <v>330</v>
      </c>
      <c r="M48" s="155">
        <f>(L48+H48)*1.3228</f>
        <v>476.20799999999997</v>
      </c>
      <c r="N48" s="3">
        <f>M48*E48</f>
        <v>152386.56</v>
      </c>
    </row>
    <row r="49" spans="1:17" x14ac:dyDescent="0.2">
      <c r="A49" s="2">
        <v>2025</v>
      </c>
      <c r="B49" s="2" t="s">
        <v>260</v>
      </c>
      <c r="C49" s="2" t="s">
        <v>42</v>
      </c>
      <c r="D49" s="159" t="s">
        <v>264</v>
      </c>
      <c r="E49" s="2">
        <v>320</v>
      </c>
      <c r="F49" s="2" t="s">
        <v>27</v>
      </c>
      <c r="G49" s="2" t="s">
        <v>37</v>
      </c>
      <c r="H49" s="2">
        <v>30</v>
      </c>
      <c r="I49" s="158">
        <v>45931</v>
      </c>
      <c r="J49" s="2">
        <v>1</v>
      </c>
      <c r="K49" s="158">
        <f>I49+65</f>
        <v>45996</v>
      </c>
      <c r="L49" s="155">
        <v>330</v>
      </c>
      <c r="M49" s="155">
        <f>(L49+H49)*1.3228</f>
        <v>476.20799999999997</v>
      </c>
      <c r="N49" s="3">
        <f>M49*E49</f>
        <v>152386.56</v>
      </c>
    </row>
    <row r="50" spans="1:17" x14ac:dyDescent="0.2">
      <c r="A50" s="2">
        <v>2025</v>
      </c>
      <c r="B50" s="2" t="s">
        <v>261</v>
      </c>
      <c r="C50" s="2" t="s">
        <v>42</v>
      </c>
      <c r="D50" s="159" t="s">
        <v>264</v>
      </c>
      <c r="E50" s="2">
        <v>320</v>
      </c>
      <c r="F50" s="2" t="s">
        <v>27</v>
      </c>
      <c r="G50" s="2" t="s">
        <v>37</v>
      </c>
      <c r="H50" s="2">
        <v>30</v>
      </c>
      <c r="I50" s="158">
        <v>45901</v>
      </c>
      <c r="J50" s="2">
        <v>1</v>
      </c>
      <c r="K50" s="158">
        <f>I50+65</f>
        <v>45966</v>
      </c>
      <c r="L50" s="155">
        <v>330</v>
      </c>
      <c r="M50" s="155">
        <f>(L50+H50)*1.3228</f>
        <v>476.20799999999997</v>
      </c>
      <c r="N50" s="3">
        <f>M50*E50</f>
        <v>152386.56</v>
      </c>
    </row>
    <row r="51" spans="1:17" x14ac:dyDescent="0.2">
      <c r="A51" s="2">
        <v>2025</v>
      </c>
      <c r="B51" s="2" t="s">
        <v>262</v>
      </c>
      <c r="C51" s="2" t="s">
        <v>42</v>
      </c>
      <c r="D51" s="159" t="s">
        <v>264</v>
      </c>
      <c r="E51" s="2">
        <v>320</v>
      </c>
      <c r="F51" s="2" t="s">
        <v>27</v>
      </c>
      <c r="G51" s="2" t="s">
        <v>37</v>
      </c>
      <c r="H51" s="2">
        <v>30</v>
      </c>
      <c r="I51" s="158">
        <v>45931</v>
      </c>
      <c r="J51" s="2">
        <v>1</v>
      </c>
      <c r="K51" s="158">
        <f>I51+65</f>
        <v>45996</v>
      </c>
      <c r="L51" s="155">
        <v>330</v>
      </c>
      <c r="M51" s="155">
        <f>(L51+H51)*1.3228</f>
        <v>476.20799999999997</v>
      </c>
      <c r="N51" s="3">
        <f>M51*E51</f>
        <v>152386.56</v>
      </c>
    </row>
    <row r="52" spans="1:17" x14ac:dyDescent="0.2">
      <c r="A52" s="2">
        <v>2025</v>
      </c>
      <c r="B52" s="2" t="s">
        <v>263</v>
      </c>
      <c r="C52" s="2" t="s">
        <v>42</v>
      </c>
      <c r="D52" s="159" t="s">
        <v>264</v>
      </c>
      <c r="E52" s="2">
        <v>320</v>
      </c>
      <c r="F52" s="2" t="s">
        <v>27</v>
      </c>
      <c r="G52" s="2" t="s">
        <v>37</v>
      </c>
      <c r="H52" s="2">
        <v>30</v>
      </c>
      <c r="I52" s="158">
        <v>46054</v>
      </c>
      <c r="J52" s="2">
        <v>1</v>
      </c>
      <c r="K52" s="158">
        <f>I52+65</f>
        <v>46119</v>
      </c>
      <c r="L52" s="155">
        <v>330</v>
      </c>
      <c r="M52" s="155">
        <f>(L52+H52)*1.3228</f>
        <v>476.20799999999997</v>
      </c>
      <c r="N52" s="3">
        <f>M52*E52</f>
        <v>152386.56</v>
      </c>
    </row>
    <row r="53" spans="1:17" x14ac:dyDescent="0.2">
      <c r="A53" s="2">
        <v>2025</v>
      </c>
      <c r="B53" s="2" t="s">
        <v>279</v>
      </c>
      <c r="C53" s="2" t="s">
        <v>42</v>
      </c>
      <c r="D53" s="159" t="s">
        <v>19</v>
      </c>
      <c r="E53" s="2">
        <v>320</v>
      </c>
      <c r="F53" s="2" t="s">
        <v>27</v>
      </c>
      <c r="G53" s="2" t="s">
        <v>39</v>
      </c>
      <c r="H53" s="2">
        <v>0</v>
      </c>
      <c r="I53" s="158">
        <v>45962</v>
      </c>
      <c r="J53" s="2">
        <v>4</v>
      </c>
      <c r="K53" s="158">
        <v>45992</v>
      </c>
      <c r="M53" s="155">
        <v>488</v>
      </c>
      <c r="N53" s="3">
        <f>M53*E53</f>
        <v>156160</v>
      </c>
    </row>
    <row r="54" spans="1:17" x14ac:dyDescent="0.2">
      <c r="A54" s="2">
        <v>2025</v>
      </c>
      <c r="B54" s="2" t="s">
        <v>280</v>
      </c>
      <c r="C54" s="2" t="s">
        <v>42</v>
      </c>
      <c r="D54" s="159" t="s">
        <v>19</v>
      </c>
      <c r="E54" s="2">
        <v>320</v>
      </c>
      <c r="F54" s="2" t="s">
        <v>27</v>
      </c>
      <c r="G54" s="2" t="s">
        <v>289</v>
      </c>
      <c r="H54" s="2">
        <v>0</v>
      </c>
      <c r="I54" s="158">
        <v>45962</v>
      </c>
      <c r="J54" s="2">
        <v>4</v>
      </c>
      <c r="K54" s="158">
        <v>45992</v>
      </c>
      <c r="M54" s="155">
        <v>500</v>
      </c>
      <c r="N54" s="3">
        <f>M54*E54</f>
        <v>160000</v>
      </c>
    </row>
    <row r="55" spans="1:17" x14ac:dyDescent="0.2">
      <c r="A55" s="2">
        <v>2025</v>
      </c>
      <c r="B55" s="2" t="s">
        <v>283</v>
      </c>
      <c r="C55" s="2" t="s">
        <v>42</v>
      </c>
      <c r="D55" s="159" t="s">
        <v>264</v>
      </c>
      <c r="E55" s="2">
        <v>320</v>
      </c>
      <c r="F55" s="2" t="s">
        <v>27</v>
      </c>
      <c r="G55" s="2" t="s">
        <v>37</v>
      </c>
      <c r="H55" s="2">
        <v>28</v>
      </c>
      <c r="I55" s="158">
        <v>45901</v>
      </c>
      <c r="J55" s="2">
        <v>1</v>
      </c>
      <c r="K55" s="158">
        <f>I55+65</f>
        <v>45966</v>
      </c>
      <c r="L55" s="155">
        <v>325</v>
      </c>
      <c r="M55" s="155">
        <f>(L55+H55)*1.3228</f>
        <v>466.94839999999999</v>
      </c>
      <c r="N55" s="3">
        <f>M55*E55</f>
        <v>149423.48800000001</v>
      </c>
    </row>
    <row r="56" spans="1:17" x14ac:dyDescent="0.2">
      <c r="A56" s="2">
        <v>2025</v>
      </c>
      <c r="B56" s="2" t="s">
        <v>284</v>
      </c>
      <c r="C56" s="2" t="s">
        <v>42</v>
      </c>
      <c r="D56" s="159" t="s">
        <v>264</v>
      </c>
      <c r="E56" s="2">
        <v>320</v>
      </c>
      <c r="F56" s="2" t="s">
        <v>27</v>
      </c>
      <c r="G56" s="2" t="s">
        <v>37</v>
      </c>
      <c r="H56" s="2">
        <v>28</v>
      </c>
      <c r="I56" s="158">
        <v>45962</v>
      </c>
      <c r="J56" s="2">
        <v>1</v>
      </c>
      <c r="K56" s="158">
        <f>I56+65</f>
        <v>46027</v>
      </c>
      <c r="L56" s="155">
        <v>325</v>
      </c>
      <c r="M56" s="155">
        <f>(L56+H56)*1.3228</f>
        <v>466.94839999999999</v>
      </c>
      <c r="N56" s="3">
        <f>M56*E56</f>
        <v>149423.48800000001</v>
      </c>
    </row>
    <row r="57" spans="1:17" x14ac:dyDescent="0.2">
      <c r="A57" s="2">
        <v>2025</v>
      </c>
      <c r="B57" s="2" t="s">
        <v>285</v>
      </c>
      <c r="C57" s="2" t="s">
        <v>42</v>
      </c>
      <c r="D57" s="159" t="s">
        <v>264</v>
      </c>
      <c r="E57" s="2">
        <v>320</v>
      </c>
      <c r="F57" s="2" t="s">
        <v>27</v>
      </c>
      <c r="G57" s="2" t="s">
        <v>37</v>
      </c>
      <c r="H57" s="2">
        <v>28</v>
      </c>
      <c r="I57" s="158">
        <v>46023</v>
      </c>
      <c r="J57" s="2">
        <v>1</v>
      </c>
      <c r="K57" s="158">
        <f>I57+65</f>
        <v>46088</v>
      </c>
      <c r="L57" s="155">
        <v>325</v>
      </c>
      <c r="M57" s="155">
        <f>(L57+H57)*1.3228</f>
        <v>466.94839999999999</v>
      </c>
      <c r="N57" s="3">
        <f>M57*E57</f>
        <v>149423.48800000001</v>
      </c>
    </row>
    <row r="58" spans="1:17" x14ac:dyDescent="0.2">
      <c r="A58" s="2">
        <v>2025</v>
      </c>
      <c r="C58" s="2" t="s">
        <v>89</v>
      </c>
      <c r="D58" s="159" t="s">
        <v>331</v>
      </c>
      <c r="E58" s="2">
        <v>4000</v>
      </c>
      <c r="F58" s="2" t="s">
        <v>32</v>
      </c>
      <c r="G58" s="2" t="s">
        <v>32</v>
      </c>
      <c r="H58" s="2">
        <v>0</v>
      </c>
      <c r="I58" s="158">
        <v>45992</v>
      </c>
      <c r="J58" s="2">
        <v>4</v>
      </c>
      <c r="K58" s="158">
        <v>45992</v>
      </c>
      <c r="L58" s="158"/>
      <c r="N58" s="3"/>
      <c r="P58" s="3">
        <v>1600</v>
      </c>
      <c r="Q58" s="3">
        <f>E58*P58</f>
        <v>6400000</v>
      </c>
    </row>
    <row r="59" spans="1:17" x14ac:dyDescent="0.2">
      <c r="A59" s="2">
        <v>2025</v>
      </c>
      <c r="C59" s="2" t="s">
        <v>42</v>
      </c>
      <c r="D59" s="159" t="s">
        <v>331</v>
      </c>
      <c r="E59" s="2">
        <v>2500</v>
      </c>
      <c r="F59" s="2" t="s">
        <v>32</v>
      </c>
      <c r="G59" s="2" t="s">
        <v>32</v>
      </c>
      <c r="H59" s="2">
        <v>0</v>
      </c>
      <c r="I59" s="158">
        <v>45992</v>
      </c>
      <c r="J59" s="2">
        <v>4</v>
      </c>
      <c r="K59" s="158">
        <v>45992</v>
      </c>
      <c r="L59" s="155">
        <v>325</v>
      </c>
      <c r="M59" s="155">
        <f>(L59+H59)*1.3228</f>
        <v>429.90999999999997</v>
      </c>
      <c r="N59" s="3">
        <f>M59*E59</f>
        <v>1074775</v>
      </c>
    </row>
    <row r="60" spans="1:17" x14ac:dyDescent="0.2">
      <c r="A60" s="2">
        <v>2025</v>
      </c>
      <c r="C60" s="2" t="s">
        <v>42</v>
      </c>
      <c r="D60" s="159" t="s">
        <v>331</v>
      </c>
      <c r="E60" s="2">
        <v>64.5</v>
      </c>
      <c r="F60" s="2" t="s">
        <v>32</v>
      </c>
      <c r="G60" s="2" t="s">
        <v>32</v>
      </c>
      <c r="H60" s="2">
        <v>0</v>
      </c>
      <c r="I60" s="158">
        <v>45992</v>
      </c>
      <c r="J60" s="2">
        <v>1</v>
      </c>
      <c r="K60" s="158">
        <v>45992</v>
      </c>
      <c r="L60" s="155">
        <v>330</v>
      </c>
      <c r="M60" s="155">
        <f>(L60+H60)*1.3228</f>
        <v>436.524</v>
      </c>
      <c r="N60" s="3">
        <f>M60*E60</f>
        <v>28155.797999999999</v>
      </c>
    </row>
    <row r="61" spans="1:17" x14ac:dyDescent="0.2">
      <c r="A61" s="2">
        <v>2025</v>
      </c>
      <c r="B61" s="2" t="s">
        <v>286</v>
      </c>
      <c r="C61" s="2" t="s">
        <v>42</v>
      </c>
      <c r="D61" s="159" t="s">
        <v>264</v>
      </c>
      <c r="E61" s="2">
        <v>320</v>
      </c>
      <c r="F61" s="2" t="s">
        <v>27</v>
      </c>
      <c r="G61" s="2" t="s">
        <v>37</v>
      </c>
      <c r="H61" s="2">
        <v>28</v>
      </c>
      <c r="I61" s="158">
        <v>46082</v>
      </c>
      <c r="J61" s="2">
        <v>1</v>
      </c>
      <c r="K61" s="158">
        <f>I61+65</f>
        <v>46147</v>
      </c>
      <c r="L61" s="155">
        <v>325</v>
      </c>
      <c r="M61" s="155">
        <f>(L61+H61)*1.3228</f>
        <v>466.94839999999999</v>
      </c>
      <c r="N61" s="3">
        <f>M61*E61</f>
        <v>149423.48800000001</v>
      </c>
    </row>
    <row r="62" spans="1:17" x14ac:dyDescent="0.2">
      <c r="A62" s="2">
        <v>2025</v>
      </c>
      <c r="B62" s="2" t="s">
        <v>287</v>
      </c>
      <c r="C62" s="2" t="s">
        <v>42</v>
      </c>
      <c r="D62" s="159" t="s">
        <v>264</v>
      </c>
      <c r="E62" s="2">
        <v>320</v>
      </c>
      <c r="F62" s="2" t="s">
        <v>29</v>
      </c>
      <c r="G62" s="2" t="s">
        <v>32</v>
      </c>
      <c r="H62" s="2">
        <v>-22</v>
      </c>
      <c r="I62" s="158">
        <v>45992</v>
      </c>
      <c r="J62" s="2">
        <v>1</v>
      </c>
      <c r="K62" s="158">
        <f>I62+65</f>
        <v>46057</v>
      </c>
      <c r="L62" s="155">
        <v>325</v>
      </c>
      <c r="M62" s="155">
        <f>(L62+H62)*1.3228</f>
        <v>400.80840000000001</v>
      </c>
      <c r="N62" s="3">
        <f>M62*E62</f>
        <v>128258.68799999999</v>
      </c>
    </row>
    <row r="63" spans="1:17" x14ac:dyDescent="0.2">
      <c r="A63" s="2">
        <v>2025</v>
      </c>
      <c r="B63" s="2" t="s">
        <v>288</v>
      </c>
      <c r="C63" s="2" t="s">
        <v>42</v>
      </c>
      <c r="D63" s="159" t="s">
        <v>264</v>
      </c>
      <c r="E63" s="2">
        <v>320</v>
      </c>
      <c r="F63" s="2" t="s">
        <v>27</v>
      </c>
      <c r="G63" s="2" t="s">
        <v>290</v>
      </c>
      <c r="H63" s="2">
        <v>53</v>
      </c>
      <c r="I63" s="158">
        <v>45931</v>
      </c>
      <c r="J63" s="2">
        <v>1</v>
      </c>
      <c r="K63" s="158">
        <f>I63+65</f>
        <v>45996</v>
      </c>
      <c r="L63" s="155">
        <v>330</v>
      </c>
      <c r="M63" s="155">
        <f>(L63+H63)*1.3228</f>
        <v>506.63240000000002</v>
      </c>
      <c r="N63" s="3">
        <f>M63*E63</f>
        <v>162122.36800000002</v>
      </c>
    </row>
    <row r="64" spans="1:17" x14ac:dyDescent="0.2">
      <c r="A64" s="2">
        <v>2025</v>
      </c>
      <c r="C64" s="2" t="s">
        <v>42</v>
      </c>
      <c r="D64" s="159" t="s">
        <v>331</v>
      </c>
      <c r="E64" s="2">
        <v>449</v>
      </c>
      <c r="F64" s="2" t="s">
        <v>32</v>
      </c>
      <c r="G64" s="2" t="s">
        <v>32</v>
      </c>
      <c r="H64" s="2">
        <v>0</v>
      </c>
      <c r="I64" s="158">
        <v>46082</v>
      </c>
      <c r="J64" s="2">
        <v>1</v>
      </c>
      <c r="K64" s="158">
        <v>46082</v>
      </c>
      <c r="L64" s="155">
        <v>325</v>
      </c>
      <c r="M64" s="155">
        <f>(L64+H64)*1.3228</f>
        <v>429.90999999999997</v>
      </c>
      <c r="N64" s="3">
        <f>M64*E64</f>
        <v>193029.59</v>
      </c>
    </row>
    <row r="65" spans="1:14" x14ac:dyDescent="0.2">
      <c r="A65" s="2">
        <v>2026</v>
      </c>
      <c r="B65" s="2" t="s">
        <v>281</v>
      </c>
      <c r="C65" s="2" t="s">
        <v>42</v>
      </c>
      <c r="D65" s="159" t="s">
        <v>19</v>
      </c>
      <c r="E65" s="2">
        <v>320</v>
      </c>
      <c r="F65" s="2" t="s">
        <v>27</v>
      </c>
      <c r="G65" s="2" t="s">
        <v>39</v>
      </c>
      <c r="H65" s="2">
        <v>0</v>
      </c>
      <c r="I65" s="158">
        <v>46327</v>
      </c>
      <c r="J65" s="2">
        <v>4</v>
      </c>
      <c r="K65" s="158">
        <f>I65+120</f>
        <v>46447</v>
      </c>
      <c r="M65" s="155">
        <v>423</v>
      </c>
      <c r="N65" s="3">
        <f>M65*E65</f>
        <v>135360</v>
      </c>
    </row>
    <row r="66" spans="1:14" x14ac:dyDescent="0.2">
      <c r="A66" s="2">
        <v>2026</v>
      </c>
      <c r="B66" s="2" t="s">
        <v>282</v>
      </c>
      <c r="C66" s="2" t="s">
        <v>42</v>
      </c>
      <c r="D66" s="159" t="s">
        <v>19</v>
      </c>
      <c r="E66" s="2">
        <v>320</v>
      </c>
      <c r="F66" s="2" t="s">
        <v>27</v>
      </c>
      <c r="G66" s="2" t="s">
        <v>289</v>
      </c>
      <c r="H66" s="2">
        <v>0</v>
      </c>
      <c r="I66" s="158">
        <v>46327</v>
      </c>
      <c r="J66" s="2">
        <v>4</v>
      </c>
      <c r="K66" s="158">
        <f>I66+120</f>
        <v>46447</v>
      </c>
      <c r="M66" s="155">
        <v>436</v>
      </c>
      <c r="N66" s="3">
        <f>M66*E66</f>
        <v>139520</v>
      </c>
    </row>
  </sheetData>
  <autoFilter ref="A1:Q66" xr:uid="{E433115D-D1E6-C943-B0EC-2BC4BD1B44BA}">
    <sortState xmlns:xlrd2="http://schemas.microsoft.com/office/spreadsheetml/2017/richdata2" ref="A47:Q63">
      <sortCondition ref="B1:B66"/>
    </sortState>
  </autoFilter>
  <phoneticPr fontId="5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9E7F-C2F6-E740-8F49-EDB7C93FB4DD}">
  <dimension ref="A1:D14"/>
  <sheetViews>
    <sheetView workbookViewId="0">
      <selection activeCell="F9" sqref="F9"/>
    </sheetView>
  </sheetViews>
  <sheetFormatPr baseColWidth="10" defaultRowHeight="14" x14ac:dyDescent="0.2"/>
  <cols>
    <col min="1" max="1" width="17.1640625" style="158" customWidth="1"/>
    <col min="2" max="2" width="10.83203125" style="155"/>
    <col min="3" max="3" width="10.83203125" style="1"/>
    <col min="4" max="4" width="10.83203125" style="1" customWidth="1"/>
    <col min="5" max="16384" width="10.83203125" style="1"/>
  </cols>
  <sheetData>
    <row r="1" spans="1:4" x14ac:dyDescent="0.2">
      <c r="A1" s="153" t="s">
        <v>83</v>
      </c>
      <c r="B1" s="154" t="s">
        <v>268</v>
      </c>
      <c r="C1" s="154" t="s">
        <v>270</v>
      </c>
      <c r="D1" s="162">
        <v>45859</v>
      </c>
    </row>
    <row r="2" spans="1:4" x14ac:dyDescent="0.2">
      <c r="A2" s="158">
        <v>45866</v>
      </c>
      <c r="B2" s="155">
        <v>308.89999999999998</v>
      </c>
      <c r="C2" s="155">
        <f t="shared" ref="C2:C13" si="0">B2*1.3228</f>
        <v>408.61291999999997</v>
      </c>
    </row>
    <row r="3" spans="1:4" x14ac:dyDescent="0.2">
      <c r="A3" s="158">
        <v>45930</v>
      </c>
      <c r="B3" s="155">
        <v>292.10000000000002</v>
      </c>
      <c r="C3" s="155">
        <f t="shared" si="0"/>
        <v>386.38988000000001</v>
      </c>
    </row>
    <row r="4" spans="1:4" x14ac:dyDescent="0.2">
      <c r="A4" s="158">
        <v>46021</v>
      </c>
      <c r="B4" s="155">
        <v>284.8</v>
      </c>
      <c r="C4" s="155">
        <f t="shared" si="0"/>
        <v>376.73344000000003</v>
      </c>
    </row>
    <row r="5" spans="1:4" x14ac:dyDescent="0.2">
      <c r="A5" s="158">
        <v>46112</v>
      </c>
      <c r="B5" s="155">
        <v>278.25</v>
      </c>
      <c r="C5" s="155">
        <f t="shared" si="0"/>
        <v>368.06909999999999</v>
      </c>
    </row>
    <row r="6" spans="1:4" x14ac:dyDescent="0.2">
      <c r="A6" s="158">
        <v>46173</v>
      </c>
      <c r="B6" s="155">
        <v>273</v>
      </c>
      <c r="C6" s="155">
        <f t="shared" si="0"/>
        <v>361.12439999999998</v>
      </c>
    </row>
    <row r="7" spans="1:4" x14ac:dyDescent="0.2">
      <c r="A7" s="158">
        <v>46231</v>
      </c>
      <c r="B7" s="155">
        <v>268.10000000000002</v>
      </c>
      <c r="C7" s="155">
        <f t="shared" si="0"/>
        <v>354.64268000000004</v>
      </c>
    </row>
    <row r="8" spans="1:4" x14ac:dyDescent="0.2">
      <c r="A8" s="158">
        <v>46295</v>
      </c>
      <c r="B8" s="155">
        <v>262.7</v>
      </c>
      <c r="C8" s="155">
        <f t="shared" si="0"/>
        <v>347.49955999999997</v>
      </c>
    </row>
    <row r="9" spans="1:4" x14ac:dyDescent="0.2">
      <c r="A9" s="158">
        <v>46386</v>
      </c>
      <c r="B9" s="155">
        <v>258.5</v>
      </c>
      <c r="C9" s="155">
        <f t="shared" si="0"/>
        <v>341.94380000000001</v>
      </c>
    </row>
    <row r="10" spans="1:4" x14ac:dyDescent="0.2">
      <c r="A10" s="158">
        <v>46477</v>
      </c>
      <c r="B10" s="155">
        <v>256.32</v>
      </c>
      <c r="C10" s="155">
        <f t="shared" si="0"/>
        <v>339.06009599999999</v>
      </c>
    </row>
    <row r="11" spans="1:4" x14ac:dyDescent="0.2">
      <c r="A11" s="158">
        <v>46538</v>
      </c>
      <c r="B11" s="155">
        <v>254.4</v>
      </c>
      <c r="C11" s="155">
        <f t="shared" si="0"/>
        <v>336.52032000000003</v>
      </c>
    </row>
    <row r="12" spans="1:4" x14ac:dyDescent="0.2">
      <c r="A12" s="158">
        <v>46596</v>
      </c>
      <c r="B12" s="155">
        <v>251.7</v>
      </c>
      <c r="C12" s="155">
        <f t="shared" si="0"/>
        <v>332.94875999999999</v>
      </c>
    </row>
    <row r="13" spans="1:4" x14ac:dyDescent="0.2">
      <c r="A13" s="158">
        <v>46660</v>
      </c>
      <c r="B13" s="155">
        <v>248.7</v>
      </c>
      <c r="C13" s="155">
        <f t="shared" si="0"/>
        <v>328.98035999999996</v>
      </c>
    </row>
    <row r="14" spans="1:4" x14ac:dyDescent="0.2">
      <c r="A14" s="158">
        <v>46751</v>
      </c>
      <c r="B14" s="155">
        <v>245.45</v>
      </c>
      <c r="C14" s="155">
        <f>B14*1.3228</f>
        <v>324.68125999999995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A83C4-FEBA-7F44-BF8C-E9ADE9845E60}">
  <dimension ref="A1:N27"/>
  <sheetViews>
    <sheetView workbookViewId="0">
      <selection activeCell="Q13" sqref="Q13"/>
    </sheetView>
  </sheetViews>
  <sheetFormatPr baseColWidth="10" defaultRowHeight="16" x14ac:dyDescent="0.2"/>
  <cols>
    <col min="1" max="3" width="10.83203125" style="4"/>
    <col min="4" max="4" width="13.6640625" style="4" customWidth="1"/>
    <col min="5" max="5" width="15.33203125" style="4" customWidth="1"/>
    <col min="6" max="16384" width="10.83203125" style="4"/>
  </cols>
  <sheetData>
    <row r="1" spans="1:14" x14ac:dyDescent="0.2">
      <c r="A1" s="210" t="s">
        <v>16</v>
      </c>
      <c r="B1" s="210" t="s">
        <v>324</v>
      </c>
      <c r="C1" s="211" t="s">
        <v>15</v>
      </c>
      <c r="D1" s="211" t="s">
        <v>14</v>
      </c>
      <c r="E1" s="211" t="s">
        <v>327</v>
      </c>
      <c r="F1" s="211" t="s">
        <v>23</v>
      </c>
      <c r="G1" s="211" t="s">
        <v>328</v>
      </c>
      <c r="H1" s="211" t="s">
        <v>292</v>
      </c>
      <c r="I1" s="211" t="s">
        <v>312</v>
      </c>
      <c r="J1" s="211" t="s">
        <v>293</v>
      </c>
      <c r="K1" s="211" t="s">
        <v>326</v>
      </c>
      <c r="L1" s="212" t="s">
        <v>294</v>
      </c>
      <c r="M1" s="211" t="s">
        <v>313</v>
      </c>
      <c r="N1" s="212" t="s">
        <v>297</v>
      </c>
    </row>
    <row r="2" spans="1:14" x14ac:dyDescent="0.2">
      <c r="A2" s="1" t="s">
        <v>295</v>
      </c>
      <c r="B2" s="1" t="s">
        <v>325</v>
      </c>
      <c r="C2" s="2" t="s">
        <v>314</v>
      </c>
      <c r="D2" s="213">
        <f t="shared" ref="D2:D25" si="0">283.5*F2</f>
        <v>1304.0999999999999</v>
      </c>
      <c r="E2" s="214" t="s">
        <v>315</v>
      </c>
      <c r="F2" s="155">
        <v>4.5999999999999996</v>
      </c>
      <c r="G2" s="155">
        <v>191.55</v>
      </c>
      <c r="H2" s="155">
        <v>241.4</v>
      </c>
      <c r="I2" s="2"/>
      <c r="J2" s="162">
        <v>45405</v>
      </c>
      <c r="K2" s="162">
        <f>J2</f>
        <v>45405</v>
      </c>
      <c r="L2" s="215">
        <f>D2*(G2-H2)*1.3228</f>
        <v>-85994.414477999977</v>
      </c>
      <c r="M2" s="160">
        <v>5.2268999999999997</v>
      </c>
      <c r="N2" s="215">
        <f>IF(I2="",L2*M2,(D2*(G2*I2-H2*M2)*1.3328))</f>
        <v>-449484.20503505802</v>
      </c>
    </row>
    <row r="3" spans="1:14" x14ac:dyDescent="0.2">
      <c r="A3" s="1" t="s">
        <v>296</v>
      </c>
      <c r="B3" s="1" t="s">
        <v>325</v>
      </c>
      <c r="C3" s="2" t="s">
        <v>316</v>
      </c>
      <c r="D3" s="213">
        <f t="shared" si="0"/>
        <v>567</v>
      </c>
      <c r="E3" s="214" t="s">
        <v>315</v>
      </c>
      <c r="F3" s="155">
        <v>2</v>
      </c>
      <c r="G3" s="155">
        <v>226.05</v>
      </c>
      <c r="H3" s="155">
        <v>239.9</v>
      </c>
      <c r="I3" s="2"/>
      <c r="J3" s="162">
        <v>45520</v>
      </c>
      <c r="K3" s="162">
        <f t="shared" ref="K3:K13" si="1">J3</f>
        <v>45520</v>
      </c>
      <c r="L3" s="215">
        <f t="shared" ref="L3:L25" si="2">D3*(G3-H3)*1.3228</f>
        <v>-10387.882259999997</v>
      </c>
      <c r="M3" s="160">
        <v>5.4650999999999996</v>
      </c>
      <c r="N3" s="215">
        <f t="shared" ref="N3:N13" si="3">IF(I3="",L3*M3,(D3*(G3*I3-H3*M3)*1.3328))</f>
        <v>-56770.815339125977</v>
      </c>
    </row>
    <row r="4" spans="1:14" x14ac:dyDescent="0.2">
      <c r="A4" s="1" t="s">
        <v>296</v>
      </c>
      <c r="B4" s="1" t="s">
        <v>325</v>
      </c>
      <c r="C4" s="2">
        <v>507185025</v>
      </c>
      <c r="D4" s="213">
        <f t="shared" si="0"/>
        <v>3118.5</v>
      </c>
      <c r="E4" s="214" t="s">
        <v>315</v>
      </c>
      <c r="F4" s="155">
        <v>11</v>
      </c>
      <c r="G4" s="155">
        <v>183.6</v>
      </c>
      <c r="H4" s="2">
        <v>263.55</v>
      </c>
      <c r="I4" s="2">
        <v>4.9850000000000003</v>
      </c>
      <c r="J4" s="162">
        <v>45602</v>
      </c>
      <c r="K4" s="162">
        <f t="shared" si="1"/>
        <v>45602</v>
      </c>
      <c r="L4" s="215">
        <f t="shared" si="2"/>
        <v>-329805.88641000004</v>
      </c>
      <c r="M4" s="160">
        <v>5.7694000000000001</v>
      </c>
      <c r="N4" s="215">
        <f t="shared" si="3"/>
        <v>-2515744.9198118164</v>
      </c>
    </row>
    <row r="5" spans="1:14" x14ac:dyDescent="0.2">
      <c r="A5" s="1" t="s">
        <v>296</v>
      </c>
      <c r="B5" s="1" t="s">
        <v>325</v>
      </c>
      <c r="C5" s="2">
        <v>507224803</v>
      </c>
      <c r="D5" s="213">
        <f t="shared" si="0"/>
        <v>5103</v>
      </c>
      <c r="E5" s="214" t="s">
        <v>315</v>
      </c>
      <c r="F5" s="155">
        <v>18</v>
      </c>
      <c r="G5" s="155">
        <v>158.4</v>
      </c>
      <c r="H5" s="2">
        <v>263.55</v>
      </c>
      <c r="I5" s="2">
        <v>4.9850000000000003</v>
      </c>
      <c r="J5" s="162">
        <v>45602</v>
      </c>
      <c r="K5" s="162">
        <f t="shared" si="1"/>
        <v>45602</v>
      </c>
      <c r="L5" s="215">
        <f t="shared" si="2"/>
        <v>-709788.61926000006</v>
      </c>
      <c r="M5" s="160">
        <v>5.7694000000000001</v>
      </c>
      <c r="N5" s="215">
        <f t="shared" si="3"/>
        <v>-4971063.7003114084</v>
      </c>
    </row>
    <row r="6" spans="1:14" x14ac:dyDescent="0.2">
      <c r="A6" s="1" t="s">
        <v>295</v>
      </c>
      <c r="B6" s="1" t="s">
        <v>325</v>
      </c>
      <c r="C6" s="2">
        <v>43136</v>
      </c>
      <c r="D6" s="213">
        <f t="shared" si="0"/>
        <v>640.70999999999992</v>
      </c>
      <c r="E6" s="214" t="s">
        <v>317</v>
      </c>
      <c r="F6" s="155">
        <v>2.2599999999999998</v>
      </c>
      <c r="G6" s="155">
        <v>245</v>
      </c>
      <c r="H6" s="2">
        <v>251.05</v>
      </c>
      <c r="I6" s="2"/>
      <c r="J6" s="162">
        <v>45586</v>
      </c>
      <c r="K6" s="162">
        <f t="shared" si="1"/>
        <v>45586</v>
      </c>
      <c r="L6" s="215">
        <f t="shared" si="2"/>
        <v>-5127.5636874000093</v>
      </c>
      <c r="M6" s="160">
        <v>5.726</v>
      </c>
      <c r="N6" s="215">
        <f t="shared" si="3"/>
        <v>-29360.429674052451</v>
      </c>
    </row>
    <row r="7" spans="1:14" x14ac:dyDescent="0.2">
      <c r="A7" s="1" t="s">
        <v>295</v>
      </c>
      <c r="B7" s="1" t="s">
        <v>325</v>
      </c>
      <c r="C7" s="2">
        <v>44564</v>
      </c>
      <c r="D7" s="213">
        <f t="shared" si="0"/>
        <v>320.35499999999996</v>
      </c>
      <c r="E7" s="214" t="s">
        <v>318</v>
      </c>
      <c r="F7" s="155">
        <v>1.1299999999999999</v>
      </c>
      <c r="G7" s="155">
        <v>231.1</v>
      </c>
      <c r="H7" s="2">
        <v>251.05</v>
      </c>
      <c r="I7" s="2"/>
      <c r="J7" s="162">
        <v>45586</v>
      </c>
      <c r="K7" s="162">
        <f t="shared" si="1"/>
        <v>45586</v>
      </c>
      <c r="L7" s="215">
        <f t="shared" si="2"/>
        <v>-8454.1236003000067</v>
      </c>
      <c r="M7" s="160">
        <v>5.726</v>
      </c>
      <c r="N7" s="215">
        <f t="shared" si="3"/>
        <v>-48408.311735317839</v>
      </c>
    </row>
    <row r="8" spans="1:14" x14ac:dyDescent="0.2">
      <c r="A8" s="1" t="s">
        <v>295</v>
      </c>
      <c r="B8" s="1" t="s">
        <v>325</v>
      </c>
      <c r="C8" s="2">
        <v>47900</v>
      </c>
      <c r="D8" s="213">
        <f t="shared" si="0"/>
        <v>640.70999999999992</v>
      </c>
      <c r="E8" s="214" t="s">
        <v>319</v>
      </c>
      <c r="F8" s="155">
        <v>2.2599999999999998</v>
      </c>
      <c r="G8" s="155">
        <v>243.16</v>
      </c>
      <c r="H8" s="2">
        <v>280.75</v>
      </c>
      <c r="I8" s="2"/>
      <c r="J8" s="162">
        <v>45615</v>
      </c>
      <c r="K8" s="162">
        <f t="shared" si="1"/>
        <v>45615</v>
      </c>
      <c r="L8" s="215">
        <f t="shared" si="2"/>
        <v>-31858.697356919998</v>
      </c>
      <c r="M8" s="160">
        <v>5.7603</v>
      </c>
      <c r="N8" s="215">
        <f t="shared" si="3"/>
        <v>-183515.65438506627</v>
      </c>
    </row>
    <row r="9" spans="1:14" x14ac:dyDescent="0.2">
      <c r="A9" s="1" t="s">
        <v>295</v>
      </c>
      <c r="B9" s="1" t="s">
        <v>325</v>
      </c>
      <c r="C9" s="2">
        <v>61454</v>
      </c>
      <c r="D9" s="213">
        <f t="shared" si="0"/>
        <v>961.06500000000005</v>
      </c>
      <c r="E9" s="214" t="s">
        <v>320</v>
      </c>
      <c r="F9" s="155">
        <f>127125/37500</f>
        <v>3.39</v>
      </c>
      <c r="G9" s="155">
        <v>293.60000000000002</v>
      </c>
      <c r="H9" s="155">
        <v>321.10000000000002</v>
      </c>
      <c r="I9" s="2"/>
      <c r="J9" s="162">
        <v>45643</v>
      </c>
      <c r="K9" s="162">
        <f t="shared" si="1"/>
        <v>45643</v>
      </c>
      <c r="L9" s="215">
        <f t="shared" si="2"/>
        <v>-34960.661505000004</v>
      </c>
      <c r="M9" s="160">
        <v>6.1725000000000003</v>
      </c>
      <c r="N9" s="215">
        <f t="shared" si="3"/>
        <v>-215794.68313961252</v>
      </c>
    </row>
    <row r="10" spans="1:14" x14ac:dyDescent="0.2">
      <c r="A10" s="1" t="s">
        <v>295</v>
      </c>
      <c r="B10" s="1" t="s">
        <v>325</v>
      </c>
      <c r="C10" s="2">
        <v>47898</v>
      </c>
      <c r="D10" s="213">
        <f t="shared" si="0"/>
        <v>320.35499999999996</v>
      </c>
      <c r="E10" s="214" t="s">
        <v>321</v>
      </c>
      <c r="F10" s="155">
        <v>1.1299999999999999</v>
      </c>
      <c r="G10" s="155">
        <v>240.91</v>
      </c>
      <c r="H10" s="155">
        <v>329</v>
      </c>
      <c r="I10" s="2"/>
      <c r="J10" s="162">
        <v>45646</v>
      </c>
      <c r="K10" s="162">
        <f t="shared" si="1"/>
        <v>45646</v>
      </c>
      <c r="L10" s="215">
        <f t="shared" si="2"/>
        <v>-37329.511175459993</v>
      </c>
      <c r="M10" s="160">
        <v>6.08</v>
      </c>
      <c r="N10" s="215">
        <f t="shared" si="3"/>
        <v>-226963.42794679676</v>
      </c>
    </row>
    <row r="11" spans="1:14" x14ac:dyDescent="0.2">
      <c r="A11" s="1" t="s">
        <v>295</v>
      </c>
      <c r="B11" s="1" t="s">
        <v>325</v>
      </c>
      <c r="C11" s="2">
        <v>47898</v>
      </c>
      <c r="D11" s="213">
        <f t="shared" si="0"/>
        <v>640.70999999999992</v>
      </c>
      <c r="E11" s="214" t="s">
        <v>322</v>
      </c>
      <c r="F11" s="155">
        <v>2.2599999999999998</v>
      </c>
      <c r="G11" s="155">
        <v>240.91</v>
      </c>
      <c r="H11" s="155">
        <v>342</v>
      </c>
      <c r="I11" s="2"/>
      <c r="J11" s="162">
        <v>45679</v>
      </c>
      <c r="K11" s="162">
        <f t="shared" si="1"/>
        <v>45679</v>
      </c>
      <c r="L11" s="215">
        <f t="shared" si="2"/>
        <v>-85676.92779491999</v>
      </c>
      <c r="M11" s="160">
        <v>5.9249999999999998</v>
      </c>
      <c r="N11" s="215">
        <f t="shared" si="3"/>
        <v>-507635.7971849009</v>
      </c>
    </row>
    <row r="12" spans="1:14" x14ac:dyDescent="0.2">
      <c r="A12" s="1" t="s">
        <v>295</v>
      </c>
      <c r="B12" s="1" t="s">
        <v>325</v>
      </c>
      <c r="C12" s="2">
        <v>47898</v>
      </c>
      <c r="D12" s="213">
        <f t="shared" si="0"/>
        <v>640.71000000000015</v>
      </c>
      <c r="E12" s="213"/>
      <c r="F12" s="155">
        <f>5.65-F10-F11</f>
        <v>2.2600000000000007</v>
      </c>
      <c r="G12" s="155">
        <v>240.91</v>
      </c>
      <c r="H12" s="155">
        <v>417.9</v>
      </c>
      <c r="I12" s="2"/>
      <c r="J12" s="162">
        <v>45708</v>
      </c>
      <c r="K12" s="162">
        <f t="shared" si="1"/>
        <v>45708</v>
      </c>
      <c r="L12" s="215">
        <f t="shared" si="2"/>
        <v>-150004.54496412002</v>
      </c>
      <c r="M12" s="160">
        <v>5.7087000000000003</v>
      </c>
      <c r="N12" s="215">
        <f t="shared" si="3"/>
        <v>-856330.94583667198</v>
      </c>
    </row>
    <row r="13" spans="1:14" x14ac:dyDescent="0.2">
      <c r="A13" s="1" t="s">
        <v>295</v>
      </c>
      <c r="B13" s="1" t="s">
        <v>325</v>
      </c>
      <c r="C13" s="2">
        <v>47899</v>
      </c>
      <c r="D13" s="213">
        <f t="shared" si="0"/>
        <v>320.35499999999996</v>
      </c>
      <c r="E13" s="213" t="s">
        <v>323</v>
      </c>
      <c r="F13" s="155">
        <v>1.1299999999999999</v>
      </c>
      <c r="G13" s="155">
        <v>238.17</v>
      </c>
      <c r="H13" s="155">
        <v>329.5</v>
      </c>
      <c r="I13" s="2"/>
      <c r="J13" s="162">
        <v>45769</v>
      </c>
      <c r="K13" s="162">
        <f t="shared" si="1"/>
        <v>45769</v>
      </c>
      <c r="L13" s="215">
        <f t="shared" si="2"/>
        <v>-38702.511700019997</v>
      </c>
      <c r="M13" s="160">
        <v>6.0709999999999997</v>
      </c>
      <c r="N13" s="215">
        <f t="shared" si="3"/>
        <v>-234962.94853082139</v>
      </c>
    </row>
    <row r="14" spans="1:14" x14ac:dyDescent="0.2">
      <c r="A14" s="1" t="s">
        <v>295</v>
      </c>
      <c r="B14" s="1" t="s">
        <v>325</v>
      </c>
      <c r="C14" s="2">
        <v>47899</v>
      </c>
      <c r="D14" s="213">
        <f>283.5*F14</f>
        <v>320.35499999999996</v>
      </c>
      <c r="E14" s="213" t="s">
        <v>323</v>
      </c>
      <c r="F14" s="155">
        <v>1.1299999999999999</v>
      </c>
      <c r="G14" s="155">
        <v>238.17</v>
      </c>
      <c r="H14" s="155">
        <f>370.95</f>
        <v>370.95</v>
      </c>
      <c r="I14" s="2"/>
      <c r="J14" s="162">
        <v>45769</v>
      </c>
      <c r="K14" s="162">
        <f>J14</f>
        <v>45769</v>
      </c>
      <c r="L14" s="215">
        <f>D14*(G14-H14)*1.3228</f>
        <v>-56267.595571319995</v>
      </c>
      <c r="M14" s="160">
        <f>5.883</f>
        <v>5.883</v>
      </c>
      <c r="N14" s="215">
        <f>IF(I14="",L14*M14,(D14*(G14*I14-H14*M14)*1.3328))</f>
        <v>-331022.26474607555</v>
      </c>
    </row>
    <row r="15" spans="1:14" x14ac:dyDescent="0.2">
      <c r="A15" s="209" t="s">
        <v>295</v>
      </c>
      <c r="B15" s="209" t="s">
        <v>325</v>
      </c>
      <c r="C15" s="208">
        <f>C19</f>
        <v>47616</v>
      </c>
      <c r="D15" s="216">
        <f t="shared" ref="D15" si="4">283.5*F15</f>
        <v>1417.5</v>
      </c>
      <c r="E15" s="216"/>
      <c r="F15" s="217">
        <v>5</v>
      </c>
      <c r="G15" s="217">
        <f>G19</f>
        <v>222.2</v>
      </c>
      <c r="H15" s="217">
        <v>280</v>
      </c>
      <c r="I15" s="208"/>
      <c r="J15" s="219">
        <v>45769</v>
      </c>
      <c r="K15" s="219">
        <v>45840</v>
      </c>
      <c r="L15" s="220">
        <f t="shared" ref="L15" si="5">D15*(G15-H15)*1.3228</f>
        <v>-108378.98820000002</v>
      </c>
      <c r="M15" s="218">
        <f>5.4677</f>
        <v>5.4676999999999998</v>
      </c>
      <c r="N15" s="220">
        <f t="shared" ref="N15" si="6">IF(I15="",L15*M15,(D15*(G15*I15-H15*M15)*1.3328))</f>
        <v>-592583.79378114012</v>
      </c>
    </row>
    <row r="16" spans="1:14" x14ac:dyDescent="0.2">
      <c r="A16" s="1" t="s">
        <v>295</v>
      </c>
      <c r="B16" s="1" t="s">
        <v>330</v>
      </c>
      <c r="C16" s="2">
        <v>25852</v>
      </c>
      <c r="D16" s="213">
        <f t="shared" si="0"/>
        <v>5017.95</v>
      </c>
      <c r="E16" s="213"/>
      <c r="F16" s="155">
        <v>17.7</v>
      </c>
      <c r="G16" s="155">
        <v>179</v>
      </c>
      <c r="H16" s="155">
        <f>futuros!B4</f>
        <v>284.8</v>
      </c>
      <c r="I16" s="2"/>
      <c r="J16" s="162">
        <v>45973</v>
      </c>
      <c r="K16" s="162"/>
      <c r="L16" s="215">
        <f t="shared" si="2"/>
        <v>-702273.34270799998</v>
      </c>
      <c r="M16" s="160"/>
      <c r="N16" s="215"/>
    </row>
    <row r="17" spans="1:14" x14ac:dyDescent="0.2">
      <c r="A17" s="1" t="s">
        <v>296</v>
      </c>
      <c r="B17" s="1" t="s">
        <v>330</v>
      </c>
      <c r="C17" s="2">
        <v>507931308</v>
      </c>
      <c r="D17" s="213">
        <f t="shared" si="0"/>
        <v>1984.5</v>
      </c>
      <c r="E17" s="213"/>
      <c r="F17" s="155">
        <f>262500/37500</f>
        <v>7</v>
      </c>
      <c r="G17" s="155">
        <v>196.1</v>
      </c>
      <c r="H17" s="155">
        <f>futuros!B4</f>
        <v>284.8</v>
      </c>
      <c r="I17" s="2"/>
      <c r="J17" s="162">
        <v>45973</v>
      </c>
      <c r="K17" s="162"/>
      <c r="L17" s="215">
        <f t="shared" si="2"/>
        <v>-232846.06842000003</v>
      </c>
      <c r="M17" s="160"/>
      <c r="N17" s="215"/>
    </row>
    <row r="18" spans="1:14" x14ac:dyDescent="0.2">
      <c r="A18" s="1" t="s">
        <v>296</v>
      </c>
      <c r="B18" s="1" t="s">
        <v>329</v>
      </c>
      <c r="C18" s="2">
        <v>29487615</v>
      </c>
      <c r="D18" s="213">
        <f t="shared" si="0"/>
        <v>1984.5</v>
      </c>
      <c r="E18" s="213" t="s">
        <v>344</v>
      </c>
      <c r="F18" s="155">
        <f>262500/37500</f>
        <v>7</v>
      </c>
      <c r="G18" s="155">
        <v>330</v>
      </c>
      <c r="H18" s="155">
        <f>futuros!B4</f>
        <v>284.8</v>
      </c>
      <c r="I18" s="2"/>
      <c r="J18" s="162">
        <v>45973</v>
      </c>
      <c r="K18" s="162"/>
      <c r="L18" s="215">
        <f t="shared" si="2"/>
        <v>118654.36631999997</v>
      </c>
      <c r="M18" s="160"/>
      <c r="N18" s="215"/>
    </row>
    <row r="19" spans="1:14" x14ac:dyDescent="0.2">
      <c r="A19" s="209" t="s">
        <v>295</v>
      </c>
      <c r="B19" s="209" t="s">
        <v>330</v>
      </c>
      <c r="C19" s="208">
        <v>47616</v>
      </c>
      <c r="D19" s="216">
        <f t="shared" si="0"/>
        <v>1587.6</v>
      </c>
      <c r="E19" s="216"/>
      <c r="F19" s="217">
        <f>10.6-5</f>
        <v>5.6</v>
      </c>
      <c r="G19" s="217">
        <v>222.2</v>
      </c>
      <c r="H19" s="217">
        <f>futuros!B4</f>
        <v>284.8</v>
      </c>
      <c r="I19" s="208"/>
      <c r="J19" s="219">
        <v>45980</v>
      </c>
      <c r="K19" s="219"/>
      <c r="L19" s="220">
        <f t="shared" si="2"/>
        <v>-131464.83772800004</v>
      </c>
      <c r="M19" s="218"/>
      <c r="N19" s="220"/>
    </row>
    <row r="20" spans="1:14" x14ac:dyDescent="0.2">
      <c r="A20" s="1" t="s">
        <v>296</v>
      </c>
      <c r="B20" s="1" t="s">
        <v>329</v>
      </c>
      <c r="C20" s="2">
        <v>29487625</v>
      </c>
      <c r="D20" s="213">
        <f t="shared" si="0"/>
        <v>1984.5</v>
      </c>
      <c r="E20" s="213" t="s">
        <v>345</v>
      </c>
      <c r="F20" s="155">
        <f>262500/37500</f>
        <v>7</v>
      </c>
      <c r="G20" s="155">
        <v>325</v>
      </c>
      <c r="H20" s="155">
        <f>futuros!B5</f>
        <v>278.25</v>
      </c>
      <c r="I20" s="2"/>
      <c r="J20" s="162">
        <v>46063</v>
      </c>
      <c r="K20" s="162"/>
      <c r="L20" s="215">
        <f t="shared" si="2"/>
        <v>122723.26604999999</v>
      </c>
      <c r="M20" s="160"/>
      <c r="N20" s="215"/>
    </row>
    <row r="21" spans="1:14" x14ac:dyDescent="0.2">
      <c r="A21" s="1" t="s">
        <v>296</v>
      </c>
      <c r="B21" s="1" t="s">
        <v>330</v>
      </c>
      <c r="C21" s="2">
        <v>28133721</v>
      </c>
      <c r="D21" s="213">
        <f t="shared" si="0"/>
        <v>2551.5</v>
      </c>
      <c r="E21" s="213"/>
      <c r="F21" s="155">
        <f>337500/37500</f>
        <v>9</v>
      </c>
      <c r="G21" s="155">
        <v>300.8</v>
      </c>
      <c r="H21" s="155">
        <f>futuros!B9</f>
        <v>258.5</v>
      </c>
      <c r="I21" s="2"/>
      <c r="J21" s="162">
        <v>46345</v>
      </c>
      <c r="K21" s="162"/>
      <c r="L21" s="215">
        <f t="shared" si="2"/>
        <v>142767.75366000005</v>
      </c>
      <c r="M21" s="160"/>
      <c r="N21" s="215"/>
    </row>
    <row r="22" spans="1:14" x14ac:dyDescent="0.2">
      <c r="A22" s="1" t="s">
        <v>296</v>
      </c>
      <c r="B22" s="1" t="s">
        <v>330</v>
      </c>
      <c r="C22" s="2">
        <v>28594897</v>
      </c>
      <c r="D22" s="213">
        <f t="shared" si="0"/>
        <v>2268</v>
      </c>
      <c r="E22" s="213"/>
      <c r="F22" s="155">
        <v>8</v>
      </c>
      <c r="G22" s="155">
        <v>322.39999999999998</v>
      </c>
      <c r="H22" s="155">
        <f>futuros!B9</f>
        <v>258.5</v>
      </c>
      <c r="I22" s="2"/>
      <c r="J22" s="162">
        <v>46345</v>
      </c>
      <c r="K22" s="162"/>
      <c r="L22" s="215">
        <f t="shared" si="2"/>
        <v>191707.05455999993</v>
      </c>
      <c r="M22" s="160"/>
      <c r="N22" s="215"/>
    </row>
    <row r="23" spans="1:14" x14ac:dyDescent="0.2">
      <c r="A23" s="1" t="s">
        <v>296</v>
      </c>
      <c r="B23" s="1" t="s">
        <v>330</v>
      </c>
      <c r="C23" s="2">
        <v>29340843</v>
      </c>
      <c r="D23" s="213">
        <f t="shared" si="0"/>
        <v>2268</v>
      </c>
      <c r="E23" s="213"/>
      <c r="F23" s="155">
        <v>8</v>
      </c>
      <c r="G23" s="155">
        <v>307.2</v>
      </c>
      <c r="H23" s="155">
        <f>futuros!B9</f>
        <v>258.5</v>
      </c>
      <c r="I23" s="2"/>
      <c r="J23" s="162">
        <v>46345</v>
      </c>
      <c r="K23" s="162"/>
      <c r="L23" s="215">
        <f t="shared" si="2"/>
        <v>146105.37647999998</v>
      </c>
      <c r="M23" s="160"/>
      <c r="N23" s="215"/>
    </row>
    <row r="24" spans="1:14" x14ac:dyDescent="0.2">
      <c r="A24" s="209" t="s">
        <v>296</v>
      </c>
      <c r="B24" s="209" t="s">
        <v>330</v>
      </c>
      <c r="C24" s="208">
        <v>29487626</v>
      </c>
      <c r="D24" s="216">
        <f t="shared" si="0"/>
        <v>7938</v>
      </c>
      <c r="E24" s="216"/>
      <c r="F24" s="217">
        <f>1050000/37500</f>
        <v>28</v>
      </c>
      <c r="G24" s="217">
        <v>288</v>
      </c>
      <c r="H24" s="217">
        <f>futuros!B9</f>
        <v>258.5</v>
      </c>
      <c r="I24" s="208"/>
      <c r="J24" s="219">
        <v>46345</v>
      </c>
      <c r="K24" s="219"/>
      <c r="L24" s="220">
        <f t="shared" si="2"/>
        <v>309761.39879999997</v>
      </c>
      <c r="M24" s="218"/>
      <c r="N24" s="220"/>
    </row>
    <row r="25" spans="1:14" x14ac:dyDescent="0.2">
      <c r="A25" s="1" t="s">
        <v>296</v>
      </c>
      <c r="B25" s="1" t="s">
        <v>330</v>
      </c>
      <c r="C25" s="2">
        <v>29575268</v>
      </c>
      <c r="D25" s="213">
        <f t="shared" si="0"/>
        <v>3118.5</v>
      </c>
      <c r="E25" s="213"/>
      <c r="F25" s="155">
        <f>412500/37500</f>
        <v>11</v>
      </c>
      <c r="G25" s="155">
        <v>249</v>
      </c>
      <c r="H25" s="155">
        <f>futuros!B14</f>
        <v>245.45</v>
      </c>
      <c r="I25" s="2"/>
      <c r="J25" s="162">
        <v>46710</v>
      </c>
      <c r="K25" s="162"/>
      <c r="L25" s="215">
        <f t="shared" si="2"/>
        <v>14644.288890000047</v>
      </c>
      <c r="M25" s="160"/>
      <c r="N25" s="215"/>
    </row>
    <row r="26" spans="1:14" x14ac:dyDescent="0.2">
      <c r="A26" s="1" t="s">
        <v>296</v>
      </c>
      <c r="B26" s="1" t="s">
        <v>330</v>
      </c>
      <c r="C26" s="2">
        <v>29575268</v>
      </c>
      <c r="D26" s="213">
        <f t="shared" ref="D26" si="7">283.5*F26</f>
        <v>2268</v>
      </c>
      <c r="E26" s="213"/>
      <c r="F26" s="155">
        <v>8</v>
      </c>
      <c r="G26" s="155">
        <v>235</v>
      </c>
      <c r="H26" s="155">
        <f>futuros!B14</f>
        <v>245.45</v>
      </c>
      <c r="I26" s="2"/>
      <c r="J26" s="162">
        <v>46710</v>
      </c>
      <c r="K26" s="162"/>
      <c r="L26" s="215">
        <f t="shared" ref="L26" si="8">D26*(G26-H26)*1.3228</f>
        <v>-31351.153679999963</v>
      </c>
      <c r="M26" s="160"/>
      <c r="N26" s="215"/>
    </row>
    <row r="27" spans="1:14" x14ac:dyDescent="0.2">
      <c r="A27" s="1" t="s">
        <v>296</v>
      </c>
      <c r="B27" s="1" t="s">
        <v>330</v>
      </c>
      <c r="C27" s="2">
        <v>29575268</v>
      </c>
      <c r="D27" s="213">
        <f t="shared" ref="D27" si="9">283.5*F27</f>
        <v>1417.5</v>
      </c>
      <c r="E27" s="213"/>
      <c r="F27" s="155">
        <v>5</v>
      </c>
      <c r="G27" s="155">
        <v>251</v>
      </c>
      <c r="H27" s="155">
        <f>futuros!B14</f>
        <v>245.45</v>
      </c>
      <c r="I27" s="2"/>
      <c r="J27" s="162">
        <v>46710</v>
      </c>
      <c r="K27" s="162"/>
      <c r="L27" s="215">
        <f t="shared" ref="L27" si="10">D27*(G27-H27)*1.3228</f>
        <v>10406.632950000021</v>
      </c>
    </row>
  </sheetData>
  <pageMargins left="0.7" right="0.7" top="0.75" bottom="0.75" header="0.3" footer="0.3"/>
  <ignoredErrors>
    <ignoredError sqref="E7:E13" numberStoredAsText="1"/>
    <ignoredError sqref="F1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56AAA-4A78-E345-8F9A-63A7668FB046}">
  <dimension ref="A1:D42"/>
  <sheetViews>
    <sheetView workbookViewId="0">
      <selection activeCell="D1" sqref="A1:D1"/>
    </sheetView>
  </sheetViews>
  <sheetFormatPr baseColWidth="10" defaultRowHeight="16" x14ac:dyDescent="0.2"/>
  <cols>
    <col min="1" max="1" width="10.83203125" style="158"/>
    <col min="2" max="3" width="10.83203125" style="155"/>
    <col min="4" max="16384" width="10.83203125" style="4"/>
  </cols>
  <sheetData>
    <row r="1" spans="1:4" x14ac:dyDescent="0.2">
      <c r="A1" s="153" t="s">
        <v>83</v>
      </c>
      <c r="B1" s="154" t="s">
        <v>267</v>
      </c>
      <c r="C1" s="154" t="s">
        <v>268</v>
      </c>
      <c r="D1" s="153" t="s">
        <v>269</v>
      </c>
    </row>
    <row r="2" spans="1:4" x14ac:dyDescent="0.2">
      <c r="A2" s="158">
        <v>44592</v>
      </c>
      <c r="B2" s="155">
        <v>5.5374090000000002</v>
      </c>
      <c r="C2" s="155">
        <v>236.23999900000001</v>
      </c>
      <c r="D2" s="155">
        <f>C2*1.3228*B2</f>
        <v>1730.4307365323637</v>
      </c>
    </row>
    <row r="3" spans="1:4" x14ac:dyDescent="0.2">
      <c r="A3" s="158">
        <v>44620</v>
      </c>
      <c r="B3" s="155">
        <v>5.1979179999999996</v>
      </c>
      <c r="C3" s="155">
        <v>246.19736900000001</v>
      </c>
      <c r="D3" s="155">
        <f t="shared" ref="D3:D41" si="0">C3*1.3228*B3</f>
        <v>1692.8053298190771</v>
      </c>
    </row>
    <row r="4" spans="1:4" x14ac:dyDescent="0.2">
      <c r="A4" s="158">
        <v>44651</v>
      </c>
      <c r="B4" s="155">
        <v>4.9872889999999996</v>
      </c>
      <c r="C4" s="155">
        <v>223.50869599999999</v>
      </c>
      <c r="D4" s="155">
        <f t="shared" si="0"/>
        <v>1474.5284153646924</v>
      </c>
    </row>
    <row r="5" spans="1:4" x14ac:dyDescent="0.2">
      <c r="A5" s="158">
        <v>44681</v>
      </c>
      <c r="B5" s="155">
        <v>4.7329809999999997</v>
      </c>
      <c r="C5" s="155">
        <v>225.61000100000001</v>
      </c>
      <c r="D5" s="155">
        <f t="shared" si="0"/>
        <v>1412.4962215235353</v>
      </c>
    </row>
    <row r="6" spans="1:4" x14ac:dyDescent="0.2">
      <c r="A6" s="158">
        <v>44712</v>
      </c>
      <c r="B6" s="155">
        <v>4.9608749999999997</v>
      </c>
      <c r="C6" s="155">
        <v>218.33333300000001</v>
      </c>
      <c r="D6" s="155">
        <f t="shared" si="0"/>
        <v>1432.7569210625848</v>
      </c>
    </row>
    <row r="7" spans="1:4" x14ac:dyDescent="0.2">
      <c r="A7" s="158">
        <v>44742</v>
      </c>
      <c r="B7" s="155">
        <v>5.0325829999999998</v>
      </c>
      <c r="C7" s="155">
        <v>231.35714200000001</v>
      </c>
      <c r="D7" s="155">
        <f t="shared" si="0"/>
        <v>1540.1678133355992</v>
      </c>
    </row>
    <row r="8" spans="1:4" x14ac:dyDescent="0.2">
      <c r="A8" s="158">
        <v>44773</v>
      </c>
      <c r="B8" s="155">
        <v>5.3714709999999997</v>
      </c>
      <c r="C8" s="155">
        <v>215.95749799999999</v>
      </c>
      <c r="D8" s="155">
        <f t="shared" si="0"/>
        <v>1534.4604842418871</v>
      </c>
    </row>
    <row r="9" spans="1:4" x14ac:dyDescent="0.2">
      <c r="A9" s="158">
        <v>44804</v>
      </c>
      <c r="B9" s="155">
        <v>5.1425409999999996</v>
      </c>
      <c r="C9" s="155">
        <v>224.22173799999999</v>
      </c>
      <c r="D9" s="155">
        <f t="shared" si="0"/>
        <v>1525.280309144378</v>
      </c>
    </row>
    <row r="10" spans="1:4" x14ac:dyDescent="0.2">
      <c r="A10" s="158">
        <v>44834</v>
      </c>
      <c r="B10" s="155">
        <v>5.2244000000000002</v>
      </c>
      <c r="C10" s="155">
        <v>225.485715</v>
      </c>
      <c r="D10" s="155">
        <f t="shared" si="0"/>
        <v>1558.2948688631689</v>
      </c>
    </row>
    <row r="11" spans="1:4" x14ac:dyDescent="0.2">
      <c r="A11" s="158">
        <v>44865</v>
      </c>
      <c r="B11" s="155">
        <v>5.2630600000000003</v>
      </c>
      <c r="C11" s="155">
        <v>199.36190500000001</v>
      </c>
      <c r="D11" s="155">
        <f t="shared" si="0"/>
        <v>1387.9527516723181</v>
      </c>
    </row>
    <row r="12" spans="1:4" x14ac:dyDescent="0.2">
      <c r="A12" s="158">
        <v>44895</v>
      </c>
      <c r="B12" s="155">
        <v>5.2736499999999999</v>
      </c>
      <c r="C12" s="155">
        <v>165.15952300000001</v>
      </c>
      <c r="D12" s="155">
        <f t="shared" si="0"/>
        <v>1152.1502262307272</v>
      </c>
    </row>
    <row r="13" spans="1:4" x14ac:dyDescent="0.2">
      <c r="A13" s="158">
        <v>44926</v>
      </c>
      <c r="B13" s="155">
        <v>5.2432319999999999</v>
      </c>
      <c r="C13" s="155">
        <v>165.45</v>
      </c>
      <c r="D13" s="155">
        <f t="shared" si="0"/>
        <v>1147.5193890643197</v>
      </c>
    </row>
    <row r="14" spans="1:4" x14ac:dyDescent="0.2">
      <c r="A14" s="158">
        <v>44957</v>
      </c>
      <c r="B14" s="155">
        <v>5.2017670000000003</v>
      </c>
      <c r="C14" s="155">
        <v>159.29750000000001</v>
      </c>
      <c r="D14" s="155">
        <f t="shared" si="0"/>
        <v>1096.1097516012112</v>
      </c>
    </row>
    <row r="15" spans="1:4" x14ac:dyDescent="0.2">
      <c r="A15" s="158">
        <v>44985</v>
      </c>
      <c r="B15" s="155">
        <v>5.1680080000000004</v>
      </c>
      <c r="C15" s="155">
        <v>182.636841</v>
      </c>
      <c r="D15" s="155">
        <f t="shared" si="0"/>
        <v>1248.5494573402727</v>
      </c>
    </row>
    <row r="16" spans="1:4" x14ac:dyDescent="0.2">
      <c r="A16" s="158">
        <v>45016</v>
      </c>
      <c r="B16" s="155">
        <v>5.2090829999999997</v>
      </c>
      <c r="C16" s="155">
        <v>179.62173899999999</v>
      </c>
      <c r="D16" s="155">
        <f t="shared" si="0"/>
        <v>1237.6970628447996</v>
      </c>
    </row>
    <row r="17" spans="1:4" x14ac:dyDescent="0.2">
      <c r="A17" s="158">
        <v>45046</v>
      </c>
      <c r="B17" s="155">
        <v>5.0181649999999998</v>
      </c>
      <c r="C17" s="155">
        <v>191.24210600000001</v>
      </c>
      <c r="D17" s="155">
        <f t="shared" si="0"/>
        <v>1269.4705810092421</v>
      </c>
    </row>
    <row r="18" spans="1:4" x14ac:dyDescent="0.2">
      <c r="A18" s="158">
        <v>45077</v>
      </c>
      <c r="B18" s="155">
        <v>4.9752390000000002</v>
      </c>
      <c r="C18" s="155">
        <v>187.32045400000001</v>
      </c>
      <c r="D18" s="155">
        <f t="shared" si="0"/>
        <v>1232.8020165538958</v>
      </c>
    </row>
    <row r="19" spans="1:4" x14ac:dyDescent="0.2">
      <c r="A19" s="158">
        <v>45107</v>
      </c>
      <c r="B19" s="155">
        <v>4.8593149999999996</v>
      </c>
      <c r="C19" s="155">
        <v>178.16190399999999</v>
      </c>
      <c r="D19" s="155">
        <f t="shared" si="0"/>
        <v>1145.207238022303</v>
      </c>
    </row>
    <row r="20" spans="1:4" x14ac:dyDescent="0.2">
      <c r="A20" s="158">
        <v>45138</v>
      </c>
      <c r="B20" s="155">
        <v>4.8034140000000001</v>
      </c>
      <c r="C20" s="155">
        <v>160.20750000000001</v>
      </c>
      <c r="D20" s="155">
        <f t="shared" si="0"/>
        <v>1017.951412150134</v>
      </c>
    </row>
    <row r="21" spans="1:4" x14ac:dyDescent="0.2">
      <c r="A21" s="158">
        <v>45169</v>
      </c>
      <c r="B21" s="155">
        <v>4.8973570000000004</v>
      </c>
      <c r="C21" s="155">
        <v>155.04782700000001</v>
      </c>
      <c r="D21" s="155">
        <f t="shared" si="0"/>
        <v>1004.4345291495767</v>
      </c>
    </row>
    <row r="22" spans="1:4" x14ac:dyDescent="0.2">
      <c r="A22" s="158">
        <v>45199</v>
      </c>
      <c r="B22" s="155">
        <v>4.9424900000000003</v>
      </c>
      <c r="C22" s="155">
        <v>152.252499</v>
      </c>
      <c r="D22" s="155">
        <f t="shared" si="0"/>
        <v>995.41553706350419</v>
      </c>
    </row>
    <row r="23" spans="1:4" x14ac:dyDescent="0.2">
      <c r="A23" s="158">
        <v>45230</v>
      </c>
      <c r="B23" s="155">
        <v>5.0578419999999999</v>
      </c>
      <c r="C23" s="155">
        <v>155.65454600000001</v>
      </c>
      <c r="D23" s="155">
        <f t="shared" si="0"/>
        <v>1041.4088254103456</v>
      </c>
    </row>
    <row r="24" spans="1:4" x14ac:dyDescent="0.2">
      <c r="A24" s="158">
        <v>45260</v>
      </c>
      <c r="B24" s="155">
        <v>4.8988389999999997</v>
      </c>
      <c r="C24" s="155">
        <v>176.45227199999999</v>
      </c>
      <c r="D24" s="155">
        <f t="shared" si="0"/>
        <v>1143.4432302209086</v>
      </c>
    </row>
    <row r="25" spans="1:4" x14ac:dyDescent="0.2">
      <c r="A25" s="158">
        <v>45291</v>
      </c>
      <c r="B25" s="155">
        <v>4.8972709999999999</v>
      </c>
      <c r="C25" s="155">
        <v>194.08</v>
      </c>
      <c r="D25" s="155">
        <f t="shared" si="0"/>
        <v>1257.2716040935043</v>
      </c>
    </row>
    <row r="26" spans="1:4" x14ac:dyDescent="0.2">
      <c r="A26" s="158">
        <v>45322</v>
      </c>
      <c r="B26" s="155">
        <v>4.9062479999999997</v>
      </c>
      <c r="C26" s="155">
        <v>186.55952300000001</v>
      </c>
      <c r="D26" s="155">
        <f t="shared" si="0"/>
        <v>1210.7684787140884</v>
      </c>
    </row>
    <row r="27" spans="1:4" x14ac:dyDescent="0.2">
      <c r="A27" s="158">
        <v>45351</v>
      </c>
      <c r="B27" s="155">
        <v>4.9565989999999998</v>
      </c>
      <c r="C27" s="155">
        <v>192.180003</v>
      </c>
      <c r="D27" s="155">
        <f t="shared" si="0"/>
        <v>1260.0453239004632</v>
      </c>
    </row>
    <row r="28" spans="1:4" x14ac:dyDescent="0.2">
      <c r="A28" s="158">
        <v>45382</v>
      </c>
      <c r="B28" s="155">
        <v>4.9766089999999998</v>
      </c>
      <c r="C28" s="155">
        <v>189.85249999999999</v>
      </c>
      <c r="D28" s="155">
        <f t="shared" si="0"/>
        <v>1249.8100920761829</v>
      </c>
    </row>
    <row r="29" spans="1:4" x14ac:dyDescent="0.2">
      <c r="A29" s="158">
        <v>45412</v>
      </c>
      <c r="B29" s="155">
        <v>5.1168089999999999</v>
      </c>
      <c r="C29" s="155">
        <v>222.52500000000001</v>
      </c>
      <c r="D29" s="155">
        <f t="shared" si="0"/>
        <v>1506.16378818063</v>
      </c>
    </row>
    <row r="30" spans="1:4" x14ac:dyDescent="0.2">
      <c r="A30" s="158">
        <v>45443</v>
      </c>
      <c r="B30" s="155">
        <v>5.1366110000000003</v>
      </c>
      <c r="C30" s="155">
        <v>211.38408899999999</v>
      </c>
      <c r="D30" s="155">
        <f t="shared" si="0"/>
        <v>1436.2933784957311</v>
      </c>
    </row>
    <row r="31" spans="1:4" x14ac:dyDescent="0.2">
      <c r="A31" s="158">
        <v>45473</v>
      </c>
      <c r="B31" s="155">
        <v>5.3737180000000002</v>
      </c>
      <c r="C31" s="155">
        <v>227.942105</v>
      </c>
      <c r="D31" s="155">
        <f t="shared" si="0"/>
        <v>1620.2932126865048</v>
      </c>
    </row>
    <row r="32" spans="1:4" x14ac:dyDescent="0.2">
      <c r="A32" s="158">
        <v>45504</v>
      </c>
      <c r="B32" s="155">
        <v>5.5357609999999999</v>
      </c>
      <c r="C32" s="155">
        <v>237.74090799999999</v>
      </c>
      <c r="D32" s="155">
        <f t="shared" si="0"/>
        <v>1740.9064526970146</v>
      </c>
    </row>
    <row r="33" spans="1:4" x14ac:dyDescent="0.2">
      <c r="A33" s="158">
        <v>45535</v>
      </c>
      <c r="B33" s="155">
        <v>5.5548729999999997</v>
      </c>
      <c r="C33" s="155">
        <v>243.51136299999999</v>
      </c>
      <c r="D33" s="155">
        <f t="shared" si="0"/>
        <v>1789.3180872363678</v>
      </c>
    </row>
    <row r="34" spans="1:4" x14ac:dyDescent="0.2">
      <c r="A34" s="158">
        <v>45565</v>
      </c>
      <c r="B34" s="155">
        <v>5.549722</v>
      </c>
      <c r="C34" s="155">
        <v>257.66749700000003</v>
      </c>
      <c r="D34" s="155">
        <f t="shared" si="0"/>
        <v>1891.5814816923014</v>
      </c>
    </row>
    <row r="35" spans="1:4" x14ac:dyDescent="0.2">
      <c r="A35" s="158">
        <v>45596</v>
      </c>
      <c r="B35" s="155">
        <v>5.6047529999999997</v>
      </c>
      <c r="C35" s="155">
        <v>252.72391300000001</v>
      </c>
      <c r="D35" s="155">
        <f t="shared" si="0"/>
        <v>1873.6868189239692</v>
      </c>
    </row>
    <row r="36" spans="1:4" x14ac:dyDescent="0.2">
      <c r="A36" s="158">
        <v>45626</v>
      </c>
      <c r="B36" s="155">
        <v>5.7834440000000003</v>
      </c>
      <c r="C36" s="155">
        <v>279.08499799999998</v>
      </c>
      <c r="D36" s="155">
        <f t="shared" si="0"/>
        <v>2135.0950463485924</v>
      </c>
    </row>
    <row r="37" spans="1:4" x14ac:dyDescent="0.2">
      <c r="A37" s="158">
        <v>45657</v>
      </c>
      <c r="B37" s="155">
        <v>6.0986229999999999</v>
      </c>
      <c r="C37" s="155">
        <v>322.10476399999999</v>
      </c>
      <c r="D37" s="155">
        <f t="shared" si="0"/>
        <v>2598.5023966867548</v>
      </c>
    </row>
    <row r="38" spans="1:4" x14ac:dyDescent="0.2">
      <c r="A38" s="158">
        <v>45688</v>
      </c>
      <c r="B38" s="155">
        <v>6.0306569999999997</v>
      </c>
      <c r="C38" s="155">
        <v>336.328574</v>
      </c>
      <c r="D38" s="155">
        <f t="shared" si="0"/>
        <v>2683.0117855563763</v>
      </c>
    </row>
    <row r="39" spans="1:4" x14ac:dyDescent="0.2">
      <c r="A39" s="158">
        <v>45716</v>
      </c>
      <c r="B39" s="155">
        <v>5.763325</v>
      </c>
      <c r="C39" s="155">
        <v>402.497367</v>
      </c>
      <c r="D39" s="155">
        <f t="shared" si="0"/>
        <v>3068.5297665036255</v>
      </c>
    </row>
    <row r="40" spans="1:4" x14ac:dyDescent="0.2">
      <c r="A40" s="158">
        <v>45747</v>
      </c>
      <c r="B40" s="155">
        <v>5.76966</v>
      </c>
      <c r="C40" s="155">
        <v>391.711907</v>
      </c>
      <c r="D40" s="155">
        <f t="shared" si="0"/>
        <v>2989.586892830695</v>
      </c>
    </row>
    <row r="41" spans="1:4" x14ac:dyDescent="0.2">
      <c r="A41" s="158">
        <v>45777</v>
      </c>
      <c r="B41" s="155">
        <v>5.7739219999999998</v>
      </c>
      <c r="C41" s="155">
        <v>378.14523600000001</v>
      </c>
      <c r="D41" s="155">
        <f t="shared" si="0"/>
        <v>2888.1765155555213</v>
      </c>
    </row>
    <row r="42" spans="1:4" x14ac:dyDescent="0.2">
      <c r="D42" s="155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DD96-7FFD-4F43-93BD-9B93CAC63CF7}">
  <sheetPr codeName="Sheet2">
    <pageSetUpPr fitToPage="1"/>
  </sheetPr>
  <dimension ref="A1:Z87"/>
  <sheetViews>
    <sheetView zoomScale="80" zoomScaleNormal="80" workbookViewId="0">
      <selection activeCell="T24" sqref="T24"/>
    </sheetView>
  </sheetViews>
  <sheetFormatPr baseColWidth="10" defaultColWidth="8.83203125" defaultRowHeight="15" x14ac:dyDescent="0.2"/>
  <cols>
    <col min="1" max="1" width="8.83203125" style="53"/>
    <col min="2" max="2" width="10.6640625" style="53" bestFit="1" customWidth="1"/>
    <col min="3" max="3" width="44.5" style="53" bestFit="1" customWidth="1"/>
    <col min="4" max="4" width="13.83203125" style="53" bestFit="1" customWidth="1"/>
    <col min="5" max="5" width="45" style="53" hidden="1" customWidth="1"/>
    <col min="6" max="6" width="12.5" style="53" hidden="1" customWidth="1"/>
    <col min="7" max="7" width="10.83203125" style="53" bestFit="1" customWidth="1"/>
    <col min="8" max="8" width="10.33203125" style="53" bestFit="1" customWidth="1"/>
    <col min="9" max="9" width="14.33203125" style="53" bestFit="1" customWidth="1"/>
    <col min="10" max="10" width="11.5" style="53" bestFit="1" customWidth="1"/>
    <col min="11" max="11" width="10.5" style="53" bestFit="1" customWidth="1"/>
    <col min="12" max="12" width="10.5" style="53" customWidth="1"/>
    <col min="13" max="13" width="16" style="53" bestFit="1" customWidth="1"/>
    <col min="14" max="14" width="11.6640625" style="53" hidden="1" customWidth="1"/>
    <col min="15" max="15" width="10.6640625" style="53" hidden="1" customWidth="1"/>
    <col min="16" max="16" width="12.5" style="53" bestFit="1" customWidth="1"/>
    <col min="17" max="17" width="11.6640625" style="53" bestFit="1" customWidth="1"/>
    <col min="18" max="18" width="10.1640625" style="53" bestFit="1" customWidth="1"/>
    <col min="19" max="19" width="10.5" style="54" bestFit="1" customWidth="1"/>
    <col min="20" max="20" width="10.5" style="53" bestFit="1" customWidth="1"/>
    <col min="21" max="16384" width="8.83203125" style="53"/>
  </cols>
  <sheetData>
    <row r="1" spans="1:19" x14ac:dyDescent="0.2">
      <c r="A1" s="52" t="s">
        <v>99</v>
      </c>
    </row>
    <row r="2" spans="1:19" ht="16" thickBot="1" x14ac:dyDescent="0.25"/>
    <row r="3" spans="1:19" x14ac:dyDescent="0.2">
      <c r="A3" s="55" t="s">
        <v>100</v>
      </c>
      <c r="B3" s="56" t="s">
        <v>101</v>
      </c>
      <c r="C3" s="56" t="s">
        <v>102</v>
      </c>
      <c r="D3" s="56" t="s">
        <v>93</v>
      </c>
      <c r="E3" s="56" t="s">
        <v>103</v>
      </c>
      <c r="F3" s="56" t="s">
        <v>104</v>
      </c>
      <c r="G3" s="56" t="s">
        <v>105</v>
      </c>
      <c r="H3" s="56" t="s">
        <v>106</v>
      </c>
      <c r="I3" s="56" t="s">
        <v>107</v>
      </c>
      <c r="J3" s="57" t="s">
        <v>108</v>
      </c>
      <c r="K3" s="57" t="s">
        <v>109</v>
      </c>
      <c r="L3" s="57" t="s">
        <v>110</v>
      </c>
      <c r="M3" s="56" t="s">
        <v>111</v>
      </c>
      <c r="N3" s="221" t="s">
        <v>112</v>
      </c>
      <c r="O3" s="221"/>
      <c r="P3" s="55" t="s">
        <v>113</v>
      </c>
      <c r="Q3" s="58" t="s">
        <v>114</v>
      </c>
      <c r="R3" s="58" t="s">
        <v>115</v>
      </c>
    </row>
    <row r="4" spans="1:19" x14ac:dyDescent="0.2">
      <c r="A4" s="59">
        <v>1</v>
      </c>
      <c r="B4" s="60">
        <v>44958</v>
      </c>
      <c r="C4" s="53" t="s">
        <v>116</v>
      </c>
      <c r="D4" s="61">
        <v>44</v>
      </c>
      <c r="E4" s="53" t="s">
        <v>117</v>
      </c>
      <c r="F4" s="53" t="s">
        <v>118</v>
      </c>
      <c r="G4" s="53">
        <v>31800</v>
      </c>
      <c r="H4" s="62">
        <v>18.6767</v>
      </c>
      <c r="I4" s="62">
        <f t="shared" ref="I4:I22" si="0">+G4*H4</f>
        <v>593919.06000000006</v>
      </c>
      <c r="J4" s="63"/>
      <c r="K4" s="63"/>
      <c r="L4" s="63"/>
      <c r="M4" s="64">
        <f t="shared" ref="M4:M9" si="1">+I4-J4-K4</f>
        <v>593919.06000000006</v>
      </c>
      <c r="N4" s="65"/>
      <c r="O4" s="65"/>
      <c r="P4" s="66">
        <f t="shared" ref="P4:P9" si="2">+M4*0.85</f>
        <v>504831.20100000006</v>
      </c>
      <c r="Q4" s="67">
        <f t="shared" ref="Q4:Q9" si="3">+M4*0.15</f>
        <v>89087.859000000011</v>
      </c>
      <c r="R4" s="68"/>
    </row>
    <row r="5" spans="1:19" x14ac:dyDescent="0.2">
      <c r="A5" s="59">
        <v>2</v>
      </c>
      <c r="B5" s="60">
        <v>44958</v>
      </c>
      <c r="C5" s="53" t="s">
        <v>116</v>
      </c>
      <c r="D5" s="61">
        <v>45</v>
      </c>
      <c r="E5" s="53" t="s">
        <v>117</v>
      </c>
      <c r="F5" s="53" t="s">
        <v>119</v>
      </c>
      <c r="G5" s="53">
        <v>31902</v>
      </c>
      <c r="H5" s="62">
        <v>18.6767</v>
      </c>
      <c r="I5" s="62">
        <f t="shared" si="0"/>
        <v>595824.0834</v>
      </c>
      <c r="J5" s="63"/>
      <c r="K5" s="63"/>
      <c r="L5" s="63"/>
      <c r="M5" s="64">
        <f t="shared" si="1"/>
        <v>595824.0834</v>
      </c>
      <c r="N5" s="65"/>
      <c r="O5" s="65"/>
      <c r="P5" s="66">
        <f t="shared" si="2"/>
        <v>506450.47089</v>
      </c>
      <c r="Q5" s="67">
        <f t="shared" si="3"/>
        <v>89373.612509999992</v>
      </c>
      <c r="R5" s="68"/>
    </row>
    <row r="6" spans="1:19" x14ac:dyDescent="0.2">
      <c r="A6" s="59">
        <v>3</v>
      </c>
      <c r="B6" s="60">
        <v>44958</v>
      </c>
      <c r="C6" s="53" t="s">
        <v>116</v>
      </c>
      <c r="D6" s="61">
        <v>46</v>
      </c>
      <c r="E6" s="53" t="s">
        <v>117</v>
      </c>
      <c r="F6" s="53" t="s">
        <v>120</v>
      </c>
      <c r="G6" s="53">
        <v>24000</v>
      </c>
      <c r="H6" s="62">
        <v>18.6767</v>
      </c>
      <c r="I6" s="62">
        <f t="shared" si="0"/>
        <v>448240.8</v>
      </c>
      <c r="J6" s="63"/>
      <c r="K6" s="63"/>
      <c r="L6" s="63"/>
      <c r="M6" s="64">
        <f t="shared" si="1"/>
        <v>448240.8</v>
      </c>
      <c r="N6" s="65"/>
      <c r="O6" s="65"/>
      <c r="P6" s="66">
        <f t="shared" si="2"/>
        <v>381004.68</v>
      </c>
      <c r="Q6" s="67">
        <f t="shared" si="3"/>
        <v>67236.12</v>
      </c>
      <c r="R6" s="68"/>
    </row>
    <row r="7" spans="1:19" x14ac:dyDescent="0.2">
      <c r="A7" s="59">
        <v>3</v>
      </c>
      <c r="B7" s="60">
        <v>44958</v>
      </c>
      <c r="C7" s="53" t="s">
        <v>116</v>
      </c>
      <c r="D7" s="61">
        <v>48</v>
      </c>
      <c r="E7" s="53" t="s">
        <v>117</v>
      </c>
      <c r="F7" s="53" t="s">
        <v>120</v>
      </c>
      <c r="G7" s="53">
        <v>6222</v>
      </c>
      <c r="H7" s="62">
        <v>17.789000000000001</v>
      </c>
      <c r="I7" s="62">
        <f t="shared" si="0"/>
        <v>110683.15800000001</v>
      </c>
      <c r="J7" s="63"/>
      <c r="K7" s="63"/>
      <c r="L7" s="63"/>
      <c r="M7" s="64">
        <f t="shared" si="1"/>
        <v>110683.15800000001</v>
      </c>
      <c r="N7" s="65"/>
      <c r="O7" s="65"/>
      <c r="P7" s="66">
        <f t="shared" si="2"/>
        <v>94080.684300000008</v>
      </c>
      <c r="Q7" s="67">
        <f t="shared" si="3"/>
        <v>16602.473700000002</v>
      </c>
      <c r="R7" s="68"/>
    </row>
    <row r="8" spans="1:19" x14ac:dyDescent="0.2">
      <c r="A8" s="59">
        <v>4</v>
      </c>
      <c r="B8" s="60">
        <v>44958</v>
      </c>
      <c r="C8" s="53" t="s">
        <v>116</v>
      </c>
      <c r="D8" s="61">
        <v>47</v>
      </c>
      <c r="E8" s="53" t="s">
        <v>117</v>
      </c>
      <c r="F8" s="53" t="s">
        <v>121</v>
      </c>
      <c r="G8" s="53">
        <v>31620</v>
      </c>
      <c r="H8" s="62">
        <v>17.789000000000001</v>
      </c>
      <c r="I8" s="62">
        <f t="shared" si="0"/>
        <v>562488.18000000005</v>
      </c>
      <c r="J8" s="63"/>
      <c r="K8" s="63"/>
      <c r="L8" s="63"/>
      <c r="M8" s="64">
        <f t="shared" si="1"/>
        <v>562488.18000000005</v>
      </c>
      <c r="N8" s="65"/>
      <c r="O8" s="65"/>
      <c r="P8" s="66">
        <f t="shared" si="2"/>
        <v>478114.95300000004</v>
      </c>
      <c r="Q8" s="67">
        <f t="shared" si="3"/>
        <v>84373.226999999999</v>
      </c>
      <c r="R8" s="68"/>
    </row>
    <row r="9" spans="1:19" x14ac:dyDescent="0.2">
      <c r="A9" s="59">
        <v>5</v>
      </c>
      <c r="B9" s="60">
        <v>44958</v>
      </c>
      <c r="C9" s="53" t="s">
        <v>116</v>
      </c>
      <c r="D9" s="61">
        <v>50</v>
      </c>
      <c r="E9" s="53" t="s">
        <v>117</v>
      </c>
      <c r="F9" s="53" t="s">
        <v>122</v>
      </c>
      <c r="G9" s="53">
        <v>31740</v>
      </c>
      <c r="H9" s="62">
        <v>18.6767</v>
      </c>
      <c r="I9" s="62">
        <f t="shared" si="0"/>
        <v>592798.45799999998</v>
      </c>
      <c r="J9" s="63"/>
      <c r="K9" s="63"/>
      <c r="L9" s="63"/>
      <c r="M9" s="64">
        <f t="shared" si="1"/>
        <v>592798.45799999998</v>
      </c>
      <c r="N9" s="65"/>
      <c r="O9" s="65"/>
      <c r="P9" s="66">
        <f t="shared" si="2"/>
        <v>503878.68929999997</v>
      </c>
      <c r="Q9" s="67">
        <f t="shared" si="3"/>
        <v>88919.768700000001</v>
      </c>
      <c r="R9" s="68"/>
    </row>
    <row r="10" spans="1:19" x14ac:dyDescent="0.2">
      <c r="A10" s="59">
        <v>1</v>
      </c>
      <c r="B10" s="54">
        <v>45152</v>
      </c>
      <c r="C10" s="53" t="s">
        <v>123</v>
      </c>
      <c r="D10" s="61">
        <v>57</v>
      </c>
      <c r="E10" s="53" t="s">
        <v>124</v>
      </c>
      <c r="F10" s="53" t="s">
        <v>125</v>
      </c>
      <c r="G10" s="69">
        <v>4800</v>
      </c>
      <c r="H10" s="62">
        <v>17.666699999999999</v>
      </c>
      <c r="I10" s="62">
        <f t="shared" si="0"/>
        <v>84800.159999999989</v>
      </c>
      <c r="J10" s="69">
        <f>+I10*0.015</f>
        <v>1272.0023999999999</v>
      </c>
      <c r="K10" s="69"/>
      <c r="L10" s="69"/>
      <c r="M10" s="70">
        <f>+I10-J10-K10</f>
        <v>83528.157599999991</v>
      </c>
      <c r="N10" s="62"/>
      <c r="O10" s="54"/>
      <c r="P10" s="66">
        <f>+M10*0.85</f>
        <v>70998.933959999995</v>
      </c>
      <c r="Q10" s="71">
        <f>+M10*0.15</f>
        <v>12529.223639999998</v>
      </c>
      <c r="R10" s="67" t="s">
        <v>92</v>
      </c>
      <c r="S10" s="54">
        <v>45195</v>
      </c>
    </row>
    <row r="11" spans="1:19" x14ac:dyDescent="0.2">
      <c r="A11" s="59">
        <v>2</v>
      </c>
      <c r="B11" s="54">
        <v>45154</v>
      </c>
      <c r="C11" s="53" t="s">
        <v>123</v>
      </c>
      <c r="D11" s="61">
        <v>58</v>
      </c>
      <c r="E11" s="53" t="s">
        <v>124</v>
      </c>
      <c r="F11" s="53" t="s">
        <v>125</v>
      </c>
      <c r="G11" s="69">
        <v>30</v>
      </c>
      <c r="H11" s="62">
        <v>17.666699999999999</v>
      </c>
      <c r="I11" s="62">
        <f t="shared" si="0"/>
        <v>530.00099999999998</v>
      </c>
      <c r="J11" s="69">
        <f>+I11*0.015</f>
        <v>7.9500149999999996</v>
      </c>
      <c r="K11" s="69"/>
      <c r="L11" s="69"/>
      <c r="M11" s="70">
        <f t="shared" ref="M11:M16" si="4">+I11-J11-K11</f>
        <v>522.05098499999997</v>
      </c>
      <c r="N11" s="62"/>
      <c r="O11" s="54"/>
      <c r="P11" s="66">
        <f t="shared" ref="P11:P61" si="5">+M11*0.85</f>
        <v>443.74333724999997</v>
      </c>
      <c r="Q11" s="71">
        <f t="shared" ref="Q11:Q20" si="6">+M11*0.15</f>
        <v>78.307647749999987</v>
      </c>
      <c r="R11" s="67" t="s">
        <v>92</v>
      </c>
      <c r="S11" s="54">
        <v>45195</v>
      </c>
    </row>
    <row r="12" spans="1:19" x14ac:dyDescent="0.2">
      <c r="A12" s="59">
        <v>3</v>
      </c>
      <c r="B12" s="54">
        <v>45198</v>
      </c>
      <c r="C12" s="53" t="s">
        <v>126</v>
      </c>
      <c r="D12" s="61"/>
      <c r="G12" s="62">
        <v>120</v>
      </c>
      <c r="H12" s="62">
        <v>25</v>
      </c>
      <c r="I12" s="62">
        <f t="shared" si="0"/>
        <v>3000</v>
      </c>
      <c r="J12" s="69"/>
      <c r="K12" s="69"/>
      <c r="L12" s="69"/>
      <c r="M12" s="70">
        <f t="shared" si="4"/>
        <v>3000</v>
      </c>
      <c r="N12" s="62"/>
      <c r="P12" s="66">
        <f t="shared" si="5"/>
        <v>2550</v>
      </c>
      <c r="Q12" s="71">
        <f t="shared" si="6"/>
        <v>450</v>
      </c>
      <c r="R12" s="67" t="s">
        <v>92</v>
      </c>
      <c r="S12" s="54">
        <v>45209</v>
      </c>
    </row>
    <row r="13" spans="1:19" x14ac:dyDescent="0.2">
      <c r="A13" s="59">
        <v>4</v>
      </c>
      <c r="B13" s="54">
        <v>45267</v>
      </c>
      <c r="C13" s="53" t="s">
        <v>127</v>
      </c>
      <c r="D13" s="61">
        <v>163</v>
      </c>
      <c r="E13" s="53" t="s">
        <v>128</v>
      </c>
      <c r="F13" s="53" t="s">
        <v>129</v>
      </c>
      <c r="G13" s="69">
        <f>240*60</f>
        <v>14400</v>
      </c>
      <c r="H13" s="62">
        <f>954.77387/60</f>
        <v>15.912897833333334</v>
      </c>
      <c r="I13" s="62">
        <f t="shared" si="0"/>
        <v>229145.72880000001</v>
      </c>
      <c r="J13" s="69">
        <f>+I13*0.005</f>
        <v>1145.728644</v>
      </c>
      <c r="K13" s="69"/>
      <c r="L13" s="69"/>
      <c r="M13" s="70">
        <f t="shared" si="4"/>
        <v>228000.00015600002</v>
      </c>
      <c r="N13" s="62"/>
      <c r="P13" s="66">
        <f t="shared" si="5"/>
        <v>193800.00013260002</v>
      </c>
      <c r="Q13" s="71">
        <f t="shared" si="6"/>
        <v>34200.000023400004</v>
      </c>
      <c r="R13" s="67" t="s">
        <v>92</v>
      </c>
      <c r="S13" s="54">
        <v>45302</v>
      </c>
    </row>
    <row r="14" spans="1:19" x14ac:dyDescent="0.2">
      <c r="A14" s="59">
        <v>5</v>
      </c>
      <c r="B14" s="54">
        <v>45267</v>
      </c>
      <c r="C14" s="53" t="s">
        <v>127</v>
      </c>
      <c r="D14" s="61">
        <v>164</v>
      </c>
      <c r="E14" s="53" t="s">
        <v>128</v>
      </c>
      <c r="F14" s="53" t="s">
        <v>130</v>
      </c>
      <c r="G14" s="69">
        <f>543*60</f>
        <v>32580</v>
      </c>
      <c r="H14" s="62">
        <f>954.77387/60</f>
        <v>15.912897833333334</v>
      </c>
      <c r="I14" s="62">
        <f t="shared" si="0"/>
        <v>518442.21141000005</v>
      </c>
      <c r="J14" s="69">
        <f>+I14*0.005</f>
        <v>2592.2110570500004</v>
      </c>
      <c r="K14" s="69"/>
      <c r="L14" s="69"/>
      <c r="M14" s="70">
        <f t="shared" si="4"/>
        <v>515850.00035295007</v>
      </c>
      <c r="N14" s="62"/>
      <c r="P14" s="66">
        <f t="shared" si="5"/>
        <v>438472.50030000752</v>
      </c>
      <c r="Q14" s="71">
        <f t="shared" si="6"/>
        <v>77377.500052942501</v>
      </c>
      <c r="R14" s="67" t="s">
        <v>92</v>
      </c>
      <c r="S14" s="54">
        <v>45302</v>
      </c>
    </row>
    <row r="15" spans="1:19" x14ac:dyDescent="0.2">
      <c r="A15" s="59">
        <v>6</v>
      </c>
      <c r="B15" s="54">
        <v>45300</v>
      </c>
      <c r="C15" s="53" t="s">
        <v>123</v>
      </c>
      <c r="D15" s="61">
        <v>239</v>
      </c>
      <c r="E15" s="53" t="s">
        <v>124</v>
      </c>
      <c r="F15" s="53" t="s">
        <v>131</v>
      </c>
      <c r="G15" s="69">
        <v>30000</v>
      </c>
      <c r="H15" s="62">
        <v>20.75</v>
      </c>
      <c r="I15" s="62">
        <f t="shared" si="0"/>
        <v>622500</v>
      </c>
      <c r="J15" s="69">
        <f>+I15*0.01549251</f>
        <v>9644.0874750000003</v>
      </c>
      <c r="K15" s="69"/>
      <c r="L15" s="69"/>
      <c r="M15" s="70">
        <f t="shared" si="4"/>
        <v>612855.91252500005</v>
      </c>
      <c r="N15" s="62"/>
      <c r="P15" s="66">
        <f t="shared" si="5"/>
        <v>520927.52564625005</v>
      </c>
      <c r="Q15" s="71">
        <f t="shared" si="6"/>
        <v>91928.386878750011</v>
      </c>
      <c r="R15" s="67" t="s">
        <v>92</v>
      </c>
      <c r="S15" s="54">
        <v>45309</v>
      </c>
    </row>
    <row r="16" spans="1:19" x14ac:dyDescent="0.2">
      <c r="A16" s="59">
        <v>7</v>
      </c>
      <c r="B16" s="54">
        <v>45300</v>
      </c>
      <c r="C16" s="53" t="s">
        <v>123</v>
      </c>
      <c r="D16" s="61">
        <v>240</v>
      </c>
      <c r="E16" s="53" t="s">
        <v>124</v>
      </c>
      <c r="F16" s="53" t="s">
        <v>132</v>
      </c>
      <c r="G16" s="69">
        <v>30000</v>
      </c>
      <c r="H16" s="62">
        <v>20.75</v>
      </c>
      <c r="I16" s="62">
        <f t="shared" si="0"/>
        <v>622500</v>
      </c>
      <c r="J16" s="69">
        <f>+I16*0.01549251</f>
        <v>9644.0874750000003</v>
      </c>
      <c r="K16" s="69"/>
      <c r="L16" s="69"/>
      <c r="M16" s="70">
        <f t="shared" si="4"/>
        <v>612855.91252500005</v>
      </c>
      <c r="N16" s="62"/>
      <c r="P16" s="66">
        <f t="shared" si="5"/>
        <v>520927.52564625005</v>
      </c>
      <c r="Q16" s="71">
        <f t="shared" si="6"/>
        <v>91928.386878750011</v>
      </c>
      <c r="R16" s="67" t="s">
        <v>92</v>
      </c>
      <c r="S16" s="54">
        <v>45309</v>
      </c>
    </row>
    <row r="17" spans="1:26" x14ac:dyDescent="0.2">
      <c r="A17" s="59">
        <v>8</v>
      </c>
      <c r="B17" s="54">
        <v>45317</v>
      </c>
      <c r="C17" s="53" t="s">
        <v>133</v>
      </c>
      <c r="D17" s="61">
        <v>254</v>
      </c>
      <c r="E17" s="53" t="s">
        <v>134</v>
      </c>
      <c r="F17" s="53" t="s">
        <v>135</v>
      </c>
      <c r="G17" s="69">
        <v>27520</v>
      </c>
      <c r="H17" s="62">
        <v>17.8217</v>
      </c>
      <c r="I17" s="62">
        <f t="shared" si="0"/>
        <v>490453.18400000001</v>
      </c>
      <c r="J17" s="69">
        <f>+I17*0.015</f>
        <v>7356.7977599999995</v>
      </c>
      <c r="K17" s="69"/>
      <c r="L17" s="69">
        <v>4904.5200000000004</v>
      </c>
      <c r="M17" s="70">
        <f t="shared" ref="M17:M61" si="7">+I17-J17-K17+L17</f>
        <v>488000.90624000004</v>
      </c>
      <c r="N17" s="62"/>
      <c r="P17" s="66">
        <f t="shared" si="5"/>
        <v>414800.77030400001</v>
      </c>
      <c r="Q17" s="71">
        <f t="shared" si="6"/>
        <v>73200.135936000006</v>
      </c>
      <c r="R17" s="67" t="s">
        <v>92</v>
      </c>
      <c r="S17" s="54">
        <v>45320</v>
      </c>
    </row>
    <row r="18" spans="1:26" x14ac:dyDescent="0.2">
      <c r="A18" s="59">
        <v>9</v>
      </c>
      <c r="B18" s="54">
        <v>45327</v>
      </c>
      <c r="C18" s="53" t="s">
        <v>136</v>
      </c>
      <c r="D18" s="61">
        <v>261</v>
      </c>
      <c r="E18" s="53" t="s">
        <v>137</v>
      </c>
      <c r="F18" s="53" t="s">
        <v>138</v>
      </c>
      <c r="G18" s="69">
        <v>21180</v>
      </c>
      <c r="H18" s="62">
        <v>18.8333333</v>
      </c>
      <c r="I18" s="62">
        <f t="shared" si="0"/>
        <v>398889.99929399998</v>
      </c>
      <c r="J18" s="69">
        <f>+I18*0.015</f>
        <v>5983.3499894099996</v>
      </c>
      <c r="K18" s="69"/>
      <c r="L18" s="69"/>
      <c r="M18" s="70">
        <f t="shared" si="7"/>
        <v>392906.64930458996</v>
      </c>
      <c r="N18" s="62"/>
      <c r="P18" s="66">
        <f t="shared" si="5"/>
        <v>333970.65190890146</v>
      </c>
      <c r="Q18" s="71">
        <f t="shared" si="6"/>
        <v>58935.997395688493</v>
      </c>
      <c r="R18" s="67" t="s">
        <v>92</v>
      </c>
      <c r="S18" s="54">
        <v>45327</v>
      </c>
    </row>
    <row r="19" spans="1:26" x14ac:dyDescent="0.2">
      <c r="A19" s="87">
        <v>10</v>
      </c>
      <c r="B19" s="88">
        <v>45328</v>
      </c>
      <c r="C19" s="63" t="s">
        <v>139</v>
      </c>
      <c r="D19" s="76">
        <v>262</v>
      </c>
      <c r="E19" s="63" t="s">
        <v>140</v>
      </c>
      <c r="F19" s="63"/>
      <c r="G19" s="69">
        <v>1320</v>
      </c>
      <c r="H19" s="69">
        <v>20.45</v>
      </c>
      <c r="I19" s="69">
        <f t="shared" si="0"/>
        <v>26994</v>
      </c>
      <c r="J19" s="69"/>
      <c r="K19" s="69"/>
      <c r="L19" s="69"/>
      <c r="M19" s="89">
        <f t="shared" si="7"/>
        <v>26994</v>
      </c>
      <c r="N19" s="69"/>
      <c r="O19" s="63"/>
      <c r="P19" s="90">
        <f t="shared" si="5"/>
        <v>22944.899999999998</v>
      </c>
      <c r="Q19" s="71">
        <f t="shared" si="6"/>
        <v>4049.1</v>
      </c>
      <c r="R19" s="67" t="s">
        <v>98</v>
      </c>
      <c r="S19" s="54" t="s">
        <v>98</v>
      </c>
    </row>
    <row r="20" spans="1:26" x14ac:dyDescent="0.2">
      <c r="A20" s="59"/>
      <c r="B20" s="54">
        <v>45314</v>
      </c>
      <c r="C20" s="53" t="s">
        <v>139</v>
      </c>
      <c r="D20" s="61">
        <v>262</v>
      </c>
      <c r="E20" s="53" t="s">
        <v>140</v>
      </c>
      <c r="G20" s="69">
        <v>120</v>
      </c>
      <c r="H20" s="62">
        <v>20</v>
      </c>
      <c r="I20" s="62">
        <v>2494.25</v>
      </c>
      <c r="J20" s="69"/>
      <c r="K20" s="69"/>
      <c r="L20" s="69"/>
      <c r="M20" s="70">
        <f t="shared" si="7"/>
        <v>2494.25</v>
      </c>
      <c r="N20" s="62"/>
      <c r="P20" s="66">
        <f t="shared" si="5"/>
        <v>2120.1124999999997</v>
      </c>
      <c r="Q20" s="71">
        <f t="shared" si="6"/>
        <v>374.13749999999999</v>
      </c>
      <c r="R20" s="67" t="s">
        <v>92</v>
      </c>
      <c r="S20" s="54">
        <v>45420</v>
      </c>
    </row>
    <row r="21" spans="1:26" x14ac:dyDescent="0.2">
      <c r="A21" s="59">
        <v>11</v>
      </c>
      <c r="B21" s="54">
        <v>45337</v>
      </c>
      <c r="C21" s="53" t="s">
        <v>141</v>
      </c>
      <c r="D21" s="61">
        <v>263</v>
      </c>
      <c r="E21" s="53" t="s">
        <v>142</v>
      </c>
      <c r="F21" s="53" t="s">
        <v>143</v>
      </c>
      <c r="G21" s="69">
        <v>1800</v>
      </c>
      <c r="H21" s="62">
        <f>+I21/G21</f>
        <v>31.482333333333333</v>
      </c>
      <c r="I21" s="62">
        <v>56668.2</v>
      </c>
      <c r="J21" s="69"/>
      <c r="K21" s="69"/>
      <c r="L21" s="69"/>
      <c r="M21" s="73">
        <f t="shared" si="7"/>
        <v>56668.2</v>
      </c>
      <c r="N21" s="62"/>
      <c r="P21" s="66">
        <f t="shared" si="5"/>
        <v>48167.969999999994</v>
      </c>
      <c r="Q21" s="71">
        <f>+M21*0.15</f>
        <v>8500.23</v>
      </c>
      <c r="R21" s="67" t="s">
        <v>92</v>
      </c>
      <c r="S21" s="54">
        <v>45421</v>
      </c>
    </row>
    <row r="22" spans="1:26" x14ac:dyDescent="0.2">
      <c r="A22" s="59">
        <v>12</v>
      </c>
      <c r="B22" s="54">
        <v>45343</v>
      </c>
      <c r="C22" s="53" t="s">
        <v>144</v>
      </c>
      <c r="D22" s="61">
        <v>265</v>
      </c>
      <c r="E22" s="53" t="s">
        <v>145</v>
      </c>
      <c r="F22" s="53" t="s">
        <v>146</v>
      </c>
      <c r="G22" s="69">
        <v>7980</v>
      </c>
      <c r="H22" s="62">
        <v>20.94</v>
      </c>
      <c r="I22" s="62">
        <f t="shared" si="0"/>
        <v>167101.20000000001</v>
      </c>
      <c r="J22" s="69">
        <f>+I22*0.00750629</f>
        <v>1254.3100665480001</v>
      </c>
      <c r="K22" s="69"/>
      <c r="L22" s="69"/>
      <c r="M22" s="70">
        <f t="shared" si="7"/>
        <v>165846.88993345201</v>
      </c>
      <c r="N22" s="62"/>
      <c r="P22" s="66">
        <f t="shared" si="5"/>
        <v>140969.8564434342</v>
      </c>
      <c r="Q22" s="71">
        <f t="shared" ref="Q22:Q61" si="8">+M22*0.15</f>
        <v>24877.033490017802</v>
      </c>
      <c r="R22" s="67" t="s">
        <v>92</v>
      </c>
      <c r="S22" s="54">
        <v>45344</v>
      </c>
    </row>
    <row r="23" spans="1:26" x14ac:dyDescent="0.2">
      <c r="A23" s="59">
        <v>13</v>
      </c>
      <c r="B23" s="54">
        <v>45349</v>
      </c>
      <c r="C23" s="53" t="s">
        <v>139</v>
      </c>
      <c r="D23" s="61">
        <v>266</v>
      </c>
      <c r="E23" s="53" t="s">
        <v>140</v>
      </c>
      <c r="G23" s="69">
        <v>600</v>
      </c>
      <c r="H23" s="62">
        <v>20</v>
      </c>
      <c r="I23" s="62">
        <v>13400</v>
      </c>
      <c r="J23" s="69"/>
      <c r="K23" s="69"/>
      <c r="L23" s="69"/>
      <c r="M23" s="73">
        <f t="shared" si="7"/>
        <v>13400</v>
      </c>
      <c r="N23" s="62"/>
      <c r="P23" s="66">
        <f t="shared" si="5"/>
        <v>11390</v>
      </c>
      <c r="Q23" s="71">
        <f t="shared" si="8"/>
        <v>2010</v>
      </c>
      <c r="R23" s="67" t="s">
        <v>92</v>
      </c>
      <c r="T23" s="53" t="s">
        <v>147</v>
      </c>
      <c r="Z23" s="53" t="s">
        <v>148</v>
      </c>
    </row>
    <row r="24" spans="1:26" x14ac:dyDescent="0.2">
      <c r="A24" s="59">
        <v>14</v>
      </c>
      <c r="B24" s="54">
        <v>45349</v>
      </c>
      <c r="C24" s="53" t="s">
        <v>149</v>
      </c>
      <c r="D24" s="61">
        <v>267</v>
      </c>
      <c r="E24" s="53" t="s">
        <v>140</v>
      </c>
      <c r="G24" s="69">
        <v>96</v>
      </c>
      <c r="H24" s="62">
        <f t="shared" ref="H24:H61" si="9">+I24/G24</f>
        <v>20.833333333333332</v>
      </c>
      <c r="I24" s="62">
        <v>2000</v>
      </c>
      <c r="J24" s="69"/>
      <c r="K24" s="69"/>
      <c r="L24" s="69"/>
      <c r="M24" s="72">
        <f t="shared" si="7"/>
        <v>2000</v>
      </c>
      <c r="N24" s="62"/>
      <c r="P24" s="66">
        <f t="shared" si="5"/>
        <v>1700</v>
      </c>
      <c r="Q24" s="71">
        <f t="shared" si="8"/>
        <v>300</v>
      </c>
      <c r="R24" s="67" t="s">
        <v>92</v>
      </c>
      <c r="S24" s="54">
        <v>45624</v>
      </c>
      <c r="T24" s="54"/>
    </row>
    <row r="25" spans="1:26" x14ac:dyDescent="0.2">
      <c r="A25" s="59">
        <v>14</v>
      </c>
      <c r="B25" s="54">
        <v>45349</v>
      </c>
      <c r="C25" s="53" t="s">
        <v>149</v>
      </c>
      <c r="D25" s="61">
        <v>267</v>
      </c>
      <c r="E25" s="53" t="s">
        <v>140</v>
      </c>
      <c r="G25" s="69">
        <v>96</v>
      </c>
      <c r="H25" s="62">
        <f t="shared" si="9"/>
        <v>20.833333333333332</v>
      </c>
      <c r="I25" s="62">
        <v>2000</v>
      </c>
      <c r="J25" s="69"/>
      <c r="K25" s="69"/>
      <c r="L25" s="69"/>
      <c r="M25" s="72">
        <f t="shared" si="7"/>
        <v>2000</v>
      </c>
      <c r="N25" s="62"/>
      <c r="P25" s="66">
        <f t="shared" si="5"/>
        <v>1700</v>
      </c>
      <c r="Q25" s="71">
        <f t="shared" si="8"/>
        <v>300</v>
      </c>
      <c r="R25" s="67" t="s">
        <v>92</v>
      </c>
      <c r="S25" s="54">
        <v>45653</v>
      </c>
      <c r="T25" s="54"/>
    </row>
    <row r="26" spans="1:26" x14ac:dyDescent="0.2">
      <c r="A26" s="59">
        <v>14</v>
      </c>
      <c r="B26" s="54">
        <v>45349</v>
      </c>
      <c r="C26" s="53" t="s">
        <v>149</v>
      </c>
      <c r="D26" s="61">
        <v>267</v>
      </c>
      <c r="E26" s="53" t="s">
        <v>140</v>
      </c>
      <c r="G26" s="69">
        <v>948</v>
      </c>
      <c r="H26" s="62">
        <f t="shared" si="9"/>
        <v>20.82932489451477</v>
      </c>
      <c r="I26" s="62">
        <v>19746.2</v>
      </c>
      <c r="J26" s="69"/>
      <c r="K26" s="69"/>
      <c r="L26" s="69"/>
      <c r="M26" s="72">
        <f t="shared" si="7"/>
        <v>19746.2</v>
      </c>
      <c r="N26" s="62"/>
      <c r="P26" s="66">
        <f t="shared" si="5"/>
        <v>16784.27</v>
      </c>
      <c r="Q26" s="67">
        <f t="shared" si="8"/>
        <v>2961.93</v>
      </c>
      <c r="R26" s="67"/>
    </row>
    <row r="27" spans="1:26" x14ac:dyDescent="0.2">
      <c r="A27" s="59">
        <v>15</v>
      </c>
      <c r="B27" s="54">
        <v>45350</v>
      </c>
      <c r="C27" s="53" t="s">
        <v>150</v>
      </c>
      <c r="D27" s="61" t="s">
        <v>95</v>
      </c>
      <c r="E27" s="53" t="s">
        <v>151</v>
      </c>
      <c r="F27" s="53" t="s">
        <v>152</v>
      </c>
      <c r="G27" s="62">
        <f>363.38*60</f>
        <v>21802.799999999999</v>
      </c>
      <c r="H27" s="62">
        <f t="shared" si="9"/>
        <v>10.083333333333334</v>
      </c>
      <c r="I27" s="74">
        <v>219844.9</v>
      </c>
      <c r="J27" s="69"/>
      <c r="K27" s="69"/>
      <c r="L27" s="69"/>
      <c r="M27" s="70">
        <f t="shared" si="7"/>
        <v>219844.9</v>
      </c>
      <c r="N27" s="62"/>
      <c r="P27" s="66">
        <f t="shared" si="5"/>
        <v>186868.16499999998</v>
      </c>
      <c r="Q27" s="71">
        <f t="shared" si="8"/>
        <v>32976.735000000001</v>
      </c>
      <c r="R27" s="67" t="s">
        <v>92</v>
      </c>
      <c r="S27" s="54">
        <v>45352</v>
      </c>
    </row>
    <row r="28" spans="1:26" x14ac:dyDescent="0.2">
      <c r="A28" s="59">
        <v>16</v>
      </c>
      <c r="B28" s="54">
        <v>45363</v>
      </c>
      <c r="C28" s="53" t="s">
        <v>153</v>
      </c>
      <c r="D28" s="61" t="s">
        <v>96</v>
      </c>
      <c r="E28" s="53" t="s">
        <v>154</v>
      </c>
      <c r="G28" s="62">
        <f>(276+179)*60</f>
        <v>27300</v>
      </c>
      <c r="H28" s="62">
        <f t="shared" si="9"/>
        <v>16.666666666666668</v>
      </c>
      <c r="I28" s="75">
        <f>434525+20475</f>
        <v>455000</v>
      </c>
      <c r="J28" s="69"/>
      <c r="K28" s="69"/>
      <c r="L28" s="69"/>
      <c r="M28" s="70">
        <f t="shared" si="7"/>
        <v>455000</v>
      </c>
      <c r="N28" s="62"/>
      <c r="P28" s="66">
        <f t="shared" si="5"/>
        <v>386750</v>
      </c>
      <c r="Q28" s="71">
        <f t="shared" si="8"/>
        <v>68250</v>
      </c>
      <c r="R28" s="67" t="s">
        <v>92</v>
      </c>
      <c r="S28" s="54">
        <v>45364</v>
      </c>
    </row>
    <row r="29" spans="1:26" x14ac:dyDescent="0.2">
      <c r="A29" s="59">
        <v>17</v>
      </c>
      <c r="B29" s="54">
        <v>45366</v>
      </c>
      <c r="C29" s="53" t="s">
        <v>150</v>
      </c>
      <c r="D29" s="61">
        <v>271</v>
      </c>
      <c r="E29" s="53" t="s">
        <v>155</v>
      </c>
      <c r="F29" s="53" t="s">
        <v>156</v>
      </c>
      <c r="G29" s="62">
        <f>(168.62+0.8)*60</f>
        <v>10165.200000000001</v>
      </c>
      <c r="H29" s="62">
        <f t="shared" si="9"/>
        <v>10.114419785149332</v>
      </c>
      <c r="I29" s="69">
        <v>102815.1</v>
      </c>
      <c r="J29" s="69"/>
      <c r="K29" s="69"/>
      <c r="L29" s="69"/>
      <c r="M29" s="70">
        <f t="shared" si="7"/>
        <v>102815.1</v>
      </c>
      <c r="N29" s="62"/>
      <c r="P29" s="66">
        <f t="shared" si="5"/>
        <v>87392.835000000006</v>
      </c>
      <c r="Q29" s="71">
        <f t="shared" si="8"/>
        <v>15422.264999999999</v>
      </c>
      <c r="R29" s="67" t="s">
        <v>92</v>
      </c>
      <c r="S29" s="54">
        <v>45366</v>
      </c>
    </row>
    <row r="30" spans="1:26" x14ac:dyDescent="0.2">
      <c r="A30" s="59">
        <v>18</v>
      </c>
      <c r="B30" s="54">
        <v>45373</v>
      </c>
      <c r="C30" s="53" t="s">
        <v>157</v>
      </c>
      <c r="D30" s="61">
        <v>274</v>
      </c>
      <c r="E30" s="53" t="s">
        <v>158</v>
      </c>
      <c r="F30" s="53" t="s">
        <v>159</v>
      </c>
      <c r="G30" s="62">
        <v>19200</v>
      </c>
      <c r="H30" s="62">
        <f t="shared" si="9"/>
        <v>22.507865104166669</v>
      </c>
      <c r="I30" s="62">
        <v>432151.01</v>
      </c>
      <c r="J30" s="69"/>
      <c r="K30" s="69"/>
      <c r="L30" s="69"/>
      <c r="M30" s="70">
        <f t="shared" si="7"/>
        <v>432151.01</v>
      </c>
      <c r="N30" s="62"/>
      <c r="P30" s="66">
        <f t="shared" si="5"/>
        <v>367328.35849999997</v>
      </c>
      <c r="Q30" s="71">
        <f t="shared" si="8"/>
        <v>64822.6515</v>
      </c>
      <c r="R30" s="67" t="s">
        <v>92</v>
      </c>
      <c r="S30" s="54">
        <v>45427</v>
      </c>
      <c r="T30" s="53">
        <v>463</v>
      </c>
      <c r="U30" s="53" t="s">
        <v>252</v>
      </c>
    </row>
    <row r="31" spans="1:26" x14ac:dyDescent="0.2">
      <c r="A31" s="59">
        <v>19</v>
      </c>
      <c r="B31" s="54">
        <v>45373</v>
      </c>
      <c r="C31" s="53" t="s">
        <v>157</v>
      </c>
      <c r="D31" s="76">
        <v>275</v>
      </c>
      <c r="E31" s="53" t="s">
        <v>158</v>
      </c>
      <c r="F31" s="53" t="s">
        <v>160</v>
      </c>
      <c r="G31" s="62">
        <v>19200</v>
      </c>
      <c r="H31" s="62">
        <f t="shared" si="9"/>
        <v>22.818553298611111</v>
      </c>
      <c r="I31" s="62">
        <f>1314348.67*G31/57600</f>
        <v>438116.22333333333</v>
      </c>
      <c r="J31" s="69"/>
      <c r="K31" s="69"/>
      <c r="L31" s="69"/>
      <c r="M31" s="70">
        <f t="shared" si="7"/>
        <v>438116.22333333333</v>
      </c>
      <c r="N31" s="62"/>
      <c r="P31" s="66">
        <f t="shared" si="5"/>
        <v>372398.78983333334</v>
      </c>
      <c r="Q31" s="71">
        <f t="shared" si="8"/>
        <v>65717.433499999999</v>
      </c>
      <c r="R31" s="67" t="s">
        <v>92</v>
      </c>
      <c r="S31" s="54">
        <v>45490</v>
      </c>
    </row>
    <row r="32" spans="1:26" x14ac:dyDescent="0.2">
      <c r="A32" s="59">
        <v>20</v>
      </c>
      <c r="B32" s="54">
        <v>45373</v>
      </c>
      <c r="C32" s="53" t="s">
        <v>157</v>
      </c>
      <c r="D32" s="76">
        <v>276</v>
      </c>
      <c r="E32" s="53" t="s">
        <v>158</v>
      </c>
      <c r="F32" s="53" t="s">
        <v>159</v>
      </c>
      <c r="G32" s="62">
        <v>19200</v>
      </c>
      <c r="H32" s="62">
        <f t="shared" si="9"/>
        <v>22.818553298611111</v>
      </c>
      <c r="I32" s="62">
        <f>1314348.67*G32/57600</f>
        <v>438116.22333333333</v>
      </c>
      <c r="J32" s="69"/>
      <c r="K32" s="69"/>
      <c r="L32" s="69"/>
      <c r="M32" s="70">
        <f t="shared" si="7"/>
        <v>438116.22333333333</v>
      </c>
      <c r="N32" s="62"/>
      <c r="P32" s="66">
        <f t="shared" si="5"/>
        <v>372398.78983333334</v>
      </c>
      <c r="Q32" s="71">
        <f t="shared" si="8"/>
        <v>65717.433499999999</v>
      </c>
      <c r="R32" s="67" t="s">
        <v>92</v>
      </c>
      <c r="S32" s="54">
        <v>45490</v>
      </c>
    </row>
    <row r="33" spans="1:21" x14ac:dyDescent="0.2">
      <c r="A33" s="59">
        <v>21</v>
      </c>
      <c r="B33" s="54">
        <v>45400</v>
      </c>
      <c r="C33" s="53" t="s">
        <v>161</v>
      </c>
      <c r="D33" s="61">
        <v>279</v>
      </c>
      <c r="E33" s="53" t="s">
        <v>158</v>
      </c>
      <c r="F33" s="53" t="s">
        <v>162</v>
      </c>
      <c r="G33" s="62">
        <v>16800</v>
      </c>
      <c r="H33" s="62">
        <f t="shared" si="9"/>
        <v>18.154761904761905</v>
      </c>
      <c r="I33" s="62">
        <v>305000</v>
      </c>
      <c r="J33" s="69"/>
      <c r="K33" s="69"/>
      <c r="L33" s="69"/>
      <c r="M33" s="70">
        <f t="shared" si="7"/>
        <v>305000</v>
      </c>
      <c r="N33" s="62"/>
      <c r="P33" s="66">
        <f t="shared" si="5"/>
        <v>259250</v>
      </c>
      <c r="Q33" s="71">
        <f t="shared" si="8"/>
        <v>45750</v>
      </c>
      <c r="R33" s="67" t="s">
        <v>92</v>
      </c>
      <c r="S33" s="54">
        <v>45547</v>
      </c>
      <c r="U33" s="53" t="s">
        <v>186</v>
      </c>
    </row>
    <row r="34" spans="1:21" x14ac:dyDescent="0.2">
      <c r="A34" s="59">
        <v>21</v>
      </c>
      <c r="B34" s="54">
        <v>45400</v>
      </c>
      <c r="C34" s="53" t="s">
        <v>161</v>
      </c>
      <c r="D34" s="61">
        <v>279</v>
      </c>
      <c r="E34" s="53" t="s">
        <v>158</v>
      </c>
      <c r="F34" s="53" t="s">
        <v>162</v>
      </c>
      <c r="G34" s="62"/>
      <c r="H34" s="62">
        <f>+I34/G33</f>
        <v>10.369371428571428</v>
      </c>
      <c r="I34" s="62">
        <v>174205.44</v>
      </c>
      <c r="J34" s="69"/>
      <c r="K34" s="69"/>
      <c r="L34" s="69"/>
      <c r="M34" s="70">
        <f t="shared" si="7"/>
        <v>174205.44</v>
      </c>
      <c r="N34" s="62"/>
      <c r="P34" s="66">
        <f t="shared" si="5"/>
        <v>148074.62400000001</v>
      </c>
      <c r="Q34" s="71">
        <f t="shared" si="8"/>
        <v>26130.815999999999</v>
      </c>
      <c r="R34" s="67" t="s">
        <v>92</v>
      </c>
      <c r="S34" s="54">
        <v>45610</v>
      </c>
      <c r="U34" s="53" t="s">
        <v>187</v>
      </c>
    </row>
    <row r="35" spans="1:21" x14ac:dyDescent="0.2">
      <c r="A35" s="59">
        <v>22</v>
      </c>
      <c r="B35" s="54">
        <v>45421</v>
      </c>
      <c r="C35" s="53" t="s">
        <v>157</v>
      </c>
      <c r="D35" s="76">
        <v>283</v>
      </c>
      <c r="E35" s="53" t="s">
        <v>158</v>
      </c>
      <c r="F35" s="53" t="s">
        <v>163</v>
      </c>
      <c r="G35" s="62">
        <v>19200</v>
      </c>
      <c r="H35" s="62">
        <f t="shared" si="9"/>
        <v>22.818553298611111</v>
      </c>
      <c r="I35" s="62">
        <f>1314348.67*G35/57600</f>
        <v>438116.22333333333</v>
      </c>
      <c r="J35" s="69"/>
      <c r="K35" s="69"/>
      <c r="L35" s="69"/>
      <c r="M35" s="70">
        <f t="shared" si="7"/>
        <v>438116.22333333333</v>
      </c>
      <c r="N35" s="62"/>
      <c r="P35" s="66">
        <f t="shared" si="5"/>
        <v>372398.78983333334</v>
      </c>
      <c r="Q35" s="71">
        <f t="shared" si="8"/>
        <v>65717.433499999999</v>
      </c>
      <c r="R35" s="67" t="s">
        <v>92</v>
      </c>
      <c r="S35" s="54">
        <v>45490</v>
      </c>
    </row>
    <row r="36" spans="1:21" x14ac:dyDescent="0.2">
      <c r="A36" s="59">
        <v>23</v>
      </c>
      <c r="B36" s="54">
        <v>45432</v>
      </c>
      <c r="C36" s="53" t="s">
        <v>161</v>
      </c>
      <c r="D36" s="61">
        <v>286</v>
      </c>
      <c r="E36" s="53" t="s">
        <v>158</v>
      </c>
      <c r="F36" s="53" t="s">
        <v>164</v>
      </c>
      <c r="G36" s="62">
        <f>16800+2400</f>
        <v>19200</v>
      </c>
      <c r="H36" s="62">
        <f t="shared" si="9"/>
        <v>27.860240104166667</v>
      </c>
      <c r="I36" s="62">
        <v>534916.61</v>
      </c>
      <c r="J36" s="69"/>
      <c r="K36" s="69"/>
      <c r="L36" s="69"/>
      <c r="M36" s="62">
        <f t="shared" si="7"/>
        <v>534916.61</v>
      </c>
      <c r="N36" s="62"/>
      <c r="P36" s="66">
        <f t="shared" si="5"/>
        <v>454679.11849999998</v>
      </c>
      <c r="Q36" s="67">
        <f t="shared" si="8"/>
        <v>80237.491499999989</v>
      </c>
      <c r="R36" s="67"/>
    </row>
    <row r="37" spans="1:21" x14ac:dyDescent="0.2">
      <c r="A37" s="59">
        <v>24</v>
      </c>
      <c r="B37" s="54">
        <v>45456</v>
      </c>
      <c r="C37" s="53" t="s">
        <v>157</v>
      </c>
      <c r="D37" s="61">
        <v>288</v>
      </c>
      <c r="E37" s="53" t="s">
        <v>158</v>
      </c>
      <c r="F37" s="53" t="s">
        <v>165</v>
      </c>
      <c r="G37" s="62">
        <v>19200</v>
      </c>
      <c r="H37" s="62">
        <f t="shared" si="9"/>
        <v>29.833108333333335</v>
      </c>
      <c r="I37" s="62">
        <v>572795.68000000005</v>
      </c>
      <c r="J37" s="69"/>
      <c r="K37" s="69"/>
      <c r="L37" s="69"/>
      <c r="M37" s="70">
        <f t="shared" si="7"/>
        <v>572795.68000000005</v>
      </c>
      <c r="N37" s="62"/>
      <c r="P37" s="66">
        <f t="shared" si="5"/>
        <v>486876.32800000004</v>
      </c>
      <c r="Q37" s="71">
        <f t="shared" si="8"/>
        <v>85919.351999999999</v>
      </c>
      <c r="R37" s="67" t="s">
        <v>92</v>
      </c>
      <c r="S37" s="54">
        <v>45603</v>
      </c>
    </row>
    <row r="38" spans="1:21" x14ac:dyDescent="0.2">
      <c r="A38" s="59">
        <v>25</v>
      </c>
      <c r="B38" s="54">
        <v>45470</v>
      </c>
      <c r="C38" s="53" t="s">
        <v>166</v>
      </c>
      <c r="D38" s="61">
        <v>306</v>
      </c>
      <c r="E38" s="53" t="s">
        <v>167</v>
      </c>
      <c r="F38" s="53" t="s">
        <v>168</v>
      </c>
      <c r="G38" s="62">
        <v>3000</v>
      </c>
      <c r="H38" s="62">
        <f t="shared" si="9"/>
        <v>27.570666666666668</v>
      </c>
      <c r="I38" s="62">
        <v>82712</v>
      </c>
      <c r="J38" s="69">
        <f>+I38*0.015</f>
        <v>1240.68</v>
      </c>
      <c r="K38" s="69"/>
      <c r="L38" s="69"/>
      <c r="M38" s="70">
        <f t="shared" si="7"/>
        <v>81471.320000000007</v>
      </c>
      <c r="N38" s="62"/>
      <c r="P38" s="66">
        <f t="shared" si="5"/>
        <v>69250.622000000003</v>
      </c>
      <c r="Q38" s="71">
        <f t="shared" si="8"/>
        <v>12220.698</v>
      </c>
      <c r="R38" s="67" t="s">
        <v>92</v>
      </c>
      <c r="S38" s="54">
        <v>45471</v>
      </c>
      <c r="U38" s="62"/>
    </row>
    <row r="39" spans="1:21" x14ac:dyDescent="0.2">
      <c r="A39" s="59">
        <v>26</v>
      </c>
      <c r="B39" s="54">
        <v>45483</v>
      </c>
      <c r="C39" s="53" t="s">
        <v>157</v>
      </c>
      <c r="D39" s="61">
        <v>322</v>
      </c>
      <c r="E39" s="53" t="s">
        <v>158</v>
      </c>
      <c r="F39" s="53" t="s">
        <v>169</v>
      </c>
      <c r="G39" s="62">
        <v>19200</v>
      </c>
      <c r="H39" s="62">
        <f t="shared" si="9"/>
        <v>30.166121875000002</v>
      </c>
      <c r="I39" s="62">
        <v>579189.54</v>
      </c>
      <c r="J39" s="69"/>
      <c r="K39" s="69"/>
      <c r="L39" s="69"/>
      <c r="M39" s="70">
        <f t="shared" si="7"/>
        <v>579189.54</v>
      </c>
      <c r="N39" s="62"/>
      <c r="P39" s="66">
        <f t="shared" si="5"/>
        <v>492311.109</v>
      </c>
      <c r="Q39" s="71">
        <f t="shared" si="8"/>
        <v>86878.430999999997</v>
      </c>
      <c r="R39" s="67" t="s">
        <v>92</v>
      </c>
      <c r="S39" s="54">
        <v>45603</v>
      </c>
    </row>
    <row r="40" spans="1:21" x14ac:dyDescent="0.2">
      <c r="A40" s="59">
        <v>27</v>
      </c>
      <c r="B40" s="54">
        <v>45485</v>
      </c>
      <c r="C40" s="53" t="s">
        <v>170</v>
      </c>
      <c r="D40" s="61" t="s">
        <v>97</v>
      </c>
      <c r="E40" s="53" t="s">
        <v>171</v>
      </c>
      <c r="F40" s="53" t="s">
        <v>172</v>
      </c>
      <c r="G40" s="62">
        <f>8280+10</f>
        <v>8290</v>
      </c>
      <c r="H40" s="62">
        <f t="shared" si="9"/>
        <v>25.460667068757537</v>
      </c>
      <c r="I40" s="62">
        <f>210814.32+254.61</f>
        <v>211068.93</v>
      </c>
      <c r="J40" s="69">
        <f>+I40*0.006200249</f>
        <v>1308.6799221635699</v>
      </c>
      <c r="K40" s="69"/>
      <c r="L40" s="69"/>
      <c r="M40" s="70">
        <f t="shared" si="7"/>
        <v>209760.25007783642</v>
      </c>
      <c r="N40" s="62"/>
      <c r="P40" s="66">
        <f t="shared" si="5"/>
        <v>178296.21256616095</v>
      </c>
      <c r="Q40" s="71">
        <f t="shared" si="8"/>
        <v>31464.037511675462</v>
      </c>
      <c r="R40" s="67" t="s">
        <v>92</v>
      </c>
      <c r="S40" s="54">
        <v>45485</v>
      </c>
      <c r="T40" s="77"/>
      <c r="U40" s="77"/>
    </row>
    <row r="41" spans="1:21" x14ac:dyDescent="0.2">
      <c r="A41" s="59">
        <v>28</v>
      </c>
      <c r="B41" s="54">
        <v>45555</v>
      </c>
      <c r="C41" s="53" t="s">
        <v>157</v>
      </c>
      <c r="D41" s="61">
        <v>424</v>
      </c>
      <c r="E41" s="53" t="s">
        <v>158</v>
      </c>
      <c r="F41" s="53" t="s">
        <v>163</v>
      </c>
      <c r="G41" s="62">
        <v>19200</v>
      </c>
      <c r="H41" s="62">
        <f t="shared" si="9"/>
        <v>35.923940972222219</v>
      </c>
      <c r="I41" s="62">
        <f>2069219/3</f>
        <v>689739.66666666663</v>
      </c>
      <c r="J41" s="62"/>
      <c r="K41" s="62"/>
      <c r="L41" s="62"/>
      <c r="M41" s="62">
        <f t="shared" si="7"/>
        <v>689739.66666666663</v>
      </c>
      <c r="N41" s="62"/>
      <c r="P41" s="66">
        <f t="shared" si="5"/>
        <v>586278.71666666667</v>
      </c>
      <c r="Q41" s="71">
        <f t="shared" si="8"/>
        <v>103460.95</v>
      </c>
      <c r="R41" s="67" t="s">
        <v>92</v>
      </c>
      <c r="S41" s="54">
        <v>45636</v>
      </c>
    </row>
    <row r="42" spans="1:21" x14ac:dyDescent="0.2">
      <c r="A42" s="59">
        <v>29</v>
      </c>
      <c r="B42" s="54">
        <v>45555</v>
      </c>
      <c r="C42" s="53" t="s">
        <v>157</v>
      </c>
      <c r="D42" s="61">
        <v>425</v>
      </c>
      <c r="E42" s="53" t="s">
        <v>158</v>
      </c>
      <c r="F42" s="53" t="s">
        <v>173</v>
      </c>
      <c r="G42" s="62">
        <v>19200</v>
      </c>
      <c r="H42" s="62">
        <f t="shared" si="9"/>
        <v>35.923940972222219</v>
      </c>
      <c r="I42" s="62">
        <f>2069219/3</f>
        <v>689739.66666666663</v>
      </c>
      <c r="J42" s="62"/>
      <c r="K42" s="62"/>
      <c r="L42" s="62"/>
      <c r="M42" s="62">
        <f t="shared" si="7"/>
        <v>689739.66666666663</v>
      </c>
      <c r="N42" s="62"/>
      <c r="P42" s="66">
        <f t="shared" si="5"/>
        <v>586278.71666666667</v>
      </c>
      <c r="Q42" s="71">
        <f t="shared" si="8"/>
        <v>103460.95</v>
      </c>
      <c r="R42" s="67" t="s">
        <v>92</v>
      </c>
      <c r="S42" s="54">
        <v>45636</v>
      </c>
    </row>
    <row r="43" spans="1:21" x14ac:dyDescent="0.2">
      <c r="A43" s="59">
        <v>30</v>
      </c>
      <c r="B43" s="54">
        <v>45555</v>
      </c>
      <c r="C43" s="53" t="s">
        <v>157</v>
      </c>
      <c r="D43" s="61">
        <v>426</v>
      </c>
      <c r="E43" s="53" t="s">
        <v>158</v>
      </c>
      <c r="F43" s="53" t="s">
        <v>173</v>
      </c>
      <c r="G43" s="62">
        <v>19200</v>
      </c>
      <c r="H43" s="62">
        <f t="shared" si="9"/>
        <v>35.923940972222219</v>
      </c>
      <c r="I43" s="62">
        <f>2069219/3</f>
        <v>689739.66666666663</v>
      </c>
      <c r="J43" s="62"/>
      <c r="K43" s="62"/>
      <c r="L43" s="62"/>
      <c r="M43" s="62">
        <f t="shared" si="7"/>
        <v>689739.66666666663</v>
      </c>
      <c r="N43" s="62"/>
      <c r="P43" s="66">
        <f t="shared" si="5"/>
        <v>586278.71666666667</v>
      </c>
      <c r="Q43" s="71">
        <f t="shared" si="8"/>
        <v>103460.95</v>
      </c>
      <c r="R43" s="67" t="s">
        <v>92</v>
      </c>
      <c r="S43" s="54">
        <v>45636</v>
      </c>
    </row>
    <row r="44" spans="1:21" x14ac:dyDescent="0.2">
      <c r="A44" s="59">
        <v>31</v>
      </c>
      <c r="B44" s="54">
        <v>45589</v>
      </c>
      <c r="C44" s="53" t="s">
        <v>157</v>
      </c>
      <c r="D44" s="61">
        <v>470</v>
      </c>
      <c r="G44" s="62">
        <v>19200</v>
      </c>
      <c r="H44" s="62">
        <f t="shared" si="9"/>
        <v>31.1677</v>
      </c>
      <c r="I44" s="62">
        <v>598419.84</v>
      </c>
      <c r="J44" s="62"/>
      <c r="K44" s="62"/>
      <c r="L44" s="62"/>
      <c r="M44" s="62">
        <f t="shared" si="7"/>
        <v>598419.84</v>
      </c>
      <c r="N44" s="62"/>
      <c r="P44" s="66">
        <f t="shared" si="5"/>
        <v>508656.86399999994</v>
      </c>
      <c r="Q44" s="67">
        <f t="shared" si="8"/>
        <v>89762.975999999995</v>
      </c>
      <c r="R44" s="67"/>
    </row>
    <row r="45" spans="1:21" x14ac:dyDescent="0.2">
      <c r="A45" s="59">
        <v>32</v>
      </c>
      <c r="B45" s="54">
        <v>45610</v>
      </c>
      <c r="C45" s="53" t="s">
        <v>157</v>
      </c>
      <c r="D45" s="61">
        <v>504</v>
      </c>
      <c r="G45" s="62">
        <v>19200</v>
      </c>
      <c r="H45" s="62">
        <f t="shared" si="9"/>
        <v>23.221690104166669</v>
      </c>
      <c r="I45" s="62">
        <v>445856.45</v>
      </c>
      <c r="J45" s="62"/>
      <c r="K45" s="62"/>
      <c r="L45" s="62"/>
      <c r="M45" s="62">
        <f t="shared" si="7"/>
        <v>445856.45</v>
      </c>
      <c r="N45" s="62"/>
      <c r="P45" s="66">
        <f t="shared" si="5"/>
        <v>378977.98249999998</v>
      </c>
      <c r="Q45" s="67">
        <f t="shared" si="8"/>
        <v>66878.467499999999</v>
      </c>
      <c r="R45" s="67"/>
    </row>
    <row r="46" spans="1:21" x14ac:dyDescent="0.2">
      <c r="A46" s="59">
        <v>33</v>
      </c>
      <c r="B46" s="54">
        <v>45610</v>
      </c>
      <c r="C46" s="53" t="s">
        <v>157</v>
      </c>
      <c r="D46" s="61">
        <v>506</v>
      </c>
      <c r="G46" s="62">
        <v>19200</v>
      </c>
      <c r="H46" s="62">
        <f t="shared" si="9"/>
        <v>23.221690104166669</v>
      </c>
      <c r="I46" s="62">
        <v>445856.45</v>
      </c>
      <c r="J46" s="62"/>
      <c r="K46" s="62"/>
      <c r="L46" s="62"/>
      <c r="M46" s="62">
        <f t="shared" si="7"/>
        <v>445856.45</v>
      </c>
      <c r="N46" s="62"/>
      <c r="P46" s="66">
        <f t="shared" si="5"/>
        <v>378977.98249999998</v>
      </c>
      <c r="Q46" s="67">
        <f t="shared" si="8"/>
        <v>66878.467499999999</v>
      </c>
      <c r="R46" s="67"/>
    </row>
    <row r="47" spans="1:21" x14ac:dyDescent="0.2">
      <c r="A47" s="59">
        <v>34</v>
      </c>
      <c r="B47" s="54">
        <v>45610</v>
      </c>
      <c r="C47" s="53" t="s">
        <v>157</v>
      </c>
      <c r="D47" s="61">
        <v>507</v>
      </c>
      <c r="G47" s="62">
        <v>19200</v>
      </c>
      <c r="H47" s="62">
        <f t="shared" si="9"/>
        <v>23.221690104166669</v>
      </c>
      <c r="I47" s="62">
        <v>445856.45</v>
      </c>
      <c r="J47" s="62"/>
      <c r="K47" s="62"/>
      <c r="L47" s="62"/>
      <c r="M47" s="62">
        <f t="shared" si="7"/>
        <v>445856.45</v>
      </c>
      <c r="N47" s="62"/>
      <c r="P47" s="66">
        <f t="shared" si="5"/>
        <v>378977.98249999998</v>
      </c>
      <c r="Q47" s="67">
        <f t="shared" si="8"/>
        <v>66878.467499999999</v>
      </c>
      <c r="R47" s="67"/>
    </row>
    <row r="48" spans="1:21" x14ac:dyDescent="0.2">
      <c r="A48" s="59">
        <v>35</v>
      </c>
      <c r="B48" s="54">
        <v>45625</v>
      </c>
      <c r="C48" s="53" t="s">
        <v>174</v>
      </c>
      <c r="D48" s="61">
        <v>517</v>
      </c>
      <c r="G48" s="62">
        <v>19200</v>
      </c>
      <c r="H48" s="62">
        <f t="shared" si="9"/>
        <v>19.456130208333335</v>
      </c>
      <c r="I48" s="62">
        <v>373557.7</v>
      </c>
      <c r="J48" s="62"/>
      <c r="K48" s="62"/>
      <c r="L48" s="62"/>
      <c r="M48" s="62">
        <f t="shared" si="7"/>
        <v>373557.7</v>
      </c>
      <c r="N48" s="62"/>
      <c r="P48" s="66">
        <f t="shared" si="5"/>
        <v>317524.04499999998</v>
      </c>
      <c r="Q48" s="67">
        <f t="shared" si="8"/>
        <v>56033.654999999999</v>
      </c>
      <c r="R48" s="67"/>
    </row>
    <row r="49" spans="1:19" x14ac:dyDescent="0.2">
      <c r="A49" s="59">
        <v>36</v>
      </c>
      <c r="B49" s="54">
        <v>45629</v>
      </c>
      <c r="C49" s="53" t="s">
        <v>175</v>
      </c>
      <c r="D49" s="61">
        <v>523</v>
      </c>
      <c r="G49" s="62">
        <v>600</v>
      </c>
      <c r="H49" s="62">
        <f t="shared" si="9"/>
        <v>36.666666666666664</v>
      </c>
      <c r="I49" s="62">
        <v>22000</v>
      </c>
      <c r="J49" s="62"/>
      <c r="K49" s="62"/>
      <c r="L49" s="62"/>
      <c r="M49" s="62">
        <f t="shared" si="7"/>
        <v>22000</v>
      </c>
      <c r="N49" s="62"/>
      <c r="P49" s="66">
        <f t="shared" si="5"/>
        <v>18700</v>
      </c>
      <c r="Q49" s="71">
        <f t="shared" si="8"/>
        <v>3300</v>
      </c>
      <c r="R49" s="67" t="s">
        <v>92</v>
      </c>
      <c r="S49" s="54">
        <v>45632</v>
      </c>
    </row>
    <row r="50" spans="1:19" x14ac:dyDescent="0.2">
      <c r="A50" s="59">
        <v>36</v>
      </c>
      <c r="B50" s="54">
        <v>45629</v>
      </c>
      <c r="C50" s="53" t="s">
        <v>175</v>
      </c>
      <c r="D50" s="61">
        <v>523</v>
      </c>
      <c r="G50" s="62">
        <v>150</v>
      </c>
      <c r="H50" s="62">
        <f t="shared" si="9"/>
        <v>36.666666666666664</v>
      </c>
      <c r="I50" s="62">
        <v>5500</v>
      </c>
      <c r="J50" s="62"/>
      <c r="K50" s="62"/>
      <c r="L50" s="62"/>
      <c r="M50" s="62">
        <f t="shared" si="7"/>
        <v>5500</v>
      </c>
      <c r="N50" s="62"/>
      <c r="P50" s="66">
        <f t="shared" si="5"/>
        <v>4675</v>
      </c>
      <c r="Q50" s="71">
        <f t="shared" si="8"/>
        <v>825</v>
      </c>
      <c r="R50" s="67" t="s">
        <v>92</v>
      </c>
      <c r="S50" s="54" t="s">
        <v>188</v>
      </c>
    </row>
    <row r="51" spans="1:19" x14ac:dyDescent="0.2">
      <c r="A51" s="59">
        <v>36</v>
      </c>
      <c r="B51" s="54">
        <v>45629</v>
      </c>
      <c r="C51" s="53" t="s">
        <v>175</v>
      </c>
      <c r="D51" s="61">
        <v>523</v>
      </c>
      <c r="G51" s="62">
        <v>450</v>
      </c>
      <c r="H51" s="62">
        <f t="shared" si="9"/>
        <v>36.666666666666664</v>
      </c>
      <c r="I51" s="62">
        <v>16500</v>
      </c>
      <c r="J51" s="62"/>
      <c r="K51" s="62"/>
      <c r="L51" s="62"/>
      <c r="M51" s="62">
        <f t="shared" si="7"/>
        <v>16500</v>
      </c>
      <c r="N51" s="62"/>
      <c r="P51" s="66">
        <f t="shared" si="5"/>
        <v>14025</v>
      </c>
      <c r="Q51" s="67">
        <f t="shared" si="8"/>
        <v>2475</v>
      </c>
      <c r="R51" s="67"/>
    </row>
    <row r="52" spans="1:19" x14ac:dyDescent="0.2">
      <c r="A52" s="59">
        <v>37</v>
      </c>
      <c r="B52" s="54">
        <v>45631</v>
      </c>
      <c r="C52" s="53" t="s">
        <v>136</v>
      </c>
      <c r="D52" s="61">
        <v>524</v>
      </c>
      <c r="G52" s="62">
        <v>30000</v>
      </c>
      <c r="H52" s="62">
        <f t="shared" si="9"/>
        <v>35.083333333333336</v>
      </c>
      <c r="I52" s="62">
        <v>1052500</v>
      </c>
      <c r="J52" s="62">
        <f>+I52*0.015</f>
        <v>15787.5</v>
      </c>
      <c r="K52" s="62"/>
      <c r="L52" s="62"/>
      <c r="M52" s="62">
        <f t="shared" si="7"/>
        <v>1036712.5</v>
      </c>
      <c r="N52" s="62"/>
      <c r="P52" s="66">
        <f t="shared" si="5"/>
        <v>881205.625</v>
      </c>
      <c r="Q52" s="71">
        <f t="shared" si="8"/>
        <v>155506.875</v>
      </c>
      <c r="R52" s="67" t="s">
        <v>92</v>
      </c>
      <c r="S52" s="54" t="s">
        <v>176</v>
      </c>
    </row>
    <row r="53" spans="1:19" x14ac:dyDescent="0.2">
      <c r="A53" s="91">
        <v>38</v>
      </c>
      <c r="B53" s="92">
        <v>45635</v>
      </c>
      <c r="C53" s="93" t="s">
        <v>177</v>
      </c>
      <c r="D53" s="94">
        <v>528</v>
      </c>
      <c r="E53" s="93"/>
      <c r="F53" s="93"/>
      <c r="G53" s="95">
        <v>30000</v>
      </c>
      <c r="H53" s="95">
        <f t="shared" si="9"/>
        <v>37.878700000000002</v>
      </c>
      <c r="I53" s="95">
        <v>1136361</v>
      </c>
      <c r="J53" s="95"/>
      <c r="K53" s="95"/>
      <c r="L53" s="95"/>
      <c r="M53" s="95">
        <f t="shared" si="7"/>
        <v>1136361</v>
      </c>
      <c r="N53" s="95"/>
      <c r="O53" s="93"/>
      <c r="P53" s="96">
        <f t="shared" si="5"/>
        <v>965906.85</v>
      </c>
      <c r="Q53" s="97">
        <f t="shared" si="8"/>
        <v>170454.15</v>
      </c>
      <c r="R53" s="97" t="s">
        <v>98</v>
      </c>
    </row>
    <row r="54" spans="1:19" x14ac:dyDescent="0.2">
      <c r="A54" s="59">
        <v>39</v>
      </c>
      <c r="B54" s="54">
        <v>45637</v>
      </c>
      <c r="C54" s="53" t="s">
        <v>189</v>
      </c>
      <c r="D54" s="61">
        <v>531</v>
      </c>
      <c r="G54" s="62">
        <v>120</v>
      </c>
      <c r="H54" s="62">
        <f t="shared" si="9"/>
        <v>41.550166666666669</v>
      </c>
      <c r="I54" s="62">
        <v>4986.0200000000004</v>
      </c>
      <c r="J54" s="62"/>
      <c r="K54" s="62"/>
      <c r="L54" s="62"/>
      <c r="M54" s="62">
        <f t="shared" si="7"/>
        <v>4986.0200000000004</v>
      </c>
      <c r="N54" s="62"/>
      <c r="P54" s="66">
        <f t="shared" si="5"/>
        <v>4238.1170000000002</v>
      </c>
      <c r="Q54" s="71">
        <f t="shared" si="8"/>
        <v>747.90300000000002</v>
      </c>
      <c r="R54" s="67" t="s">
        <v>92</v>
      </c>
      <c r="S54" s="54" t="s">
        <v>190</v>
      </c>
    </row>
    <row r="55" spans="1:19" x14ac:dyDescent="0.2">
      <c r="A55" s="59">
        <v>39</v>
      </c>
      <c r="B55" s="54">
        <v>45637</v>
      </c>
      <c r="C55" s="53" t="s">
        <v>189</v>
      </c>
      <c r="D55" s="61">
        <v>531</v>
      </c>
      <c r="G55" s="62">
        <v>120</v>
      </c>
      <c r="H55" s="62">
        <f t="shared" si="9"/>
        <v>41.550166666666669</v>
      </c>
      <c r="I55" s="62">
        <v>4986.0200000000004</v>
      </c>
      <c r="J55" s="62"/>
      <c r="K55" s="62"/>
      <c r="L55" s="62"/>
      <c r="M55" s="62">
        <f t="shared" si="7"/>
        <v>4986.0200000000004</v>
      </c>
      <c r="N55" s="62"/>
      <c r="P55" s="66">
        <f t="shared" si="5"/>
        <v>4238.1170000000002</v>
      </c>
      <c r="Q55" s="71">
        <f t="shared" si="8"/>
        <v>747.90300000000002</v>
      </c>
      <c r="R55" s="67" t="s">
        <v>92</v>
      </c>
      <c r="S55" s="54" t="s">
        <v>191</v>
      </c>
    </row>
    <row r="56" spans="1:19" x14ac:dyDescent="0.2">
      <c r="A56" s="59">
        <v>39</v>
      </c>
      <c r="B56" s="54">
        <v>45637</v>
      </c>
      <c r="C56" s="53" t="s">
        <v>189</v>
      </c>
      <c r="D56" s="61">
        <v>531</v>
      </c>
      <c r="G56" s="62">
        <v>240</v>
      </c>
      <c r="H56" s="62">
        <f t="shared" si="9"/>
        <v>41.550249999999998</v>
      </c>
      <c r="I56" s="62">
        <v>9972.06</v>
      </c>
      <c r="J56" s="62"/>
      <c r="K56" s="62"/>
      <c r="L56" s="62"/>
      <c r="M56" s="62">
        <f t="shared" si="7"/>
        <v>9972.06</v>
      </c>
      <c r="N56" s="62"/>
      <c r="P56" s="66">
        <f t="shared" si="5"/>
        <v>8476.2510000000002</v>
      </c>
      <c r="Q56" s="67">
        <f t="shared" si="8"/>
        <v>1495.809</v>
      </c>
      <c r="R56" s="67"/>
    </row>
    <row r="57" spans="1:19" x14ac:dyDescent="0.2">
      <c r="A57" s="59">
        <v>40</v>
      </c>
      <c r="B57" s="54">
        <v>45653</v>
      </c>
      <c r="C57" s="53" t="s">
        <v>192</v>
      </c>
      <c r="D57" s="61">
        <v>533</v>
      </c>
      <c r="G57" s="62">
        <v>19200</v>
      </c>
      <c r="H57" s="62">
        <f t="shared" si="9"/>
        <v>33.680409895833336</v>
      </c>
      <c r="I57" s="62">
        <v>646663.87</v>
      </c>
      <c r="J57" s="62"/>
      <c r="K57" s="62"/>
      <c r="L57" s="62"/>
      <c r="M57" s="62">
        <f t="shared" si="7"/>
        <v>646663.87</v>
      </c>
      <c r="N57" s="62"/>
      <c r="P57" s="66">
        <f t="shared" si="5"/>
        <v>549664.28949999996</v>
      </c>
      <c r="Q57" s="67">
        <f t="shared" si="8"/>
        <v>96999.580499999996</v>
      </c>
      <c r="R57" s="67"/>
    </row>
    <row r="58" spans="1:19" x14ac:dyDescent="0.2">
      <c r="A58" s="59">
        <v>41</v>
      </c>
      <c r="B58" s="54">
        <v>45671</v>
      </c>
      <c r="C58" s="53" t="s">
        <v>174</v>
      </c>
      <c r="D58" s="61">
        <v>537</v>
      </c>
      <c r="G58" s="62">
        <v>19200</v>
      </c>
      <c r="H58" s="62">
        <f t="shared" si="9"/>
        <v>23.156859895833335</v>
      </c>
      <c r="I58" s="62">
        <v>444611.71</v>
      </c>
      <c r="J58" s="62"/>
      <c r="K58" s="62"/>
      <c r="L58" s="62"/>
      <c r="M58" s="62">
        <f t="shared" si="7"/>
        <v>444611.71</v>
      </c>
      <c r="N58" s="62"/>
      <c r="P58" s="66">
        <f t="shared" si="5"/>
        <v>377919.9535</v>
      </c>
      <c r="Q58" s="67">
        <f t="shared" si="8"/>
        <v>66691.756500000003</v>
      </c>
      <c r="R58" s="67"/>
    </row>
    <row r="59" spans="1:19" x14ac:dyDescent="0.2">
      <c r="A59" s="59">
        <v>42</v>
      </c>
      <c r="B59" s="54">
        <v>45672</v>
      </c>
      <c r="C59" s="53" t="s">
        <v>157</v>
      </c>
      <c r="D59" s="61">
        <v>538</v>
      </c>
      <c r="G59" s="62">
        <v>19200</v>
      </c>
      <c r="H59" s="62">
        <f t="shared" si="9"/>
        <v>25</v>
      </c>
      <c r="I59" s="62">
        <v>480000</v>
      </c>
      <c r="J59" s="62"/>
      <c r="K59" s="62"/>
      <c r="L59" s="62"/>
      <c r="M59" s="62">
        <f t="shared" si="7"/>
        <v>480000</v>
      </c>
      <c r="N59" s="62"/>
      <c r="P59" s="66">
        <f t="shared" si="5"/>
        <v>408000</v>
      </c>
      <c r="Q59" s="67">
        <f t="shared" si="8"/>
        <v>72000</v>
      </c>
      <c r="R59" s="67"/>
    </row>
    <row r="60" spans="1:19" x14ac:dyDescent="0.2">
      <c r="A60" s="59">
        <v>43</v>
      </c>
      <c r="B60" s="54">
        <v>45672</v>
      </c>
      <c r="C60" s="53" t="s">
        <v>157</v>
      </c>
      <c r="D60" s="61">
        <v>539</v>
      </c>
      <c r="G60" s="62">
        <v>19200</v>
      </c>
      <c r="H60" s="62">
        <f t="shared" si="9"/>
        <v>25</v>
      </c>
      <c r="I60" s="62">
        <v>480000</v>
      </c>
      <c r="J60" s="62"/>
      <c r="K60" s="62"/>
      <c r="L60" s="62"/>
      <c r="M60" s="62">
        <f t="shared" si="7"/>
        <v>480000</v>
      </c>
      <c r="N60" s="62"/>
      <c r="P60" s="66">
        <f t="shared" si="5"/>
        <v>408000</v>
      </c>
      <c r="Q60" s="67">
        <f t="shared" si="8"/>
        <v>72000</v>
      </c>
      <c r="R60" s="67"/>
    </row>
    <row r="61" spans="1:19" x14ac:dyDescent="0.2">
      <c r="A61" s="59">
        <v>44</v>
      </c>
      <c r="B61" s="54">
        <v>45677</v>
      </c>
      <c r="C61" s="53" t="s">
        <v>177</v>
      </c>
      <c r="D61" s="61">
        <v>540</v>
      </c>
      <c r="G61" s="62">
        <v>30000</v>
      </c>
      <c r="H61" s="62">
        <f t="shared" si="9"/>
        <v>37.878700000000002</v>
      </c>
      <c r="I61" s="62">
        <v>1136361</v>
      </c>
      <c r="J61" s="62"/>
      <c r="K61" s="62"/>
      <c r="L61" s="62"/>
      <c r="M61" s="62">
        <f t="shared" si="7"/>
        <v>1136361</v>
      </c>
      <c r="N61" s="62"/>
      <c r="P61" s="66">
        <f t="shared" si="5"/>
        <v>965906.85</v>
      </c>
      <c r="Q61" s="67">
        <f t="shared" si="8"/>
        <v>170454.15</v>
      </c>
      <c r="R61" s="67"/>
    </row>
    <row r="62" spans="1:19" x14ac:dyDescent="0.2">
      <c r="A62" s="59"/>
      <c r="B62" s="54"/>
      <c r="D62" s="61"/>
      <c r="G62" s="62"/>
      <c r="H62" s="62"/>
      <c r="I62" s="62"/>
      <c r="J62" s="62"/>
      <c r="K62" s="62"/>
      <c r="L62" s="62"/>
      <c r="M62" s="62"/>
      <c r="N62" s="62"/>
      <c r="P62" s="66"/>
      <c r="Q62" s="67"/>
      <c r="R62" s="67"/>
    </row>
    <row r="63" spans="1:19" x14ac:dyDescent="0.2">
      <c r="A63" s="59"/>
      <c r="B63" s="54"/>
      <c r="D63" s="61"/>
      <c r="G63" s="62"/>
      <c r="H63" s="62"/>
      <c r="I63" s="62"/>
      <c r="J63" s="62"/>
      <c r="K63" s="62"/>
      <c r="L63" s="62"/>
      <c r="M63" s="62"/>
      <c r="N63" s="62"/>
      <c r="P63" s="66"/>
      <c r="Q63" s="67"/>
      <c r="R63" s="67"/>
    </row>
    <row r="64" spans="1:19" x14ac:dyDescent="0.2">
      <c r="A64" s="59"/>
      <c r="B64" s="54"/>
      <c r="D64" s="61"/>
      <c r="G64" s="62"/>
      <c r="H64" s="62"/>
      <c r="I64" s="62"/>
      <c r="J64" s="62"/>
      <c r="K64" s="62"/>
      <c r="L64" s="62"/>
      <c r="M64" s="62"/>
      <c r="N64" s="62"/>
      <c r="P64" s="66"/>
      <c r="Q64" s="67"/>
      <c r="R64" s="67"/>
    </row>
    <row r="65" spans="1:18" x14ac:dyDescent="0.2">
      <c r="A65" s="59"/>
      <c r="B65" s="54"/>
      <c r="D65" s="61"/>
      <c r="G65" s="62"/>
      <c r="H65" s="62"/>
      <c r="I65" s="62"/>
      <c r="J65" s="62"/>
      <c r="K65" s="62"/>
      <c r="L65" s="62"/>
      <c r="M65" s="62"/>
      <c r="N65" s="62"/>
      <c r="P65" s="66"/>
      <c r="Q65" s="67"/>
      <c r="R65" s="67"/>
    </row>
    <row r="66" spans="1:18" x14ac:dyDescent="0.2">
      <c r="A66" s="59"/>
      <c r="B66" s="54"/>
      <c r="D66" s="61"/>
      <c r="G66" s="62"/>
      <c r="H66" s="62"/>
      <c r="I66" s="62"/>
      <c r="J66" s="62"/>
      <c r="K66" s="62"/>
      <c r="L66" s="62"/>
      <c r="M66" s="62"/>
      <c r="N66" s="62"/>
      <c r="P66" s="66"/>
      <c r="Q66" s="67"/>
      <c r="R66" s="67"/>
    </row>
    <row r="67" spans="1:18" x14ac:dyDescent="0.2">
      <c r="A67" s="59"/>
      <c r="B67" s="54"/>
      <c r="D67" s="61"/>
      <c r="G67" s="62"/>
      <c r="H67" s="62"/>
      <c r="I67" s="62"/>
      <c r="J67" s="62"/>
      <c r="K67" s="62"/>
      <c r="L67" s="62"/>
      <c r="M67" s="62"/>
      <c r="N67" s="62"/>
      <c r="P67" s="66"/>
      <c r="Q67" s="67"/>
      <c r="R67" s="67"/>
    </row>
    <row r="68" spans="1:18" x14ac:dyDescent="0.2">
      <c r="A68" s="59"/>
      <c r="B68" s="54"/>
      <c r="D68" s="61"/>
      <c r="G68" s="62"/>
      <c r="H68" s="62"/>
      <c r="I68" s="62"/>
      <c r="J68" s="62"/>
      <c r="K68" s="62"/>
      <c r="L68" s="62"/>
      <c r="M68" s="62"/>
      <c r="N68" s="62"/>
      <c r="P68" s="66"/>
      <c r="Q68" s="67"/>
      <c r="R68" s="67"/>
    </row>
    <row r="69" spans="1:18" ht="16" thickBot="1" x14ac:dyDescent="0.25">
      <c r="A69" s="78"/>
      <c r="B69" s="79"/>
      <c r="C69" s="79"/>
      <c r="D69" s="79"/>
      <c r="E69" s="79"/>
      <c r="F69" s="79"/>
      <c r="G69" s="80">
        <f>SUM(G10:G68)</f>
        <v>717428</v>
      </c>
      <c r="H69" s="80">
        <f>+I69/G69</f>
        <v>25.1787225819232</v>
      </c>
      <c r="I69" s="80">
        <f t="shared" ref="I69:P69" si="10">SUM(I10:I68)</f>
        <v>18063920.584503997</v>
      </c>
      <c r="J69" s="80">
        <f t="shared" si="10"/>
        <v>57237.384804171568</v>
      </c>
      <c r="K69" s="80">
        <f t="shared" si="10"/>
        <v>0</v>
      </c>
      <c r="L69" s="80">
        <f t="shared" si="10"/>
        <v>4904.5200000000004</v>
      </c>
      <c r="M69" s="80">
        <f t="shared" si="10"/>
        <v>18011587.719699826</v>
      </c>
      <c r="N69" s="80">
        <f t="shared" si="10"/>
        <v>0</v>
      </c>
      <c r="O69" s="79">
        <f t="shared" si="10"/>
        <v>0</v>
      </c>
      <c r="P69" s="81">
        <f t="shared" si="10"/>
        <v>15309849.561744854</v>
      </c>
      <c r="Q69" s="82">
        <f>SUM(Q10:Q68)</f>
        <v>2701738.1579549746</v>
      </c>
      <c r="R69" s="82"/>
    </row>
    <row r="70" spans="1:18" x14ac:dyDescent="0.2">
      <c r="G70" s="62"/>
      <c r="H70" s="62"/>
      <c r="I70" s="62"/>
    </row>
    <row r="71" spans="1:18" x14ac:dyDescent="0.2">
      <c r="G71" s="62">
        <f>+G69/60</f>
        <v>11957.133333333333</v>
      </c>
      <c r="H71" s="62"/>
      <c r="I71" s="62"/>
    </row>
    <row r="72" spans="1:18" x14ac:dyDescent="0.2">
      <c r="A72" s="52" t="s">
        <v>178</v>
      </c>
    </row>
    <row r="73" spans="1:18" ht="16" thickBot="1" x14ac:dyDescent="0.25"/>
    <row r="74" spans="1:18" x14ac:dyDescent="0.2">
      <c r="A74" s="55" t="s">
        <v>100</v>
      </c>
      <c r="B74" s="56" t="s">
        <v>101</v>
      </c>
      <c r="C74" s="56" t="s">
        <v>102</v>
      </c>
      <c r="D74" s="56" t="s">
        <v>93</v>
      </c>
      <c r="E74" s="56" t="s">
        <v>103</v>
      </c>
      <c r="F74" s="56" t="s">
        <v>104</v>
      </c>
      <c r="G74" s="58" t="s">
        <v>105</v>
      </c>
      <c r="H74" s="83"/>
      <c r="I74" s="83"/>
      <c r="J74" s="83"/>
      <c r="K74" s="83"/>
      <c r="L74" s="83"/>
      <c r="M74" s="83"/>
      <c r="N74" s="222"/>
      <c r="O74" s="222"/>
      <c r="P74" s="83"/>
      <c r="Q74" s="83"/>
      <c r="R74" s="83"/>
    </row>
    <row r="75" spans="1:18" x14ac:dyDescent="0.2">
      <c r="A75" s="59">
        <v>1</v>
      </c>
      <c r="B75" s="54">
        <v>45071</v>
      </c>
      <c r="C75" s="53" t="s">
        <v>179</v>
      </c>
      <c r="D75" s="61"/>
      <c r="G75" s="67">
        <v>130</v>
      </c>
      <c r="H75" s="84"/>
      <c r="I75" s="84"/>
      <c r="J75" s="84"/>
      <c r="K75" s="84"/>
      <c r="L75" s="84"/>
      <c r="M75" s="84"/>
      <c r="N75" s="84"/>
      <c r="O75" s="85"/>
      <c r="P75" s="84"/>
      <c r="Q75" s="84"/>
      <c r="R75" s="84"/>
    </row>
    <row r="76" spans="1:18" x14ac:dyDescent="0.2">
      <c r="A76" s="59">
        <v>2</v>
      </c>
      <c r="B76" s="54">
        <v>45260</v>
      </c>
      <c r="C76" s="53" t="s">
        <v>180</v>
      </c>
      <c r="D76" s="61"/>
      <c r="G76" s="67">
        <v>13870</v>
      </c>
      <c r="H76" s="84"/>
      <c r="I76" s="84"/>
      <c r="J76" s="84"/>
      <c r="K76" s="84"/>
      <c r="L76" s="84"/>
      <c r="M76" s="84"/>
      <c r="N76" s="84"/>
      <c r="O76" s="85"/>
      <c r="P76" s="84"/>
      <c r="Q76" s="84"/>
      <c r="R76" s="84"/>
    </row>
    <row r="77" spans="1:18" x14ac:dyDescent="0.2">
      <c r="A77" s="59">
        <v>3</v>
      </c>
      <c r="B77" s="54">
        <v>45260</v>
      </c>
      <c r="C77" s="53" t="s">
        <v>180</v>
      </c>
      <c r="D77" s="61"/>
      <c r="G77" s="67">
        <v>4130</v>
      </c>
      <c r="H77" s="84"/>
      <c r="I77" s="84"/>
      <c r="J77" s="84"/>
      <c r="K77" s="84"/>
      <c r="L77" s="84"/>
      <c r="M77" s="84"/>
      <c r="N77" s="84"/>
      <c r="O77" s="83"/>
      <c r="P77" s="84"/>
      <c r="Q77" s="84"/>
      <c r="R77" s="84"/>
    </row>
    <row r="78" spans="1:18" x14ac:dyDescent="0.2">
      <c r="A78" s="59"/>
      <c r="B78" s="54"/>
      <c r="D78" s="61"/>
      <c r="G78" s="67"/>
      <c r="H78" s="84"/>
      <c r="I78" s="84"/>
      <c r="J78" s="84"/>
      <c r="K78" s="84"/>
      <c r="L78" s="84"/>
      <c r="M78" s="84"/>
      <c r="N78" s="84"/>
      <c r="O78" s="83"/>
      <c r="P78" s="84"/>
      <c r="Q78" s="84"/>
      <c r="R78" s="84"/>
    </row>
    <row r="79" spans="1:18" x14ac:dyDescent="0.2">
      <c r="A79" s="59"/>
      <c r="B79" s="54"/>
      <c r="D79" s="61"/>
      <c r="G79" s="67"/>
      <c r="H79" s="84"/>
      <c r="I79" s="84"/>
      <c r="J79" s="84"/>
      <c r="K79" s="84"/>
      <c r="L79" s="84"/>
      <c r="M79" s="84"/>
      <c r="N79" s="84"/>
      <c r="O79" s="83"/>
      <c r="P79" s="84"/>
      <c r="Q79" s="84"/>
      <c r="R79" s="84"/>
    </row>
    <row r="80" spans="1:18" x14ac:dyDescent="0.2">
      <c r="A80" s="59"/>
      <c r="B80" s="54"/>
      <c r="D80" s="61"/>
      <c r="G80" s="67"/>
      <c r="H80" s="84"/>
      <c r="I80" s="84"/>
      <c r="J80" s="84"/>
      <c r="K80" s="84"/>
      <c r="L80" s="84"/>
      <c r="M80" s="84"/>
      <c r="N80" s="84"/>
      <c r="O80" s="83"/>
      <c r="P80" s="84"/>
      <c r="Q80" s="84"/>
      <c r="R80" s="84"/>
    </row>
    <row r="81" spans="1:18" ht="16" thickBot="1" x14ac:dyDescent="0.25">
      <c r="A81" s="78"/>
      <c r="B81" s="79"/>
      <c r="C81" s="79"/>
      <c r="D81" s="79"/>
      <c r="E81" s="79"/>
      <c r="F81" s="79"/>
      <c r="G81" s="82">
        <f>SUM(G75:G80)</f>
        <v>18130</v>
      </c>
      <c r="H81" s="84"/>
      <c r="I81" s="84"/>
      <c r="J81" s="84"/>
      <c r="K81" s="84"/>
      <c r="L81" s="84"/>
      <c r="M81" s="84"/>
      <c r="N81" s="84"/>
      <c r="O81" s="83"/>
      <c r="P81" s="84"/>
      <c r="Q81" s="84"/>
      <c r="R81" s="84"/>
    </row>
    <row r="82" spans="1:18" x14ac:dyDescent="0.2">
      <c r="G82" s="62"/>
      <c r="H82" s="84"/>
      <c r="I82" s="84"/>
      <c r="J82" s="83"/>
      <c r="K82" s="83"/>
      <c r="L82" s="83"/>
      <c r="M82" s="83"/>
      <c r="N82" s="83"/>
      <c r="O82" s="83"/>
      <c r="P82" s="83"/>
      <c r="Q82" s="83"/>
      <c r="R82" s="83"/>
    </row>
    <row r="83" spans="1:18" x14ac:dyDescent="0.2">
      <c r="G83" s="62">
        <f>+G69+G81</f>
        <v>735558</v>
      </c>
      <c r="H83" s="62"/>
      <c r="I83" s="62"/>
    </row>
    <row r="84" spans="1:18" x14ac:dyDescent="0.2">
      <c r="G84" s="62"/>
      <c r="H84" s="62"/>
      <c r="I84" s="62"/>
    </row>
    <row r="85" spans="1:18" x14ac:dyDescent="0.2">
      <c r="G85" s="62"/>
      <c r="H85" s="62"/>
      <c r="I85" s="62"/>
    </row>
    <row r="86" spans="1:18" x14ac:dyDescent="0.2">
      <c r="G86" s="62"/>
      <c r="H86" s="62"/>
      <c r="I86" s="62"/>
    </row>
    <row r="87" spans="1:18" x14ac:dyDescent="0.2">
      <c r="G87" s="62"/>
      <c r="H87" s="62"/>
      <c r="I87" s="62"/>
    </row>
  </sheetData>
  <autoFilter ref="A3:Z61" xr:uid="{00000000-0009-0000-0000-000001000000}">
    <filterColumn colId="13" showButton="0"/>
  </autoFilter>
  <mergeCells count="2">
    <mergeCell ref="N3:O3"/>
    <mergeCell ref="N74:O74"/>
  </mergeCells>
  <pageMargins left="0" right="0" top="0.78740157480314965" bottom="0.78740157480314965" header="0.31496062992125984" footer="0.31496062992125984"/>
  <pageSetup paperSize="9" scale="55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2D4A3-199D-D147-B22F-B612BB29F5B3}">
  <sheetPr codeName="Sheet3"/>
  <dimension ref="B2:V44"/>
  <sheetViews>
    <sheetView zoomScale="80" zoomScaleNormal="80" workbookViewId="0">
      <selection activeCell="B9" sqref="B9:B11"/>
    </sheetView>
  </sheetViews>
  <sheetFormatPr baseColWidth="10" defaultRowHeight="16" x14ac:dyDescent="0.2"/>
  <cols>
    <col min="3" max="3" width="13.33203125" style="50" customWidth="1"/>
    <col min="4" max="4" width="17.5" style="50" customWidth="1"/>
    <col min="5" max="5" width="17.1640625" style="50" customWidth="1"/>
    <col min="6" max="6" width="18" customWidth="1"/>
    <col min="7" max="7" width="15" style="102" customWidth="1"/>
    <col min="8" max="8" width="14.5" style="98" customWidth="1"/>
    <col min="9" max="9" width="23.5" customWidth="1"/>
    <col min="10" max="10" width="24.33203125" customWidth="1"/>
    <col min="11" max="11" width="26" customWidth="1"/>
    <col min="12" max="12" width="19.33203125" customWidth="1"/>
    <col min="13" max="13" width="17.83203125" style="50" customWidth="1"/>
    <col min="14" max="14" width="19.33203125" customWidth="1"/>
    <col min="17" max="17" width="21.83203125" customWidth="1"/>
  </cols>
  <sheetData>
    <row r="2" spans="2:17" x14ac:dyDescent="0.2">
      <c r="B2" s="103" t="s">
        <v>185</v>
      </c>
      <c r="C2" s="104" t="s">
        <v>16</v>
      </c>
      <c r="D2" s="104" t="s">
        <v>193</v>
      </c>
      <c r="E2" s="107" t="s">
        <v>198</v>
      </c>
      <c r="F2" s="104" t="s">
        <v>195</v>
      </c>
      <c r="G2" s="105" t="s">
        <v>196</v>
      </c>
      <c r="H2" s="106" t="s">
        <v>194</v>
      </c>
      <c r="I2" s="107" t="s">
        <v>197</v>
      </c>
      <c r="J2" s="107" t="s">
        <v>199</v>
      </c>
      <c r="K2" s="109" t="s">
        <v>206</v>
      </c>
      <c r="L2" s="109" t="s">
        <v>205</v>
      </c>
      <c r="M2" s="109" t="s">
        <v>203</v>
      </c>
      <c r="N2" s="109" t="s">
        <v>204</v>
      </c>
      <c r="O2" s="109" t="s">
        <v>207</v>
      </c>
      <c r="P2" s="109" t="s">
        <v>208</v>
      </c>
      <c r="Q2" s="110" t="s">
        <v>209</v>
      </c>
    </row>
    <row r="3" spans="2:17" x14ac:dyDescent="0.2">
      <c r="B3" t="s">
        <v>22</v>
      </c>
      <c r="C3" s="50" t="s">
        <v>91</v>
      </c>
      <c r="D3" s="100">
        <v>149846.78</v>
      </c>
      <c r="E3" s="100">
        <f t="shared" ref="E3:E12" si="0">F3/H3</f>
        <v>104892.7607461476</v>
      </c>
      <c r="F3" s="100">
        <v>646663.87</v>
      </c>
      <c r="G3" s="101">
        <v>533</v>
      </c>
      <c r="H3" s="99">
        <v>6.165</v>
      </c>
      <c r="I3" s="100">
        <f t="shared" ref="I3:I11" si="1">D3-E3</f>
        <v>44954.019253852399</v>
      </c>
      <c r="J3" s="100">
        <f t="shared" ref="J3:J12" si="2">I3*H3</f>
        <v>277141.52870000002</v>
      </c>
      <c r="K3" s="101">
        <v>551</v>
      </c>
      <c r="L3" s="50">
        <v>149838.78</v>
      </c>
      <c r="M3" s="50">
        <v>5.8236999999999997</v>
      </c>
      <c r="N3" s="50">
        <f>L3*M3</f>
        <v>872616.10308599996</v>
      </c>
      <c r="O3" s="100">
        <f>D3-L3</f>
        <v>8</v>
      </c>
      <c r="Q3" s="100">
        <f>N3-(J3+F3)</f>
        <v>-51189.295614000061</v>
      </c>
    </row>
    <row r="4" spans="2:17" x14ac:dyDescent="0.2">
      <c r="B4" t="s">
        <v>6</v>
      </c>
      <c r="C4" s="50" t="s">
        <v>1</v>
      </c>
      <c r="D4" s="100">
        <v>149000.19</v>
      </c>
      <c r="E4" s="100">
        <f t="shared" si="0"/>
        <v>79123.052831121735</v>
      </c>
      <c r="F4" s="100">
        <v>480000</v>
      </c>
      <c r="G4" s="101">
        <v>539</v>
      </c>
      <c r="H4" s="99">
        <v>6.0664999999999996</v>
      </c>
      <c r="I4" s="100">
        <f t="shared" si="1"/>
        <v>69877.137168878267</v>
      </c>
      <c r="J4" s="100">
        <f t="shared" si="2"/>
        <v>423909.65263500001</v>
      </c>
      <c r="K4" s="101">
        <v>552</v>
      </c>
    </row>
    <row r="5" spans="2:17" x14ac:dyDescent="0.2">
      <c r="B5" t="s">
        <v>3</v>
      </c>
      <c r="C5" s="50" t="s">
        <v>1</v>
      </c>
      <c r="D5" s="100">
        <v>149000.19</v>
      </c>
      <c r="E5" s="100">
        <f t="shared" si="0"/>
        <v>79123.052831121735</v>
      </c>
      <c r="F5" s="100">
        <v>480000</v>
      </c>
      <c r="G5" s="101">
        <v>538</v>
      </c>
      <c r="H5" s="99">
        <v>6.0664999999999996</v>
      </c>
      <c r="I5" s="100">
        <f t="shared" si="1"/>
        <v>69877.137168878267</v>
      </c>
      <c r="J5" s="100">
        <f t="shared" si="2"/>
        <v>423909.65263500001</v>
      </c>
      <c r="K5" s="101">
        <v>553</v>
      </c>
    </row>
    <row r="6" spans="2:17" x14ac:dyDescent="0.2">
      <c r="B6" t="s">
        <v>20</v>
      </c>
      <c r="C6" s="50" t="s">
        <v>19</v>
      </c>
      <c r="D6" s="100">
        <v>104000</v>
      </c>
      <c r="E6" s="100">
        <f t="shared" si="0"/>
        <v>72800.044209388769</v>
      </c>
      <c r="F6" s="100">
        <v>444611.71</v>
      </c>
      <c r="G6" s="101">
        <v>537</v>
      </c>
      <c r="H6" s="99">
        <v>6.1073000000000004</v>
      </c>
      <c r="I6" s="100">
        <f t="shared" si="1"/>
        <v>31199.955790611231</v>
      </c>
      <c r="J6" s="100">
        <f t="shared" si="2"/>
        <v>190547.49</v>
      </c>
      <c r="K6" s="101">
        <v>554</v>
      </c>
      <c r="L6" s="50">
        <f>25970</f>
        <v>25970</v>
      </c>
      <c r="M6" s="50">
        <v>5.8236999999999997</v>
      </c>
      <c r="N6" s="50">
        <f>L6*M6</f>
        <v>151241.489</v>
      </c>
      <c r="O6" s="100">
        <f>(D6/4-L6)</f>
        <v>30</v>
      </c>
      <c r="P6" s="100">
        <f>D6-L6-O6</f>
        <v>78000</v>
      </c>
      <c r="Q6" s="100">
        <f>N6-(J6+F6)/4</f>
        <v>-7548.310999999987</v>
      </c>
    </row>
    <row r="7" spans="2:17" x14ac:dyDescent="0.2">
      <c r="B7" t="s">
        <v>21</v>
      </c>
      <c r="C7" s="50" t="s">
        <v>19</v>
      </c>
      <c r="D7" s="100">
        <v>104000</v>
      </c>
      <c r="E7" s="100">
        <f t="shared" si="0"/>
        <v>62400.016704251233</v>
      </c>
      <c r="F7" s="100">
        <v>373557.7</v>
      </c>
      <c r="G7" s="101">
        <v>517</v>
      </c>
      <c r="H7" s="99">
        <v>5.9865000000000004</v>
      </c>
      <c r="I7" s="100">
        <f t="shared" si="1"/>
        <v>41599.983295748767</v>
      </c>
      <c r="J7" s="100">
        <f t="shared" si="2"/>
        <v>249038.30000000002</v>
      </c>
      <c r="K7" s="101">
        <v>555</v>
      </c>
    </row>
    <row r="8" spans="2:17" ht="17" customHeight="1" x14ac:dyDescent="0.2">
      <c r="B8" t="s">
        <v>200</v>
      </c>
      <c r="C8" s="50" t="s">
        <v>201</v>
      </c>
      <c r="D8" s="100">
        <v>88706.97</v>
      </c>
      <c r="E8" s="100">
        <f t="shared" si="0"/>
        <v>67059.996569010545</v>
      </c>
      <c r="F8" s="100">
        <v>351816.86</v>
      </c>
      <c r="G8" s="101">
        <v>279</v>
      </c>
      <c r="H8" s="99">
        <v>5.2462999999999997</v>
      </c>
      <c r="I8" s="100">
        <f t="shared" si="1"/>
        <v>21646.973430989456</v>
      </c>
      <c r="J8" s="100">
        <f t="shared" si="2"/>
        <v>113566.51671099997</v>
      </c>
      <c r="K8" s="101">
        <v>556</v>
      </c>
      <c r="L8" s="50">
        <v>30244</v>
      </c>
      <c r="M8" s="50">
        <v>5.76</v>
      </c>
      <c r="N8" s="50">
        <f>L8*M8</f>
        <v>174205.44</v>
      </c>
      <c r="O8" s="100">
        <f>30300-L8</f>
        <v>56</v>
      </c>
      <c r="P8" s="100">
        <f>D8-L8-O8</f>
        <v>58406.97</v>
      </c>
      <c r="Q8" s="100">
        <f>N8-(30300*H8)</f>
        <v>15242.550000000017</v>
      </c>
    </row>
    <row r="9" spans="2:17" x14ac:dyDescent="0.2">
      <c r="B9" t="s">
        <v>9</v>
      </c>
      <c r="C9" s="50" t="s">
        <v>1</v>
      </c>
      <c r="D9" s="100">
        <v>157995.23000000001</v>
      </c>
      <c r="E9" s="100">
        <f t="shared" si="0"/>
        <v>77262.108583014196</v>
      </c>
      <c r="F9" s="100">
        <v>445856.45</v>
      </c>
      <c r="G9" s="101">
        <v>504</v>
      </c>
      <c r="H9" s="99">
        <v>5.7706999999999997</v>
      </c>
      <c r="I9" s="100">
        <f t="shared" si="1"/>
        <v>80733.121416985814</v>
      </c>
      <c r="J9" s="100">
        <f t="shared" si="2"/>
        <v>465886.623761</v>
      </c>
      <c r="K9" s="101">
        <v>557</v>
      </c>
    </row>
    <row r="10" spans="2:17" x14ac:dyDescent="0.2">
      <c r="B10" t="s">
        <v>8</v>
      </c>
      <c r="C10" s="50" t="s">
        <v>1</v>
      </c>
      <c r="D10" s="100">
        <v>141063.39000000001</v>
      </c>
      <c r="E10" s="100">
        <f t="shared" si="0"/>
        <v>77262.108583014196</v>
      </c>
      <c r="F10" s="100">
        <v>445856.45</v>
      </c>
      <c r="G10" s="101">
        <v>506</v>
      </c>
      <c r="H10" s="99">
        <v>5.7706999999999997</v>
      </c>
      <c r="I10" s="100">
        <f t="shared" si="1"/>
        <v>63801.281416985817</v>
      </c>
      <c r="J10" s="100">
        <f t="shared" si="2"/>
        <v>368178.05467300006</v>
      </c>
      <c r="K10" s="101">
        <v>558</v>
      </c>
    </row>
    <row r="11" spans="2:17" x14ac:dyDescent="0.2">
      <c r="B11" t="s">
        <v>7</v>
      </c>
      <c r="C11" s="50" t="s">
        <v>1</v>
      </c>
      <c r="D11" s="100">
        <v>133444.06</v>
      </c>
      <c r="E11" s="100">
        <f t="shared" si="0"/>
        <v>77262.108583014196</v>
      </c>
      <c r="F11" s="100">
        <v>445856.45</v>
      </c>
      <c r="G11" s="101">
        <v>507</v>
      </c>
      <c r="H11" s="99">
        <v>5.7706999999999997</v>
      </c>
      <c r="I11" s="100">
        <f t="shared" si="1"/>
        <v>56181.951416985801</v>
      </c>
      <c r="J11" s="100">
        <f t="shared" si="2"/>
        <v>324209.18704199995</v>
      </c>
      <c r="K11" s="101">
        <v>559</v>
      </c>
    </row>
    <row r="12" spans="2:17" x14ac:dyDescent="0.2">
      <c r="B12" t="s">
        <v>202</v>
      </c>
      <c r="C12" s="50" t="s">
        <v>1</v>
      </c>
      <c r="D12" s="100">
        <v>122438.37</v>
      </c>
      <c r="E12" s="100">
        <f t="shared" si="0"/>
        <v>104723.03519241202</v>
      </c>
      <c r="F12" s="100">
        <v>598418.84</v>
      </c>
      <c r="G12" s="101">
        <v>470</v>
      </c>
      <c r="H12" s="99">
        <v>5.7142999999999997</v>
      </c>
      <c r="I12" s="108">
        <f>D12-E12-11365.47</f>
        <v>6349.8648075879773</v>
      </c>
      <c r="J12" s="100">
        <f t="shared" si="2"/>
        <v>36285.032469999976</v>
      </c>
      <c r="K12" s="101">
        <v>560</v>
      </c>
      <c r="L12">
        <f>638669/E12</f>
        <v>6.0986486767361807</v>
      </c>
      <c r="O12" s="50"/>
    </row>
    <row r="13" spans="2:17" x14ac:dyDescent="0.2">
      <c r="D13" s="100"/>
      <c r="E13" s="100"/>
      <c r="F13" s="100"/>
      <c r="G13" s="101"/>
      <c r="H13" s="99"/>
      <c r="I13" s="100"/>
      <c r="J13" s="100"/>
    </row>
    <row r="14" spans="2:17" x14ac:dyDescent="0.2">
      <c r="D14" s="100"/>
      <c r="E14" s="100"/>
      <c r="F14" s="100"/>
      <c r="G14" s="101"/>
      <c r="H14" s="99"/>
      <c r="I14" s="100"/>
      <c r="J14" s="100"/>
    </row>
    <row r="15" spans="2:17" x14ac:dyDescent="0.2">
      <c r="D15" s="100"/>
      <c r="E15" s="100"/>
      <c r="F15" s="100"/>
      <c r="G15" s="101"/>
      <c r="H15" s="99"/>
      <c r="I15" s="100"/>
      <c r="J15" s="100"/>
    </row>
    <row r="16" spans="2:17" x14ac:dyDescent="0.2">
      <c r="D16" s="100"/>
      <c r="E16" s="100"/>
      <c r="F16" s="100"/>
      <c r="G16" s="101"/>
      <c r="H16" s="99"/>
      <c r="I16" s="100"/>
      <c r="J16" s="100"/>
    </row>
    <row r="17" spans="2:22" x14ac:dyDescent="0.2">
      <c r="D17" s="100"/>
      <c r="E17" s="100"/>
      <c r="F17" s="100"/>
      <c r="G17" s="101"/>
      <c r="H17" s="99"/>
      <c r="I17" s="100"/>
      <c r="J17" s="100"/>
    </row>
    <row r="18" spans="2:22" x14ac:dyDescent="0.2">
      <c r="D18" s="100"/>
      <c r="E18" s="100"/>
      <c r="F18" s="100"/>
      <c r="G18" s="101"/>
      <c r="H18" s="99"/>
      <c r="I18" s="100"/>
      <c r="J18" s="100"/>
    </row>
    <row r="19" spans="2:22" x14ac:dyDescent="0.2">
      <c r="D19" s="100"/>
      <c r="E19" s="100"/>
      <c r="F19" s="100"/>
      <c r="G19" s="101"/>
      <c r="H19" s="99"/>
      <c r="I19" s="100"/>
      <c r="J19" s="100"/>
    </row>
    <row r="20" spans="2:22" ht="16" customHeight="1" x14ac:dyDescent="0.2">
      <c r="B20" s="111" t="s">
        <v>210</v>
      </c>
      <c r="C20" s="112" t="s">
        <v>211</v>
      </c>
      <c r="D20" s="111" t="s">
        <v>227</v>
      </c>
      <c r="E20" s="111" t="s">
        <v>212</v>
      </c>
      <c r="F20" s="111" t="s">
        <v>213</v>
      </c>
      <c r="G20" s="111" t="s">
        <v>214</v>
      </c>
      <c r="H20" s="111" t="s">
        <v>215</v>
      </c>
      <c r="I20" s="111" t="s">
        <v>216</v>
      </c>
      <c r="J20" s="113" t="s">
        <v>23</v>
      </c>
      <c r="K20" s="114" t="s">
        <v>93</v>
      </c>
      <c r="L20" s="114" t="s">
        <v>217</v>
      </c>
      <c r="M20" s="114" t="s">
        <v>218</v>
      </c>
      <c r="N20" s="151" t="s">
        <v>219</v>
      </c>
    </row>
    <row r="21" spans="2:22" ht="16" customHeight="1" x14ac:dyDescent="0.2">
      <c r="B21" s="115">
        <v>2024</v>
      </c>
      <c r="C21" s="124">
        <v>3320241350600</v>
      </c>
      <c r="D21" s="116">
        <v>45636.455324074072</v>
      </c>
      <c r="E21" s="117">
        <v>342869.76000000001</v>
      </c>
      <c r="F21" s="125">
        <v>6.0350000000000001</v>
      </c>
      <c r="G21" s="126">
        <v>2069219</v>
      </c>
      <c r="H21" s="127">
        <v>45636</v>
      </c>
      <c r="I21" s="127">
        <v>45636</v>
      </c>
      <c r="J21" s="122" t="s">
        <v>220</v>
      </c>
      <c r="K21" s="119" t="s">
        <v>221</v>
      </c>
      <c r="L21" s="120">
        <f>619257.02*3</f>
        <v>1857771.06</v>
      </c>
      <c r="M21" s="119">
        <f>5.4183</f>
        <v>5.4183000000000003</v>
      </c>
      <c r="N21" s="120">
        <f>G21-L21</f>
        <v>211447.93999999994</v>
      </c>
    </row>
    <row r="22" spans="2:22" ht="16" customHeight="1" x14ac:dyDescent="0.2">
      <c r="B22" s="115">
        <v>2024</v>
      </c>
      <c r="C22" s="124">
        <v>3320241239879</v>
      </c>
      <c r="D22" s="116">
        <v>45608.536122685182</v>
      </c>
      <c r="E22" s="117">
        <v>30244</v>
      </c>
      <c r="F22" s="125">
        <v>5.76</v>
      </c>
      <c r="G22" s="126">
        <v>174205.44</v>
      </c>
      <c r="H22" s="127">
        <v>45610</v>
      </c>
      <c r="I22" s="127">
        <v>45610</v>
      </c>
      <c r="J22" s="122" t="s">
        <v>222</v>
      </c>
      <c r="K22" s="119">
        <v>279</v>
      </c>
      <c r="L22" s="120">
        <v>351816.86</v>
      </c>
      <c r="M22" s="119">
        <v>5.2462999999999997</v>
      </c>
      <c r="N22" s="120">
        <f>G22-L22*(30300/88706.97)</f>
        <v>54033.926329766429</v>
      </c>
    </row>
    <row r="23" spans="2:22" ht="16" customHeight="1" x14ac:dyDescent="0.2">
      <c r="B23" s="115">
        <v>2024</v>
      </c>
      <c r="C23" s="124">
        <v>3320241216036</v>
      </c>
      <c r="D23" s="116">
        <v>45602.551307870373</v>
      </c>
      <c r="E23" s="117">
        <v>101612.2</v>
      </c>
      <c r="F23" s="125">
        <v>5.7</v>
      </c>
      <c r="G23" s="126">
        <v>579189.54</v>
      </c>
      <c r="H23" s="127">
        <v>45602</v>
      </c>
      <c r="I23" s="127">
        <v>45602</v>
      </c>
      <c r="J23" s="122" t="s">
        <v>223</v>
      </c>
      <c r="K23" s="119">
        <v>322</v>
      </c>
      <c r="L23" s="120">
        <v>552577.31000000006</v>
      </c>
      <c r="M23" s="119">
        <v>5.4381000000000004</v>
      </c>
      <c r="N23" s="120">
        <f>G23-L23</f>
        <v>26612.229999999981</v>
      </c>
    </row>
    <row r="24" spans="2:22" ht="16" customHeight="1" x14ac:dyDescent="0.2">
      <c r="B24" s="115">
        <v>2024</v>
      </c>
      <c r="C24" s="124">
        <v>3320241215986</v>
      </c>
      <c r="D24" s="116">
        <v>45602.551307870373</v>
      </c>
      <c r="E24" s="117">
        <v>100490.47</v>
      </c>
      <c r="F24" s="125">
        <v>5.7</v>
      </c>
      <c r="G24" s="126">
        <v>572795.68000000005</v>
      </c>
      <c r="H24" s="127">
        <v>45602</v>
      </c>
      <c r="I24" s="127">
        <v>45602</v>
      </c>
      <c r="J24" s="122" t="s">
        <v>1</v>
      </c>
      <c r="K24" s="119">
        <v>288</v>
      </c>
      <c r="L24" s="120">
        <v>541488.21</v>
      </c>
      <c r="M24" s="119">
        <v>5.3884999999999996</v>
      </c>
      <c r="N24" s="120">
        <f>G24-L24</f>
        <v>31307.470000000088</v>
      </c>
    </row>
    <row r="25" spans="2:22" ht="16" customHeight="1" x14ac:dyDescent="0.2">
      <c r="B25" s="115">
        <v>2024</v>
      </c>
      <c r="C25" s="124">
        <v>332024757713</v>
      </c>
      <c r="D25" s="116">
        <v>45490.524618055555</v>
      </c>
      <c r="E25" s="117">
        <v>240723.20000000001</v>
      </c>
      <c r="F25" s="125">
        <v>5.46</v>
      </c>
      <c r="G25" s="126">
        <v>1314348.67</v>
      </c>
      <c r="H25" s="127">
        <v>45490</v>
      </c>
      <c r="I25" s="127">
        <v>45490</v>
      </c>
      <c r="J25" s="122" t="s">
        <v>1</v>
      </c>
      <c r="K25" s="119" t="s">
        <v>224</v>
      </c>
      <c r="L25" s="120">
        <f>L34+L35+L36</f>
        <v>1252954.3299999998</v>
      </c>
      <c r="M25" s="119">
        <v>5.0880999999999998</v>
      </c>
      <c r="N25" s="120">
        <f>G25-L25</f>
        <v>61394.340000000084</v>
      </c>
    </row>
    <row r="26" spans="2:22" ht="16" customHeight="1" x14ac:dyDescent="0.2">
      <c r="B26" s="115">
        <v>2024</v>
      </c>
      <c r="C26" s="124">
        <v>332024500052</v>
      </c>
      <c r="D26" s="116">
        <v>45425.706458333334</v>
      </c>
      <c r="E26" s="117">
        <v>84108.800000000003</v>
      </c>
      <c r="F26" s="125">
        <v>5.1379999999999999</v>
      </c>
      <c r="G26" s="126">
        <v>432151.01</v>
      </c>
      <c r="H26" s="127">
        <v>45427</v>
      </c>
      <c r="I26" s="127">
        <v>45427</v>
      </c>
      <c r="J26" s="122" t="s">
        <v>1</v>
      </c>
      <c r="K26" s="119">
        <v>274</v>
      </c>
      <c r="L26" s="120">
        <v>389977.69</v>
      </c>
      <c r="M26" s="119">
        <v>4.9801000000000002</v>
      </c>
      <c r="N26" s="120">
        <f>G26-L26</f>
        <v>42173.320000000007</v>
      </c>
    </row>
    <row r="27" spans="2:22" ht="16" customHeight="1" x14ac:dyDescent="0.2">
      <c r="B27" s="115">
        <v>2024</v>
      </c>
      <c r="C27" s="124">
        <v>332024154765</v>
      </c>
      <c r="D27" s="116">
        <v>45336.542430555557</v>
      </c>
      <c r="E27" s="121">
        <v>-1500</v>
      </c>
      <c r="F27" s="125">
        <v>5.0641999999999996</v>
      </c>
      <c r="G27" s="128">
        <v>-7596.3</v>
      </c>
      <c r="H27" s="127">
        <v>45336</v>
      </c>
      <c r="I27" s="127">
        <v>45336</v>
      </c>
      <c r="J27" s="122"/>
      <c r="K27" s="119"/>
      <c r="L27" s="120"/>
      <c r="M27" s="119"/>
      <c r="N27" s="119"/>
    </row>
    <row r="28" spans="2:22" ht="16" customHeight="1" x14ac:dyDescent="0.2">
      <c r="B28" s="115">
        <v>2025</v>
      </c>
      <c r="C28" s="124">
        <v>332025127966</v>
      </c>
      <c r="D28" s="116">
        <v>45688.625474537039</v>
      </c>
      <c r="E28" s="117">
        <v>25970</v>
      </c>
      <c r="F28" s="125">
        <v>5.8236999999999997</v>
      </c>
      <c r="G28" s="126">
        <v>151241.49</v>
      </c>
      <c r="H28" s="127">
        <v>45688</v>
      </c>
      <c r="I28" s="127">
        <v>45688</v>
      </c>
      <c r="J28" s="122" t="s">
        <v>225</v>
      </c>
      <c r="K28" s="119">
        <v>537</v>
      </c>
      <c r="L28" s="120">
        <v>444611.71</v>
      </c>
      <c r="M28" s="119">
        <v>6.1073000000000004</v>
      </c>
      <c r="N28" s="120">
        <f>G28-L28/4</f>
        <v>40088.562499999985</v>
      </c>
    </row>
    <row r="29" spans="2:22" ht="16" customHeight="1" x14ac:dyDescent="0.2">
      <c r="B29" s="115">
        <v>2025</v>
      </c>
      <c r="C29" s="124">
        <v>332025128264</v>
      </c>
      <c r="D29" s="116">
        <v>45688.625474537039</v>
      </c>
      <c r="E29" s="117">
        <v>149838.78</v>
      </c>
      <c r="F29" s="125">
        <v>5.8236999999999997</v>
      </c>
      <c r="G29" s="126">
        <v>872616.1</v>
      </c>
      <c r="H29" s="127">
        <v>45688</v>
      </c>
      <c r="I29" s="127">
        <v>45688</v>
      </c>
      <c r="J29" s="122" t="s">
        <v>226</v>
      </c>
      <c r="K29" s="119">
        <v>533</v>
      </c>
      <c r="L29" s="120">
        <v>646663.87</v>
      </c>
      <c r="M29" s="119">
        <v>6.165</v>
      </c>
      <c r="N29" s="120">
        <f>G29-L29</f>
        <v>225952.22999999998</v>
      </c>
    </row>
    <row r="30" spans="2:22" x14ac:dyDescent="0.2">
      <c r="B30" s="118"/>
      <c r="C30" s="118"/>
      <c r="D30" s="118"/>
      <c r="E30" s="123"/>
      <c r="F30" s="118"/>
      <c r="G30" s="118"/>
      <c r="H30" s="118"/>
      <c r="I30" s="118"/>
      <c r="J30" s="118"/>
      <c r="K30" s="118"/>
      <c r="L30" s="118"/>
      <c r="M30" s="119"/>
      <c r="N30" s="118"/>
      <c r="O30" s="118"/>
      <c r="P30" s="118"/>
      <c r="Q30" s="118"/>
      <c r="R30" s="118"/>
      <c r="S30" s="118"/>
      <c r="T30" s="118"/>
      <c r="U30" s="118"/>
      <c r="V30" s="118"/>
    </row>
    <row r="31" spans="2:22" x14ac:dyDescent="0.2">
      <c r="B31" s="118"/>
      <c r="C31" s="118"/>
      <c r="D31" s="118"/>
      <c r="E31" s="123"/>
      <c r="F31" s="118"/>
      <c r="G31" s="118"/>
      <c r="H31" s="118"/>
      <c r="I31" s="118"/>
      <c r="J31" s="118"/>
      <c r="K31" s="118"/>
      <c r="L31" s="118"/>
      <c r="M31" s="119"/>
      <c r="N31" s="118"/>
      <c r="O31" s="118"/>
      <c r="P31" s="118"/>
      <c r="Q31" s="118"/>
      <c r="R31" s="118"/>
      <c r="S31" s="118"/>
      <c r="T31" s="118"/>
      <c r="U31" s="118"/>
      <c r="V31" s="118"/>
    </row>
    <row r="32" spans="2:22" x14ac:dyDescent="0.2">
      <c r="B32" s="118"/>
      <c r="C32" s="118"/>
      <c r="D32" s="118"/>
      <c r="E32" s="123"/>
      <c r="F32" s="118"/>
      <c r="G32" s="118"/>
      <c r="H32" s="118"/>
      <c r="I32" s="118"/>
      <c r="J32" s="118"/>
      <c r="K32" s="118"/>
      <c r="L32" s="118"/>
      <c r="M32" s="119"/>
      <c r="N32" s="118"/>
      <c r="O32" s="118"/>
      <c r="P32" s="118"/>
      <c r="Q32" s="118"/>
      <c r="R32" s="118"/>
      <c r="S32" s="118"/>
      <c r="T32" s="118"/>
      <c r="U32" s="118"/>
      <c r="V32" s="118"/>
    </row>
    <row r="33" spans="2:18" x14ac:dyDescent="0.2">
      <c r="B33" s="118"/>
      <c r="C33" s="118"/>
      <c r="D33" s="118"/>
      <c r="E33" s="123"/>
      <c r="F33" s="118"/>
      <c r="G33" s="118"/>
      <c r="H33" s="118"/>
      <c r="I33" s="118"/>
      <c r="J33" s="118"/>
      <c r="K33" s="118"/>
      <c r="L33" s="118"/>
      <c r="M33" s="119"/>
      <c r="N33" s="118"/>
      <c r="O33" s="118"/>
      <c r="Q33" s="118"/>
      <c r="R33" s="118"/>
    </row>
    <row r="34" spans="2:18" x14ac:dyDescent="0.2">
      <c r="B34" s="118"/>
      <c r="C34" s="118"/>
      <c r="D34" s="118"/>
      <c r="E34" s="123"/>
      <c r="F34" s="118"/>
      <c r="G34" s="118"/>
      <c r="H34" s="118"/>
      <c r="I34" s="118"/>
      <c r="J34" s="118"/>
      <c r="K34" s="119">
        <v>283</v>
      </c>
      <c r="L34" s="119">
        <v>444105.6</v>
      </c>
      <c r="M34" s="119">
        <v>5.0880999999999998</v>
      </c>
      <c r="N34" s="120">
        <f>SUM(N21:N29)</f>
        <v>693010.01882976643</v>
      </c>
      <c r="O34" s="118"/>
      <c r="P34" s="118"/>
      <c r="Q34" s="118"/>
      <c r="R34" s="118"/>
    </row>
    <row r="35" spans="2:18" x14ac:dyDescent="0.2">
      <c r="B35" s="118"/>
      <c r="C35" s="118"/>
      <c r="D35" s="118"/>
      <c r="E35" s="123"/>
      <c r="F35" s="118"/>
      <c r="G35" s="118"/>
      <c r="H35" s="118"/>
      <c r="I35" s="118"/>
      <c r="J35" s="118"/>
      <c r="K35" s="119">
        <v>276</v>
      </c>
      <c r="L35" s="119">
        <v>418871.03999999998</v>
      </c>
      <c r="M35" s="119">
        <v>4.9801000000000002</v>
      </c>
      <c r="P35" s="118"/>
      <c r="Q35" s="118"/>
      <c r="R35" s="118"/>
    </row>
    <row r="36" spans="2:18" x14ac:dyDescent="0.2">
      <c r="B36" s="118"/>
      <c r="C36" s="118"/>
      <c r="D36" s="118"/>
      <c r="E36" s="123"/>
      <c r="F36" s="118"/>
      <c r="G36" s="118"/>
      <c r="H36" s="118"/>
      <c r="I36" s="118"/>
      <c r="J36" s="118"/>
      <c r="K36" s="119">
        <v>275</v>
      </c>
      <c r="L36" s="119">
        <v>389977.69</v>
      </c>
      <c r="M36" s="119">
        <v>4.9801000000000002</v>
      </c>
      <c r="P36" s="118"/>
      <c r="Q36" s="118"/>
      <c r="R36" s="118"/>
    </row>
    <row r="37" spans="2:18" x14ac:dyDescent="0.2">
      <c r="B37" s="118"/>
      <c r="C37" s="118"/>
      <c r="D37" s="118"/>
      <c r="E37" s="123"/>
      <c r="F37" s="118"/>
      <c r="G37" s="118"/>
      <c r="H37" s="118"/>
      <c r="I37" s="118"/>
      <c r="J37" s="118"/>
      <c r="K37" s="119">
        <v>274</v>
      </c>
      <c r="L37" s="119">
        <v>389977.69</v>
      </c>
      <c r="M37" s="119">
        <v>4.9801000000000002</v>
      </c>
      <c r="P37" s="118"/>
      <c r="Q37" s="118"/>
      <c r="R37" s="118"/>
    </row>
    <row r="38" spans="2:18" x14ac:dyDescent="0.2">
      <c r="B38" s="118"/>
      <c r="C38" s="118"/>
      <c r="D38" s="118"/>
      <c r="E38" s="123"/>
      <c r="F38" s="118"/>
      <c r="G38" s="118"/>
      <c r="H38" s="118"/>
      <c r="I38" s="118"/>
      <c r="J38" s="118"/>
      <c r="K38" s="118"/>
      <c r="L38" s="118"/>
      <c r="P38" s="118"/>
      <c r="Q38" s="118"/>
      <c r="R38" s="118"/>
    </row>
    <row r="39" spans="2:18" x14ac:dyDescent="0.2">
      <c r="D39" s="100"/>
      <c r="E39" s="100"/>
      <c r="F39" s="100"/>
      <c r="G39" s="101"/>
      <c r="H39" s="99"/>
      <c r="I39" s="100"/>
      <c r="J39" s="100"/>
    </row>
    <row r="40" spans="2:18" x14ac:dyDescent="0.2">
      <c r="D40" s="100"/>
      <c r="E40" s="100"/>
      <c r="F40" s="100"/>
      <c r="G40" s="101"/>
      <c r="H40" s="99"/>
      <c r="I40" s="100"/>
      <c r="J40" s="100"/>
    </row>
    <row r="41" spans="2:18" x14ac:dyDescent="0.2">
      <c r="D41" s="100"/>
      <c r="E41" s="100"/>
      <c r="F41" s="100"/>
      <c r="G41" s="101"/>
      <c r="H41" s="99"/>
      <c r="I41" s="100"/>
      <c r="J41" s="100"/>
    </row>
    <row r="42" spans="2:18" x14ac:dyDescent="0.2">
      <c r="D42" s="100"/>
      <c r="E42" s="100"/>
      <c r="F42" s="100"/>
      <c r="G42" s="101"/>
      <c r="H42" s="99"/>
      <c r="I42" s="100"/>
      <c r="J42" s="100"/>
    </row>
    <row r="43" spans="2:18" x14ac:dyDescent="0.2">
      <c r="D43" s="100"/>
      <c r="E43" s="100"/>
      <c r="F43" s="100"/>
      <c r="G43" s="101"/>
      <c r="H43" s="99"/>
      <c r="I43" s="100"/>
      <c r="J43" s="100"/>
    </row>
    <row r="44" spans="2:18" x14ac:dyDescent="0.2">
      <c r="D44" s="100"/>
      <c r="E44" s="100"/>
      <c r="F44" s="100"/>
      <c r="G44" s="101"/>
      <c r="H44" s="99"/>
      <c r="I44" s="100"/>
      <c r="J44" s="100"/>
    </row>
  </sheetData>
  <pageMargins left="0.7" right="0.7" top="0.75" bottom="0.75" header="0.3" footer="0.3"/>
  <pageSetup paperSize="9" orientation="portrait" horizontalDpi="0" verticalDpi="0"/>
  <ignoredErrors>
    <ignoredError sqref="N22" formula="1"/>
  </ignoredErrors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3C004-C3D8-3E41-95C2-542A5BB65277}">
  <dimension ref="B2:P29"/>
  <sheetViews>
    <sheetView workbookViewId="0">
      <selection activeCell="L24" sqref="L24"/>
    </sheetView>
  </sheetViews>
  <sheetFormatPr baseColWidth="10" defaultRowHeight="16" x14ac:dyDescent="0.2"/>
  <cols>
    <col min="1" max="1" width="10.83203125" style="4"/>
    <col min="2" max="2" width="16" style="4" customWidth="1"/>
    <col min="3" max="13" width="14" style="4" customWidth="1"/>
    <col min="14" max="14" width="25.5" style="4" customWidth="1"/>
    <col min="15" max="16384" width="10.83203125" style="4"/>
  </cols>
  <sheetData>
    <row r="2" spans="2:16" x14ac:dyDescent="0.2">
      <c r="B2" s="130" t="s">
        <v>228</v>
      </c>
      <c r="C2" s="130">
        <v>10</v>
      </c>
      <c r="D2" s="131"/>
      <c r="E2" s="131"/>
      <c r="F2" s="131"/>
      <c r="G2" s="131"/>
      <c r="H2" s="131"/>
      <c r="I2" s="131"/>
      <c r="J2" s="131"/>
      <c r="K2" s="131"/>
      <c r="L2" s="131"/>
      <c r="M2" s="1"/>
    </row>
    <row r="3" spans="2:16" s="129" customFormat="1" ht="20" customHeight="1" x14ac:dyDescent="0.2">
      <c r="B3" s="132">
        <v>0.1</v>
      </c>
      <c r="C3" s="132" t="s">
        <v>229</v>
      </c>
      <c r="D3" s="132">
        <f>E3-$C$2</f>
        <v>340</v>
      </c>
      <c r="E3" s="132">
        <f>F3-$C$2</f>
        <v>350</v>
      </c>
      <c r="F3" s="132">
        <f>G3-$C$2</f>
        <v>360</v>
      </c>
      <c r="G3" s="132">
        <f>H3-$C$2</f>
        <v>370</v>
      </c>
      <c r="H3" s="132">
        <v>380</v>
      </c>
      <c r="I3" s="132">
        <f>H3+$C$2</f>
        <v>390</v>
      </c>
      <c r="J3" s="132">
        <f>I3+$C$2</f>
        <v>400</v>
      </c>
      <c r="K3" s="132">
        <f>J3+$C$2</f>
        <v>410</v>
      </c>
      <c r="L3" s="132">
        <f>K3+$C$2</f>
        <v>420</v>
      </c>
      <c r="M3" s="86"/>
    </row>
    <row r="4" spans="2:16" s="129" customFormat="1" ht="20" customHeight="1" x14ac:dyDescent="0.2">
      <c r="B4" s="133"/>
      <c r="C4" s="134">
        <f>C5-$B$3</f>
        <v>5.3000000000000016</v>
      </c>
      <c r="D4" s="135" t="e">
        <f t="shared" ref="D4:L14" si="0">($B$7-D$3)*$B$9*$C4*1.3228/1000000</f>
        <v>#REF!</v>
      </c>
      <c r="E4" s="135" t="e">
        <f t="shared" si="0"/>
        <v>#REF!</v>
      </c>
      <c r="F4" s="135" t="e">
        <f t="shared" si="0"/>
        <v>#REF!</v>
      </c>
      <c r="G4" s="135" t="e">
        <f t="shared" si="0"/>
        <v>#REF!</v>
      </c>
      <c r="H4" s="135" t="e">
        <f t="shared" si="0"/>
        <v>#REF!</v>
      </c>
      <c r="I4" s="135" t="e">
        <f t="shared" si="0"/>
        <v>#REF!</v>
      </c>
      <c r="J4" s="135" t="e">
        <f t="shared" si="0"/>
        <v>#REF!</v>
      </c>
      <c r="K4" s="135" t="e">
        <f t="shared" si="0"/>
        <v>#REF!</v>
      </c>
      <c r="L4" s="135" t="e">
        <f t="shared" si="0"/>
        <v>#REF!</v>
      </c>
      <c r="M4" s="150"/>
      <c r="N4" s="129" t="s">
        <v>251</v>
      </c>
      <c r="O4" s="129">
        <v>132</v>
      </c>
      <c r="P4" s="129" t="s">
        <v>248</v>
      </c>
    </row>
    <row r="5" spans="2:16" s="129" customFormat="1" ht="20" customHeight="1" x14ac:dyDescent="0.2">
      <c r="B5" s="133"/>
      <c r="C5" s="134">
        <f>C6-$B$3</f>
        <v>5.4000000000000012</v>
      </c>
      <c r="D5" s="135" t="e">
        <f t="shared" si="0"/>
        <v>#REF!</v>
      </c>
      <c r="E5" s="135" t="e">
        <f t="shared" si="0"/>
        <v>#REF!</v>
      </c>
      <c r="F5" s="135" t="e">
        <f t="shared" si="0"/>
        <v>#REF!</v>
      </c>
      <c r="G5" s="135" t="e">
        <f t="shared" si="0"/>
        <v>#REF!</v>
      </c>
      <c r="H5" s="135" t="e">
        <f t="shared" si="0"/>
        <v>#REF!</v>
      </c>
      <c r="I5" s="135" t="e">
        <f t="shared" si="0"/>
        <v>#REF!</v>
      </c>
      <c r="J5" s="135" t="e">
        <f t="shared" si="0"/>
        <v>#REF!</v>
      </c>
      <c r="K5" s="135" t="e">
        <f t="shared" si="0"/>
        <v>#REF!</v>
      </c>
      <c r="L5" s="135" t="e">
        <f t="shared" si="0"/>
        <v>#REF!</v>
      </c>
      <c r="M5" s="150"/>
      <c r="N5" s="148" t="s">
        <v>249</v>
      </c>
      <c r="O5" s="129">
        <v>300</v>
      </c>
      <c r="P5" s="129" t="s">
        <v>250</v>
      </c>
    </row>
    <row r="6" spans="2:16" s="129" customFormat="1" ht="20" customHeight="1" x14ac:dyDescent="0.2">
      <c r="B6" s="132" t="s">
        <v>231</v>
      </c>
      <c r="C6" s="134">
        <f>C7-$B$3</f>
        <v>5.5000000000000009</v>
      </c>
      <c r="D6" s="135" t="e">
        <f t="shared" si="0"/>
        <v>#REF!</v>
      </c>
      <c r="E6" s="135" t="e">
        <f t="shared" si="0"/>
        <v>#REF!</v>
      </c>
      <c r="F6" s="135" t="e">
        <f t="shared" si="0"/>
        <v>#REF!</v>
      </c>
      <c r="G6" s="135" t="e">
        <f t="shared" si="0"/>
        <v>#REF!</v>
      </c>
      <c r="H6" s="135" t="e">
        <f t="shared" si="0"/>
        <v>#REF!</v>
      </c>
      <c r="I6" s="135" t="e">
        <f t="shared" si="0"/>
        <v>#REF!</v>
      </c>
      <c r="J6" s="135" t="e">
        <f t="shared" si="0"/>
        <v>#REF!</v>
      </c>
      <c r="K6" s="135" t="e">
        <f t="shared" si="0"/>
        <v>#REF!</v>
      </c>
      <c r="L6" s="135" t="e">
        <f t="shared" si="0"/>
        <v>#REF!</v>
      </c>
      <c r="M6" s="150"/>
    </row>
    <row r="7" spans="2:16" s="129" customFormat="1" ht="20" customHeight="1" x14ac:dyDescent="0.2">
      <c r="B7" s="134" t="e">
        <f>(#REF!*#REF!+#REF!*#REF!+#REF!*#REF!)/SUM(#REF!)</f>
        <v>#REF!</v>
      </c>
      <c r="C7" s="134">
        <f>C8-$B$3</f>
        <v>5.6000000000000005</v>
      </c>
      <c r="D7" s="135" t="e">
        <f t="shared" si="0"/>
        <v>#REF!</v>
      </c>
      <c r="E7" s="135" t="e">
        <f t="shared" si="0"/>
        <v>#REF!</v>
      </c>
      <c r="F7" s="135" t="e">
        <f t="shared" si="0"/>
        <v>#REF!</v>
      </c>
      <c r="G7" s="135" t="e">
        <f t="shared" si="0"/>
        <v>#REF!</v>
      </c>
      <c r="H7" s="135" t="e">
        <f t="shared" si="0"/>
        <v>#REF!</v>
      </c>
      <c r="I7" s="135" t="e">
        <f t="shared" si="0"/>
        <v>#REF!</v>
      </c>
      <c r="J7" s="135" t="e">
        <f t="shared" si="0"/>
        <v>#REF!</v>
      </c>
      <c r="K7" s="135" t="e">
        <f t="shared" si="0"/>
        <v>#REF!</v>
      </c>
      <c r="L7" s="135" t="e">
        <f t="shared" si="0"/>
        <v>#REF!</v>
      </c>
      <c r="M7" s="150"/>
    </row>
    <row r="8" spans="2:16" s="129" customFormat="1" ht="20" customHeight="1" x14ac:dyDescent="0.2">
      <c r="B8" s="132" t="s">
        <v>233</v>
      </c>
      <c r="C8" s="134">
        <f>C9-$B$3</f>
        <v>5.7</v>
      </c>
      <c r="D8" s="135" t="e">
        <f t="shared" si="0"/>
        <v>#REF!</v>
      </c>
      <c r="E8" s="135" t="e">
        <f t="shared" si="0"/>
        <v>#REF!</v>
      </c>
      <c r="F8" s="135" t="e">
        <f t="shared" si="0"/>
        <v>#REF!</v>
      </c>
      <c r="G8" s="135" t="e">
        <f t="shared" si="0"/>
        <v>#REF!</v>
      </c>
      <c r="H8" s="135" t="e">
        <f t="shared" si="0"/>
        <v>#REF!</v>
      </c>
      <c r="I8" s="135" t="e">
        <f t="shared" si="0"/>
        <v>#REF!</v>
      </c>
      <c r="J8" s="135" t="e">
        <f t="shared" si="0"/>
        <v>#REF!</v>
      </c>
      <c r="K8" s="135" t="e">
        <f t="shared" si="0"/>
        <v>#REF!</v>
      </c>
      <c r="L8" s="135" t="e">
        <f t="shared" si="0"/>
        <v>#REF!</v>
      </c>
      <c r="M8" s="150"/>
    </row>
    <row r="9" spans="2:16" s="129" customFormat="1" ht="20" customHeight="1" x14ac:dyDescent="0.2">
      <c r="B9" s="136" t="e">
        <f>SUM(#REF!)</f>
        <v>#REF!</v>
      </c>
      <c r="C9" s="134">
        <v>5.8</v>
      </c>
      <c r="D9" s="135" t="e">
        <f t="shared" si="0"/>
        <v>#REF!</v>
      </c>
      <c r="E9" s="135" t="e">
        <f t="shared" si="0"/>
        <v>#REF!</v>
      </c>
      <c r="F9" s="135" t="e">
        <f t="shared" si="0"/>
        <v>#REF!</v>
      </c>
      <c r="G9" s="135" t="e">
        <f t="shared" si="0"/>
        <v>#REF!</v>
      </c>
      <c r="H9" s="137" t="e">
        <f t="shared" si="0"/>
        <v>#REF!</v>
      </c>
      <c r="I9" s="135" t="e">
        <f t="shared" si="0"/>
        <v>#REF!</v>
      </c>
      <c r="J9" s="135" t="e">
        <f t="shared" si="0"/>
        <v>#REF!</v>
      </c>
      <c r="K9" s="135" t="e">
        <f t="shared" si="0"/>
        <v>#REF!</v>
      </c>
      <c r="L9" s="135" t="e">
        <f t="shared" si="0"/>
        <v>#REF!</v>
      </c>
      <c r="M9" s="150"/>
    </row>
    <row r="10" spans="2:16" s="129" customFormat="1" ht="20" customHeight="1" x14ac:dyDescent="0.2">
      <c r="B10" s="133"/>
      <c r="C10" s="134">
        <f>C9+$B$3</f>
        <v>5.8999999999999995</v>
      </c>
      <c r="D10" s="135" t="e">
        <f t="shared" si="0"/>
        <v>#REF!</v>
      </c>
      <c r="E10" s="135" t="e">
        <f t="shared" si="0"/>
        <v>#REF!</v>
      </c>
      <c r="F10" s="135" t="e">
        <f t="shared" si="0"/>
        <v>#REF!</v>
      </c>
      <c r="G10" s="135" t="e">
        <f t="shared" si="0"/>
        <v>#REF!</v>
      </c>
      <c r="H10" s="135" t="e">
        <f t="shared" si="0"/>
        <v>#REF!</v>
      </c>
      <c r="I10" s="135" t="e">
        <f t="shared" si="0"/>
        <v>#REF!</v>
      </c>
      <c r="J10" s="135" t="e">
        <f t="shared" si="0"/>
        <v>#REF!</v>
      </c>
      <c r="K10" s="135" t="e">
        <f t="shared" si="0"/>
        <v>#REF!</v>
      </c>
      <c r="L10" s="135" t="e">
        <f t="shared" si="0"/>
        <v>#REF!</v>
      </c>
      <c r="M10" s="150"/>
    </row>
    <row r="11" spans="2:16" s="129" customFormat="1" ht="20" customHeight="1" x14ac:dyDescent="0.2">
      <c r="B11" s="133"/>
      <c r="C11" s="134">
        <f>C10+$B$3</f>
        <v>5.9999999999999991</v>
      </c>
      <c r="D11" s="135" t="e">
        <f t="shared" si="0"/>
        <v>#REF!</v>
      </c>
      <c r="E11" s="135" t="e">
        <f t="shared" si="0"/>
        <v>#REF!</v>
      </c>
      <c r="F11" s="135" t="e">
        <f t="shared" si="0"/>
        <v>#REF!</v>
      </c>
      <c r="G11" s="135" t="e">
        <f t="shared" si="0"/>
        <v>#REF!</v>
      </c>
      <c r="H11" s="135" t="e">
        <f>($B$7-H$3)*$B$9*$C11*1.3228/1000000</f>
        <v>#REF!</v>
      </c>
      <c r="I11" s="135" t="e">
        <f t="shared" si="0"/>
        <v>#REF!</v>
      </c>
      <c r="J11" s="135" t="e">
        <f t="shared" si="0"/>
        <v>#REF!</v>
      </c>
      <c r="K11" s="135" t="e">
        <f t="shared" si="0"/>
        <v>#REF!</v>
      </c>
      <c r="L11" s="135" t="e">
        <f t="shared" si="0"/>
        <v>#REF!</v>
      </c>
      <c r="M11" s="150"/>
    </row>
    <row r="12" spans="2:16" s="129" customFormat="1" ht="20" customHeight="1" x14ac:dyDescent="0.2">
      <c r="B12" s="133"/>
      <c r="C12" s="134">
        <f>C11+$B$3</f>
        <v>6.0999999999999988</v>
      </c>
      <c r="D12" s="135" t="e">
        <f t="shared" si="0"/>
        <v>#REF!</v>
      </c>
      <c r="E12" s="135" t="e">
        <f t="shared" si="0"/>
        <v>#REF!</v>
      </c>
      <c r="F12" s="135" t="e">
        <f t="shared" si="0"/>
        <v>#REF!</v>
      </c>
      <c r="G12" s="135" t="e">
        <f t="shared" si="0"/>
        <v>#REF!</v>
      </c>
      <c r="H12" s="135" t="e">
        <f t="shared" si="0"/>
        <v>#REF!</v>
      </c>
      <c r="I12" s="135" t="e">
        <f t="shared" si="0"/>
        <v>#REF!</v>
      </c>
      <c r="J12" s="135" t="e">
        <f t="shared" si="0"/>
        <v>#REF!</v>
      </c>
      <c r="K12" s="135" t="e">
        <f t="shared" si="0"/>
        <v>#REF!</v>
      </c>
      <c r="L12" s="135" t="e">
        <f t="shared" si="0"/>
        <v>#REF!</v>
      </c>
      <c r="M12" s="150"/>
    </row>
    <row r="13" spans="2:16" s="129" customFormat="1" ht="20" customHeight="1" x14ac:dyDescent="0.2">
      <c r="B13" s="133"/>
      <c r="C13" s="134">
        <f>C12+$B$3</f>
        <v>6.1999999999999984</v>
      </c>
      <c r="D13" s="135" t="e">
        <f t="shared" si="0"/>
        <v>#REF!</v>
      </c>
      <c r="E13" s="135" t="e">
        <f t="shared" si="0"/>
        <v>#REF!</v>
      </c>
      <c r="F13" s="135" t="e">
        <f t="shared" si="0"/>
        <v>#REF!</v>
      </c>
      <c r="G13" s="135" t="e">
        <f t="shared" si="0"/>
        <v>#REF!</v>
      </c>
      <c r="H13" s="135" t="e">
        <f t="shared" si="0"/>
        <v>#REF!</v>
      </c>
      <c r="I13" s="135" t="e">
        <f t="shared" si="0"/>
        <v>#REF!</v>
      </c>
      <c r="J13" s="135" t="e">
        <f t="shared" si="0"/>
        <v>#REF!</v>
      </c>
      <c r="K13" s="135" t="e">
        <f t="shared" si="0"/>
        <v>#REF!</v>
      </c>
      <c r="L13" s="135" t="e">
        <f t="shared" si="0"/>
        <v>#REF!</v>
      </c>
      <c r="M13" s="150"/>
    </row>
    <row r="14" spans="2:16" s="129" customFormat="1" ht="20" customHeight="1" x14ac:dyDescent="0.2">
      <c r="B14" s="133"/>
      <c r="C14" s="134">
        <f>C13+$B$3</f>
        <v>6.299999999999998</v>
      </c>
      <c r="D14" s="135" t="e">
        <f t="shared" si="0"/>
        <v>#REF!</v>
      </c>
      <c r="E14" s="135" t="e">
        <f t="shared" si="0"/>
        <v>#REF!</v>
      </c>
      <c r="F14" s="135" t="e">
        <f t="shared" si="0"/>
        <v>#REF!</v>
      </c>
      <c r="G14" s="135" t="e">
        <f t="shared" si="0"/>
        <v>#REF!</v>
      </c>
      <c r="H14" s="135" t="e">
        <f t="shared" si="0"/>
        <v>#REF!</v>
      </c>
      <c r="I14" s="135" t="e">
        <f t="shared" si="0"/>
        <v>#REF!</v>
      </c>
      <c r="J14" s="135" t="e">
        <f t="shared" si="0"/>
        <v>#REF!</v>
      </c>
      <c r="K14" s="135" t="e">
        <f t="shared" si="0"/>
        <v>#REF!</v>
      </c>
      <c r="L14" s="135" t="e">
        <f t="shared" si="0"/>
        <v>#REF!</v>
      </c>
      <c r="M14" s="150"/>
    </row>
    <row r="15" spans="2:16" x14ac:dyDescent="0.2">
      <c r="B15" s="1"/>
      <c r="C15" s="1"/>
      <c r="D15" s="149"/>
      <c r="E15" s="149"/>
      <c r="F15" s="149"/>
      <c r="G15" s="149"/>
      <c r="H15" s="149"/>
      <c r="I15" s="149"/>
      <c r="J15" s="149"/>
      <c r="K15" s="149"/>
      <c r="L15" s="149"/>
      <c r="M15" s="1"/>
    </row>
    <row r="16" spans="2:16" x14ac:dyDescent="0.2">
      <c r="B16" s="1" t="s">
        <v>232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2">
      <c r="B17" s="1" t="s">
        <v>234</v>
      </c>
      <c r="E17" s="1"/>
      <c r="F17" s="1"/>
      <c r="G17" s="1"/>
      <c r="H17" s="1"/>
      <c r="I17" s="1"/>
      <c r="J17" s="1"/>
      <c r="K17" s="1"/>
      <c r="L17" s="1"/>
      <c r="M17" s="1"/>
    </row>
    <row r="18" spans="2:13" x14ac:dyDescent="0.2">
      <c r="B18" s="1"/>
      <c r="E18" s="1"/>
      <c r="F18" s="1"/>
      <c r="G18" s="1"/>
      <c r="H18" s="1"/>
      <c r="I18" s="1"/>
      <c r="J18" s="1"/>
      <c r="K18" s="1"/>
      <c r="L18" s="1"/>
      <c r="M18" s="1"/>
    </row>
    <row r="19" spans="2:13" x14ac:dyDescent="0.2">
      <c r="B19" s="1"/>
      <c r="E19" s="1"/>
      <c r="F19" s="1"/>
      <c r="G19" s="139" t="s">
        <v>235</v>
      </c>
      <c r="H19" s="139"/>
      <c r="I19" s="139" t="s">
        <v>236</v>
      </c>
      <c r="J19" s="138"/>
      <c r="K19" s="139" t="s">
        <v>237</v>
      </c>
      <c r="L19" s="139"/>
      <c r="M19" s="1"/>
    </row>
    <row r="20" spans="2:13" x14ac:dyDescent="0.2">
      <c r="B20" s="1"/>
      <c r="D20" s="4" t="s">
        <v>238</v>
      </c>
      <c r="E20" s="9">
        <v>13000</v>
      </c>
      <c r="F20" s="4" t="s">
        <v>239</v>
      </c>
      <c r="G20" s="1" t="s">
        <v>240</v>
      </c>
      <c r="H20" s="9"/>
      <c r="I20" s="1" t="s">
        <v>240</v>
      </c>
      <c r="J20" s="9"/>
      <c r="K20" s="1" t="s">
        <v>240</v>
      </c>
      <c r="L20" s="9"/>
      <c r="M20" s="1"/>
    </row>
    <row r="21" spans="2:13" x14ac:dyDescent="0.2">
      <c r="B21" s="1"/>
      <c r="D21" s="4" t="s">
        <v>241</v>
      </c>
      <c r="E21" s="141" t="e">
        <f>B9</f>
        <v>#REF!</v>
      </c>
      <c r="F21" s="4" t="s">
        <v>239</v>
      </c>
      <c r="G21" s="51" t="s">
        <v>242</v>
      </c>
      <c r="H21" s="130">
        <v>2000</v>
      </c>
      <c r="I21" s="51" t="s">
        <v>242</v>
      </c>
      <c r="J21" s="130">
        <v>2300</v>
      </c>
      <c r="K21" s="51" t="s">
        <v>242</v>
      </c>
      <c r="L21" s="130">
        <v>2500</v>
      </c>
      <c r="M21" s="1"/>
    </row>
    <row r="22" spans="2:13" x14ac:dyDescent="0.2">
      <c r="B22" s="1"/>
      <c r="C22" s="1"/>
      <c r="D22" s="4" t="s">
        <v>243</v>
      </c>
      <c r="E22" s="141" t="e">
        <f>E20-E21</f>
        <v>#REF!</v>
      </c>
      <c r="F22" s="4" t="s">
        <v>239</v>
      </c>
      <c r="G22" s="142"/>
      <c r="H22" s="143"/>
      <c r="M22" s="1"/>
    </row>
    <row r="23" spans="2:13" x14ac:dyDescent="0.2">
      <c r="G23" s="4" t="s">
        <v>244</v>
      </c>
      <c r="H23" s="144" t="e">
        <f>(($E$21*$E$24*1.3228*$E$25)+($E$22*H$21))/1000000</f>
        <v>#REF!</v>
      </c>
      <c r="I23" s="4" t="s">
        <v>244</v>
      </c>
      <c r="J23" s="144" t="e">
        <f>(($E$21*$E$24*1.3228*$E$25)+($E$22*J$21))/1000000</f>
        <v>#REF!</v>
      </c>
      <c r="K23" s="4" t="s">
        <v>244</v>
      </c>
      <c r="L23" s="144" t="e">
        <f>(($E$21*$E$24*1.3228*$E$25)+($E$22*L$21))/1000000</f>
        <v>#REF!</v>
      </c>
    </row>
    <row r="24" spans="2:13" x14ac:dyDescent="0.2">
      <c r="D24" s="4" t="s">
        <v>245</v>
      </c>
      <c r="E24" s="9">
        <f>H3</f>
        <v>380</v>
      </c>
      <c r="G24" s="145" t="s">
        <v>246</v>
      </c>
      <c r="H24" s="146" t="e">
        <f>($B$7-E$24)*$B$9*$E$25*1.3228/1000000</f>
        <v>#REF!</v>
      </c>
      <c r="I24" s="145" t="s">
        <v>246</v>
      </c>
      <c r="J24" s="146" t="e">
        <f>($B$7-E$24)*$B$9*$E$25*1.3228/1000000</f>
        <v>#REF!</v>
      </c>
      <c r="K24" s="145" t="s">
        <v>246</v>
      </c>
      <c r="L24" s="146" t="e">
        <f>($B$7-E$24)*$B$9*$E$25*1.3228/1000000</f>
        <v>#REF!</v>
      </c>
    </row>
    <row r="25" spans="2:13" x14ac:dyDescent="0.2">
      <c r="D25" s="4" t="s">
        <v>230</v>
      </c>
      <c r="E25" s="147">
        <f>C9</f>
        <v>5.8</v>
      </c>
      <c r="F25" s="138"/>
      <c r="G25" s="4" t="s">
        <v>247</v>
      </c>
      <c r="H25" s="146" t="e">
        <f>H23+H24</f>
        <v>#REF!</v>
      </c>
      <c r="I25" s="4" t="s">
        <v>247</v>
      </c>
      <c r="J25" s="146" t="e">
        <f>J23+J24</f>
        <v>#REF!</v>
      </c>
      <c r="K25" s="4" t="s">
        <v>247</v>
      </c>
      <c r="L25" s="146" t="e">
        <f>L23+L24</f>
        <v>#REF!</v>
      </c>
    </row>
    <row r="26" spans="2:13" x14ac:dyDescent="0.2">
      <c r="D26" s="138"/>
      <c r="E26" s="138"/>
      <c r="F26" s="138"/>
      <c r="G26" s="138"/>
    </row>
    <row r="27" spans="2:13" x14ac:dyDescent="0.2">
      <c r="D27" s="138"/>
      <c r="E27" s="138"/>
      <c r="F27" s="138"/>
      <c r="G27" s="138"/>
    </row>
    <row r="28" spans="2:13" x14ac:dyDescent="0.2">
      <c r="D28" s="139"/>
      <c r="E28" s="138"/>
      <c r="F28" s="138"/>
      <c r="G28" s="138"/>
    </row>
    <row r="29" spans="2:13" x14ac:dyDescent="0.2">
      <c r="D29" s="138"/>
      <c r="E29" s="140"/>
      <c r="F29" s="140"/>
      <c r="G29" s="140"/>
    </row>
  </sheetData>
  <conditionalFormatting sqref="D4:L14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3A3F8-D334-EE4C-BD1E-4C0C06D34B86}">
  <sheetPr codeName="Sheet7"/>
  <dimension ref="B3:O50"/>
  <sheetViews>
    <sheetView zoomScaleNormal="100" workbookViewId="0">
      <selection activeCell="B3" sqref="B3:B4"/>
    </sheetView>
  </sheetViews>
  <sheetFormatPr baseColWidth="10" defaultRowHeight="16" x14ac:dyDescent="0.2"/>
  <cols>
    <col min="2" max="2" width="12.1640625" bestFit="1" customWidth="1"/>
    <col min="3" max="3" width="16.6640625" customWidth="1"/>
    <col min="4" max="4" width="6" customWidth="1"/>
    <col min="5" max="5" width="21" bestFit="1" customWidth="1"/>
    <col min="7" max="7" width="31.1640625" bestFit="1" customWidth="1"/>
    <col min="8" max="8" width="22.83203125" bestFit="1" customWidth="1"/>
    <col min="9" max="9" width="31.1640625" bestFit="1" customWidth="1"/>
    <col min="10" max="10" width="20.6640625" bestFit="1" customWidth="1"/>
    <col min="11" max="11" width="21" bestFit="1" customWidth="1"/>
    <col min="12" max="12" width="13.33203125" customWidth="1"/>
    <col min="13" max="13" width="14.1640625" customWidth="1"/>
    <col min="14" max="14" width="13.1640625" customWidth="1"/>
    <col min="15" max="15" width="12.6640625" bestFit="1" customWidth="1"/>
  </cols>
  <sheetData>
    <row r="3" spans="2:13" x14ac:dyDescent="0.2">
      <c r="B3" s="50" t="s">
        <v>83</v>
      </c>
    </row>
    <row r="4" spans="2:13" x14ac:dyDescent="0.2">
      <c r="B4" s="49">
        <v>45635</v>
      </c>
    </row>
    <row r="8" spans="2:13" ht="17" thickBot="1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2:13" x14ac:dyDescent="0.2">
      <c r="B9" s="223"/>
      <c r="C9" s="224"/>
      <c r="D9" s="6"/>
      <c r="E9" s="6" t="s">
        <v>48</v>
      </c>
      <c r="F9" s="6" t="s">
        <v>49</v>
      </c>
      <c r="G9" s="6" t="s">
        <v>50</v>
      </c>
      <c r="H9" s="6" t="s">
        <v>51</v>
      </c>
      <c r="I9" s="6" t="s">
        <v>52</v>
      </c>
      <c r="J9" s="6" t="s">
        <v>53</v>
      </c>
      <c r="K9" s="6" t="s">
        <v>54</v>
      </c>
      <c r="L9" s="6" t="s">
        <v>55</v>
      </c>
      <c r="M9" s="7" t="s">
        <v>56</v>
      </c>
    </row>
    <row r="10" spans="2:13" x14ac:dyDescent="0.2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10"/>
    </row>
    <row r="11" spans="2:13" x14ac:dyDescent="0.2">
      <c r="B11" s="8"/>
      <c r="C11" s="9" t="s">
        <v>57</v>
      </c>
      <c r="D11" s="9"/>
      <c r="E11" s="11" t="s">
        <v>58</v>
      </c>
      <c r="F11" s="9"/>
      <c r="G11" s="12" t="s">
        <v>59</v>
      </c>
      <c r="H11" s="9"/>
      <c r="I11" s="13" t="s">
        <v>60</v>
      </c>
      <c r="J11" s="14" t="s">
        <v>61</v>
      </c>
      <c r="K11" s="15" t="s">
        <v>62</v>
      </c>
      <c r="L11" s="9"/>
      <c r="M11" s="10"/>
    </row>
    <row r="12" spans="2:13" x14ac:dyDescent="0.2">
      <c r="B12" s="8"/>
      <c r="C12" s="9"/>
      <c r="D12" s="9"/>
      <c r="E12" s="9"/>
      <c r="F12" s="9"/>
      <c r="G12" s="12" t="s">
        <v>63</v>
      </c>
      <c r="H12" s="9"/>
      <c r="I12" s="16" t="s">
        <v>59</v>
      </c>
      <c r="J12" s="9"/>
      <c r="K12" s="9"/>
      <c r="L12" s="9"/>
      <c r="M12" s="10"/>
    </row>
    <row r="13" spans="2:13" x14ac:dyDescent="0.2">
      <c r="B13" s="8" t="s">
        <v>64</v>
      </c>
      <c r="C13" s="9"/>
      <c r="D13" s="9"/>
      <c r="E13" s="9"/>
      <c r="F13" s="9"/>
      <c r="G13" s="9"/>
      <c r="H13" s="17" t="s">
        <v>62</v>
      </c>
      <c r="I13" s="16" t="s">
        <v>63</v>
      </c>
      <c r="J13" s="9"/>
      <c r="K13" s="9"/>
      <c r="L13" s="9"/>
      <c r="M13" s="10"/>
    </row>
    <row r="14" spans="2:13" x14ac:dyDescent="0.2">
      <c r="B14" s="8"/>
      <c r="C14" s="9"/>
      <c r="D14" s="9"/>
      <c r="E14" s="9"/>
      <c r="F14" s="9"/>
      <c r="G14" s="9"/>
      <c r="H14" s="17" t="s">
        <v>65</v>
      </c>
      <c r="I14" s="9"/>
      <c r="J14" s="9"/>
      <c r="K14" s="9"/>
      <c r="L14" s="9"/>
      <c r="M14" s="10"/>
    </row>
    <row r="15" spans="2:13" x14ac:dyDescent="0.2">
      <c r="B15" s="8"/>
      <c r="C15" s="9"/>
      <c r="D15" s="9"/>
      <c r="E15" s="9"/>
      <c r="F15" s="9"/>
      <c r="G15" s="9"/>
      <c r="H15" s="17" t="s">
        <v>66</v>
      </c>
      <c r="I15" s="9"/>
      <c r="J15" s="9"/>
      <c r="K15" s="9"/>
      <c r="L15" s="9"/>
      <c r="M15" s="10"/>
    </row>
    <row r="16" spans="2:13" x14ac:dyDescent="0.2"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10"/>
    </row>
    <row r="17" spans="2:15" x14ac:dyDescent="0.2">
      <c r="B17" s="8"/>
      <c r="C17" s="9" t="s">
        <v>67</v>
      </c>
      <c r="D17" s="9"/>
      <c r="E17" s="9"/>
      <c r="F17" s="9"/>
      <c r="G17" s="18">
        <v>331504.26</v>
      </c>
      <c r="H17" s="9"/>
      <c r="I17" s="19">
        <v>49771.14</v>
      </c>
      <c r="J17" s="19">
        <v>56755.53</v>
      </c>
      <c r="K17" s="20">
        <v>212418.4</v>
      </c>
      <c r="L17" s="21">
        <v>88964.12</v>
      </c>
      <c r="M17" s="22">
        <v>105049.37</v>
      </c>
      <c r="O17" s="23"/>
    </row>
    <row r="18" spans="2:15" x14ac:dyDescent="0.2">
      <c r="B18" s="8"/>
      <c r="C18" s="9"/>
      <c r="D18" s="9"/>
      <c r="E18" s="9"/>
      <c r="F18" s="9"/>
      <c r="G18" s="23"/>
      <c r="H18" s="9"/>
      <c r="I18" s="24"/>
      <c r="J18" s="25">
        <v>106209.2</v>
      </c>
      <c r="K18" s="26">
        <v>58478.34</v>
      </c>
      <c r="L18" s="26">
        <v>65462.73</v>
      </c>
      <c r="M18" s="10"/>
    </row>
    <row r="19" spans="2:15" x14ac:dyDescent="0.2">
      <c r="B19" s="8"/>
      <c r="C19" s="9"/>
      <c r="D19" s="9"/>
      <c r="E19" s="9"/>
      <c r="F19" s="9"/>
      <c r="G19" s="23"/>
      <c r="H19" s="9"/>
      <c r="I19" s="24"/>
      <c r="J19" s="24"/>
      <c r="K19" s="25">
        <v>123141.04</v>
      </c>
      <c r="L19" s="24"/>
      <c r="M19" s="10"/>
    </row>
    <row r="20" spans="2:15" ht="17" thickBot="1" x14ac:dyDescent="0.25">
      <c r="B20" s="27"/>
      <c r="C20" s="28"/>
      <c r="D20" s="28"/>
      <c r="E20" s="28"/>
      <c r="F20" s="28"/>
      <c r="G20" s="28"/>
      <c r="H20" s="28"/>
      <c r="I20" s="28"/>
      <c r="J20" s="29"/>
      <c r="K20" s="30">
        <v>98589.87</v>
      </c>
      <c r="L20" s="28"/>
      <c r="M20" s="31"/>
    </row>
    <row r="21" spans="2:15" x14ac:dyDescent="0.2"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10"/>
    </row>
    <row r="22" spans="2:15" x14ac:dyDescent="0.2">
      <c r="B22" s="8"/>
      <c r="C22" s="9" t="s">
        <v>57</v>
      </c>
      <c r="D22" s="9"/>
      <c r="E22" s="9"/>
      <c r="F22" s="9"/>
      <c r="G22" s="9"/>
      <c r="H22" s="32" t="s">
        <v>68</v>
      </c>
      <c r="I22" s="9"/>
      <c r="J22" s="9"/>
      <c r="K22" s="9"/>
      <c r="L22" s="9"/>
      <c r="M22" s="10"/>
    </row>
    <row r="23" spans="2:15" x14ac:dyDescent="0.2">
      <c r="B23" s="8" t="s">
        <v>69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  <row r="24" spans="2:15" x14ac:dyDescent="0.2">
      <c r="B24" s="8"/>
      <c r="C24" s="9" t="s">
        <v>67</v>
      </c>
      <c r="D24" s="9"/>
      <c r="E24" s="9"/>
      <c r="F24" s="9"/>
      <c r="G24" s="24"/>
      <c r="H24" s="33">
        <v>113511.06</v>
      </c>
      <c r="I24" s="9"/>
      <c r="J24" s="9"/>
      <c r="K24" s="9"/>
      <c r="L24" s="9"/>
      <c r="M24" s="10"/>
    </row>
    <row r="25" spans="2:15" ht="17" thickBot="1" x14ac:dyDescent="0.25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31"/>
    </row>
    <row r="26" spans="2:15" x14ac:dyDescent="0.2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</row>
    <row r="27" spans="2:15" x14ac:dyDescent="0.2">
      <c r="B27" s="8"/>
      <c r="C27" s="9" t="s">
        <v>57</v>
      </c>
      <c r="D27" s="9"/>
      <c r="E27" s="9"/>
      <c r="F27" s="9"/>
      <c r="G27" s="9" t="s">
        <v>70</v>
      </c>
      <c r="H27" s="9"/>
      <c r="I27" s="9" t="s">
        <v>70</v>
      </c>
      <c r="J27" s="9"/>
      <c r="K27" s="9"/>
      <c r="L27" s="9"/>
      <c r="M27" s="10"/>
    </row>
    <row r="28" spans="2:15" x14ac:dyDescent="0.2">
      <c r="B28" s="8" t="s">
        <v>71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10"/>
    </row>
    <row r="29" spans="2:15" x14ac:dyDescent="0.2">
      <c r="B29" s="8"/>
      <c r="C29" s="9" t="s">
        <v>67</v>
      </c>
      <c r="D29" s="9"/>
      <c r="E29" s="9"/>
      <c r="F29" s="9"/>
      <c r="G29" s="9"/>
      <c r="H29" s="34">
        <v>26000</v>
      </c>
      <c r="I29" s="34">
        <v>26000</v>
      </c>
      <c r="J29" s="34">
        <v>26000</v>
      </c>
      <c r="K29" s="34">
        <v>26000</v>
      </c>
      <c r="L29" s="9"/>
      <c r="M29" s="10"/>
    </row>
    <row r="30" spans="2:15" ht="17" thickBot="1" x14ac:dyDescent="0.25">
      <c r="B30" s="27"/>
      <c r="C30" s="28"/>
      <c r="D30" s="28"/>
      <c r="E30" s="28"/>
      <c r="F30" s="28"/>
      <c r="G30" s="28"/>
      <c r="H30" s="28"/>
      <c r="I30" s="28"/>
      <c r="J30" s="35">
        <v>26000</v>
      </c>
      <c r="K30" s="35">
        <v>26000</v>
      </c>
      <c r="L30" s="35">
        <v>26000</v>
      </c>
      <c r="M30" s="36">
        <v>26000</v>
      </c>
    </row>
    <row r="31" spans="2:15" x14ac:dyDescent="0.2"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10"/>
    </row>
    <row r="32" spans="2:15" x14ac:dyDescent="0.2">
      <c r="B32" s="8"/>
      <c r="C32" s="9" t="s">
        <v>57</v>
      </c>
      <c r="D32" s="9"/>
      <c r="E32" s="9"/>
      <c r="F32" s="9"/>
      <c r="G32" s="9"/>
      <c r="H32" s="9"/>
      <c r="I32" s="9"/>
      <c r="J32" s="9"/>
      <c r="K32" s="9"/>
      <c r="L32" s="9"/>
      <c r="M32" s="10"/>
    </row>
    <row r="33" spans="2:15" x14ac:dyDescent="0.2">
      <c r="B33" s="8" t="s">
        <v>72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10"/>
    </row>
    <row r="34" spans="2:15" x14ac:dyDescent="0.2">
      <c r="B34" s="8"/>
      <c r="C34" s="9" t="s">
        <v>67</v>
      </c>
      <c r="D34" s="9"/>
      <c r="E34" s="9"/>
      <c r="F34" s="9"/>
      <c r="G34" s="9"/>
      <c r="H34" s="9"/>
      <c r="I34" s="9"/>
      <c r="J34" s="24"/>
      <c r="K34" s="9"/>
      <c r="L34" s="9"/>
      <c r="M34" s="10"/>
      <c r="O34" s="23"/>
    </row>
    <row r="35" spans="2:15" ht="17" thickBot="1" x14ac:dyDescent="0.25">
      <c r="B35" s="27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31"/>
    </row>
    <row r="36" spans="2:15" x14ac:dyDescent="0.2">
      <c r="B36" s="5"/>
      <c r="C36" s="9"/>
      <c r="D36" s="6"/>
      <c r="E36" s="6"/>
      <c r="F36" s="6"/>
      <c r="G36" s="6"/>
      <c r="H36" s="6"/>
      <c r="I36" s="6"/>
      <c r="J36" s="6"/>
      <c r="K36" s="6"/>
      <c r="L36" s="6"/>
      <c r="M36" s="7"/>
    </row>
    <row r="37" spans="2:15" x14ac:dyDescent="0.2">
      <c r="B37" s="8"/>
      <c r="C37" s="9" t="s">
        <v>57</v>
      </c>
      <c r="D37" s="9"/>
      <c r="E37" s="9"/>
      <c r="F37" s="9"/>
      <c r="G37" s="9"/>
      <c r="H37" s="9"/>
      <c r="I37" s="9"/>
      <c r="J37" s="9"/>
      <c r="K37" s="9"/>
      <c r="L37" s="9"/>
      <c r="M37" s="10"/>
    </row>
    <row r="38" spans="2:15" x14ac:dyDescent="0.2">
      <c r="B38" s="8" t="s">
        <v>73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10"/>
    </row>
    <row r="39" spans="2:15" x14ac:dyDescent="0.2">
      <c r="B39" s="8"/>
      <c r="C39" s="9" t="s">
        <v>67</v>
      </c>
      <c r="D39" s="9"/>
      <c r="E39" s="9"/>
      <c r="F39" s="9"/>
      <c r="G39" s="9"/>
      <c r="H39" s="24"/>
      <c r="I39" s="9"/>
      <c r="J39" s="9"/>
      <c r="K39" s="9"/>
      <c r="L39" s="9"/>
      <c r="M39" s="10"/>
    </row>
    <row r="40" spans="2:15" ht="17" thickBot="1" x14ac:dyDescent="0.25">
      <c r="B40" s="27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31"/>
    </row>
    <row r="41" spans="2:15" x14ac:dyDescent="0.2">
      <c r="N41" s="37"/>
      <c r="O41" s="37"/>
    </row>
    <row r="42" spans="2:15" x14ac:dyDescent="0.2">
      <c r="G42" s="38">
        <f>SUM(G17)</f>
        <v>331504.26</v>
      </c>
      <c r="H42" s="38">
        <f>SUM(H24+H29+H39)</f>
        <v>139511.06</v>
      </c>
      <c r="I42" s="38">
        <f>SUM(I17+I18+I29)</f>
        <v>75771.14</v>
      </c>
      <c r="J42" s="38">
        <f>SUM(J17+J18+J20+J29+J30+J34)</f>
        <v>214964.72999999998</v>
      </c>
      <c r="K42" s="38">
        <f>SUM(K17+K18+K29+K30)</f>
        <v>322896.74</v>
      </c>
      <c r="L42" s="38">
        <f>SUM(L17+L18+L30)</f>
        <v>180426.85</v>
      </c>
      <c r="M42" s="38">
        <f>SUM(M17+M30)</f>
        <v>131049.37</v>
      </c>
      <c r="N42" s="39"/>
      <c r="O42" s="40"/>
    </row>
    <row r="43" spans="2:15" x14ac:dyDescent="0.2">
      <c r="B43" s="41"/>
      <c r="C43" s="225" t="s">
        <v>74</v>
      </c>
      <c r="D43" s="225"/>
    </row>
    <row r="44" spans="2:15" x14ac:dyDescent="0.2">
      <c r="B44" s="42"/>
      <c r="C44" t="s">
        <v>75</v>
      </c>
    </row>
    <row r="45" spans="2:15" x14ac:dyDescent="0.2">
      <c r="B45" s="43"/>
      <c r="C45" s="225" t="s">
        <v>76</v>
      </c>
      <c r="D45" s="225"/>
    </row>
    <row r="46" spans="2:15" x14ac:dyDescent="0.2">
      <c r="B46" s="44"/>
      <c r="C46" t="s">
        <v>77</v>
      </c>
      <c r="I46" s="37" t="s">
        <v>78</v>
      </c>
      <c r="J46" s="37" t="s">
        <v>79</v>
      </c>
    </row>
    <row r="47" spans="2:15" x14ac:dyDescent="0.2">
      <c r="B47" s="45"/>
      <c r="C47" t="s">
        <v>80</v>
      </c>
      <c r="I47" s="39">
        <f>SUM(G42:M42)</f>
        <v>1396124.15</v>
      </c>
      <c r="J47" s="39">
        <f>SUM(I47*5.77)</f>
        <v>8055636.3454999989</v>
      </c>
    </row>
    <row r="48" spans="2:15" x14ac:dyDescent="0.2">
      <c r="B48" s="46"/>
      <c r="C48" t="s">
        <v>80</v>
      </c>
    </row>
    <row r="49" spans="2:3" x14ac:dyDescent="0.2">
      <c r="B49" s="47"/>
      <c r="C49" t="s">
        <v>81</v>
      </c>
    </row>
    <row r="50" spans="2:3" x14ac:dyDescent="0.2">
      <c r="B50" s="48"/>
      <c r="C50" t="s">
        <v>82</v>
      </c>
    </row>
  </sheetData>
  <mergeCells count="3">
    <mergeCell ref="B9:C9"/>
    <mergeCell ref="C43:D43"/>
    <mergeCell ref="C45:D45"/>
  </mergeCells>
  <pageMargins left="0.511811024" right="0.511811024" top="0.78740157499999996" bottom="0.78740157499999996" header="0.31496062000000002" footer="0.31496062000000002"/>
  <pageSetup paperSize="9" scale="55" fitToHeight="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Sheet2 (2)</vt:lpstr>
      <vt:lpstr>Sheet2</vt:lpstr>
      <vt:lpstr>futuros</vt:lpstr>
      <vt:lpstr>hedge</vt:lpstr>
      <vt:lpstr>medias_historicas</vt:lpstr>
      <vt:lpstr>VENDA CAFÉ 220125</vt:lpstr>
      <vt:lpstr>DU-E</vt:lpstr>
      <vt:lpstr>hedgedez25</vt:lpstr>
      <vt:lpstr>CashFlow_Edson_Luiz</vt:lpstr>
      <vt:lpstr>'VENDA CAFÉ 220125'!Print_Area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Castro</dc:creator>
  <cp:lastModifiedBy>Rodolfo Castro</cp:lastModifiedBy>
  <cp:lastPrinted>2025-06-04T11:40:30Z</cp:lastPrinted>
  <dcterms:created xsi:type="dcterms:W3CDTF">2024-11-20T00:40:58Z</dcterms:created>
  <dcterms:modified xsi:type="dcterms:W3CDTF">2025-07-22T13:19:07Z</dcterms:modified>
</cp:coreProperties>
</file>