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26F62C1F-C746-1B48-B974-94CB1008E8BB}" xr6:coauthVersionLast="47" xr6:coauthVersionMax="47" xr10:uidLastSave="{00000000-0000-0000-0000-000000000000}"/>
  <bookViews>
    <workbookView xWindow="29400" yWindow="-6400" windowWidth="28800" windowHeight="1750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2" l="1"/>
  <c r="N56" i="2" s="1"/>
  <c r="M55" i="2"/>
  <c r="N55" i="2" s="1"/>
  <c r="M54" i="2"/>
  <c r="N54" i="2" s="1"/>
  <c r="Q53" i="2" l="1"/>
  <c r="C13" i="14"/>
  <c r="C12" i="14"/>
  <c r="C11" i="14"/>
  <c r="C10" i="14"/>
  <c r="L2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L3" i="17"/>
  <c r="N3" i="17" s="1"/>
  <c r="L4" i="17"/>
  <c r="L5" i="17"/>
  <c r="L6" i="17"/>
  <c r="N6" i="17" s="1"/>
  <c r="L11" i="17"/>
  <c r="N11" i="17" s="1"/>
  <c r="L12" i="17"/>
  <c r="N12" i="17" s="1"/>
  <c r="L13" i="17"/>
  <c r="N13" i="17" s="1"/>
  <c r="L14" i="17"/>
  <c r="N14" i="17" s="1"/>
  <c r="H24" i="17"/>
  <c r="C14" i="14"/>
  <c r="H23" i="17"/>
  <c r="H22" i="17"/>
  <c r="H21" i="17"/>
  <c r="H20" i="17"/>
  <c r="L20" i="17" s="1"/>
  <c r="H19" i="17"/>
  <c r="H18" i="17"/>
  <c r="H17" i="17"/>
  <c r="L17" i="17" s="1"/>
  <c r="H16" i="17"/>
  <c r="L16" i="17" s="1"/>
  <c r="H15" i="17"/>
  <c r="D15" i="17"/>
  <c r="L15" i="17" s="1"/>
  <c r="D18" i="17"/>
  <c r="D21" i="17"/>
  <c r="D22" i="17"/>
  <c r="D3" i="17"/>
  <c r="D4" i="17"/>
  <c r="N4" i="17" s="1"/>
  <c r="D5" i="17"/>
  <c r="N5" i="17" s="1"/>
  <c r="D6" i="17"/>
  <c r="D7" i="17"/>
  <c r="L7" i="17" s="1"/>
  <c r="N7" i="17" s="1"/>
  <c r="D8" i="17"/>
  <c r="L8" i="17" s="1"/>
  <c r="N8" i="17" s="1"/>
  <c r="D10" i="17"/>
  <c r="L10" i="17" s="1"/>
  <c r="N10" i="17" s="1"/>
  <c r="D11" i="17"/>
  <c r="D13" i="17"/>
  <c r="D14" i="17"/>
  <c r="D2" i="17"/>
  <c r="F24" i="17"/>
  <c r="D24" i="17" s="1"/>
  <c r="L24" i="17" s="1"/>
  <c r="F23" i="17"/>
  <c r="D23" i="17" s="1"/>
  <c r="L23" i="17" s="1"/>
  <c r="F20" i="17"/>
  <c r="D20" i="17" s="1"/>
  <c r="F19" i="17"/>
  <c r="D19" i="17" s="1"/>
  <c r="F17" i="17"/>
  <c r="D17" i="17" s="1"/>
  <c r="F16" i="17"/>
  <c r="D16" i="17" s="1"/>
  <c r="M14" i="17"/>
  <c r="H14" i="17"/>
  <c r="F12" i="17"/>
  <c r="D12" i="17" s="1"/>
  <c r="F9" i="17"/>
  <c r="D9" i="17" s="1"/>
  <c r="L9" i="17" s="1"/>
  <c r="N9" i="17" s="1"/>
  <c r="P10" i="2"/>
  <c r="Q10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9" i="17" l="1"/>
  <c r="L18" i="17"/>
  <c r="L22" i="17"/>
  <c r="L21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47" i="2"/>
  <c r="N47" i="2" s="1"/>
  <c r="M51" i="2"/>
  <c r="N51" i="2" s="1"/>
  <c r="M52" i="2"/>
  <c r="N52" i="2" s="1"/>
  <c r="M50" i="2"/>
  <c r="N50" i="2" s="1"/>
  <c r="M49" i="2"/>
  <c r="N49" i="2" s="1"/>
  <c r="M48" i="2"/>
  <c r="N4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M40" i="2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N41" i="2" s="1"/>
  <c r="M39" i="2"/>
  <c r="M38" i="2"/>
  <c r="N38" i="2" s="1"/>
  <c r="N39" i="2" l="1"/>
  <c r="N42" i="2"/>
  <c r="N4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<sst xmlns="http://schemas.openxmlformats.org/spreadsheetml/2006/main" count="872" uniqueCount="332">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</sst>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291</v>
      </c>
      <c r="M6" s="177">
        <f>(L6+H6)*1.3228</f>
        <v>424.61879999999996</v>
      </c>
      <c r="N6" s="167">
        <f>(E6*(M6+H6))</f>
        <v>145478.016</v>
      </c>
      <c r="O6" s="178">
        <v>5.7</v>
      </c>
      <c r="P6" s="167">
        <f t="shared" ref="P6:P16" si="1">M6*O6</f>
        <v>2420.3271599999998</v>
      </c>
      <c r="Q6" s="167">
        <f t="shared" ref="Q6:Q16" si="2">P6*E6</f>
        <v>774504.6912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291</v>
      </c>
      <c r="M7" s="177">
        <f>(L7+H7)*1.3228</f>
        <v>424.61879999999996</v>
      </c>
      <c r="N7" s="167">
        <f>(E7*(M7+H7))</f>
        <v>145478.016</v>
      </c>
      <c r="O7" s="178">
        <v>5.7</v>
      </c>
      <c r="P7" s="167">
        <f t="shared" si="1"/>
        <v>2420.3271599999998</v>
      </c>
      <c r="Q7" s="167">
        <f t="shared" si="2"/>
        <v>774504.6912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291</v>
      </c>
      <c r="M8" s="177">
        <f>(L8+H8)*1.3228</f>
        <v>424.61879999999996</v>
      </c>
      <c r="N8" s="167">
        <f>(E8*(M8+H8))</f>
        <v>145478.016</v>
      </c>
      <c r="O8" s="178">
        <v>5.7</v>
      </c>
      <c r="P8" s="167">
        <f t="shared" si="1"/>
        <v>2420.3271599999998</v>
      </c>
      <c r="Q8" s="167">
        <f t="shared" si="2"/>
        <v>774504.6912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291</v>
      </c>
      <c r="M9" s="177">
        <f>(L9+H9)*1.3228</f>
        <v>424.61879999999996</v>
      </c>
      <c r="N9" s="167">
        <f>(E9*(M9+H9))</f>
        <v>145478.016</v>
      </c>
      <c r="O9" s="178">
        <v>5.7</v>
      </c>
      <c r="P9" s="167">
        <f t="shared" si="1"/>
        <v>2420.3271599999998</v>
      </c>
      <c r="Q9" s="167">
        <f t="shared" si="2"/>
        <v>774504.6912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286.05</v>
      </c>
      <c r="M10" s="177">
        <f>(L10+H10)*1.3228</f>
        <v>418.07094000000001</v>
      </c>
      <c r="N10" s="167">
        <f>(E10*(M10+H10))</f>
        <v>143382.70079999999</v>
      </c>
      <c r="O10" s="178">
        <v>5.7</v>
      </c>
      <c r="P10" s="167">
        <f t="shared" si="1"/>
        <v>2383.0043580000001</v>
      </c>
      <c r="Q10" s="167">
        <f t="shared" si="2"/>
        <v>762561.39456000004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291</v>
      </c>
      <c r="M11" s="177">
        <f t="shared" ref="M11:M16" si="4">(L11+H11)*1.3228</f>
        <v>421.97320000000002</v>
      </c>
      <c r="N11" s="167">
        <f t="shared" ref="N11:N16" si="5">(E11*(M11+H11))</f>
        <v>143991.424</v>
      </c>
      <c r="O11" s="178">
        <v>5.7</v>
      </c>
      <c r="P11" s="167">
        <f t="shared" si="1"/>
        <v>2405.2472400000001</v>
      </c>
      <c r="Q11" s="167">
        <f t="shared" si="2"/>
        <v>769679.11680000008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291</v>
      </c>
      <c r="M12" s="177">
        <f t="shared" si="4"/>
        <v>421.97320000000002</v>
      </c>
      <c r="N12" s="167">
        <f t="shared" si="5"/>
        <v>143991.424</v>
      </c>
      <c r="O12" s="178">
        <v>5.7</v>
      </c>
      <c r="P12" s="167">
        <f t="shared" si="1"/>
        <v>2405.2472400000001</v>
      </c>
      <c r="Q12" s="167">
        <f t="shared" si="2"/>
        <v>769679.11680000008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286.05</v>
      </c>
      <c r="M13" s="177">
        <f t="shared" si="4"/>
        <v>415.42534000000001</v>
      </c>
      <c r="N13" s="167">
        <f t="shared" si="5"/>
        <v>141896.10879999999</v>
      </c>
      <c r="O13" s="178">
        <v>5.7</v>
      </c>
      <c r="P13" s="167">
        <f t="shared" si="1"/>
        <v>2367.924438</v>
      </c>
      <c r="Q13" s="167">
        <f t="shared" si="2"/>
        <v>757735.82016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281.3</v>
      </c>
      <c r="M14" s="177">
        <f t="shared" si="4"/>
        <v>409.14204000000001</v>
      </c>
      <c r="N14" s="167">
        <f t="shared" si="5"/>
        <v>139885.4528</v>
      </c>
      <c r="O14" s="178">
        <v>5.7</v>
      </c>
      <c r="P14" s="167">
        <f t="shared" si="1"/>
        <v>2332.1096280000002</v>
      </c>
      <c r="Q14" s="167">
        <f t="shared" si="2"/>
        <v>746275.08096000005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286.05</v>
      </c>
      <c r="M15" s="177">
        <f t="shared" si="4"/>
        <v>349.28534000000002</v>
      </c>
      <c r="N15" s="167">
        <f t="shared" si="5"/>
        <v>104731.3088</v>
      </c>
      <c r="O15" s="178">
        <v>5.7</v>
      </c>
      <c r="P15" s="167">
        <f t="shared" si="1"/>
        <v>1990.9264380000002</v>
      </c>
      <c r="Q15" s="167">
        <f t="shared" si="2"/>
        <v>637096.46016000002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291</v>
      </c>
      <c r="M16" s="177">
        <f t="shared" si="4"/>
        <v>455.04320000000001</v>
      </c>
      <c r="N16" s="167">
        <f t="shared" si="5"/>
        <v>162573.82399999999</v>
      </c>
      <c r="O16" s="178">
        <v>5.7</v>
      </c>
      <c r="P16" s="167">
        <f t="shared" si="1"/>
        <v>2593.7462399999999</v>
      </c>
      <c r="Q16" s="167">
        <f t="shared" si="2"/>
        <v>829998.79680000001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455.38489000000004</v>
      </c>
      <c r="N19" s="183">
        <f>SUM(N5:N18)</f>
        <v>2040124.3072000002</v>
      </c>
      <c r="O19" s="184"/>
      <c r="P19" s="185">
        <f>Q19/E19</f>
        <v>2476.4010158571427</v>
      </c>
      <c r="Q19" s="183">
        <f>SUM(Q5:Q18)</f>
        <v>11094276.551039999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291</v>
      </c>
      <c r="K25" s="163"/>
      <c r="L25" s="197">
        <v>45973</v>
      </c>
      <c r="M25" s="163"/>
      <c r="N25" s="198">
        <f>(H25-I25)*1.3228*D25</f>
        <v>-743427.35711999994</v>
      </c>
      <c r="O25" s="178">
        <f>O5</f>
        <v>5.7</v>
      </c>
      <c r="Q25" s="198">
        <f>N25*O25</f>
        <v>-4237535.9355839994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291</v>
      </c>
      <c r="K26" s="163"/>
      <c r="L26" s="197">
        <v>45973</v>
      </c>
      <c r="M26" s="163"/>
      <c r="N26" s="198">
        <f>(H26-I26)*1.3228*D26</f>
        <v>-249121.66734000001</v>
      </c>
      <c r="O26" s="178">
        <f>O6</f>
        <v>5.7</v>
      </c>
      <c r="Q26" s="198">
        <f t="shared" ref="Q26:Q27" si="6">N26*O26</f>
        <v>-1419993.5038380001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291</v>
      </c>
      <c r="K27" s="163"/>
      <c r="L27" s="197">
        <v>45980</v>
      </c>
      <c r="M27" s="163"/>
      <c r="N27" s="198">
        <f>(H27-I27)*1.3228*D27</f>
        <v>-273490.06406400003</v>
      </c>
      <c r="O27" s="178">
        <f>O7</f>
        <v>5.7</v>
      </c>
      <c r="Q27" s="198">
        <f t="shared" si="6"/>
        <v>-1558893.3651648003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-1266039.088524</v>
      </c>
      <c r="O28" s="201"/>
      <c r="P28" s="201"/>
      <c r="Q28" s="202">
        <f>SUM(Q25:Q27)</f>
        <v>-7216422.8045867998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261.25</v>
      </c>
      <c r="K57" s="178">
        <f>O8</f>
        <v>5.7</v>
      </c>
      <c r="L57" s="197">
        <v>46345</v>
      </c>
      <c r="M57" s="198"/>
      <c r="N57" s="198">
        <f>(H57-I57)*1.3228*D57</f>
        <v>133486.16211000003</v>
      </c>
      <c r="O57" s="166">
        <f>O25</f>
        <v>5.7</v>
      </c>
      <c r="Q57" s="198">
        <f>N57*O57</f>
        <v>760871.12402700027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261.25</v>
      </c>
      <c r="K58" s="178">
        <f>O9</f>
        <v>5.7</v>
      </c>
      <c r="L58" s="197">
        <v>46345</v>
      </c>
      <c r="M58" s="198"/>
      <c r="N58" s="198">
        <f>(H58-I58)*1.3228*D58</f>
        <v>183456.75095999992</v>
      </c>
      <c r="O58" s="166">
        <f>O26</f>
        <v>5.7</v>
      </c>
      <c r="Q58" s="198">
        <f>N58*O58</f>
        <v>1045703.4804719996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316942.91306999995</v>
      </c>
      <c r="O59" s="201"/>
      <c r="P59" s="201"/>
      <c r="Q59" s="202">
        <f>SUM(Q56:Q58)</f>
        <v>1806574.6044989999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tabSelected="1" zoomScale="80" zoomScaleNormal="80" workbookViewId="0">
      <selection activeCell="P59" sqref="P5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10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10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>
        <v>5.5049999999999999</v>
      </c>
      <c r="P10" s="3">
        <f t="shared" si="2"/>
        <v>3070.4612030999997</v>
      </c>
      <c r="Q10" s="3">
        <f t="shared" si="1"/>
        <v>491273.79249599995</v>
      </c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 t="shared" ref="Q18:Q19" si="4">P18*E18</f>
        <v>872662.71598079987</v>
      </c>
    </row>
    <row r="19" spans="1:20" x14ac:dyDescent="0.2">
      <c r="A19" s="2">
        <v>2023</v>
      </c>
      <c r="B19" s="2" t="s">
        <v>277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 t="shared" si="4"/>
        <v>510952.14719999995</v>
      </c>
    </row>
    <row r="20" spans="1:20" x14ac:dyDescent="0.2">
      <c r="A20" s="2">
        <v>2023</v>
      </c>
      <c r="B20" s="2" t="s">
        <v>278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5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5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5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5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5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5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5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5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5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5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5"/>
        <v>106080</v>
      </c>
    </row>
    <row r="35" spans="1:17" x14ac:dyDescent="0.2">
      <c r="A35" s="2">
        <v>2024</v>
      </c>
      <c r="B35" s="2" t="s">
        <v>276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6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5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7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7"/>
        <v>45961</v>
      </c>
      <c r="L38" s="155">
        <v>330</v>
      </c>
      <c r="M38" s="155">
        <f>(L38+H38)*1.3228</f>
        <v>476.20799999999997</v>
      </c>
      <c r="N38" s="3">
        <f>(E38*(M38+H38))</f>
        <v>161986.56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7"/>
        <v>45991</v>
      </c>
      <c r="L39" s="155">
        <v>330</v>
      </c>
      <c r="M39" s="155">
        <f>(L39+H39)*1.3228</f>
        <v>476.20799999999997</v>
      </c>
      <c r="N39" s="3">
        <f>(E39*(M39+H39))</f>
        <v>161986.56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7"/>
        <v>46022</v>
      </c>
      <c r="L40" s="155">
        <v>330</v>
      </c>
      <c r="M40" s="155">
        <f>(L40+H40)*1.3228</f>
        <v>476.20799999999997</v>
      </c>
      <c r="N40" s="3">
        <f>(E40*(M40+H40))</f>
        <v>161986.56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7"/>
        <v>46052</v>
      </c>
      <c r="L41" s="155">
        <v>330</v>
      </c>
      <c r="M41" s="155">
        <f>(L41+H41)*1.3228</f>
        <v>476.20799999999997</v>
      </c>
      <c r="N41" s="3">
        <f>(E41*(M41+H41))</f>
        <v>161986.56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7"/>
        <v>46114</v>
      </c>
      <c r="L42" s="155">
        <v>330</v>
      </c>
      <c r="M42" s="155">
        <f>(L42+H42)*1.3228</f>
        <v>476.20799999999997</v>
      </c>
      <c r="N42" s="3">
        <f>(E42*(M42+H42))</f>
        <v>161986.56</v>
      </c>
    </row>
    <row r="43" spans="1:17" x14ac:dyDescent="0.2">
      <c r="A43" s="2">
        <v>2025</v>
      </c>
      <c r="B43" s="2" t="s">
        <v>279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8">(E43*(M43+H43))</f>
        <v>156160</v>
      </c>
    </row>
    <row r="44" spans="1:17" x14ac:dyDescent="0.2">
      <c r="A44" s="2">
        <v>2025</v>
      </c>
      <c r="B44" s="2" t="s">
        <v>280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289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8"/>
        <v>160000</v>
      </c>
    </row>
    <row r="45" spans="1:17" x14ac:dyDescent="0.2">
      <c r="A45" s="2">
        <v>2026</v>
      </c>
      <c r="B45" s="2" t="s">
        <v>281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8"/>
        <v>135360</v>
      </c>
    </row>
    <row r="46" spans="1:17" x14ac:dyDescent="0.2">
      <c r="A46" s="2">
        <v>2026</v>
      </c>
      <c r="B46" s="2" t="s">
        <v>282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289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8"/>
        <v>139520</v>
      </c>
    </row>
    <row r="47" spans="1:17" x14ac:dyDescent="0.2">
      <c r="A47" s="2">
        <v>2025</v>
      </c>
      <c r="B47" s="2" t="s">
        <v>283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9">I47+60</f>
        <v>45961</v>
      </c>
      <c r="L47" s="155">
        <v>325</v>
      </c>
      <c r="M47" s="155">
        <f t="shared" ref="M47:M52" si="10">(L47+H47)*1.3228</f>
        <v>466.94839999999999</v>
      </c>
      <c r="N47" s="3">
        <f t="shared" si="8"/>
        <v>158383.48800000001</v>
      </c>
    </row>
    <row r="48" spans="1:17" x14ac:dyDescent="0.2">
      <c r="A48" s="2">
        <v>2025</v>
      </c>
      <c r="B48" s="2" t="s">
        <v>284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9"/>
        <v>46022</v>
      </c>
      <c r="L48" s="155">
        <v>325</v>
      </c>
      <c r="M48" s="155">
        <f t="shared" si="10"/>
        <v>466.94839999999999</v>
      </c>
      <c r="N48" s="3">
        <f t="shared" si="8"/>
        <v>158383.48800000001</v>
      </c>
    </row>
    <row r="49" spans="1:17" x14ac:dyDescent="0.2">
      <c r="A49" s="2">
        <v>2025</v>
      </c>
      <c r="B49" s="2" t="s">
        <v>285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9"/>
        <v>46083</v>
      </c>
      <c r="L49" s="155">
        <v>325</v>
      </c>
      <c r="M49" s="155">
        <f t="shared" si="10"/>
        <v>466.94839999999999</v>
      </c>
      <c r="N49" s="3">
        <f t="shared" si="8"/>
        <v>158383.48800000001</v>
      </c>
    </row>
    <row r="50" spans="1:17" x14ac:dyDescent="0.2">
      <c r="A50" s="2">
        <v>2025</v>
      </c>
      <c r="B50" s="2" t="s">
        <v>286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9"/>
        <v>46142</v>
      </c>
      <c r="L50" s="155">
        <v>325</v>
      </c>
      <c r="M50" s="155">
        <f t="shared" si="10"/>
        <v>466.94839999999999</v>
      </c>
      <c r="N50" s="3">
        <f t="shared" si="8"/>
        <v>158383.48800000001</v>
      </c>
    </row>
    <row r="51" spans="1:17" x14ac:dyDescent="0.2">
      <c r="A51" s="2">
        <v>2025</v>
      </c>
      <c r="B51" s="2" t="s">
        <v>287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9"/>
        <v>46052</v>
      </c>
      <c r="L51" s="155">
        <v>325</v>
      </c>
      <c r="M51" s="155">
        <f t="shared" si="10"/>
        <v>400.80840000000001</v>
      </c>
      <c r="N51" s="3">
        <f t="shared" si="8"/>
        <v>121218.68799999999</v>
      </c>
    </row>
    <row r="52" spans="1:17" x14ac:dyDescent="0.2">
      <c r="A52" s="2">
        <v>2025</v>
      </c>
      <c r="B52" s="2" t="s">
        <v>288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290</v>
      </c>
      <c r="H52" s="2">
        <v>53</v>
      </c>
      <c r="I52" s="158">
        <v>45931</v>
      </c>
      <c r="J52" s="2">
        <v>1</v>
      </c>
      <c r="K52" s="158">
        <f t="shared" si="9"/>
        <v>45991</v>
      </c>
      <c r="L52" s="155">
        <v>330</v>
      </c>
      <c r="M52" s="155">
        <f t="shared" si="10"/>
        <v>506.63240000000002</v>
      </c>
      <c r="N52" s="3">
        <f t="shared" si="8"/>
        <v>179082.36799999999</v>
      </c>
    </row>
    <row r="53" spans="1:17" x14ac:dyDescent="0.2">
      <c r="A53" s="2">
        <v>2025</v>
      </c>
      <c r="C53" s="2" t="s">
        <v>89</v>
      </c>
      <c r="D53" s="159" t="s">
        <v>331</v>
      </c>
      <c r="E53" s="2">
        <v>4000</v>
      </c>
      <c r="F53" s="2" t="s">
        <v>32</v>
      </c>
      <c r="G53" s="2" t="s">
        <v>32</v>
      </c>
      <c r="H53" s="2">
        <v>0</v>
      </c>
      <c r="I53" s="158">
        <v>45992</v>
      </c>
      <c r="J53" s="2">
        <v>1</v>
      </c>
      <c r="K53" s="158">
        <v>45992</v>
      </c>
      <c r="L53" s="158"/>
      <c r="N53" s="3"/>
      <c r="P53" s="3">
        <v>1600</v>
      </c>
      <c r="Q53" s="3">
        <f t="shared" ref="Q53" si="11">E53*P53</f>
        <v>6400000</v>
      </c>
    </row>
    <row r="54" spans="1:17" x14ac:dyDescent="0.2">
      <c r="A54" s="2">
        <v>2025</v>
      </c>
      <c r="C54" s="2" t="s">
        <v>42</v>
      </c>
      <c r="D54" s="159" t="s">
        <v>331</v>
      </c>
      <c r="E54" s="2">
        <v>2500</v>
      </c>
      <c r="F54" s="2" t="s">
        <v>32</v>
      </c>
      <c r="G54" s="2" t="s">
        <v>32</v>
      </c>
      <c r="H54" s="2">
        <v>0</v>
      </c>
      <c r="I54" s="158">
        <v>45992</v>
      </c>
      <c r="J54" s="2">
        <v>1</v>
      </c>
      <c r="K54" s="158">
        <v>45992</v>
      </c>
      <c r="L54" s="155">
        <v>325</v>
      </c>
      <c r="M54" s="155">
        <f t="shared" ref="M54" si="12">(L54+H54)*1.3228</f>
        <v>429.90999999999997</v>
      </c>
      <c r="N54" s="3">
        <f t="shared" ref="N54" si="13">(E54*(M54+H54))</f>
        <v>1074775</v>
      </c>
    </row>
    <row r="55" spans="1:17" x14ac:dyDescent="0.2">
      <c r="A55" s="2">
        <v>2025</v>
      </c>
      <c r="C55" s="2" t="s">
        <v>42</v>
      </c>
      <c r="D55" s="159" t="s">
        <v>331</v>
      </c>
      <c r="E55" s="2">
        <v>64.5</v>
      </c>
      <c r="F55" s="2" t="s">
        <v>32</v>
      </c>
      <c r="G55" s="2" t="s">
        <v>32</v>
      </c>
      <c r="H55" s="2">
        <v>0</v>
      </c>
      <c r="I55" s="158">
        <v>45992</v>
      </c>
      <c r="J55" s="2">
        <v>1</v>
      </c>
      <c r="K55" s="158">
        <v>45992</v>
      </c>
      <c r="L55" s="155">
        <v>330</v>
      </c>
      <c r="M55" s="155">
        <f t="shared" ref="M55:M56" si="14">(L55+H55)*1.3228</f>
        <v>436.524</v>
      </c>
      <c r="N55" s="3">
        <f t="shared" ref="N55:N56" si="15">(E55*(M55+H55))</f>
        <v>28155.797999999999</v>
      </c>
    </row>
    <row r="56" spans="1:17" x14ac:dyDescent="0.2">
      <c r="A56" s="2">
        <v>2025</v>
      </c>
      <c r="C56" s="2" t="s">
        <v>42</v>
      </c>
      <c r="D56" s="159" t="s">
        <v>331</v>
      </c>
      <c r="E56" s="2">
        <v>449</v>
      </c>
      <c r="F56" s="2" t="s">
        <v>32</v>
      </c>
      <c r="G56" s="2" t="s">
        <v>32</v>
      </c>
      <c r="H56" s="2">
        <v>0</v>
      </c>
      <c r="I56" s="158">
        <v>46082</v>
      </c>
      <c r="J56" s="2">
        <v>1</v>
      </c>
      <c r="K56" s="158">
        <v>46082</v>
      </c>
      <c r="L56" s="155">
        <v>325</v>
      </c>
      <c r="M56" s="155">
        <f t="shared" si="14"/>
        <v>429.90999999999997</v>
      </c>
      <c r="N56" s="3">
        <f t="shared" si="15"/>
        <v>193029.59</v>
      </c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workbookViewId="0">
      <selection activeCell="D1" sqref="D1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45839</v>
      </c>
    </row>
    <row r="2" spans="1:4" x14ac:dyDescent="0.2">
      <c r="A2" s="158">
        <v>45866</v>
      </c>
      <c r="B2" s="155">
        <v>306.75</v>
      </c>
      <c r="C2" s="155">
        <f t="shared" ref="C2:C13" si="0">B2*1.3228</f>
        <v>405.76889999999997</v>
      </c>
    </row>
    <row r="3" spans="1:4" x14ac:dyDescent="0.2">
      <c r="A3" s="158">
        <v>45930</v>
      </c>
      <c r="B3" s="155">
        <v>296.2</v>
      </c>
      <c r="C3" s="155">
        <f t="shared" si="0"/>
        <v>391.81335999999999</v>
      </c>
    </row>
    <row r="4" spans="1:4" x14ac:dyDescent="0.2">
      <c r="A4" s="158">
        <v>46021</v>
      </c>
      <c r="B4" s="155">
        <v>291</v>
      </c>
      <c r="C4" s="155">
        <f t="shared" si="0"/>
        <v>384.9348</v>
      </c>
    </row>
    <row r="5" spans="1:4" x14ac:dyDescent="0.2">
      <c r="A5" s="158">
        <v>46112</v>
      </c>
      <c r="B5" s="155">
        <v>286.05</v>
      </c>
      <c r="C5" s="155">
        <f t="shared" si="0"/>
        <v>378.38693999999998</v>
      </c>
    </row>
    <row r="6" spans="1:4" x14ac:dyDescent="0.2">
      <c r="A6" s="158">
        <v>46173</v>
      </c>
      <c r="B6" s="155">
        <v>281.3</v>
      </c>
      <c r="C6" s="155">
        <f t="shared" si="0"/>
        <v>372.10363999999998</v>
      </c>
    </row>
    <row r="7" spans="1:4" x14ac:dyDescent="0.2">
      <c r="A7" s="158">
        <v>46231</v>
      </c>
      <c r="B7" s="155">
        <v>274.64999999999998</v>
      </c>
      <c r="C7" s="155">
        <f t="shared" si="0"/>
        <v>363.30701999999997</v>
      </c>
    </row>
    <row r="8" spans="1:4" x14ac:dyDescent="0.2">
      <c r="A8" s="158">
        <v>46295</v>
      </c>
      <c r="B8" s="155">
        <v>267.95</v>
      </c>
      <c r="C8" s="155">
        <f t="shared" si="0"/>
        <v>354.44425999999999</v>
      </c>
    </row>
    <row r="9" spans="1:4" x14ac:dyDescent="0.2">
      <c r="A9" s="158">
        <v>46386</v>
      </c>
      <c r="B9" s="155">
        <v>261.25</v>
      </c>
      <c r="C9" s="155">
        <f t="shared" si="0"/>
        <v>345.58150000000001</v>
      </c>
    </row>
    <row r="10" spans="1:4" x14ac:dyDescent="0.2">
      <c r="A10" s="158">
        <v>46477</v>
      </c>
      <c r="B10" s="155">
        <v>257.85000000000002</v>
      </c>
      <c r="C10" s="155">
        <f t="shared" si="0"/>
        <v>341.08398</v>
      </c>
    </row>
    <row r="11" spans="1:4" x14ac:dyDescent="0.2">
      <c r="A11" s="158">
        <v>46538</v>
      </c>
      <c r="B11" s="155">
        <v>254.3</v>
      </c>
      <c r="C11" s="155">
        <f t="shared" si="0"/>
        <v>336.38803999999999</v>
      </c>
    </row>
    <row r="12" spans="1:4" x14ac:dyDescent="0.2">
      <c r="A12" s="158">
        <v>46596</v>
      </c>
      <c r="B12" s="155">
        <v>249</v>
      </c>
      <c r="C12" s="155">
        <f t="shared" si="0"/>
        <v>329.37720000000002</v>
      </c>
    </row>
    <row r="13" spans="1:4" x14ac:dyDescent="0.2">
      <c r="A13" s="158">
        <v>46660</v>
      </c>
      <c r="B13" s="155">
        <v>242.9</v>
      </c>
      <c r="C13" s="155">
        <f t="shared" si="0"/>
        <v>321.30811999999997</v>
      </c>
    </row>
    <row r="14" spans="1:4" x14ac:dyDescent="0.2">
      <c r="A14" s="158">
        <v>46751</v>
      </c>
      <c r="B14" s="155">
        <v>241.9</v>
      </c>
      <c r="C14" s="155">
        <f>B14*1.3228</f>
        <v>319.98532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4"/>
  <sheetViews>
    <sheetView workbookViewId="0">
      <selection activeCell="D24" sqref="D24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4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4" si="1">J3</f>
        <v>45520</v>
      </c>
      <c r="L3" s="215">
        <f t="shared" ref="L3:L24" si="2">D3*(G3-H3)*1.3228</f>
        <v>-10387.882259999997</v>
      </c>
      <c r="M3" s="160">
        <v>5.4650999999999996</v>
      </c>
      <c r="N3" s="215">
        <f t="shared" ref="N3:N14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209" t="s">
        <v>295</v>
      </c>
      <c r="B14" s="209" t="s">
        <v>325</v>
      </c>
      <c r="C14" s="208">
        <v>47899</v>
      </c>
      <c r="D14" s="216">
        <f t="shared" si="0"/>
        <v>320.35499999999996</v>
      </c>
      <c r="E14" s="216" t="s">
        <v>323</v>
      </c>
      <c r="F14" s="217">
        <v>1.1299999999999999</v>
      </c>
      <c r="G14" s="217">
        <v>238.17</v>
      </c>
      <c r="H14" s="217">
        <f>370.95</f>
        <v>370.95</v>
      </c>
      <c r="I14" s="208"/>
      <c r="J14" s="219">
        <v>45769</v>
      </c>
      <c r="K14" s="219">
        <f t="shared" si="1"/>
        <v>45769</v>
      </c>
      <c r="L14" s="220">
        <f t="shared" si="2"/>
        <v>-56267.595571319995</v>
      </c>
      <c r="M14" s="218">
        <f>5.883</f>
        <v>5.883</v>
      </c>
      <c r="N14" s="220">
        <f t="shared" si="3"/>
        <v>-331022.26474607555</v>
      </c>
    </row>
    <row r="15" spans="1:14" x14ac:dyDescent="0.2">
      <c r="A15" s="1" t="s">
        <v>295</v>
      </c>
      <c r="B15" s="1" t="s">
        <v>330</v>
      </c>
      <c r="C15" s="2">
        <v>25852</v>
      </c>
      <c r="D15" s="213">
        <f t="shared" si="0"/>
        <v>5017.95</v>
      </c>
      <c r="E15" s="213"/>
      <c r="F15" s="155">
        <v>17.7</v>
      </c>
      <c r="G15" s="155">
        <v>179</v>
      </c>
      <c r="H15" s="155">
        <f>futuros!B4</f>
        <v>291</v>
      </c>
      <c r="I15" s="2"/>
      <c r="J15" s="162">
        <v>45973</v>
      </c>
      <c r="K15" s="162"/>
      <c r="L15" s="215">
        <f t="shared" si="2"/>
        <v>-743427.35712000006</v>
      </c>
      <c r="M15" s="160"/>
      <c r="N15" s="215"/>
    </row>
    <row r="16" spans="1:14" x14ac:dyDescent="0.2">
      <c r="A16" s="1" t="s">
        <v>296</v>
      </c>
      <c r="B16" s="1" t="s">
        <v>330</v>
      </c>
      <c r="C16" s="2">
        <v>507931308</v>
      </c>
      <c r="D16" s="213">
        <f t="shared" si="0"/>
        <v>1984.5</v>
      </c>
      <c r="E16" s="213"/>
      <c r="F16" s="155">
        <f>262500/37500</f>
        <v>7</v>
      </c>
      <c r="G16" s="155">
        <v>196.1</v>
      </c>
      <c r="H16" s="155">
        <f>futuros!B4</f>
        <v>291</v>
      </c>
      <c r="I16" s="2"/>
      <c r="J16" s="162">
        <v>45973</v>
      </c>
      <c r="K16" s="162"/>
      <c r="L16" s="215">
        <f t="shared" si="2"/>
        <v>-249121.66734000001</v>
      </c>
      <c r="M16" s="160"/>
      <c r="N16" s="215"/>
    </row>
    <row r="17" spans="1:14" x14ac:dyDescent="0.2">
      <c r="A17" s="1" t="s">
        <v>296</v>
      </c>
      <c r="B17" s="1" t="s">
        <v>329</v>
      </c>
      <c r="C17" s="2">
        <v>29487615</v>
      </c>
      <c r="D17" s="213">
        <f t="shared" si="0"/>
        <v>1984.5</v>
      </c>
      <c r="E17" s="213"/>
      <c r="F17" s="155">
        <f>262500/37500</f>
        <v>7</v>
      </c>
      <c r="G17" s="155">
        <v>330</v>
      </c>
      <c r="H17" s="155">
        <f>futuros!B4</f>
        <v>291</v>
      </c>
      <c r="I17" s="2"/>
      <c r="J17" s="162">
        <v>45973</v>
      </c>
      <c r="K17" s="162"/>
      <c r="L17" s="215">
        <f t="shared" si="2"/>
        <v>102378.7674</v>
      </c>
      <c r="M17" s="160"/>
      <c r="N17" s="215"/>
    </row>
    <row r="18" spans="1:14" x14ac:dyDescent="0.2">
      <c r="A18" s="209" t="s">
        <v>295</v>
      </c>
      <c r="B18" s="209" t="s">
        <v>330</v>
      </c>
      <c r="C18" s="208">
        <v>47616</v>
      </c>
      <c r="D18" s="216">
        <f t="shared" si="0"/>
        <v>3005.1</v>
      </c>
      <c r="E18" s="216"/>
      <c r="F18" s="217">
        <v>10.6</v>
      </c>
      <c r="G18" s="217">
        <v>222.2</v>
      </c>
      <c r="H18" s="217">
        <f>futuros!B4</f>
        <v>291</v>
      </c>
      <c r="I18" s="208"/>
      <c r="J18" s="219">
        <v>45980</v>
      </c>
      <c r="K18" s="219"/>
      <c r="L18" s="220">
        <f t="shared" si="2"/>
        <v>-273490.06406400003</v>
      </c>
      <c r="M18" s="218"/>
      <c r="N18" s="220"/>
    </row>
    <row r="19" spans="1:14" x14ac:dyDescent="0.2">
      <c r="A19" s="1" t="s">
        <v>296</v>
      </c>
      <c r="B19" s="1" t="s">
        <v>329</v>
      </c>
      <c r="C19" s="2">
        <v>29487625</v>
      </c>
      <c r="D19" s="213">
        <f t="shared" si="0"/>
        <v>1984.5</v>
      </c>
      <c r="E19" s="213"/>
      <c r="F19" s="155">
        <f>262500/37500</f>
        <v>7</v>
      </c>
      <c r="G19" s="155">
        <v>325</v>
      </c>
      <c r="H19" s="155">
        <f>futuros!B5</f>
        <v>286.05</v>
      </c>
      <c r="I19" s="2"/>
      <c r="J19" s="162">
        <v>46063</v>
      </c>
      <c r="K19" s="162"/>
      <c r="L19" s="215">
        <f t="shared" si="2"/>
        <v>102247.51256999998</v>
      </c>
      <c r="M19" s="160"/>
      <c r="N19" s="215"/>
    </row>
    <row r="20" spans="1:14" x14ac:dyDescent="0.2">
      <c r="A20" s="1" t="s">
        <v>296</v>
      </c>
      <c r="B20" s="1" t="s">
        <v>330</v>
      </c>
      <c r="C20" s="2">
        <v>28133721</v>
      </c>
      <c r="D20" s="213">
        <f t="shared" si="0"/>
        <v>2551.5</v>
      </c>
      <c r="E20" s="213"/>
      <c r="F20" s="155">
        <f>337500/37500</f>
        <v>9</v>
      </c>
      <c r="G20" s="155">
        <v>300.8</v>
      </c>
      <c r="H20" s="155">
        <f>futuros!B9</f>
        <v>261.25</v>
      </c>
      <c r="I20" s="2"/>
      <c r="J20" s="162">
        <v>46345</v>
      </c>
      <c r="K20" s="162"/>
      <c r="L20" s="215">
        <f t="shared" si="2"/>
        <v>133486.16211000003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28594897</v>
      </c>
      <c r="D21" s="213">
        <f t="shared" si="0"/>
        <v>2268</v>
      </c>
      <c r="E21" s="213"/>
      <c r="F21" s="155">
        <v>8</v>
      </c>
      <c r="G21" s="155">
        <v>322.39999999999998</v>
      </c>
      <c r="H21" s="155">
        <f>futuros!B9</f>
        <v>261.25</v>
      </c>
      <c r="I21" s="2"/>
      <c r="J21" s="162">
        <v>46345</v>
      </c>
      <c r="K21" s="162"/>
      <c r="L21" s="215">
        <f t="shared" si="2"/>
        <v>183456.75095999995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29340843</v>
      </c>
      <c r="D22" s="213">
        <f t="shared" si="0"/>
        <v>2268</v>
      </c>
      <c r="E22" s="213"/>
      <c r="F22" s="155">
        <v>8</v>
      </c>
      <c r="G22" s="155">
        <v>307.2</v>
      </c>
      <c r="H22" s="155">
        <f>futuros!B9</f>
        <v>261.25</v>
      </c>
      <c r="I22" s="2"/>
      <c r="J22" s="162">
        <v>46345</v>
      </c>
      <c r="K22" s="162"/>
      <c r="L22" s="215">
        <f t="shared" si="2"/>
        <v>137855.07287999996</v>
      </c>
      <c r="M22" s="160"/>
      <c r="N22" s="215"/>
    </row>
    <row r="23" spans="1:14" x14ac:dyDescent="0.2">
      <c r="A23" s="209" t="s">
        <v>296</v>
      </c>
      <c r="B23" s="209" t="s">
        <v>330</v>
      </c>
      <c r="C23" s="208">
        <v>29487626</v>
      </c>
      <c r="D23" s="216">
        <f t="shared" si="0"/>
        <v>7938</v>
      </c>
      <c r="E23" s="216"/>
      <c r="F23" s="217">
        <f>1050000/37500</f>
        <v>28</v>
      </c>
      <c r="G23" s="217">
        <v>288</v>
      </c>
      <c r="H23" s="217">
        <f>futuros!B9</f>
        <v>261.25</v>
      </c>
      <c r="I23" s="208"/>
      <c r="J23" s="219">
        <v>46345</v>
      </c>
      <c r="K23" s="219"/>
      <c r="L23" s="220">
        <f t="shared" si="2"/>
        <v>280885.33620000002</v>
      </c>
      <c r="M23" s="218"/>
      <c r="N23" s="220"/>
    </row>
    <row r="24" spans="1:14" x14ac:dyDescent="0.2">
      <c r="A24" s="1" t="s">
        <v>296</v>
      </c>
      <c r="B24" s="1" t="s">
        <v>330</v>
      </c>
      <c r="C24" s="2">
        <v>29575268</v>
      </c>
      <c r="D24" s="213">
        <f t="shared" si="0"/>
        <v>3118.5</v>
      </c>
      <c r="E24" s="213"/>
      <c r="F24" s="155">
        <f>412500/37500</f>
        <v>11</v>
      </c>
      <c r="G24" s="155">
        <v>249</v>
      </c>
      <c r="H24" s="155">
        <f>futuros!B14</f>
        <v>241.9</v>
      </c>
      <c r="I24" s="2"/>
      <c r="J24" s="162">
        <v>46710</v>
      </c>
      <c r="K24" s="162"/>
      <c r="L24" s="215">
        <f t="shared" si="2"/>
        <v>29288.577779999978</v>
      </c>
      <c r="M24" s="160"/>
      <c r="N24" s="215"/>
    </row>
  </sheetData>
  <pageMargins left="0.7" right="0.7" top="0.75" bottom="0.75" header="0.3" footer="0.3"/>
  <ignoredErrors>
    <ignoredError sqref="E7:E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2025-07-01T18:32:14Z</dcterms:modified>
</cp:coreProperties>
</file>