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ocastro/Desktop/"/>
    </mc:Choice>
  </mc:AlternateContent>
  <xr:revisionPtr revIDLastSave="0" documentId="13_ncr:1_{D3EAF9EE-1419-174F-9E8C-E80E34CB321B}" xr6:coauthVersionLast="47" xr6:coauthVersionMax="47" xr10:uidLastSave="{00000000-0000-0000-0000-000000000000}"/>
  <bookViews>
    <workbookView xWindow="580" yWindow="880" windowWidth="28420" windowHeight="18060" xr2:uid="{AC82ADC5-E628-F847-8939-89BAF5623AE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1" l="1"/>
  <c r="L42" i="1"/>
  <c r="G6" i="1"/>
  <c r="G7" i="1"/>
  <c r="G5" i="1"/>
  <c r="D6" i="1"/>
  <c r="D7" i="1"/>
  <c r="D5" i="1"/>
  <c r="N72" i="1"/>
  <c r="O27" i="1" l="1"/>
  <c r="P27" i="1"/>
  <c r="Q27" i="1"/>
  <c r="R27" i="1"/>
  <c r="S27" i="1"/>
  <c r="U27" i="1"/>
  <c r="W27" i="1"/>
  <c r="O26" i="1"/>
  <c r="P26" i="1"/>
  <c r="R26" i="1"/>
  <c r="S26" i="1"/>
  <c r="T26" i="1"/>
  <c r="U26" i="1"/>
  <c r="V26" i="1"/>
  <c r="W26" i="1"/>
  <c r="X26" i="1"/>
  <c r="D12" i="1"/>
  <c r="Q2" i="2"/>
  <c r="R2" i="2"/>
  <c r="T2" i="2"/>
  <c r="U2" i="2"/>
  <c r="V2" i="2"/>
  <c r="W2" i="2"/>
  <c r="X2" i="2"/>
  <c r="Y2" i="2"/>
  <c r="Q3" i="2"/>
  <c r="R3" i="2"/>
  <c r="T3" i="2"/>
  <c r="U3" i="2"/>
  <c r="V3" i="2"/>
  <c r="W3" i="2"/>
  <c r="X3" i="2"/>
  <c r="Y3" i="2"/>
  <c r="Q4" i="2"/>
  <c r="R4" i="2"/>
  <c r="T4" i="2"/>
  <c r="U4" i="2"/>
  <c r="V4" i="2"/>
  <c r="W4" i="2"/>
  <c r="X4" i="2"/>
  <c r="Y4" i="2"/>
  <c r="P3" i="2"/>
  <c r="P4" i="2"/>
  <c r="D24" i="2"/>
  <c r="E24" i="2"/>
  <c r="F24" i="2"/>
  <c r="G24" i="2"/>
  <c r="H24" i="2"/>
  <c r="J24" i="2"/>
  <c r="L24" i="2"/>
  <c r="M24" i="2"/>
  <c r="N24" i="2"/>
  <c r="P24" i="2"/>
  <c r="Q24" i="2"/>
  <c r="R24" i="2"/>
  <c r="S24" i="2"/>
  <c r="T24" i="2"/>
  <c r="U24" i="2"/>
  <c r="W24" i="2"/>
  <c r="X24" i="2"/>
  <c r="Y24" i="2"/>
  <c r="C24" i="2"/>
  <c r="P19" i="1"/>
  <c r="Q19" i="1"/>
  <c r="R19" i="1"/>
  <c r="S19" i="1"/>
  <c r="T19" i="1"/>
  <c r="V19" i="1"/>
  <c r="W19" i="1"/>
  <c r="X19" i="1"/>
  <c r="O19" i="1"/>
  <c r="L19" i="1"/>
  <c r="D19" i="1"/>
  <c r="M19" i="1" s="1"/>
  <c r="I24" i="2"/>
  <c r="D81" i="1"/>
  <c r="E28" i="2" s="1"/>
  <c r="D22" i="2"/>
  <c r="E22" i="2"/>
  <c r="F22" i="2"/>
  <c r="G22" i="2"/>
  <c r="H22" i="2"/>
  <c r="I22" i="2"/>
  <c r="J22" i="2"/>
  <c r="L22" i="2"/>
  <c r="M22" i="2"/>
  <c r="N22" i="2"/>
  <c r="P22" i="2"/>
  <c r="Q22" i="2"/>
  <c r="R22" i="2"/>
  <c r="X22" i="2"/>
  <c r="Y22" i="2"/>
  <c r="D23" i="2"/>
  <c r="E23" i="2"/>
  <c r="F23" i="2"/>
  <c r="G23" i="2"/>
  <c r="H23" i="2"/>
  <c r="I23" i="2"/>
  <c r="J23" i="2"/>
  <c r="L23" i="2"/>
  <c r="M23" i="2"/>
  <c r="N23" i="2"/>
  <c r="P23" i="2"/>
  <c r="Q23" i="2"/>
  <c r="R23" i="2"/>
  <c r="S23" i="2"/>
  <c r="U23" i="2"/>
  <c r="V23" i="2"/>
  <c r="W23" i="2"/>
  <c r="X23" i="2"/>
  <c r="Y23" i="2"/>
  <c r="E25" i="2"/>
  <c r="F25" i="2"/>
  <c r="G25" i="2"/>
  <c r="H25" i="2"/>
  <c r="J25" i="2"/>
  <c r="L25" i="2"/>
  <c r="M25" i="2"/>
  <c r="N25" i="2"/>
  <c r="P25" i="2"/>
  <c r="Q25" i="2"/>
  <c r="R25" i="2"/>
  <c r="T25" i="2"/>
  <c r="U25" i="2"/>
  <c r="V25" i="2"/>
  <c r="C23" i="2"/>
  <c r="C22" i="2"/>
  <c r="D87" i="1"/>
  <c r="E34" i="2" s="1"/>
  <c r="D89" i="1"/>
  <c r="E36" i="2" s="1"/>
  <c r="P17" i="1"/>
  <c r="Q17" i="1"/>
  <c r="W17" i="1"/>
  <c r="X17" i="1"/>
  <c r="P18" i="1"/>
  <c r="Q18" i="1"/>
  <c r="T18" i="1"/>
  <c r="U18" i="1"/>
  <c r="V18" i="1"/>
  <c r="W18" i="1"/>
  <c r="X18" i="1"/>
  <c r="O18" i="1"/>
  <c r="O17" i="1"/>
  <c r="L18" i="1"/>
  <c r="D18" i="1"/>
  <c r="M18" i="1" s="1"/>
  <c r="L17" i="1"/>
  <c r="D17" i="1"/>
  <c r="M17" i="1" s="1"/>
  <c r="X70" i="1"/>
  <c r="W70" i="1"/>
  <c r="Q70" i="1"/>
  <c r="P70" i="1"/>
  <c r="O70" i="1"/>
  <c r="D70" i="1"/>
  <c r="V70" i="1"/>
  <c r="U70" i="1"/>
  <c r="T70" i="1"/>
  <c r="X67" i="1"/>
  <c r="W67" i="1"/>
  <c r="Q67" i="1"/>
  <c r="P67" i="1"/>
  <c r="O67" i="1"/>
  <c r="D67" i="1"/>
  <c r="J63" i="1"/>
  <c r="M26" i="2"/>
  <c r="M27" i="2"/>
  <c r="M28" i="2"/>
  <c r="M29" i="2"/>
  <c r="M30" i="2"/>
  <c r="M31" i="2"/>
  <c r="M32" i="2"/>
  <c r="M33" i="2"/>
  <c r="M34" i="2"/>
  <c r="M35" i="2"/>
  <c r="M36" i="2"/>
  <c r="M37" i="2"/>
  <c r="D2" i="2"/>
  <c r="E2" i="2"/>
  <c r="F2" i="2"/>
  <c r="G2" i="2"/>
  <c r="H2" i="2"/>
  <c r="I2" i="2"/>
  <c r="J2" i="2"/>
  <c r="L2" i="2"/>
  <c r="M2" i="2"/>
  <c r="N2" i="2"/>
  <c r="P2" i="2"/>
  <c r="D3" i="2"/>
  <c r="E3" i="2"/>
  <c r="F3" i="2"/>
  <c r="G3" i="2"/>
  <c r="H3" i="2"/>
  <c r="I3" i="2"/>
  <c r="J3" i="2"/>
  <c r="L3" i="2"/>
  <c r="M3" i="2"/>
  <c r="N3" i="2"/>
  <c r="D4" i="2"/>
  <c r="E4" i="2"/>
  <c r="F4" i="2"/>
  <c r="G4" i="2"/>
  <c r="H4" i="2"/>
  <c r="I4" i="2"/>
  <c r="J4" i="2"/>
  <c r="L4" i="2"/>
  <c r="M4" i="2"/>
  <c r="N4" i="2"/>
  <c r="D5" i="2"/>
  <c r="E5" i="2"/>
  <c r="F5" i="2"/>
  <c r="G5" i="2"/>
  <c r="H5" i="2"/>
  <c r="J5" i="2"/>
  <c r="L5" i="2"/>
  <c r="M5" i="2"/>
  <c r="N5" i="2"/>
  <c r="P5" i="2"/>
  <c r="Q5" i="2"/>
  <c r="R5" i="2"/>
  <c r="S5" i="2"/>
  <c r="T5" i="2"/>
  <c r="V5" i="2"/>
  <c r="W5" i="2"/>
  <c r="X5" i="2"/>
  <c r="Y5" i="2"/>
  <c r="D6" i="2"/>
  <c r="E6" i="2"/>
  <c r="F6" i="2"/>
  <c r="G6" i="2"/>
  <c r="H6" i="2"/>
  <c r="J6" i="2"/>
  <c r="L6" i="2"/>
  <c r="M6" i="2"/>
  <c r="N6" i="2"/>
  <c r="P6" i="2"/>
  <c r="Q6" i="2"/>
  <c r="R6" i="2"/>
  <c r="S6" i="2"/>
  <c r="U6" i="2"/>
  <c r="V6" i="2"/>
  <c r="W6" i="2"/>
  <c r="X6" i="2"/>
  <c r="Y6" i="2"/>
  <c r="D7" i="2"/>
  <c r="E7" i="2"/>
  <c r="F7" i="2"/>
  <c r="G7" i="2"/>
  <c r="H7" i="2"/>
  <c r="J7" i="2"/>
  <c r="L7" i="2"/>
  <c r="M7" i="2"/>
  <c r="N7" i="2"/>
  <c r="P7" i="2"/>
  <c r="Q7" i="2"/>
  <c r="R7" i="2"/>
  <c r="S7" i="2"/>
  <c r="V7" i="2"/>
  <c r="W7" i="2"/>
  <c r="X7" i="2"/>
  <c r="Y7" i="2"/>
  <c r="D8" i="2"/>
  <c r="E8" i="2"/>
  <c r="F8" i="2"/>
  <c r="G8" i="2"/>
  <c r="H8" i="2"/>
  <c r="J8" i="2"/>
  <c r="L8" i="2"/>
  <c r="M8" i="2"/>
  <c r="N8" i="2"/>
  <c r="P8" i="2"/>
  <c r="Q8" i="2"/>
  <c r="R8" i="2"/>
  <c r="S8" i="2"/>
  <c r="T8" i="2"/>
  <c r="W8" i="2"/>
  <c r="X8" i="2"/>
  <c r="Y8" i="2"/>
  <c r="D9" i="2"/>
  <c r="E9" i="2"/>
  <c r="F9" i="2"/>
  <c r="G9" i="2"/>
  <c r="H9" i="2"/>
  <c r="J9" i="2"/>
  <c r="L9" i="2"/>
  <c r="M9" i="2"/>
  <c r="N9" i="2"/>
  <c r="P9" i="2"/>
  <c r="Q9" i="2"/>
  <c r="R9" i="2"/>
  <c r="S9" i="2"/>
  <c r="T9" i="2"/>
  <c r="W9" i="2"/>
  <c r="X9" i="2"/>
  <c r="Y9" i="2"/>
  <c r="D10" i="2"/>
  <c r="E10" i="2"/>
  <c r="F10" i="2"/>
  <c r="G10" i="2"/>
  <c r="H10" i="2"/>
  <c r="J10" i="2"/>
  <c r="L10" i="2"/>
  <c r="M10" i="2"/>
  <c r="N10" i="2"/>
  <c r="P10" i="2"/>
  <c r="Q10" i="2"/>
  <c r="R10" i="2"/>
  <c r="S10" i="2"/>
  <c r="T10" i="2"/>
  <c r="U10" i="2"/>
  <c r="V10" i="2"/>
  <c r="X10" i="2"/>
  <c r="Y10" i="2"/>
  <c r="D11" i="2"/>
  <c r="E11" i="2"/>
  <c r="F11" i="2"/>
  <c r="G11" i="2"/>
  <c r="H11" i="2"/>
  <c r="J11" i="2"/>
  <c r="L11" i="2"/>
  <c r="M11" i="2"/>
  <c r="N11" i="2"/>
  <c r="P11" i="2"/>
  <c r="Q11" i="2"/>
  <c r="R11" i="2"/>
  <c r="S11" i="2"/>
  <c r="T11" i="2"/>
  <c r="U11" i="2"/>
  <c r="W11" i="2"/>
  <c r="X11" i="2"/>
  <c r="Y11" i="2"/>
  <c r="D12" i="2"/>
  <c r="E12" i="2"/>
  <c r="F12" i="2"/>
  <c r="G12" i="2"/>
  <c r="H12" i="2"/>
  <c r="J12" i="2"/>
  <c r="L12" i="2"/>
  <c r="M12" i="2"/>
  <c r="N12" i="2"/>
  <c r="P12" i="2"/>
  <c r="Q12" i="2"/>
  <c r="R12" i="2"/>
  <c r="S12" i="2"/>
  <c r="T12" i="2"/>
  <c r="U12" i="2"/>
  <c r="W12" i="2"/>
  <c r="X12" i="2"/>
  <c r="Y12" i="2"/>
  <c r="D13" i="2"/>
  <c r="E13" i="2"/>
  <c r="F13" i="2"/>
  <c r="G13" i="2"/>
  <c r="H13" i="2"/>
  <c r="J13" i="2"/>
  <c r="L13" i="2"/>
  <c r="M13" i="2"/>
  <c r="N13" i="2"/>
  <c r="P13" i="2"/>
  <c r="Q13" i="2"/>
  <c r="R13" i="2"/>
  <c r="S13" i="2"/>
  <c r="T13" i="2"/>
  <c r="U13" i="2"/>
  <c r="W13" i="2"/>
  <c r="X13" i="2"/>
  <c r="Y13" i="2"/>
  <c r="D14" i="2"/>
  <c r="E14" i="2"/>
  <c r="F14" i="2"/>
  <c r="G14" i="2"/>
  <c r="H14" i="2"/>
  <c r="J14" i="2"/>
  <c r="L14" i="2"/>
  <c r="M14" i="2"/>
  <c r="N14" i="2"/>
  <c r="P14" i="2"/>
  <c r="Q14" i="2"/>
  <c r="R14" i="2"/>
  <c r="S14" i="2"/>
  <c r="T14" i="2"/>
  <c r="U14" i="2"/>
  <c r="V14" i="2"/>
  <c r="X14" i="2"/>
  <c r="Y14" i="2"/>
  <c r="D15" i="2"/>
  <c r="E15" i="2"/>
  <c r="F15" i="2"/>
  <c r="G15" i="2"/>
  <c r="H15" i="2"/>
  <c r="J15" i="2"/>
  <c r="L15" i="2"/>
  <c r="M15" i="2"/>
  <c r="N15" i="2"/>
  <c r="P15" i="2"/>
  <c r="Q15" i="2"/>
  <c r="R15" i="2"/>
  <c r="S15" i="2"/>
  <c r="T15" i="2"/>
  <c r="U15" i="2"/>
  <c r="V15" i="2"/>
  <c r="W15" i="2"/>
  <c r="Y15" i="2"/>
  <c r="D16" i="2"/>
  <c r="E16" i="2"/>
  <c r="F16" i="2"/>
  <c r="G16" i="2"/>
  <c r="H16" i="2"/>
  <c r="I16" i="2"/>
  <c r="J16" i="2"/>
  <c r="K16" i="2"/>
  <c r="L16" i="2"/>
  <c r="M16" i="2"/>
  <c r="N16" i="2"/>
  <c r="P16" i="2"/>
  <c r="Q16" i="2"/>
  <c r="R16" i="2"/>
  <c r="W16" i="2"/>
  <c r="X16" i="2"/>
  <c r="Y16" i="2"/>
  <c r="D17" i="2"/>
  <c r="E17" i="2"/>
  <c r="F17" i="2"/>
  <c r="G17" i="2"/>
  <c r="H17" i="2"/>
  <c r="I17" i="2"/>
  <c r="J17" i="2"/>
  <c r="K17" i="2"/>
  <c r="L17" i="2"/>
  <c r="M17" i="2"/>
  <c r="N17" i="2"/>
  <c r="P17" i="2"/>
  <c r="Q17" i="2"/>
  <c r="R17" i="2"/>
  <c r="S17" i="2"/>
  <c r="T17" i="2"/>
  <c r="Y17" i="2"/>
  <c r="D18" i="2"/>
  <c r="E18" i="2"/>
  <c r="F18" i="2"/>
  <c r="G18" i="2"/>
  <c r="H18" i="2"/>
  <c r="I18" i="2"/>
  <c r="J18" i="2"/>
  <c r="L18" i="2"/>
  <c r="M18" i="2"/>
  <c r="N18" i="2"/>
  <c r="P18" i="2"/>
  <c r="Q18" i="2"/>
  <c r="R18" i="2"/>
  <c r="T18" i="2"/>
  <c r="U18" i="2"/>
  <c r="V18" i="2"/>
  <c r="W18" i="2"/>
  <c r="X18" i="2"/>
  <c r="Y18" i="2"/>
  <c r="D19" i="2"/>
  <c r="E19" i="2"/>
  <c r="F19" i="2"/>
  <c r="G19" i="2"/>
  <c r="H19" i="2"/>
  <c r="I19" i="2"/>
  <c r="J19" i="2"/>
  <c r="L19" i="2"/>
  <c r="M19" i="2"/>
  <c r="N19" i="2"/>
  <c r="P19" i="2"/>
  <c r="Q19" i="2"/>
  <c r="R19" i="2"/>
  <c r="W19" i="2"/>
  <c r="X19" i="2"/>
  <c r="Y19" i="2"/>
  <c r="D20" i="2"/>
  <c r="E20" i="2"/>
  <c r="F20" i="2"/>
  <c r="G20" i="2"/>
  <c r="H20" i="2"/>
  <c r="I20" i="2"/>
  <c r="J20" i="2"/>
  <c r="L20" i="2"/>
  <c r="N20" i="2"/>
  <c r="P20" i="2"/>
  <c r="Q20" i="2"/>
  <c r="R20" i="2"/>
  <c r="W20" i="2"/>
  <c r="X20" i="2"/>
  <c r="Y20" i="2"/>
  <c r="D21" i="2"/>
  <c r="E21" i="2"/>
  <c r="F21" i="2"/>
  <c r="G21" i="2"/>
  <c r="H21" i="2"/>
  <c r="I21" i="2"/>
  <c r="J21" i="2"/>
  <c r="L21" i="2"/>
  <c r="M21" i="2"/>
  <c r="N21" i="2"/>
  <c r="P21" i="2"/>
  <c r="Q21" i="2"/>
  <c r="R21" i="2"/>
  <c r="T21" i="2"/>
  <c r="U21" i="2"/>
  <c r="V21" i="2"/>
  <c r="W21" i="2"/>
  <c r="X21" i="2"/>
  <c r="Y21" i="2"/>
  <c r="W25" i="2"/>
  <c r="X25" i="2"/>
  <c r="Y25" i="2"/>
  <c r="E26" i="2"/>
  <c r="F26" i="2"/>
  <c r="G26" i="2"/>
  <c r="H26" i="2"/>
  <c r="J26" i="2"/>
  <c r="N26" i="2"/>
  <c r="P26" i="2"/>
  <c r="Q26" i="2"/>
  <c r="R26" i="2"/>
  <c r="T26" i="2"/>
  <c r="U26" i="2"/>
  <c r="V26" i="2"/>
  <c r="W26" i="2"/>
  <c r="X26" i="2"/>
  <c r="Y26" i="2"/>
  <c r="E27" i="2"/>
  <c r="F27" i="2"/>
  <c r="G27" i="2"/>
  <c r="H27" i="2"/>
  <c r="J27" i="2"/>
  <c r="N27" i="2"/>
  <c r="P27" i="2"/>
  <c r="Q27" i="2"/>
  <c r="R27" i="2"/>
  <c r="S27" i="2"/>
  <c r="T27" i="2"/>
  <c r="U27" i="2"/>
  <c r="V27" i="2"/>
  <c r="W27" i="2"/>
  <c r="X27" i="2"/>
  <c r="Y27" i="2"/>
  <c r="F28" i="2"/>
  <c r="G28" i="2"/>
  <c r="H28" i="2"/>
  <c r="I28" i="2"/>
  <c r="J28" i="2"/>
  <c r="N28" i="2"/>
  <c r="P28" i="2"/>
  <c r="Q28" i="2"/>
  <c r="R28" i="2"/>
  <c r="S28" i="2"/>
  <c r="T28" i="2"/>
  <c r="U28" i="2"/>
  <c r="W28" i="2"/>
  <c r="X28" i="2"/>
  <c r="Y28" i="2"/>
  <c r="E29" i="2"/>
  <c r="F29" i="2"/>
  <c r="G29" i="2"/>
  <c r="H29" i="2"/>
  <c r="J29" i="2"/>
  <c r="N29" i="2"/>
  <c r="P29" i="2"/>
  <c r="Q29" i="2"/>
  <c r="R29" i="2"/>
  <c r="T29" i="2"/>
  <c r="U29" i="2"/>
  <c r="V29" i="2"/>
  <c r="W29" i="2"/>
  <c r="X29" i="2"/>
  <c r="Y29" i="2"/>
  <c r="E30" i="2"/>
  <c r="F30" i="2"/>
  <c r="G30" i="2"/>
  <c r="H30" i="2"/>
  <c r="J30" i="2"/>
  <c r="N30" i="2"/>
  <c r="P30" i="2"/>
  <c r="Q30" i="2"/>
  <c r="R30" i="2"/>
  <c r="T30" i="2"/>
  <c r="U30" i="2"/>
  <c r="V30" i="2"/>
  <c r="W30" i="2"/>
  <c r="X30" i="2"/>
  <c r="Y30" i="2"/>
  <c r="E31" i="2"/>
  <c r="F31" i="2"/>
  <c r="G31" i="2"/>
  <c r="H31" i="2"/>
  <c r="J31" i="2"/>
  <c r="N31" i="2"/>
  <c r="P31" i="2"/>
  <c r="Q31" i="2"/>
  <c r="R31" i="2"/>
  <c r="T31" i="2"/>
  <c r="U31" i="2"/>
  <c r="V31" i="2"/>
  <c r="W31" i="2"/>
  <c r="X31" i="2"/>
  <c r="Y31" i="2"/>
  <c r="E32" i="2"/>
  <c r="F32" i="2"/>
  <c r="G32" i="2"/>
  <c r="H32" i="2"/>
  <c r="J32" i="2"/>
  <c r="N32" i="2"/>
  <c r="P32" i="2"/>
  <c r="Q32" i="2"/>
  <c r="R32" i="2"/>
  <c r="T32" i="2"/>
  <c r="U32" i="2"/>
  <c r="V32" i="2"/>
  <c r="W32" i="2"/>
  <c r="X32" i="2"/>
  <c r="Y32" i="2"/>
  <c r="E33" i="2"/>
  <c r="F33" i="2"/>
  <c r="G33" i="2"/>
  <c r="H33" i="2"/>
  <c r="J33" i="2"/>
  <c r="N33" i="2"/>
  <c r="P33" i="2"/>
  <c r="Q33" i="2"/>
  <c r="R33" i="2"/>
  <c r="T33" i="2"/>
  <c r="U33" i="2"/>
  <c r="V33" i="2"/>
  <c r="W33" i="2"/>
  <c r="X33" i="2"/>
  <c r="Y33" i="2"/>
  <c r="F34" i="2"/>
  <c r="G34" i="2"/>
  <c r="H34" i="2"/>
  <c r="J34" i="2"/>
  <c r="N34" i="2"/>
  <c r="P34" i="2"/>
  <c r="Q34" i="2"/>
  <c r="R34" i="2"/>
  <c r="T34" i="2"/>
  <c r="U34" i="2"/>
  <c r="V34" i="2"/>
  <c r="W34" i="2"/>
  <c r="X34" i="2"/>
  <c r="Y34" i="2"/>
  <c r="E35" i="2"/>
  <c r="F35" i="2"/>
  <c r="G35" i="2"/>
  <c r="H35" i="2"/>
  <c r="J35" i="2"/>
  <c r="N35" i="2"/>
  <c r="P35" i="2"/>
  <c r="Q35" i="2"/>
  <c r="R35" i="2"/>
  <c r="T35" i="2"/>
  <c r="U35" i="2"/>
  <c r="V35" i="2"/>
  <c r="W35" i="2"/>
  <c r="X35" i="2"/>
  <c r="Y35" i="2"/>
  <c r="F36" i="2"/>
  <c r="G36" i="2"/>
  <c r="H36" i="2"/>
  <c r="J36" i="2"/>
  <c r="N36" i="2"/>
  <c r="P36" i="2"/>
  <c r="Q36" i="2"/>
  <c r="R36" i="2"/>
  <c r="T36" i="2"/>
  <c r="U36" i="2"/>
  <c r="V36" i="2"/>
  <c r="W36" i="2"/>
  <c r="X36" i="2"/>
  <c r="Y36" i="2"/>
  <c r="E37" i="2"/>
  <c r="F37" i="2"/>
  <c r="G37" i="2"/>
  <c r="H37" i="2"/>
  <c r="J37" i="2"/>
  <c r="N37" i="2"/>
  <c r="P37" i="2"/>
  <c r="Q37" i="2"/>
  <c r="R37" i="2"/>
  <c r="T37" i="2"/>
  <c r="U37" i="2"/>
  <c r="V37" i="2"/>
  <c r="W37" i="2"/>
  <c r="X37" i="2"/>
  <c r="Y37" i="2"/>
  <c r="C36" i="2"/>
  <c r="C37" i="2"/>
  <c r="C19" i="2"/>
  <c r="C20" i="2"/>
  <c r="C21" i="2"/>
  <c r="C25" i="2"/>
  <c r="C26" i="2"/>
  <c r="C27" i="2"/>
  <c r="C28" i="2"/>
  <c r="C29" i="2"/>
  <c r="C30" i="2"/>
  <c r="C31" i="2"/>
  <c r="C32" i="2"/>
  <c r="C33" i="2"/>
  <c r="C34" i="2"/>
  <c r="C3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O24" i="2" l="1"/>
  <c r="J69" i="1"/>
  <c r="J59" i="1"/>
  <c r="N59" i="1" s="1"/>
  <c r="R70" i="1"/>
  <c r="N63" i="1"/>
  <c r="K21" i="2"/>
  <c r="J66" i="1"/>
  <c r="J60" i="1"/>
  <c r="N60" i="1" s="1"/>
  <c r="P50" i="1"/>
  <c r="O50" i="1"/>
  <c r="V61" i="1"/>
  <c r="Q61" i="1"/>
  <c r="L60" i="1"/>
  <c r="M20" i="2" s="1"/>
  <c r="L16" i="1"/>
  <c r="D16" i="1"/>
  <c r="M16" i="1" s="1"/>
  <c r="X64" i="1"/>
  <c r="X16" i="1" s="1"/>
  <c r="W64" i="1"/>
  <c r="W16" i="1" s="1"/>
  <c r="V64" i="1"/>
  <c r="V16" i="1" s="1"/>
  <c r="U64" i="1"/>
  <c r="U16" i="1" s="1"/>
  <c r="P64" i="1"/>
  <c r="P16" i="1" s="1"/>
  <c r="O64" i="1"/>
  <c r="O16" i="1" s="1"/>
  <c r="D64" i="1"/>
  <c r="T64" i="1"/>
  <c r="T16" i="1" s="1"/>
  <c r="I109" i="1"/>
  <c r="D91" i="1"/>
  <c r="H78" i="1"/>
  <c r="I25" i="2" s="1"/>
  <c r="H80" i="1"/>
  <c r="I27" i="2" s="1"/>
  <c r="K80" i="1"/>
  <c r="L27" i="2" s="1"/>
  <c r="H82" i="1"/>
  <c r="I29" i="2" s="1"/>
  <c r="I112" i="1"/>
  <c r="I113" i="1" s="1"/>
  <c r="I114" i="1" s="1"/>
  <c r="K24" i="2" l="1"/>
  <c r="U72" i="1"/>
  <c r="C19" i="1"/>
  <c r="K19" i="2"/>
  <c r="N69" i="1"/>
  <c r="K23" i="2"/>
  <c r="N66" i="1"/>
  <c r="K22" i="2"/>
  <c r="K20" i="2"/>
  <c r="R63" i="1"/>
  <c r="S21" i="2" s="1"/>
  <c r="O21" i="2"/>
  <c r="C16" i="1"/>
  <c r="E16" i="1" s="1"/>
  <c r="Q64" i="1"/>
  <c r="Q16" i="1" s="1"/>
  <c r="S64" i="1"/>
  <c r="S16" i="1" s="1"/>
  <c r="N64" i="1"/>
  <c r="J80" i="1"/>
  <c r="W91" i="1"/>
  <c r="V91" i="1"/>
  <c r="S91" i="1"/>
  <c r="Q91" i="1"/>
  <c r="P91" i="1"/>
  <c r="O91" i="1"/>
  <c r="J78" i="1"/>
  <c r="K25" i="2" s="1"/>
  <c r="W116" i="1"/>
  <c r="U116" i="1"/>
  <c r="S116" i="1"/>
  <c r="R116" i="1"/>
  <c r="Q116" i="1"/>
  <c r="P116" i="1"/>
  <c r="O116" i="1"/>
  <c r="O106" i="1"/>
  <c r="P106" i="1"/>
  <c r="R106" i="1"/>
  <c r="S106" i="1"/>
  <c r="T106" i="1"/>
  <c r="U106" i="1"/>
  <c r="V106" i="1"/>
  <c r="W106" i="1"/>
  <c r="X106" i="1"/>
  <c r="O20" i="2"/>
  <c r="O19" i="2"/>
  <c r="N19" i="1" l="1"/>
  <c r="E19" i="1"/>
  <c r="F19" i="1"/>
  <c r="G19" i="1" s="1"/>
  <c r="U19" i="1"/>
  <c r="V24" i="2"/>
  <c r="N67" i="1"/>
  <c r="N16" i="1"/>
  <c r="Q73" i="1"/>
  <c r="R18" i="1"/>
  <c r="N70" i="1"/>
  <c r="O23" i="2"/>
  <c r="S69" i="1"/>
  <c r="C18" i="1"/>
  <c r="C17" i="1"/>
  <c r="O22" i="2"/>
  <c r="R66" i="1"/>
  <c r="S22" i="2" s="1"/>
  <c r="R64" i="1"/>
  <c r="R16" i="1" s="1"/>
  <c r="N80" i="1"/>
  <c r="O27" i="2" s="1"/>
  <c r="K27" i="2"/>
  <c r="F16" i="1"/>
  <c r="G16" i="1" s="1"/>
  <c r="X61" i="1"/>
  <c r="P61" i="1"/>
  <c r="O61" i="1"/>
  <c r="D61" i="1"/>
  <c r="D73" i="1" s="1"/>
  <c r="R60" i="1"/>
  <c r="R59" i="1"/>
  <c r="V66" i="1" l="1"/>
  <c r="W22" i="2" s="1"/>
  <c r="U66" i="1"/>
  <c r="V22" i="2" s="1"/>
  <c r="X15" i="1"/>
  <c r="X73" i="1"/>
  <c r="O15" i="1"/>
  <c r="O73" i="1"/>
  <c r="P15" i="1"/>
  <c r="P73" i="1"/>
  <c r="T66" i="1"/>
  <c r="U22" i="2" s="1"/>
  <c r="S18" i="1"/>
  <c r="T23" i="2"/>
  <c r="S70" i="1"/>
  <c r="E18" i="1"/>
  <c r="N18" i="1"/>
  <c r="F18" i="1"/>
  <c r="G18" i="1" s="1"/>
  <c r="S66" i="1"/>
  <c r="T22" i="2" s="1"/>
  <c r="R17" i="1"/>
  <c r="R67" i="1"/>
  <c r="F17" i="1"/>
  <c r="G17" i="1" s="1"/>
  <c r="N17" i="1"/>
  <c r="E17" i="1"/>
  <c r="V67" i="1"/>
  <c r="V73" i="1" s="1"/>
  <c r="V17" i="1"/>
  <c r="R61" i="1"/>
  <c r="S19" i="2"/>
  <c r="S60" i="1"/>
  <c r="S20" i="2"/>
  <c r="Q15" i="1"/>
  <c r="V15" i="1"/>
  <c r="S59" i="1"/>
  <c r="T19" i="2" s="1"/>
  <c r="N61" i="1"/>
  <c r="D21" i="1"/>
  <c r="M22" i="1" s="1"/>
  <c r="L13" i="1"/>
  <c r="L14" i="1"/>
  <c r="L15" i="1"/>
  <c r="L20" i="1"/>
  <c r="L22" i="1"/>
  <c r="L23" i="1"/>
  <c r="L12" i="1"/>
  <c r="D15" i="1"/>
  <c r="M15" i="1" s="1"/>
  <c r="C15" i="1"/>
  <c r="O22" i="1"/>
  <c r="P22" i="1"/>
  <c r="Q22" i="1"/>
  <c r="S22" i="1"/>
  <c r="V22" i="1"/>
  <c r="W22" i="1"/>
  <c r="K79" i="1"/>
  <c r="R73" i="1" l="1"/>
  <c r="T17" i="1"/>
  <c r="T67" i="1"/>
  <c r="N73" i="1"/>
  <c r="U17" i="1"/>
  <c r="U67" i="1"/>
  <c r="S17" i="1"/>
  <c r="S67" i="1"/>
  <c r="K81" i="1"/>
  <c r="L28" i="2" s="1"/>
  <c r="L26" i="2"/>
  <c r="T60" i="1"/>
  <c r="T20" i="2"/>
  <c r="R15" i="1"/>
  <c r="S61" i="1"/>
  <c r="F15" i="1"/>
  <c r="G15" i="1" s="1"/>
  <c r="E15" i="1"/>
  <c r="T59" i="1"/>
  <c r="U19" i="2" s="1"/>
  <c r="J56" i="1"/>
  <c r="N53" i="1"/>
  <c r="O17" i="2" s="1"/>
  <c r="N52" i="1"/>
  <c r="O16" i="2" s="1"/>
  <c r="J36" i="1"/>
  <c r="J38" i="1"/>
  <c r="J37" i="1"/>
  <c r="S73" i="1" l="1"/>
  <c r="K82" i="1"/>
  <c r="L29" i="2" s="1"/>
  <c r="J81" i="1"/>
  <c r="K28" i="2" s="1"/>
  <c r="N38" i="1"/>
  <c r="O4" i="2" s="1"/>
  <c r="K4" i="2"/>
  <c r="N56" i="1"/>
  <c r="O18" i="2" s="1"/>
  <c r="K18" i="2"/>
  <c r="N36" i="1"/>
  <c r="O2" i="2" s="1"/>
  <c r="K2" i="2"/>
  <c r="N37" i="1"/>
  <c r="O3" i="2" s="1"/>
  <c r="K3" i="2"/>
  <c r="U20" i="2"/>
  <c r="U60" i="1"/>
  <c r="S15" i="1"/>
  <c r="T61" i="1"/>
  <c r="T73" i="1" s="1"/>
  <c r="U59" i="1"/>
  <c r="N81" i="1" l="1"/>
  <c r="U81" i="1" s="1"/>
  <c r="K83" i="1"/>
  <c r="L30" i="2" s="1"/>
  <c r="V19" i="2"/>
  <c r="O28" i="2"/>
  <c r="W61" i="1"/>
  <c r="V20" i="2"/>
  <c r="U61" i="1"/>
  <c r="T15" i="1"/>
  <c r="K84" i="1" l="1"/>
  <c r="L31" i="2" s="1"/>
  <c r="W15" i="1"/>
  <c r="W73" i="1"/>
  <c r="U15" i="1"/>
  <c r="U73" i="1"/>
  <c r="V28" i="2"/>
  <c r="N15" i="1"/>
  <c r="K85" i="1"/>
  <c r="L32" i="2" s="1"/>
  <c r="K86" i="1" l="1"/>
  <c r="L33" i="2" s="1"/>
  <c r="K87" i="1" l="1"/>
  <c r="L34" i="2" s="1"/>
  <c r="K88" i="1" l="1"/>
  <c r="L35" i="2" s="1"/>
  <c r="K89" i="1" l="1"/>
  <c r="L36" i="2" s="1"/>
  <c r="K90" i="1" l="1"/>
  <c r="L37" i="2" s="1"/>
  <c r="L110" i="1" l="1"/>
  <c r="I111" i="1"/>
  <c r="I110" i="1"/>
  <c r="P97" i="1"/>
  <c r="Q97" i="1"/>
  <c r="R97" i="1"/>
  <c r="S97" i="1"/>
  <c r="T97" i="1"/>
  <c r="U97" i="1"/>
  <c r="V97" i="1"/>
  <c r="W97" i="1"/>
  <c r="X97" i="1"/>
  <c r="D96" i="1"/>
  <c r="L111" i="1" l="1"/>
  <c r="L112" i="1" s="1"/>
  <c r="L113" i="1" s="1"/>
  <c r="L114" i="1" s="1"/>
  <c r="L109" i="1"/>
  <c r="D102" i="1"/>
  <c r="N102" i="1" s="1"/>
  <c r="D109" i="1"/>
  <c r="D111" i="1"/>
  <c r="N111" i="1" s="1"/>
  <c r="D98" i="1"/>
  <c r="N98" i="1" s="1"/>
  <c r="D110" i="1"/>
  <c r="N110" i="1" s="1"/>
  <c r="D100" i="1"/>
  <c r="N100" i="1" s="1"/>
  <c r="D103" i="1"/>
  <c r="N103" i="1" s="1"/>
  <c r="D99" i="1"/>
  <c r="N99" i="1" s="1"/>
  <c r="D101" i="1"/>
  <c r="N101" i="1" s="1"/>
  <c r="D113" i="1"/>
  <c r="D112" i="1"/>
  <c r="N112" i="1" s="1"/>
  <c r="D114" i="1"/>
  <c r="D104" i="1"/>
  <c r="N104" i="1" s="1"/>
  <c r="O97" i="1"/>
  <c r="O57" i="1"/>
  <c r="O14" i="1" s="1"/>
  <c r="P57" i="1"/>
  <c r="P14" i="1" s="1"/>
  <c r="Q57" i="1"/>
  <c r="Q14" i="1" s="1"/>
  <c r="S57" i="1"/>
  <c r="S14" i="1" s="1"/>
  <c r="T57" i="1"/>
  <c r="T14" i="1" s="1"/>
  <c r="U57" i="1"/>
  <c r="U14" i="1" s="1"/>
  <c r="V57" i="1"/>
  <c r="V14" i="1" s="1"/>
  <c r="W57" i="1"/>
  <c r="W14" i="1" s="1"/>
  <c r="X57" i="1"/>
  <c r="X14" i="1" s="1"/>
  <c r="O54" i="1"/>
  <c r="O13" i="1" s="1"/>
  <c r="P54" i="1"/>
  <c r="P13" i="1" s="1"/>
  <c r="Q54" i="1"/>
  <c r="Q13" i="1" s="1"/>
  <c r="X54" i="1"/>
  <c r="X13" i="1" s="1"/>
  <c r="X50" i="1"/>
  <c r="X12" i="1" s="1"/>
  <c r="P12" i="1"/>
  <c r="O12" i="1"/>
  <c r="D57" i="1"/>
  <c r="D54" i="1"/>
  <c r="D50" i="1"/>
  <c r="D13" i="1"/>
  <c r="D14" i="1"/>
  <c r="M14" i="1" s="1"/>
  <c r="H79" i="1"/>
  <c r="T53" i="1"/>
  <c r="U17" i="2" s="1"/>
  <c r="C13" i="1"/>
  <c r="F13" i="1" s="1"/>
  <c r="H49" i="1"/>
  <c r="H48" i="1"/>
  <c r="H47" i="1"/>
  <c r="H46" i="1"/>
  <c r="H45" i="1"/>
  <c r="H44" i="1"/>
  <c r="I10" i="2" s="1"/>
  <c r="H43" i="1"/>
  <c r="H42" i="1"/>
  <c r="H41" i="1"/>
  <c r="H40" i="1"/>
  <c r="H39" i="1"/>
  <c r="P20" i="1" l="1"/>
  <c r="P21" i="1" s="1"/>
  <c r="M13" i="1"/>
  <c r="D20" i="1"/>
  <c r="D22" i="1" s="1"/>
  <c r="O20" i="1"/>
  <c r="O21" i="1" s="1"/>
  <c r="X20" i="1"/>
  <c r="X21" i="1" s="1"/>
  <c r="N109" i="1"/>
  <c r="T109" i="1" s="1"/>
  <c r="J45" i="1"/>
  <c r="I11" i="2"/>
  <c r="J47" i="1"/>
  <c r="I13" i="2"/>
  <c r="J46" i="1"/>
  <c r="I12" i="2"/>
  <c r="J48" i="1"/>
  <c r="I14" i="2"/>
  <c r="J49" i="1"/>
  <c r="I15" i="2"/>
  <c r="J43" i="1"/>
  <c r="I9" i="2"/>
  <c r="J42" i="1"/>
  <c r="I8" i="2"/>
  <c r="J40" i="1"/>
  <c r="I6" i="2"/>
  <c r="J79" i="1"/>
  <c r="K26" i="2" s="1"/>
  <c r="I26" i="2"/>
  <c r="J39" i="1"/>
  <c r="I5" i="2"/>
  <c r="J41" i="1"/>
  <c r="I7" i="2"/>
  <c r="P23" i="1"/>
  <c r="P29" i="1" s="1"/>
  <c r="P30" i="1" s="1"/>
  <c r="M12" i="1"/>
  <c r="D115" i="1"/>
  <c r="M27" i="1" s="1"/>
  <c r="G13" i="1"/>
  <c r="J44" i="1"/>
  <c r="N113" i="1"/>
  <c r="D105" i="1"/>
  <c r="M26" i="1" s="1"/>
  <c r="N114" i="1"/>
  <c r="N54" i="1"/>
  <c r="E13" i="1"/>
  <c r="U53" i="1"/>
  <c r="V17" i="2" s="1"/>
  <c r="R52" i="1"/>
  <c r="S16" i="2" s="1"/>
  <c r="P24" i="1" l="1"/>
  <c r="O23" i="1"/>
  <c r="O29" i="1" s="1"/>
  <c r="O30" i="1" s="1"/>
  <c r="M20" i="1"/>
  <c r="M21" i="1" s="1"/>
  <c r="N44" i="1"/>
  <c r="K10" i="2"/>
  <c r="N48" i="1"/>
  <c r="O14" i="2" s="1"/>
  <c r="K14" i="2"/>
  <c r="N47" i="1"/>
  <c r="O13" i="2" s="1"/>
  <c r="K13" i="2"/>
  <c r="N46" i="1"/>
  <c r="O12" i="2" s="1"/>
  <c r="K12" i="2"/>
  <c r="N49" i="1"/>
  <c r="O15" i="2" s="1"/>
  <c r="K15" i="2"/>
  <c r="N45" i="1"/>
  <c r="O11" i="2" s="1"/>
  <c r="K11" i="2"/>
  <c r="N40" i="1"/>
  <c r="O6" i="2" s="1"/>
  <c r="K6" i="2"/>
  <c r="N42" i="1"/>
  <c r="K8" i="2"/>
  <c r="N41" i="1"/>
  <c r="K7" i="2"/>
  <c r="N39" i="1"/>
  <c r="O5" i="2" s="1"/>
  <c r="K5" i="2"/>
  <c r="N43" i="1"/>
  <c r="K9" i="2"/>
  <c r="M23" i="1"/>
  <c r="M29" i="1" s="1"/>
  <c r="V53" i="1"/>
  <c r="W17" i="2" s="1"/>
  <c r="S52" i="1"/>
  <c r="T16" i="2" s="1"/>
  <c r="R54" i="1"/>
  <c r="R13" i="1" s="1"/>
  <c r="J82" i="1"/>
  <c r="K29" i="2" s="1"/>
  <c r="O9" i="2" l="1"/>
  <c r="U43" i="1"/>
  <c r="V9" i="2" s="1"/>
  <c r="O7" i="2"/>
  <c r="T41" i="1"/>
  <c r="U7" i="2" s="1"/>
  <c r="O8" i="2"/>
  <c r="U42" i="1"/>
  <c r="V8" i="2" s="1"/>
  <c r="M24" i="1"/>
  <c r="M30" i="1"/>
  <c r="O24" i="1"/>
  <c r="V44" i="1"/>
  <c r="W10" i="2" s="1"/>
  <c r="O10" i="2"/>
  <c r="V54" i="1"/>
  <c r="V13" i="1" s="1"/>
  <c r="W53" i="1"/>
  <c r="X17" i="2" s="1"/>
  <c r="T52" i="1"/>
  <c r="U16" i="2" s="1"/>
  <c r="S54" i="1"/>
  <c r="S13" i="1" s="1"/>
  <c r="H83" i="1"/>
  <c r="J83" i="1" l="1"/>
  <c r="K30" i="2" s="1"/>
  <c r="I30" i="2"/>
  <c r="W54" i="1"/>
  <c r="W13" i="1" s="1"/>
  <c r="U52" i="1"/>
  <c r="V16" i="2" s="1"/>
  <c r="T54" i="1"/>
  <c r="T13" i="1" s="1"/>
  <c r="H84" i="1"/>
  <c r="J84" i="1" l="1"/>
  <c r="K31" i="2" s="1"/>
  <c r="I31" i="2"/>
  <c r="U54" i="1"/>
  <c r="H85" i="1"/>
  <c r="J85" i="1" l="1"/>
  <c r="K32" i="2" s="1"/>
  <c r="I32" i="2"/>
  <c r="U13" i="1"/>
  <c r="N13" i="1" s="1"/>
  <c r="H86" i="1"/>
  <c r="J86" i="1" l="1"/>
  <c r="K33" i="2" s="1"/>
  <c r="I33" i="2"/>
  <c r="V111" i="1"/>
  <c r="V115" i="1" s="1"/>
  <c r="V27" i="1" s="1"/>
  <c r="Q100" i="1"/>
  <c r="Q101" i="1"/>
  <c r="Q102" i="1"/>
  <c r="Q103" i="1"/>
  <c r="Q104" i="1"/>
  <c r="X112" i="1"/>
  <c r="X113" i="1"/>
  <c r="X114" i="1"/>
  <c r="N78" i="1"/>
  <c r="N79" i="1"/>
  <c r="U91" i="1"/>
  <c r="U22" i="1" s="1"/>
  <c r="N82" i="1"/>
  <c r="N83" i="1"/>
  <c r="N84" i="1"/>
  <c r="N85" i="1"/>
  <c r="H87" i="1"/>
  <c r="I34" i="2" s="1"/>
  <c r="N86" i="1"/>
  <c r="V116" i="1" l="1"/>
  <c r="O25" i="2"/>
  <c r="R79" i="1"/>
  <c r="S26" i="2" s="1"/>
  <c r="O26" i="2"/>
  <c r="R83" i="1"/>
  <c r="S30" i="2" s="1"/>
  <c r="O30" i="2"/>
  <c r="R86" i="1"/>
  <c r="S33" i="2" s="1"/>
  <c r="O33" i="2"/>
  <c r="R85" i="1"/>
  <c r="S32" i="2" s="1"/>
  <c r="O32" i="2"/>
  <c r="R82" i="1"/>
  <c r="S29" i="2" s="1"/>
  <c r="O29" i="2"/>
  <c r="R78" i="1"/>
  <c r="S25" i="2" s="1"/>
  <c r="R84" i="1"/>
  <c r="S31" i="2" s="1"/>
  <c r="O31" i="2"/>
  <c r="H88" i="1"/>
  <c r="H89" i="1" s="1"/>
  <c r="J87" i="1"/>
  <c r="K34" i="2" s="1"/>
  <c r="T91" i="1"/>
  <c r="T22" i="1" s="1"/>
  <c r="N50" i="1"/>
  <c r="T110" i="1"/>
  <c r="T115" i="1" s="1"/>
  <c r="T27" i="1" s="1"/>
  <c r="N115" i="1"/>
  <c r="N105" i="1"/>
  <c r="N26" i="1" s="1"/>
  <c r="Q105" i="1"/>
  <c r="Q26" i="1" s="1"/>
  <c r="X115" i="1"/>
  <c r="X27" i="1" s="1"/>
  <c r="R56" i="1"/>
  <c r="S18" i="2" s="1"/>
  <c r="C12" i="1"/>
  <c r="T39" i="1"/>
  <c r="U5" i="2" s="1"/>
  <c r="R38" i="1"/>
  <c r="S4" i="2" s="1"/>
  <c r="R36" i="1"/>
  <c r="S2" i="2" s="1"/>
  <c r="S40" i="1"/>
  <c r="T6" i="2" s="1"/>
  <c r="R37" i="1"/>
  <c r="S3" i="2" s="1"/>
  <c r="U45" i="1"/>
  <c r="W49" i="1"/>
  <c r="X15" i="2" s="1"/>
  <c r="V48" i="1"/>
  <c r="W14" i="2" s="1"/>
  <c r="U47" i="1"/>
  <c r="U46" i="1"/>
  <c r="N116" i="1" l="1"/>
  <c r="N27" i="1"/>
  <c r="Q106" i="1"/>
  <c r="T116" i="1"/>
  <c r="N106" i="1"/>
  <c r="X116" i="1"/>
  <c r="R50" i="1"/>
  <c r="R12" i="1" s="1"/>
  <c r="Q50" i="1"/>
  <c r="Q12" i="1" s="1"/>
  <c r="V13" i="2"/>
  <c r="V11" i="2"/>
  <c r="V12" i="2"/>
  <c r="J89" i="1"/>
  <c r="K36" i="2" s="1"/>
  <c r="I36" i="2"/>
  <c r="U9" i="2"/>
  <c r="J88" i="1"/>
  <c r="I35" i="2"/>
  <c r="U8" i="2"/>
  <c r="T7" i="2"/>
  <c r="N87" i="1"/>
  <c r="T50" i="1"/>
  <c r="T12" i="1" s="1"/>
  <c r="S50" i="1"/>
  <c r="S12" i="1" s="1"/>
  <c r="H90" i="1"/>
  <c r="I37" i="2" s="1"/>
  <c r="F12" i="1"/>
  <c r="C23" i="1"/>
  <c r="C14" i="1"/>
  <c r="C20" i="1" s="1"/>
  <c r="E20" i="1" s="1"/>
  <c r="R57" i="1"/>
  <c r="R14" i="1" s="1"/>
  <c r="N57" i="1"/>
  <c r="V50" i="1"/>
  <c r="V12" i="1" s="1"/>
  <c r="W50" i="1"/>
  <c r="W12" i="1" s="1"/>
  <c r="U50" i="1"/>
  <c r="U12" i="1" s="1"/>
  <c r="E12" i="1"/>
  <c r="T20" i="1" l="1"/>
  <c r="T21" i="1" s="1"/>
  <c r="R20" i="1"/>
  <c r="U20" i="1"/>
  <c r="U21" i="1" s="1"/>
  <c r="R21" i="1"/>
  <c r="W20" i="1"/>
  <c r="W23" i="1" s="1"/>
  <c r="W29" i="1" s="1"/>
  <c r="W30" i="1" s="1"/>
  <c r="V20" i="1"/>
  <c r="V21" i="1" s="1"/>
  <c r="S20" i="1"/>
  <c r="S21" i="1" s="1"/>
  <c r="Q20" i="1"/>
  <c r="Q23" i="1" s="1"/>
  <c r="Q29" i="1" s="1"/>
  <c r="Q30" i="1" s="1"/>
  <c r="N89" i="1"/>
  <c r="R89" i="1" s="1"/>
  <c r="S36" i="2" s="1"/>
  <c r="R87" i="1"/>
  <c r="O34" i="2"/>
  <c r="K35" i="2"/>
  <c r="N88" i="1"/>
  <c r="J90" i="1"/>
  <c r="N12" i="1"/>
  <c r="G12" i="1"/>
  <c r="N14" i="1"/>
  <c r="T23" i="1"/>
  <c r="T29" i="1" s="1"/>
  <c r="T30" i="1" s="1"/>
  <c r="F14" i="1"/>
  <c r="G14" i="1" s="1"/>
  <c r="E14" i="1"/>
  <c r="U23" i="1" l="1"/>
  <c r="U29" i="1" s="1"/>
  <c r="U30" i="1" s="1"/>
  <c r="W24" i="1"/>
  <c r="S23" i="1"/>
  <c r="S29" i="1" s="1"/>
  <c r="S30" i="1" s="1"/>
  <c r="W21" i="1"/>
  <c r="T24" i="1"/>
  <c r="V23" i="1"/>
  <c r="V29" i="1" s="1"/>
  <c r="V30" i="1" s="1"/>
  <c r="Q24" i="1"/>
  <c r="Q21" i="1"/>
  <c r="F20" i="1"/>
  <c r="G20" i="1" s="1"/>
  <c r="N20" i="1"/>
  <c r="N21" i="1" s="1"/>
  <c r="O36" i="2"/>
  <c r="N90" i="1"/>
  <c r="O37" i="2" s="1"/>
  <c r="K37" i="2"/>
  <c r="R88" i="1"/>
  <c r="S35" i="2" s="1"/>
  <c r="O35" i="2"/>
  <c r="S34" i="2"/>
  <c r="X91" i="1"/>
  <c r="X22" i="1" s="1"/>
  <c r="X23" i="1" s="1"/>
  <c r="X29" i="1" s="1"/>
  <c r="X30" i="1" s="1"/>
  <c r="U24" i="1" l="1"/>
  <c r="X24" i="1"/>
  <c r="S24" i="1"/>
  <c r="V24" i="1"/>
  <c r="N91" i="1"/>
  <c r="N22" i="1" s="1"/>
  <c r="N23" i="1" s="1"/>
  <c r="N29" i="1" s="1"/>
  <c r="R90" i="1"/>
  <c r="S37" i="2" s="1"/>
  <c r="C21" i="1"/>
  <c r="F21" i="1" s="1"/>
  <c r="R91" i="1"/>
  <c r="R22" i="1" s="1"/>
  <c r="R23" i="1" s="1"/>
  <c r="R29" i="1" s="1"/>
  <c r="R30" i="1" s="1"/>
  <c r="N24" i="1" l="1"/>
  <c r="N30" i="1"/>
  <c r="R24" i="1"/>
  <c r="E21" i="1"/>
  <c r="G21" i="1"/>
  <c r="F22" i="1"/>
  <c r="G22" i="1" s="1"/>
  <c r="C22" i="1"/>
  <c r="E22" i="1" s="1"/>
  <c r="C24" i="1" l="1"/>
</calcChain>
</file>

<file path=xl/sharedStrings.xml><?xml version="1.0" encoding="utf-8"?>
<sst xmlns="http://schemas.openxmlformats.org/spreadsheetml/2006/main" count="332" uniqueCount="118">
  <si>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</si>
  <si>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</si>
  <si>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</si>
  <si>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</si>
  <si>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</si>
  <si>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</si>
  <si>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</si>
  <si>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</si>
  <si>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</si>
  <si>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</si>
  <si>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</si>
  <si>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</si>
  <si>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</si>
  <si>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</si>
  <si>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</si>
  <si>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</si>
  <si>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</si>
  <si>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Hedge (cts/lb)</t>
  </si>
  <si>
    <t>Preço (u$/sc)</t>
  </si>
  <si>
    <t>Resultado U$</t>
  </si>
  <si>
    <t>Data BL</t>
  </si>
  <si>
    <t>Prazo Receb.</t>
  </si>
  <si>
    <t>Preço (cts/lb) *</t>
  </si>
  <si>
    <t>Xorxos</t>
  </si>
  <si>
    <t>Southland</t>
  </si>
  <si>
    <t>031/24</t>
  </si>
  <si>
    <t>032/24</t>
  </si>
  <si>
    <t>-</t>
  </si>
  <si>
    <t>4x</t>
  </si>
  <si>
    <t>021/24</t>
  </si>
  <si>
    <t>Estimativa</t>
  </si>
  <si>
    <t>em aberto</t>
  </si>
  <si>
    <t>Preços NY</t>
  </si>
  <si>
    <t>TOTAL</t>
  </si>
  <si>
    <t>Média (R$/sc)</t>
  </si>
  <si>
    <t>Sub-total Unroasted</t>
  </si>
  <si>
    <t>Sub-total Southland</t>
  </si>
  <si>
    <t>Sub-total Xorxos</t>
  </si>
  <si>
    <t>Sub-total Estimativa</t>
  </si>
  <si>
    <t>em R$</t>
  </si>
  <si>
    <t>Cotação Dólar</t>
  </si>
  <si>
    <t>cts/lb</t>
  </si>
  <si>
    <t>h6/24</t>
  </si>
  <si>
    <t>h3/24</t>
  </si>
  <si>
    <t>Contratos</t>
  </si>
  <si>
    <t>Rabobank</t>
  </si>
  <si>
    <t>Itaú BBA</t>
  </si>
  <si>
    <t>Vencimento</t>
  </si>
  <si>
    <t>Trava Dólar</t>
  </si>
  <si>
    <t>Liq. (cts/lb)</t>
  </si>
  <si>
    <t>Liq. (ptax)</t>
  </si>
  <si>
    <t>Result. (R$)</t>
  </si>
  <si>
    <t>Result. (U$)</t>
  </si>
  <si>
    <t>Média (U$/sc)</t>
  </si>
  <si>
    <t>(=) Resultado</t>
  </si>
  <si>
    <t>(+/-) Hedge</t>
  </si>
  <si>
    <t>Vendas contratadas</t>
  </si>
  <si>
    <t>Vendas estimadas</t>
  </si>
  <si>
    <t>Hedges liquidados</t>
  </si>
  <si>
    <t xml:space="preserve">Hedges em aberto </t>
  </si>
  <si>
    <t>Sub-total Hedge Liquidado</t>
  </si>
  <si>
    <t>Sub-total Hedge Ativos</t>
  </si>
  <si>
    <t>referência</t>
  </si>
  <si>
    <t>preço</t>
  </si>
  <si>
    <t>Vendas Contratadas</t>
  </si>
  <si>
    <t>Data da última atualização:</t>
  </si>
  <si>
    <t>Los Baristas</t>
  </si>
  <si>
    <t>033/24</t>
  </si>
  <si>
    <t>034/24</t>
  </si>
  <si>
    <t>1+3</t>
  </si>
  <si>
    <t>* em reais</t>
  </si>
  <si>
    <t>obs. (1) o preço refere-se ao preço em que o contrato foi liquidado ou contrato futuro mais próximo.</t>
  </si>
  <si>
    <t>17/18</t>
  </si>
  <si>
    <t>16/18</t>
  </si>
  <si>
    <t>14/16</t>
  </si>
  <si>
    <t>14/15</t>
  </si>
  <si>
    <t>Bica</t>
  </si>
  <si>
    <t>FVR</t>
  </si>
  <si>
    <t>Grinders</t>
  </si>
  <si>
    <t>Fundo</t>
  </si>
  <si>
    <t>Escolha</t>
  </si>
  <si>
    <t>Resíduo</t>
  </si>
  <si>
    <t>obs. (1) o preço refere-se ao preço fixado pelo cliente ou contrato futuro mais próximo ou hedge; (2) última estimativa enviada em 20/11/24.</t>
  </si>
  <si>
    <t>Sub-total Los Baristas</t>
  </si>
  <si>
    <t>Sub-total Louis Dreyfus</t>
  </si>
  <si>
    <t>Louis Dreyfus</t>
  </si>
  <si>
    <t>safra</t>
  </si>
  <si>
    <t>peneira</t>
  </si>
  <si>
    <t>qualidade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</si>
  <si>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</si>
  <si>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</si>
  <si>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</si>
  <si>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</si>
  <si>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</si>
  <si>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</si>
  <si>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</si>
  <si>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</si>
  <si>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</si>
  <si>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</si>
  <si>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tipo</t>
  </si>
  <si>
    <t>Exportação</t>
  </si>
  <si>
    <t>Interno</t>
  </si>
  <si>
    <t>Mundo Novo Café</t>
  </si>
  <si>
    <t>037/24</t>
  </si>
  <si>
    <t>50% + 4</t>
  </si>
  <si>
    <t>Melitta</t>
  </si>
  <si>
    <t>45 dias</t>
  </si>
  <si>
    <t>038/24</t>
  </si>
  <si>
    <t>Quadro Resumo</t>
  </si>
  <si>
    <t>CashFlow</t>
  </si>
  <si>
    <t>Emporia GMBH</t>
  </si>
  <si>
    <t>039/24</t>
  </si>
  <si>
    <t>em U$</t>
  </si>
  <si>
    <t>Vendas +/- Hedge</t>
  </si>
  <si>
    <t>Hedges Liquidados</t>
  </si>
  <si>
    <t>Hedges em aberto</t>
  </si>
  <si>
    <t>Cash Flow - Fazenda São Pedro da Canastra - Safra 2024/25</t>
  </si>
  <si>
    <t>us/sc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</si>
</sst>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/yy"/>
    <numFmt numFmtId="165" formatCode="0.0000"/>
    <numFmt numFmtId="166" formatCode="0.000"/>
    <numFmt numFmtId="167" formatCode="#,##0_ ;[Red]\-#,##0\ "/>
    <numFmt numFmtId="168" formatCode="0.0"/>
  </numFmts>
  <fonts count="10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sz val="10"/>
      <name val="Aptos Narrow"/>
      <scheme val="minor"/>
    </font>
    <font>
      <sz val="10"/>
      <color theme="0" tint="-0.249977111117893"/>
      <name val="Aptos Narrow"/>
      <scheme val="minor"/>
    </font>
    <font>
      <sz val="10"/>
      <color theme="0" tint="-4.9989318521683403E-2"/>
      <name val="Aptos Narrow"/>
      <scheme val="minor"/>
    </font>
    <font>
      <sz val="10"/>
      <color theme="0" tint="-0.34998626667073579"/>
      <name val="Aptos Narrow"/>
      <scheme val="minor"/>
    </font>
    <font>
      <b/>
      <sz val="10"/>
      <color theme="0"/>
      <name val="Aptos Narrow"/>
      <scheme val="minor"/>
    </font>
    <font>
      <sz val="10"/>
      <color rgb="FFFF0000"/>
      <name val="Aptos Narrow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  <xf numFmtId="0" fontId="1" fillId="5" borderId="0" xfId="0" applyFont="1" applyFill="1"/>
    <xf numFmtId="1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7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" fillId="3" borderId="0" xfId="0" applyFont="1" applyFill="1"/>
    <xf numFmtId="17" fontId="2" fillId="3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3" fillId="7" borderId="0" xfId="0" applyFont="1" applyFill="1"/>
    <xf numFmtId="3" fontId="3" fillId="7" borderId="0" xfId="0" applyNumberFormat="1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65" fontId="5" fillId="2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3" fontId="3" fillId="2" borderId="0" xfId="0" applyNumberFormat="1" applyFont="1" applyFill="1"/>
    <xf numFmtId="3" fontId="1" fillId="6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/>
    <xf numFmtId="3" fontId="1" fillId="2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Font="1" applyFill="1"/>
    <xf numFmtId="1" fontId="1" fillId="6" borderId="0" xfId="0" applyNumberFormat="1" applyFont="1" applyFill="1" applyAlignment="1">
      <alignment horizontal="center"/>
    </xf>
    <xf numFmtId="0" fontId="3" fillId="6" borderId="0" xfId="0" applyFont="1" applyFill="1"/>
    <xf numFmtId="167" fontId="1" fillId="5" borderId="0" xfId="0" applyNumberFormat="1" applyFont="1" applyFill="1" applyAlignment="1">
      <alignment horizontal="center"/>
    </xf>
    <xf numFmtId="168" fontId="1" fillId="5" borderId="0" xfId="0" applyNumberFormat="1" applyFont="1" applyFill="1" applyAlignment="1">
      <alignment horizontal="center"/>
    </xf>
    <xf numFmtId="0" fontId="3" fillId="0" borderId="0" xfId="0" applyFont="1"/>
    <xf numFmtId="0" fontId="1" fillId="9" borderId="0" xfId="0" applyFont="1" applyFill="1"/>
    <xf numFmtId="3" fontId="1" fillId="9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1" fillId="10" borderId="0" xfId="0" applyFont="1" applyFill="1"/>
    <xf numFmtId="3" fontId="1" fillId="10" borderId="0" xfId="0" applyNumberFormat="1" applyFont="1" applyFill="1" applyAlignment="1">
      <alignment horizontal="center"/>
    </xf>
    <xf numFmtId="0" fontId="8" fillId="11" borderId="0" xfId="0" applyFont="1" applyFill="1"/>
    <xf numFmtId="3" fontId="8" fillId="11" borderId="0" xfId="0" applyNumberFormat="1" applyFont="1" applyFill="1" applyAlignment="1">
      <alignment horizontal="center"/>
    </xf>
    <xf numFmtId="0" fontId="3" fillId="12" borderId="0" xfId="0" applyFont="1" applyFill="1"/>
    <xf numFmtId="3" fontId="3" fillId="1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4" fontId="2" fillId="1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dimension ref="A1:Y37"/>
  <sheetViews>
    <sheetView tabSelected="1" zoomScale="80" zoomScaleNormal="80" workbookViewId="0">
      <selection activeCell="P9" sqref="P9"/>
    </sheetView>
  </sheetViews>
  <sheetFormatPr baseColWidth="10" defaultRowHeight="14" x14ac:dyDescent="0.2"/>
  <cols>
    <col min="1" max="16384" width="10.83203125" style="50"/>
  </cols>
  <sheetData>
    <row r="1" spans="1:25" x14ac:dyDescent="0.2">
      <c r="A1" s="14" t="s">
        <v>86</v>
      </c>
      <c r="B1" s="14" t="s">
        <v>99</v>
      </c>
      <c r="C1" s="14" t="s">
        <v>16</v>
      </c>
      <c r="D1" s="14" t="s">
        <v>15</v>
      </c>
      <c r="E1" s="8" t="s">
        <v>14</v>
      </c>
      <c r="F1" s="8" t="s">
        <v>87</v>
      </c>
      <c r="G1" s="8" t="s">
        <v>88</v>
      </c>
      <c r="H1" s="8" t="s">
        <v>13</v>
      </c>
      <c r="I1" s="8" t="s">
        <v>22</v>
      </c>
      <c r="J1" s="8" t="s">
        <v>17</v>
      </c>
      <c r="K1" s="8" t="s">
        <v>18</v>
      </c>
      <c r="L1" s="8" t="s">
        <v>62</v>
      </c>
      <c r="M1" s="31" t="s">
        <v>20</v>
      </c>
      <c r="N1" s="15" t="s">
        <v>21</v>
      </c>
      <c r="O1" s="15" t="s">
        <v>19</v>
      </c>
      <c r="P1" s="15">
        <v>45536</v>
      </c>
      <c r="Q1" s="15">
        <v>45566</v>
      </c>
      <c r="R1" s="15">
        <v>45597</v>
      </c>
      <c r="S1" s="15">
        <v>45627</v>
      </c>
      <c r="T1" s="15">
        <v>45658</v>
      </c>
      <c r="U1" s="15">
        <v>45689</v>
      </c>
      <c r="V1" s="15">
        <v>45717</v>
      </c>
      <c r="W1" s="15">
        <v>45748</v>
      </c>
      <c r="X1" s="15">
        <v>45778</v>
      </c>
      <c r="Y1" s="15" t="s">
        <v>31</v>
      </c>
    </row>
    <row r="2" spans="1:25" x14ac:dyDescent="0.2">
      <c r="A2" s="11">
        <v>2024</v>
      </c>
      <c r="B2" s="9" t="s">
        <v>100</v>
      </c>
      <c r="C2" s="9" t="str">
        <f>Sheet1!B36</f>
        <v>Unroasted</v>
      </c>
      <c r="D2" s="11" t="str">
        <f>Sheet1!C36</f>
        <v>018/24</v>
      </c>
      <c r="E2" s="11">
        <f>Sheet1!D36</f>
        <v>320</v>
      </c>
      <c r="F2" s="11" t="str">
        <f>Sheet1!E36</f>
        <v>16/18</v>
      </c>
      <c r="G2" s="11" t="str">
        <f>Sheet1!F36</f>
        <v>Fine Cup</v>
      </c>
      <c r="H2" s="11">
        <f>Sheet1!G36</f>
        <v>10</v>
      </c>
      <c r="I2" s="13">
        <f>Sheet1!H36</f>
        <v>251.05</v>
      </c>
      <c r="J2" s="13">
        <f>Sheet1!I36</f>
        <v>245</v>
      </c>
      <c r="K2" s="13">
        <f>Sheet1!J36</f>
        <v>345.31693999999999</v>
      </c>
      <c r="L2" s="11" t="str">
        <f>Sheet1!K36</f>
        <v>preço</v>
      </c>
      <c r="M2" s="20">
        <f>Sheet1!L36</f>
        <v>45564</v>
      </c>
      <c r="N2" s="11">
        <f>Sheet1!M36</f>
        <v>60</v>
      </c>
      <c r="O2" s="16">
        <f>Sheet1!N36</f>
        <v>110501.42079999999</v>
      </c>
      <c r="P2" s="16">
        <f>Sheet1!O36</f>
        <v>0</v>
      </c>
      <c r="Q2" s="16">
        <f>Sheet1!P36</f>
        <v>0</v>
      </c>
      <c r="R2" s="16">
        <f>Sheet1!Q36</f>
        <v>0</v>
      </c>
      <c r="S2" s="16">
        <f>Sheet1!R36</f>
        <v>110501.42079999999</v>
      </c>
      <c r="T2" s="16">
        <f>Sheet1!S36</f>
        <v>0</v>
      </c>
      <c r="U2" s="16">
        <f>Sheet1!T36</f>
        <v>0</v>
      </c>
      <c r="V2" s="16">
        <f>Sheet1!U36</f>
        <v>0</v>
      </c>
      <c r="W2" s="16">
        <f>Sheet1!V36</f>
        <v>0</v>
      </c>
      <c r="X2" s="16">
        <f>Sheet1!W36</f>
        <v>0</v>
      </c>
      <c r="Y2" s="16">
        <f>Sheet1!X36</f>
        <v>0</v>
      </c>
    </row>
    <row r="3" spans="1:25" x14ac:dyDescent="0.2">
      <c r="A3" s="22">
        <v>2024</v>
      </c>
      <c r="B3" s="17" t="s">
        <v>100</v>
      </c>
      <c r="C3" s="17" t="str">
        <f>Sheet1!B37</f>
        <v>Unroasted</v>
      </c>
      <c r="D3" s="22" t="str">
        <f>Sheet1!C37</f>
        <v>019/24</v>
      </c>
      <c r="E3" s="22">
        <f>Sheet1!D37</f>
        <v>320</v>
      </c>
      <c r="F3" s="22" t="str">
        <f>Sheet1!E37</f>
        <v>16/18</v>
      </c>
      <c r="G3" s="22" t="str">
        <f>Sheet1!F37</f>
        <v>Fine Cup</v>
      </c>
      <c r="H3" s="22">
        <f>Sheet1!G37</f>
        <v>10</v>
      </c>
      <c r="I3" s="23">
        <f>Sheet1!H37</f>
        <v>251.05</v>
      </c>
      <c r="J3" s="23">
        <f>Sheet1!I37</f>
        <v>245</v>
      </c>
      <c r="K3" s="23">
        <f>Sheet1!J37</f>
        <v>345.31693999999999</v>
      </c>
      <c r="L3" s="22" t="str">
        <f>Sheet1!K37</f>
        <v>preço</v>
      </c>
      <c r="M3" s="24">
        <f>Sheet1!L37</f>
        <v>45564</v>
      </c>
      <c r="N3" s="22">
        <f>Sheet1!M37</f>
        <v>60</v>
      </c>
      <c r="O3" s="18">
        <f>Sheet1!N37</f>
        <v>110501.42079999999</v>
      </c>
      <c r="P3" s="18">
        <f>Sheet1!O37</f>
        <v>0</v>
      </c>
      <c r="Q3" s="18">
        <f>Sheet1!P37</f>
        <v>0</v>
      </c>
      <c r="R3" s="18">
        <f>Sheet1!Q37</f>
        <v>0</v>
      </c>
      <c r="S3" s="18">
        <f>Sheet1!R37</f>
        <v>110501.42079999999</v>
      </c>
      <c r="T3" s="18">
        <f>Sheet1!S37</f>
        <v>0</v>
      </c>
      <c r="U3" s="18">
        <f>Sheet1!T37</f>
        <v>0</v>
      </c>
      <c r="V3" s="18">
        <f>Sheet1!U37</f>
        <v>0</v>
      </c>
      <c r="W3" s="18">
        <f>Sheet1!V37</f>
        <v>0</v>
      </c>
      <c r="X3" s="18">
        <f>Sheet1!W37</f>
        <v>0</v>
      </c>
      <c r="Y3" s="18">
        <f>Sheet1!X37</f>
        <v>0</v>
      </c>
    </row>
    <row r="4" spans="1:25" x14ac:dyDescent="0.2">
      <c r="A4" s="11">
        <v>2024</v>
      </c>
      <c r="B4" s="9" t="s">
        <v>100</v>
      </c>
      <c r="C4" s="9" t="str">
        <f>Sheet1!B38</f>
        <v>Unroasted</v>
      </c>
      <c r="D4" s="11" t="str">
        <f>Sheet1!C38</f>
        <v>022/24</v>
      </c>
      <c r="E4" s="11">
        <f>Sheet1!D38</f>
        <v>320</v>
      </c>
      <c r="F4" s="11" t="str">
        <f>Sheet1!E38</f>
        <v>16/18</v>
      </c>
      <c r="G4" s="11" t="str">
        <f>Sheet1!F38</f>
        <v>Benedictos</v>
      </c>
      <c r="H4" s="11">
        <f>Sheet1!G38</f>
        <v>10</v>
      </c>
      <c r="I4" s="13">
        <f>Sheet1!H38</f>
        <v>251.05</v>
      </c>
      <c r="J4" s="13">
        <f>Sheet1!I38</f>
        <v>231.1</v>
      </c>
      <c r="K4" s="13">
        <f>Sheet1!J38</f>
        <v>345.31693999999999</v>
      </c>
      <c r="L4" s="11" t="str">
        <f>Sheet1!K38</f>
        <v>preço</v>
      </c>
      <c r="M4" s="20">
        <f>Sheet1!L38</f>
        <v>45564</v>
      </c>
      <c r="N4" s="11">
        <f>Sheet1!M38</f>
        <v>60</v>
      </c>
      <c r="O4" s="16">
        <f>Sheet1!N38</f>
        <v>110501.42079999999</v>
      </c>
      <c r="P4" s="16">
        <f>Sheet1!O38</f>
        <v>0</v>
      </c>
      <c r="Q4" s="16">
        <f>Sheet1!P38</f>
        <v>0</v>
      </c>
      <c r="R4" s="16">
        <f>Sheet1!Q38</f>
        <v>0</v>
      </c>
      <c r="S4" s="16">
        <f>Sheet1!R38</f>
        <v>110501.42079999999</v>
      </c>
      <c r="T4" s="16">
        <f>Sheet1!S38</f>
        <v>0</v>
      </c>
      <c r="U4" s="16">
        <f>Sheet1!T38</f>
        <v>0</v>
      </c>
      <c r="V4" s="16">
        <f>Sheet1!U38</f>
        <v>0</v>
      </c>
      <c r="W4" s="16">
        <f>Sheet1!V38</f>
        <v>0</v>
      </c>
      <c r="X4" s="16">
        <f>Sheet1!W38</f>
        <v>0</v>
      </c>
      <c r="Y4" s="16">
        <f>Sheet1!X38</f>
        <v>0</v>
      </c>
    </row>
    <row r="5" spans="1:25" x14ac:dyDescent="0.2">
      <c r="A5" s="22">
        <v>2024</v>
      </c>
      <c r="B5" s="17" t="s">
        <v>100</v>
      </c>
      <c r="C5" s="17" t="str">
        <f>Sheet1!B39</f>
        <v>Unroasted</v>
      </c>
      <c r="D5" s="22" t="str">
        <f>Sheet1!C39</f>
        <v>027/24</v>
      </c>
      <c r="E5" s="22">
        <f>Sheet1!D39</f>
        <v>160</v>
      </c>
      <c r="F5" s="22" t="str">
        <f>Sheet1!E39</f>
        <v>16/18</v>
      </c>
      <c r="G5" s="22" t="str">
        <f>Sheet1!F39</f>
        <v>Ortu Sollis</v>
      </c>
      <c r="H5" s="22">
        <f>Sheet1!G39</f>
        <v>25</v>
      </c>
      <c r="I5" s="23">
        <f>Sheet1!H39</f>
        <v>347.35</v>
      </c>
      <c r="J5" s="23">
        <f>Sheet1!I39</f>
        <v>243.16</v>
      </c>
      <c r="K5" s="23">
        <f>Sheet1!J39</f>
        <v>492.54458</v>
      </c>
      <c r="L5" s="22" t="str">
        <f>Sheet1!K39</f>
        <v>preço</v>
      </c>
      <c r="M5" s="24">
        <f>Sheet1!L39</f>
        <v>45598</v>
      </c>
      <c r="N5" s="22">
        <f>Sheet1!M39</f>
        <v>90</v>
      </c>
      <c r="O5" s="18">
        <f>Sheet1!N39</f>
        <v>78807.132799999992</v>
      </c>
      <c r="P5" s="18">
        <f>Sheet1!O39</f>
        <v>0</v>
      </c>
      <c r="Q5" s="18">
        <f>Sheet1!P39</f>
        <v>0</v>
      </c>
      <c r="R5" s="18">
        <f>Sheet1!Q39</f>
        <v>0</v>
      </c>
      <c r="S5" s="18">
        <f>Sheet1!R39</f>
        <v>0</v>
      </c>
      <c r="T5" s="18">
        <f>Sheet1!S39</f>
        <v>0</v>
      </c>
      <c r="U5" s="18">
        <f>Sheet1!T39</f>
        <v>78807.132799999992</v>
      </c>
      <c r="V5" s="18">
        <f>Sheet1!U39</f>
        <v>0</v>
      </c>
      <c r="W5" s="18">
        <f>Sheet1!V39</f>
        <v>0</v>
      </c>
      <c r="X5" s="18">
        <f>Sheet1!W39</f>
        <v>0</v>
      </c>
      <c r="Y5" s="18">
        <f>Sheet1!X39</f>
        <v>0</v>
      </c>
    </row>
    <row r="6" spans="1:25" x14ac:dyDescent="0.2">
      <c r="A6" s="11">
        <v>2024</v>
      </c>
      <c r="B6" s="9" t="s">
        <v>100</v>
      </c>
      <c r="C6" s="9" t="str">
        <f>Sheet1!B40</f>
        <v>Unroasted</v>
      </c>
      <c r="D6" s="11" t="str">
        <f>Sheet1!C40</f>
        <v>028/24</v>
      </c>
      <c r="E6" s="11">
        <f>Sheet1!D40</f>
        <v>160</v>
      </c>
      <c r="F6" s="11" t="str">
        <f>Sheet1!E40</f>
        <v>14/16</v>
      </c>
      <c r="G6" s="11" t="str">
        <f>Sheet1!F40</f>
        <v>Petrus</v>
      </c>
      <c r="H6" s="11">
        <f>Sheet1!G40</f>
        <v>-8</v>
      </c>
      <c r="I6" s="13">
        <f>Sheet1!H40</f>
        <v>347.35</v>
      </c>
      <c r="J6" s="13">
        <f>Sheet1!I40</f>
        <v>243.16</v>
      </c>
      <c r="K6" s="13">
        <f>Sheet1!J40</f>
        <v>448.89218</v>
      </c>
      <c r="L6" s="11" t="str">
        <f>Sheet1!K40</f>
        <v>preço</v>
      </c>
      <c r="M6" s="20">
        <f>Sheet1!L40</f>
        <v>45598</v>
      </c>
      <c r="N6" s="11">
        <f>Sheet1!M40</f>
        <v>60</v>
      </c>
      <c r="O6" s="16">
        <f>Sheet1!N40</f>
        <v>71822.748800000001</v>
      </c>
      <c r="P6" s="16">
        <f>Sheet1!O40</f>
        <v>0</v>
      </c>
      <c r="Q6" s="16">
        <f>Sheet1!P40</f>
        <v>0</v>
      </c>
      <c r="R6" s="16">
        <f>Sheet1!Q40</f>
        <v>0</v>
      </c>
      <c r="S6" s="16">
        <f>Sheet1!R40</f>
        <v>0</v>
      </c>
      <c r="T6" s="16">
        <f>Sheet1!S40</f>
        <v>71822.748800000001</v>
      </c>
      <c r="U6" s="16">
        <f>Sheet1!T40</f>
        <v>0</v>
      </c>
      <c r="V6" s="16">
        <f>Sheet1!U40</f>
        <v>0</v>
      </c>
      <c r="W6" s="16">
        <f>Sheet1!V40</f>
        <v>0</v>
      </c>
      <c r="X6" s="16">
        <f>Sheet1!W40</f>
        <v>0</v>
      </c>
      <c r="Y6" s="16">
        <f>Sheet1!X40</f>
        <v>0</v>
      </c>
    </row>
    <row r="7" spans="1:25" x14ac:dyDescent="0.2">
      <c r="A7" s="22">
        <v>2024</v>
      </c>
      <c r="B7" s="17" t="s">
        <v>100</v>
      </c>
      <c r="C7" s="17" t="str">
        <f>Sheet1!B41</f>
        <v>Unroasted</v>
      </c>
      <c r="D7" s="22" t="str">
        <f>Sheet1!C41</f>
        <v>024/24</v>
      </c>
      <c r="E7" s="22">
        <f>Sheet1!D41</f>
        <v>320</v>
      </c>
      <c r="F7" s="22" t="str">
        <f>Sheet1!E41</f>
        <v>16/18</v>
      </c>
      <c r="G7" s="22" t="str">
        <f>Sheet1!F41</f>
        <v>Petrus</v>
      </c>
      <c r="H7" s="22">
        <f>Sheet1!G41</f>
        <v>10</v>
      </c>
      <c r="I7" s="23">
        <f>Sheet1!H41</f>
        <v>347.35</v>
      </c>
      <c r="J7" s="23">
        <f>Sheet1!I41</f>
        <v>240.91</v>
      </c>
      <c r="K7" s="23">
        <f>Sheet1!J41</f>
        <v>472.70258000000001</v>
      </c>
      <c r="L7" s="22" t="str">
        <f>Sheet1!K41</f>
        <v>preço</v>
      </c>
      <c r="M7" s="24">
        <f>Sheet1!L41</f>
        <v>45630</v>
      </c>
      <c r="N7" s="22">
        <f>Sheet1!M41</f>
        <v>60</v>
      </c>
      <c r="O7" s="18">
        <f>Sheet1!N41</f>
        <v>151264.82560000001</v>
      </c>
      <c r="P7" s="18">
        <f>Sheet1!O41</f>
        <v>0</v>
      </c>
      <c r="Q7" s="18">
        <f>Sheet1!P41</f>
        <v>0</v>
      </c>
      <c r="R7" s="18">
        <f>Sheet1!Q41</f>
        <v>0</v>
      </c>
      <c r="S7" s="18">
        <f>Sheet1!R41</f>
        <v>0</v>
      </c>
      <c r="T7" s="18">
        <f>Sheet1!S41</f>
        <v>0</v>
      </c>
      <c r="U7" s="18">
        <f>Sheet1!T41</f>
        <v>151264.82560000001</v>
      </c>
      <c r="V7" s="18">
        <f>Sheet1!U41</f>
        <v>0</v>
      </c>
      <c r="W7" s="18">
        <f>Sheet1!V41</f>
        <v>0</v>
      </c>
      <c r="X7" s="18">
        <f>Sheet1!W41</f>
        <v>0</v>
      </c>
      <c r="Y7" s="18">
        <f>Sheet1!X41</f>
        <v>0</v>
      </c>
    </row>
    <row r="8" spans="1:25" x14ac:dyDescent="0.2">
      <c r="A8" s="11">
        <v>2024</v>
      </c>
      <c r="B8" s="9" t="s">
        <v>100</v>
      </c>
      <c r="C8" s="9" t="str">
        <f>Sheet1!B42</f>
        <v>Unroasted</v>
      </c>
      <c r="D8" s="11" t="str">
        <f>Sheet1!C42</f>
        <v>030/24</v>
      </c>
      <c r="E8" s="11">
        <f>Sheet1!D42</f>
        <v>320</v>
      </c>
      <c r="F8" s="11" t="str">
        <f>Sheet1!E42</f>
        <v>16/18</v>
      </c>
      <c r="G8" s="11" t="str">
        <f>Sheet1!F42</f>
        <v>Brasilis</v>
      </c>
      <c r="H8" s="11">
        <f>Sheet1!G42</f>
        <v>50</v>
      </c>
      <c r="I8" s="13">
        <f>Sheet1!H42</f>
        <v>347.35</v>
      </c>
      <c r="J8" s="13">
        <f>Sheet1!I42</f>
        <v>240.91</v>
      </c>
      <c r="K8" s="13">
        <f>Sheet1!J42</f>
        <v>525.61458000000005</v>
      </c>
      <c r="L8" s="11" t="str">
        <f>Sheet1!K42</f>
        <v>preço</v>
      </c>
      <c r="M8" s="20">
        <f>Sheet1!L42</f>
        <v>45630</v>
      </c>
      <c r="N8" s="11">
        <f>Sheet1!M42</f>
        <v>90</v>
      </c>
      <c r="O8" s="16">
        <f>Sheet1!N42</f>
        <v>168196.66560000001</v>
      </c>
      <c r="P8" s="16">
        <f>Sheet1!O42</f>
        <v>0</v>
      </c>
      <c r="Q8" s="16">
        <f>Sheet1!P42</f>
        <v>0</v>
      </c>
      <c r="R8" s="16">
        <f>Sheet1!Q42</f>
        <v>0</v>
      </c>
      <c r="S8" s="16">
        <f>Sheet1!R42</f>
        <v>0</v>
      </c>
      <c r="T8" s="16">
        <f>Sheet1!S42</f>
        <v>0</v>
      </c>
      <c r="U8" s="16">
        <f>Sheet1!T42</f>
        <v>0</v>
      </c>
      <c r="V8" s="16">
        <f>Sheet1!U42</f>
        <v>168196.66560000001</v>
      </c>
      <c r="W8" s="16">
        <f>Sheet1!V42</f>
        <v>0</v>
      </c>
      <c r="X8" s="16">
        <f>Sheet1!W42</f>
        <v>0</v>
      </c>
      <c r="Y8" s="16">
        <f>Sheet1!X42</f>
        <v>0</v>
      </c>
    </row>
    <row r="9" spans="1:25" x14ac:dyDescent="0.2">
      <c r="A9" s="22">
        <v>2024</v>
      </c>
      <c r="B9" s="17" t="s">
        <v>100</v>
      </c>
      <c r="C9" s="17" t="str">
        <f>Sheet1!B43</f>
        <v>Unroasted</v>
      </c>
      <c r="D9" s="22" t="str">
        <f>Sheet1!C43</f>
        <v>035/24</v>
      </c>
      <c r="E9" s="22">
        <f>Sheet1!D43</f>
        <v>320</v>
      </c>
      <c r="F9" s="22" t="str">
        <f>Sheet1!E43</f>
        <v>14/16</v>
      </c>
      <c r="G9" s="22" t="str">
        <f>Sheet1!F43</f>
        <v>Essentia</v>
      </c>
      <c r="H9" s="22">
        <f>Sheet1!G43</f>
        <v>-8</v>
      </c>
      <c r="I9" s="23">
        <f>Sheet1!H43</f>
        <v>347.35</v>
      </c>
      <c r="J9" s="23">
        <f>Sheet1!I43</f>
        <v>240.91</v>
      </c>
      <c r="K9" s="23">
        <f>Sheet1!J43</f>
        <v>448.89218</v>
      </c>
      <c r="L9" s="22" t="str">
        <f>Sheet1!K43</f>
        <v>preço</v>
      </c>
      <c r="M9" s="24">
        <f>Sheet1!L43</f>
        <v>45630</v>
      </c>
      <c r="N9" s="22">
        <f>Sheet1!M43</f>
        <v>90</v>
      </c>
      <c r="O9" s="18">
        <f>Sheet1!N43</f>
        <v>143645.4976</v>
      </c>
      <c r="P9" s="18">
        <f>Sheet1!O43</f>
        <v>0</v>
      </c>
      <c r="Q9" s="18">
        <f>Sheet1!P43</f>
        <v>0</v>
      </c>
      <c r="R9" s="18">
        <f>Sheet1!Q43</f>
        <v>0</v>
      </c>
      <c r="S9" s="18">
        <f>Sheet1!R43</f>
        <v>0</v>
      </c>
      <c r="T9" s="18">
        <f>Sheet1!S43</f>
        <v>0</v>
      </c>
      <c r="U9" s="18">
        <f>Sheet1!T43</f>
        <v>0</v>
      </c>
      <c r="V9" s="18">
        <f>Sheet1!U43</f>
        <v>143645.4976</v>
      </c>
      <c r="W9" s="18">
        <f>Sheet1!V43</f>
        <v>0</v>
      </c>
      <c r="X9" s="18">
        <f>Sheet1!W43</f>
        <v>0</v>
      </c>
      <c r="Y9" s="18">
        <f>Sheet1!X43</f>
        <v>0</v>
      </c>
    </row>
    <row r="10" spans="1:25" x14ac:dyDescent="0.2">
      <c r="A10" s="11">
        <v>2024</v>
      </c>
      <c r="B10" s="9" t="s">
        <v>100</v>
      </c>
      <c r="C10" s="9" t="str">
        <f>Sheet1!B44</f>
        <v>Unroasted</v>
      </c>
      <c r="D10" s="11" t="str">
        <f>Sheet1!C44</f>
        <v>027/24</v>
      </c>
      <c r="E10" s="11">
        <f>Sheet1!D44</f>
        <v>160</v>
      </c>
      <c r="F10" s="11" t="str">
        <f>Sheet1!E44</f>
        <v>16/18</v>
      </c>
      <c r="G10" s="11" t="str">
        <f>Sheet1!F44</f>
        <v>Ortu Sollis</v>
      </c>
      <c r="H10" s="11">
        <f>Sheet1!G44</f>
        <v>25</v>
      </c>
      <c r="I10" s="13">
        <f>Sheet1!H44</f>
        <v>345.4</v>
      </c>
      <c r="J10" s="13">
        <f>Sheet1!I44</f>
        <v>0</v>
      </c>
      <c r="K10" s="13">
        <f>Sheet1!J44</f>
        <v>489.96511999999996</v>
      </c>
      <c r="L10" s="11" t="str">
        <f>Sheet1!K44</f>
        <v>preço</v>
      </c>
      <c r="M10" s="20">
        <f>Sheet1!L44</f>
        <v>45687</v>
      </c>
      <c r="N10" s="11">
        <f>Sheet1!M44</f>
        <v>90</v>
      </c>
      <c r="O10" s="16">
        <f>Sheet1!N44</f>
        <v>78394.419199999989</v>
      </c>
      <c r="P10" s="16">
        <f>Sheet1!O44</f>
        <v>0</v>
      </c>
      <c r="Q10" s="16">
        <f>Sheet1!P44</f>
        <v>0</v>
      </c>
      <c r="R10" s="16">
        <f>Sheet1!Q44</f>
        <v>0</v>
      </c>
      <c r="S10" s="16">
        <f>Sheet1!R44</f>
        <v>0</v>
      </c>
      <c r="T10" s="16">
        <f>Sheet1!S44</f>
        <v>0</v>
      </c>
      <c r="U10" s="16">
        <f>Sheet1!T44</f>
        <v>0</v>
      </c>
      <c r="V10" s="16">
        <f>Sheet1!U44</f>
        <v>0</v>
      </c>
      <c r="W10" s="16">
        <f>Sheet1!V44</f>
        <v>78394.419199999989</v>
      </c>
      <c r="X10" s="16">
        <f>Sheet1!W44</f>
        <v>0</v>
      </c>
      <c r="Y10" s="16">
        <f>Sheet1!X44</f>
        <v>0</v>
      </c>
    </row>
    <row r="11" spans="1:25" x14ac:dyDescent="0.2">
      <c r="A11" s="22">
        <v>2024</v>
      </c>
      <c r="B11" s="17" t="s">
        <v>100</v>
      </c>
      <c r="C11" s="17" t="str">
        <f>Sheet1!B45</f>
        <v>Unroasted</v>
      </c>
      <c r="D11" s="22" t="str">
        <f>Sheet1!C45</f>
        <v>028/24</v>
      </c>
      <c r="E11" s="22">
        <f>Sheet1!D45</f>
        <v>160</v>
      </c>
      <c r="F11" s="22" t="str">
        <f>Sheet1!E45</f>
        <v>16/18</v>
      </c>
      <c r="G11" s="22" t="str">
        <f>Sheet1!F45</f>
        <v>Petrus</v>
      </c>
      <c r="H11" s="22">
        <f>Sheet1!G45</f>
        <v>-8</v>
      </c>
      <c r="I11" s="23">
        <f>Sheet1!H45</f>
        <v>345.4</v>
      </c>
      <c r="J11" s="23">
        <f>Sheet1!I45</f>
        <v>0</v>
      </c>
      <c r="K11" s="23">
        <f>Sheet1!J45</f>
        <v>446.31271999999996</v>
      </c>
      <c r="L11" s="22" t="str">
        <f>Sheet1!K45</f>
        <v>preço</v>
      </c>
      <c r="M11" s="24">
        <f>Sheet1!L45</f>
        <v>45687</v>
      </c>
      <c r="N11" s="22">
        <f>Sheet1!M45</f>
        <v>60</v>
      </c>
      <c r="O11" s="18">
        <f>Sheet1!N45</f>
        <v>71410.035199999998</v>
      </c>
      <c r="P11" s="18">
        <f>Sheet1!O45</f>
        <v>0</v>
      </c>
      <c r="Q11" s="18">
        <f>Sheet1!P45</f>
        <v>0</v>
      </c>
      <c r="R11" s="18">
        <f>Sheet1!Q45</f>
        <v>0</v>
      </c>
      <c r="S11" s="18">
        <f>Sheet1!R45</f>
        <v>0</v>
      </c>
      <c r="T11" s="18">
        <f>Sheet1!S45</f>
        <v>0</v>
      </c>
      <c r="U11" s="18">
        <f>Sheet1!T45</f>
        <v>0</v>
      </c>
      <c r="V11" s="18">
        <f>Sheet1!U45</f>
        <v>71410.035199999998</v>
      </c>
      <c r="W11" s="18">
        <f>Sheet1!V45</f>
        <v>0</v>
      </c>
      <c r="X11" s="18">
        <f>Sheet1!W45</f>
        <v>0</v>
      </c>
      <c r="Y11" s="18">
        <f>Sheet1!X45</f>
        <v>0</v>
      </c>
    </row>
    <row r="12" spans="1:25" x14ac:dyDescent="0.2">
      <c r="A12" s="11">
        <v>2024</v>
      </c>
      <c r="B12" s="9" t="s">
        <v>100</v>
      </c>
      <c r="C12" s="9" t="str">
        <f>Sheet1!B46</f>
        <v>Unroasted</v>
      </c>
      <c r="D12" s="11" t="str">
        <f>Sheet1!C46</f>
        <v>025/24</v>
      </c>
      <c r="E12" s="11">
        <f>Sheet1!D46</f>
        <v>320</v>
      </c>
      <c r="F12" s="11" t="str">
        <f>Sheet1!E46</f>
        <v>16/18</v>
      </c>
      <c r="G12" s="11" t="str">
        <f>Sheet1!F46</f>
        <v>Petrus</v>
      </c>
      <c r="H12" s="11">
        <f>Sheet1!G46</f>
        <v>10</v>
      </c>
      <c r="I12" s="13">
        <f>Sheet1!H46</f>
        <v>345.4</v>
      </c>
      <c r="J12" s="13">
        <f>Sheet1!I46</f>
        <v>240.91</v>
      </c>
      <c r="K12" s="13">
        <f>Sheet1!J46</f>
        <v>470.12311999999997</v>
      </c>
      <c r="L12" s="11" t="str">
        <f>Sheet1!K46</f>
        <v>preço</v>
      </c>
      <c r="M12" s="20">
        <f>Sheet1!L46</f>
        <v>45687</v>
      </c>
      <c r="N12" s="11">
        <f>Sheet1!M46</f>
        <v>60</v>
      </c>
      <c r="O12" s="16">
        <f>Sheet1!N46</f>
        <v>150439.39840000001</v>
      </c>
      <c r="P12" s="16">
        <f>Sheet1!O46</f>
        <v>0</v>
      </c>
      <c r="Q12" s="16">
        <f>Sheet1!P46</f>
        <v>0</v>
      </c>
      <c r="R12" s="16">
        <f>Sheet1!Q46</f>
        <v>0</v>
      </c>
      <c r="S12" s="16">
        <f>Sheet1!R46</f>
        <v>0</v>
      </c>
      <c r="T12" s="16">
        <f>Sheet1!S46</f>
        <v>0</v>
      </c>
      <c r="U12" s="16">
        <f>Sheet1!T46</f>
        <v>0</v>
      </c>
      <c r="V12" s="16">
        <f>Sheet1!U46</f>
        <v>150439.39840000001</v>
      </c>
      <c r="W12" s="16">
        <f>Sheet1!V46</f>
        <v>0</v>
      </c>
      <c r="X12" s="16">
        <f>Sheet1!W46</f>
        <v>0</v>
      </c>
      <c r="Y12" s="16">
        <f>Sheet1!X46</f>
        <v>0</v>
      </c>
    </row>
    <row r="13" spans="1:25" x14ac:dyDescent="0.2">
      <c r="A13" s="22">
        <v>2024</v>
      </c>
      <c r="B13" s="17" t="s">
        <v>100</v>
      </c>
      <c r="C13" s="17" t="str">
        <f>Sheet1!B47</f>
        <v>Unroasted</v>
      </c>
      <c r="D13" s="22" t="str">
        <f>Sheet1!C47</f>
        <v>023/24</v>
      </c>
      <c r="E13" s="22">
        <f>Sheet1!D47</f>
        <v>320</v>
      </c>
      <c r="F13" s="22" t="str">
        <f>Sheet1!E47</f>
        <v>16/18</v>
      </c>
      <c r="G13" s="22" t="str">
        <f>Sheet1!F47</f>
        <v>Benedictos</v>
      </c>
      <c r="H13" s="22">
        <f>Sheet1!G47</f>
        <v>10</v>
      </c>
      <c r="I13" s="23">
        <f>Sheet1!H47</f>
        <v>345.4</v>
      </c>
      <c r="J13" s="23">
        <f>Sheet1!I47</f>
        <v>240.91</v>
      </c>
      <c r="K13" s="23">
        <f>Sheet1!J47</f>
        <v>470.12311999999997</v>
      </c>
      <c r="L13" s="22" t="str">
        <f>Sheet1!K47</f>
        <v>preço</v>
      </c>
      <c r="M13" s="24">
        <f>Sheet1!L47</f>
        <v>45687</v>
      </c>
      <c r="N13" s="22">
        <f>Sheet1!M47</f>
        <v>60</v>
      </c>
      <c r="O13" s="18">
        <f>Sheet1!N47</f>
        <v>150439.39840000001</v>
      </c>
      <c r="P13" s="18">
        <f>Sheet1!O47</f>
        <v>0</v>
      </c>
      <c r="Q13" s="18">
        <f>Sheet1!P47</f>
        <v>0</v>
      </c>
      <c r="R13" s="18">
        <f>Sheet1!Q47</f>
        <v>0</v>
      </c>
      <c r="S13" s="18">
        <f>Sheet1!R47</f>
        <v>0</v>
      </c>
      <c r="T13" s="18">
        <f>Sheet1!S47</f>
        <v>0</v>
      </c>
      <c r="U13" s="18">
        <f>Sheet1!T47</f>
        <v>0</v>
      </c>
      <c r="V13" s="18">
        <f>Sheet1!U47</f>
        <v>150439.39840000001</v>
      </c>
      <c r="W13" s="18">
        <f>Sheet1!V47</f>
        <v>0</v>
      </c>
      <c r="X13" s="18">
        <f>Sheet1!W47</f>
        <v>0</v>
      </c>
      <c r="Y13" s="18">
        <f>Sheet1!X47</f>
        <v>0</v>
      </c>
    </row>
    <row r="14" spans="1:25" x14ac:dyDescent="0.2">
      <c r="A14" s="11">
        <v>2024</v>
      </c>
      <c r="B14" s="9" t="s">
        <v>100</v>
      </c>
      <c r="C14" s="9" t="str">
        <f>Sheet1!B48</f>
        <v>Unroasted</v>
      </c>
      <c r="D14" s="11" t="str">
        <f>Sheet1!C48</f>
        <v>029/24</v>
      </c>
      <c r="E14" s="11">
        <f>Sheet1!D48</f>
        <v>320</v>
      </c>
      <c r="F14" s="11" t="str">
        <f>Sheet1!E48</f>
        <v>Grinders</v>
      </c>
      <c r="G14" s="11" t="str">
        <f>Sheet1!F48</f>
        <v>Essentia</v>
      </c>
      <c r="H14" s="11">
        <f>Sheet1!G48</f>
        <v>-28</v>
      </c>
      <c r="I14" s="13">
        <f>Sheet1!H48</f>
        <v>345.4</v>
      </c>
      <c r="J14" s="13">
        <f>Sheet1!I48</f>
        <v>238.17</v>
      </c>
      <c r="K14" s="13">
        <f>Sheet1!J48</f>
        <v>419.85671999999994</v>
      </c>
      <c r="L14" s="11" t="str">
        <f>Sheet1!K48</f>
        <v>preço</v>
      </c>
      <c r="M14" s="20">
        <f>Sheet1!L48</f>
        <v>45716</v>
      </c>
      <c r="N14" s="11">
        <f>Sheet1!M48</f>
        <v>60</v>
      </c>
      <c r="O14" s="16">
        <f>Sheet1!N48</f>
        <v>134354.15039999998</v>
      </c>
      <c r="P14" s="16">
        <f>Sheet1!O48</f>
        <v>0</v>
      </c>
      <c r="Q14" s="16">
        <f>Sheet1!P48</f>
        <v>0</v>
      </c>
      <c r="R14" s="16">
        <f>Sheet1!Q48</f>
        <v>0</v>
      </c>
      <c r="S14" s="16">
        <f>Sheet1!R48</f>
        <v>0</v>
      </c>
      <c r="T14" s="16">
        <f>Sheet1!S48</f>
        <v>0</v>
      </c>
      <c r="U14" s="16">
        <f>Sheet1!T48</f>
        <v>0</v>
      </c>
      <c r="V14" s="16">
        <f>Sheet1!U48</f>
        <v>0</v>
      </c>
      <c r="W14" s="16">
        <f>Sheet1!V48</f>
        <v>134354.15039999998</v>
      </c>
      <c r="X14" s="16">
        <f>Sheet1!W48</f>
        <v>0</v>
      </c>
      <c r="Y14" s="16">
        <f>Sheet1!X48</f>
        <v>0</v>
      </c>
    </row>
    <row r="15" spans="1:25" x14ac:dyDescent="0.2">
      <c r="A15" s="22">
        <v>2024</v>
      </c>
      <c r="B15" s="17" t="s">
        <v>100</v>
      </c>
      <c r="C15" s="17" t="str">
        <f>Sheet1!B49</f>
        <v>Unroasted</v>
      </c>
      <c r="D15" s="22" t="str">
        <f>Sheet1!C49</f>
        <v>026/24</v>
      </c>
      <c r="E15" s="22">
        <f>Sheet1!D49</f>
        <v>320</v>
      </c>
      <c r="F15" s="22" t="str">
        <f>Sheet1!E49</f>
        <v>16/18</v>
      </c>
      <c r="G15" s="22" t="str">
        <f>Sheet1!F49</f>
        <v>Petrus</v>
      </c>
      <c r="H15" s="22">
        <f>Sheet1!G49</f>
        <v>10</v>
      </c>
      <c r="I15" s="23">
        <f>Sheet1!H49</f>
        <v>345.4</v>
      </c>
      <c r="J15" s="23">
        <f>Sheet1!I49</f>
        <v>238.17</v>
      </c>
      <c r="K15" s="23">
        <f>Sheet1!J49</f>
        <v>470.12311999999997</v>
      </c>
      <c r="L15" s="22" t="str">
        <f>Sheet1!K49</f>
        <v>preço</v>
      </c>
      <c r="M15" s="24">
        <f>Sheet1!L49</f>
        <v>45746</v>
      </c>
      <c r="N15" s="22">
        <f>Sheet1!M49</f>
        <v>60</v>
      </c>
      <c r="O15" s="18">
        <f>Sheet1!N49</f>
        <v>150439.39840000001</v>
      </c>
      <c r="P15" s="18">
        <f>Sheet1!O49</f>
        <v>0</v>
      </c>
      <c r="Q15" s="18">
        <f>Sheet1!P49</f>
        <v>0</v>
      </c>
      <c r="R15" s="18">
        <f>Sheet1!Q49</f>
        <v>0</v>
      </c>
      <c r="S15" s="18">
        <f>Sheet1!R49</f>
        <v>0</v>
      </c>
      <c r="T15" s="18">
        <f>Sheet1!S49</f>
        <v>0</v>
      </c>
      <c r="U15" s="18">
        <f>Sheet1!T49</f>
        <v>0</v>
      </c>
      <c r="V15" s="18">
        <f>Sheet1!U49</f>
        <v>0</v>
      </c>
      <c r="W15" s="18">
        <f>Sheet1!V49</f>
        <v>0</v>
      </c>
      <c r="X15" s="18">
        <f>Sheet1!W49</f>
        <v>150439.39840000001</v>
      </c>
      <c r="Y15" s="18">
        <f>Sheet1!X49</f>
        <v>0</v>
      </c>
    </row>
    <row r="16" spans="1:25" x14ac:dyDescent="0.2">
      <c r="A16" s="11">
        <v>2024</v>
      </c>
      <c r="B16" s="9" t="s">
        <v>100</v>
      </c>
      <c r="C16" s="9" t="str">
        <f>Sheet1!B52</f>
        <v>Southland</v>
      </c>
      <c r="D16" s="11" t="str">
        <f>Sheet1!C52</f>
        <v>031/24</v>
      </c>
      <c r="E16" s="11">
        <f>Sheet1!D52</f>
        <v>320</v>
      </c>
      <c r="F16" s="11" t="str">
        <f>Sheet1!E52</f>
        <v>16/18</v>
      </c>
      <c r="G16" s="11" t="str">
        <f>Sheet1!F52</f>
        <v>Petrus</v>
      </c>
      <c r="H16" s="11" t="str">
        <f>Sheet1!G52</f>
        <v>-</v>
      </c>
      <c r="I16" s="13" t="str">
        <f>Sheet1!H52</f>
        <v>-</v>
      </c>
      <c r="J16" s="13">
        <f>Sheet1!I52</f>
        <v>243.16</v>
      </c>
      <c r="K16" s="13">
        <f>Sheet1!J52</f>
        <v>325</v>
      </c>
      <c r="L16" s="11" t="str">
        <f>Sheet1!K52</f>
        <v>preço</v>
      </c>
      <c r="M16" s="20">
        <f>Sheet1!L52</f>
        <v>45626</v>
      </c>
      <c r="N16" s="11" t="str">
        <f>Sheet1!M52</f>
        <v>4x</v>
      </c>
      <c r="O16" s="16">
        <f>Sheet1!N52</f>
        <v>104000</v>
      </c>
      <c r="P16" s="16">
        <f>Sheet1!O52</f>
        <v>0</v>
      </c>
      <c r="Q16" s="16">
        <f>Sheet1!P52</f>
        <v>0</v>
      </c>
      <c r="R16" s="16">
        <f>Sheet1!Q52</f>
        <v>0</v>
      </c>
      <c r="S16" s="16">
        <f>Sheet1!R52</f>
        <v>26000</v>
      </c>
      <c r="T16" s="16">
        <f>Sheet1!S52</f>
        <v>26000</v>
      </c>
      <c r="U16" s="16">
        <f>Sheet1!T52</f>
        <v>26000</v>
      </c>
      <c r="V16" s="16">
        <f>Sheet1!U52</f>
        <v>26000</v>
      </c>
      <c r="W16" s="16">
        <f>Sheet1!V52</f>
        <v>0</v>
      </c>
      <c r="X16" s="16">
        <f>Sheet1!W52</f>
        <v>0</v>
      </c>
      <c r="Y16" s="16">
        <f>Sheet1!X52</f>
        <v>0</v>
      </c>
    </row>
    <row r="17" spans="1:25" x14ac:dyDescent="0.2">
      <c r="A17" s="22">
        <v>2024</v>
      </c>
      <c r="B17" s="17" t="s">
        <v>100</v>
      </c>
      <c r="C17" s="17" t="str">
        <f>Sheet1!B53</f>
        <v>Southland</v>
      </c>
      <c r="D17" s="22" t="str">
        <f>Sheet1!C53</f>
        <v>032/24</v>
      </c>
      <c r="E17" s="22">
        <f>Sheet1!D53</f>
        <v>320</v>
      </c>
      <c r="F17" s="22" t="str">
        <f>Sheet1!E53</f>
        <v>Vários</v>
      </c>
      <c r="G17" s="22" t="str">
        <f>Sheet1!F53</f>
        <v>Vários</v>
      </c>
      <c r="H17" s="22" t="str">
        <f>Sheet1!G53</f>
        <v>-</v>
      </c>
      <c r="I17" s="23" t="str">
        <f>Sheet1!H53</f>
        <v>-</v>
      </c>
      <c r="J17" s="23">
        <f>Sheet1!I53</f>
        <v>243.16</v>
      </c>
      <c r="K17" s="23">
        <f>Sheet1!J53</f>
        <v>325</v>
      </c>
      <c r="L17" s="22" t="str">
        <f>Sheet1!K53</f>
        <v>preço</v>
      </c>
      <c r="M17" s="24">
        <f>Sheet1!L53</f>
        <v>45687</v>
      </c>
      <c r="N17" s="22" t="str">
        <f>Sheet1!M53</f>
        <v>4x</v>
      </c>
      <c r="O17" s="18">
        <f>Sheet1!N53</f>
        <v>104000</v>
      </c>
      <c r="P17" s="18">
        <f>Sheet1!O53</f>
        <v>0</v>
      </c>
      <c r="Q17" s="18">
        <f>Sheet1!P53</f>
        <v>0</v>
      </c>
      <c r="R17" s="18">
        <f>Sheet1!Q53</f>
        <v>0</v>
      </c>
      <c r="S17" s="18">
        <f>Sheet1!R53</f>
        <v>0</v>
      </c>
      <c r="T17" s="18">
        <f>Sheet1!S53</f>
        <v>0</v>
      </c>
      <c r="U17" s="18">
        <f>Sheet1!T53</f>
        <v>26000</v>
      </c>
      <c r="V17" s="18">
        <f>Sheet1!U53</f>
        <v>26000</v>
      </c>
      <c r="W17" s="18">
        <f>Sheet1!V53</f>
        <v>26000</v>
      </c>
      <c r="X17" s="18">
        <f>Sheet1!W53</f>
        <v>26000</v>
      </c>
      <c r="Y17" s="18">
        <f>Sheet1!X53</f>
        <v>0</v>
      </c>
    </row>
    <row r="18" spans="1:25" x14ac:dyDescent="0.2">
      <c r="A18" s="11">
        <v>2024</v>
      </c>
      <c r="B18" s="9" t="s">
        <v>100</v>
      </c>
      <c r="C18" s="9" t="str">
        <f>Sheet1!B56</f>
        <v>Xorxos</v>
      </c>
      <c r="D18" s="11" t="str">
        <f>Sheet1!C56</f>
        <v>021/24</v>
      </c>
      <c r="E18" s="11">
        <f>Sheet1!D56</f>
        <v>320</v>
      </c>
      <c r="F18" s="11" t="str">
        <f>Sheet1!E56</f>
        <v>16/18</v>
      </c>
      <c r="G18" s="11" t="str">
        <f>Sheet1!F56</f>
        <v>Natural</v>
      </c>
      <c r="H18" s="11">
        <f>Sheet1!G56</f>
        <v>25</v>
      </c>
      <c r="I18" s="13">
        <f>Sheet1!H56</f>
        <v>292.5</v>
      </c>
      <c r="J18" s="13">
        <f>Sheet1!I56</f>
        <v>243.16</v>
      </c>
      <c r="K18" s="13">
        <f>Sheet1!J56</f>
        <v>419.98899999999998</v>
      </c>
      <c r="L18" s="11" t="str">
        <f>Sheet1!K56</f>
        <v>preço</v>
      </c>
      <c r="M18" s="20">
        <f>Sheet1!L56</f>
        <v>45656</v>
      </c>
      <c r="N18" s="11">
        <f>Sheet1!M56</f>
        <v>0</v>
      </c>
      <c r="O18" s="16">
        <f>Sheet1!N56</f>
        <v>134396.47999999998</v>
      </c>
      <c r="P18" s="16">
        <f>Sheet1!O56</f>
        <v>0</v>
      </c>
      <c r="Q18" s="16">
        <f>Sheet1!P56</f>
        <v>0</v>
      </c>
      <c r="R18" s="16">
        <f>Sheet1!Q56</f>
        <v>0</v>
      </c>
      <c r="S18" s="16">
        <f>Sheet1!R56</f>
        <v>134396.47999999998</v>
      </c>
      <c r="T18" s="16">
        <f>Sheet1!S56</f>
        <v>0</v>
      </c>
      <c r="U18" s="16">
        <f>Sheet1!T56</f>
        <v>0</v>
      </c>
      <c r="V18" s="16">
        <f>Sheet1!U56</f>
        <v>0</v>
      </c>
      <c r="W18" s="16">
        <f>Sheet1!V56</f>
        <v>0</v>
      </c>
      <c r="X18" s="16">
        <f>Sheet1!W56</f>
        <v>0</v>
      </c>
      <c r="Y18" s="16">
        <f>Sheet1!X56</f>
        <v>0</v>
      </c>
    </row>
    <row r="19" spans="1:25" x14ac:dyDescent="0.2">
      <c r="A19" s="22">
        <v>2024</v>
      </c>
      <c r="B19" s="17" t="s">
        <v>101</v>
      </c>
      <c r="C19" s="17" t="str">
        <f>Sheet1!B59</f>
        <v>Los Baristas</v>
      </c>
      <c r="D19" s="22" t="str">
        <f>Sheet1!C59</f>
        <v>033/24</v>
      </c>
      <c r="E19" s="22">
        <f>Sheet1!D59</f>
        <v>4</v>
      </c>
      <c r="F19" s="22" t="str">
        <f>Sheet1!E59</f>
        <v>Vários</v>
      </c>
      <c r="G19" s="22" t="str">
        <f>Sheet1!F59</f>
        <v>Vários</v>
      </c>
      <c r="H19" s="22" t="str">
        <f>Sheet1!G59</f>
        <v>-</v>
      </c>
      <c r="I19" s="23" t="str">
        <f>Sheet1!H59</f>
        <v>-</v>
      </c>
      <c r="J19" s="23">
        <f>Sheet1!I59</f>
        <v>2500</v>
      </c>
      <c r="K19" s="23">
        <f>Sheet1!J59</f>
        <v>409.8360655737705</v>
      </c>
      <c r="L19" s="22" t="str">
        <f>Sheet1!K59</f>
        <v>preço</v>
      </c>
      <c r="M19" s="24">
        <f>Sheet1!L59</f>
        <v>45656</v>
      </c>
      <c r="N19" s="22" t="str">
        <f>Sheet1!M59</f>
        <v>1+3</v>
      </c>
      <c r="O19" s="18">
        <f>Sheet1!N59</f>
        <v>1639.344262295082</v>
      </c>
      <c r="P19" s="18">
        <f>Sheet1!O59</f>
        <v>0</v>
      </c>
      <c r="Q19" s="18">
        <f>Sheet1!P59</f>
        <v>0</v>
      </c>
      <c r="R19" s="18">
        <f>Sheet1!Q59</f>
        <v>0</v>
      </c>
      <c r="S19" s="18">
        <f>Sheet1!R59</f>
        <v>409.8360655737705</v>
      </c>
      <c r="T19" s="18">
        <f>Sheet1!S59</f>
        <v>409.8360655737705</v>
      </c>
      <c r="U19" s="18">
        <f>Sheet1!T59</f>
        <v>409.8360655737705</v>
      </c>
      <c r="V19" s="18">
        <f>Sheet1!U59</f>
        <v>409.8360655737705</v>
      </c>
      <c r="W19" s="18">
        <f>Sheet1!V59</f>
        <v>0</v>
      </c>
      <c r="X19" s="18">
        <f>Sheet1!W59</f>
        <v>0</v>
      </c>
      <c r="Y19" s="18">
        <f>Sheet1!X59</f>
        <v>0</v>
      </c>
    </row>
    <row r="20" spans="1:25" x14ac:dyDescent="0.2">
      <c r="A20" s="11">
        <v>2024</v>
      </c>
      <c r="B20" s="9" t="s">
        <v>101</v>
      </c>
      <c r="C20" s="9" t="str">
        <f>Sheet1!B60</f>
        <v>Los Baristas</v>
      </c>
      <c r="D20" s="11" t="str">
        <f>Sheet1!C60</f>
        <v>034/24</v>
      </c>
      <c r="E20" s="11">
        <f>Sheet1!D60</f>
        <v>4</v>
      </c>
      <c r="F20" s="11" t="str">
        <f>Sheet1!E60</f>
        <v>Vários</v>
      </c>
      <c r="G20" s="11" t="str">
        <f>Sheet1!F60</f>
        <v>Vários</v>
      </c>
      <c r="H20" s="11" t="str">
        <f>Sheet1!G60</f>
        <v>-</v>
      </c>
      <c r="I20" s="13" t="str">
        <f>Sheet1!H60</f>
        <v>-</v>
      </c>
      <c r="J20" s="13">
        <f>Sheet1!I60</f>
        <v>2137</v>
      </c>
      <c r="K20" s="13">
        <f>Sheet1!J60</f>
        <v>350.32786885245906</v>
      </c>
      <c r="L20" s="11" t="str">
        <f>Sheet1!K60</f>
        <v>preço</v>
      </c>
      <c r="M20" s="20">
        <f>Sheet1!L60</f>
        <v>45656</v>
      </c>
      <c r="N20" s="11" t="str">
        <f>Sheet1!M60</f>
        <v>1+3</v>
      </c>
      <c r="O20" s="16">
        <f>Sheet1!N60</f>
        <v>1401.3114754098362</v>
      </c>
      <c r="P20" s="16">
        <f>Sheet1!O60</f>
        <v>0</v>
      </c>
      <c r="Q20" s="16">
        <f>Sheet1!P60</f>
        <v>0</v>
      </c>
      <c r="R20" s="16">
        <f>Sheet1!Q60</f>
        <v>0</v>
      </c>
      <c r="S20" s="16">
        <f>Sheet1!R60</f>
        <v>350.32786885245906</v>
      </c>
      <c r="T20" s="16">
        <f>Sheet1!S60</f>
        <v>350.32786885245906</v>
      </c>
      <c r="U20" s="16">
        <f>Sheet1!T60</f>
        <v>350.32786885245906</v>
      </c>
      <c r="V20" s="16">
        <f>Sheet1!U60</f>
        <v>350.32786885245906</v>
      </c>
      <c r="W20" s="16">
        <f>Sheet1!V60</f>
        <v>0</v>
      </c>
      <c r="X20" s="16">
        <f>Sheet1!W60</f>
        <v>0</v>
      </c>
      <c r="Y20" s="16">
        <f>Sheet1!X60</f>
        <v>0</v>
      </c>
    </row>
    <row r="21" spans="1:25" x14ac:dyDescent="0.2">
      <c r="A21" s="22">
        <v>2024</v>
      </c>
      <c r="B21" s="17" t="s">
        <v>101</v>
      </c>
      <c r="C21" s="17" t="str">
        <f>Sheet1!B63</f>
        <v>Louis Dreyfus</v>
      </c>
      <c r="D21" s="22" t="str">
        <f>Sheet1!C63</f>
        <v>036/24</v>
      </c>
      <c r="E21" s="22">
        <f>Sheet1!D63</f>
        <v>500</v>
      </c>
      <c r="F21" s="22" t="str">
        <f>Sheet1!E63</f>
        <v>Moka</v>
      </c>
      <c r="G21" s="22" t="str">
        <f>Sheet1!F63</f>
        <v>Natural</v>
      </c>
      <c r="H21" s="22" t="str">
        <f>Sheet1!G63</f>
        <v>-</v>
      </c>
      <c r="I21" s="23" t="str">
        <f>Sheet1!H63</f>
        <v>-</v>
      </c>
      <c r="J21" s="23">
        <f>Sheet1!I63</f>
        <v>2105</v>
      </c>
      <c r="K21" s="23">
        <f>Sheet1!J63</f>
        <v>345.08196721311475</v>
      </c>
      <c r="L21" s="22" t="str">
        <f>Sheet1!K63</f>
        <v>preço</v>
      </c>
      <c r="M21" s="24">
        <f>Sheet1!L63</f>
        <v>45631</v>
      </c>
      <c r="N21" s="22">
        <f>Sheet1!M63</f>
        <v>0</v>
      </c>
      <c r="O21" s="18">
        <f>Sheet1!N63</f>
        <v>172540.98360655736</v>
      </c>
      <c r="P21" s="18">
        <f>Sheet1!O63</f>
        <v>0</v>
      </c>
      <c r="Q21" s="18">
        <f>Sheet1!P63</f>
        <v>0</v>
      </c>
      <c r="R21" s="18">
        <f>Sheet1!Q63</f>
        <v>0</v>
      </c>
      <c r="S21" s="18">
        <f>Sheet1!R63</f>
        <v>172540.98360655736</v>
      </c>
      <c r="T21" s="18">
        <f>Sheet1!S63</f>
        <v>0</v>
      </c>
      <c r="U21" s="18">
        <f>Sheet1!T63</f>
        <v>0</v>
      </c>
      <c r="V21" s="18">
        <f>Sheet1!U63</f>
        <v>0</v>
      </c>
      <c r="W21" s="18">
        <f>Sheet1!V63</f>
        <v>0</v>
      </c>
      <c r="X21" s="18">
        <f>Sheet1!W63</f>
        <v>0</v>
      </c>
      <c r="Y21" s="18">
        <f>Sheet1!X63</f>
        <v>0</v>
      </c>
    </row>
    <row r="22" spans="1:25" x14ac:dyDescent="0.2">
      <c r="A22" s="11">
        <v>2024</v>
      </c>
      <c r="B22" s="9" t="s">
        <v>101</v>
      </c>
      <c r="C22" s="9" t="str">
        <f>Sheet1!B66</f>
        <v>Mundo Novo Café</v>
      </c>
      <c r="D22" s="11" t="str">
        <f>Sheet1!C66</f>
        <v>037/24</v>
      </c>
      <c r="E22" s="11">
        <f>Sheet1!D66</f>
        <v>20</v>
      </c>
      <c r="F22" s="11" t="str">
        <f>Sheet1!E66</f>
        <v>Moka</v>
      </c>
      <c r="G22" s="11" t="str">
        <f>Sheet1!F66</f>
        <v>Fine Cup</v>
      </c>
      <c r="H22" s="11" t="str">
        <f>Sheet1!G66</f>
        <v>-</v>
      </c>
      <c r="I22" s="11" t="str">
        <f>Sheet1!H66</f>
        <v>-</v>
      </c>
      <c r="J22" s="11">
        <f>Sheet1!I66</f>
        <v>2200</v>
      </c>
      <c r="K22" s="13">
        <f>Sheet1!J66</f>
        <v>360.65573770491807</v>
      </c>
      <c r="L22" s="11" t="str">
        <f>Sheet1!K66</f>
        <v>preço</v>
      </c>
      <c r="M22" s="20">
        <f>Sheet1!L66</f>
        <v>45632</v>
      </c>
      <c r="N22" s="11" t="str">
        <f>Sheet1!M66</f>
        <v>50% + 4</v>
      </c>
      <c r="O22" s="16">
        <f>Sheet1!N66</f>
        <v>7213.1147540983611</v>
      </c>
      <c r="P22" s="16">
        <f>Sheet1!O66</f>
        <v>0</v>
      </c>
      <c r="Q22" s="16">
        <f>Sheet1!P66</f>
        <v>0</v>
      </c>
      <c r="R22" s="16">
        <f>Sheet1!Q66</f>
        <v>0</v>
      </c>
      <c r="S22" s="16">
        <f>Sheet1!R66</f>
        <v>3606.5573770491806</v>
      </c>
      <c r="T22" s="16">
        <f>Sheet1!S66</f>
        <v>901.63934426229514</v>
      </c>
      <c r="U22" s="16">
        <f>Sheet1!T66</f>
        <v>901.63934426229514</v>
      </c>
      <c r="V22" s="16">
        <f>Sheet1!U66</f>
        <v>901.63934426229514</v>
      </c>
      <c r="W22" s="16">
        <f>Sheet1!V66</f>
        <v>901.63934426229514</v>
      </c>
      <c r="X22" s="16">
        <f>Sheet1!W66</f>
        <v>0</v>
      </c>
      <c r="Y22" s="16">
        <f>Sheet1!X66</f>
        <v>0</v>
      </c>
    </row>
    <row r="23" spans="1:25" x14ac:dyDescent="0.2">
      <c r="A23" s="22">
        <v>2024</v>
      </c>
      <c r="B23" s="17" t="s">
        <v>101</v>
      </c>
      <c r="C23" s="17" t="str">
        <f>Sheet1!B69</f>
        <v>Melitta</v>
      </c>
      <c r="D23" s="22" t="str">
        <f>Sheet1!C69</f>
        <v>038/24</v>
      </c>
      <c r="E23" s="22">
        <f>Sheet1!D69</f>
        <v>500</v>
      </c>
      <c r="F23" s="22" t="str">
        <f>Sheet1!E69</f>
        <v>Escolha</v>
      </c>
      <c r="G23" s="22" t="str">
        <f>Sheet1!F69</f>
        <v>Vários</v>
      </c>
      <c r="H23" s="22" t="str">
        <f>Sheet1!G69</f>
        <v>-</v>
      </c>
      <c r="I23" s="22" t="str">
        <f>Sheet1!H69</f>
        <v>-</v>
      </c>
      <c r="J23" s="22">
        <f>Sheet1!I69</f>
        <v>2000</v>
      </c>
      <c r="K23" s="23">
        <f>Sheet1!J69</f>
        <v>327.86885245901641</v>
      </c>
      <c r="L23" s="22" t="str">
        <f>Sheet1!K69</f>
        <v>preço</v>
      </c>
      <c r="M23" s="24">
        <f>Sheet1!L69</f>
        <v>45639</v>
      </c>
      <c r="N23" s="22" t="str">
        <f>Sheet1!M69</f>
        <v>45 dias</v>
      </c>
      <c r="O23" s="18">
        <f>Sheet1!N69</f>
        <v>163934.42622950822</v>
      </c>
      <c r="P23" s="18">
        <f>Sheet1!O69</f>
        <v>0</v>
      </c>
      <c r="Q23" s="18">
        <f>Sheet1!P69</f>
        <v>0</v>
      </c>
      <c r="R23" s="18">
        <f>Sheet1!Q69</f>
        <v>0</v>
      </c>
      <c r="S23" s="18">
        <f>Sheet1!R69</f>
        <v>0</v>
      </c>
      <c r="T23" s="18">
        <f>Sheet1!S69</f>
        <v>163934.42622950822</v>
      </c>
      <c r="U23" s="18">
        <f>Sheet1!T69</f>
        <v>0</v>
      </c>
      <c r="V23" s="18">
        <f>Sheet1!U69</f>
        <v>0</v>
      </c>
      <c r="W23" s="18">
        <f>Sheet1!V69</f>
        <v>0</v>
      </c>
      <c r="X23" s="18">
        <f>Sheet1!W69</f>
        <v>0</v>
      </c>
      <c r="Y23" s="18">
        <f>Sheet1!X69</f>
        <v>0</v>
      </c>
    </row>
    <row r="24" spans="1:25" x14ac:dyDescent="0.2">
      <c r="A24" s="11">
        <v>2024</v>
      </c>
      <c r="B24" s="9" t="s">
        <v>100</v>
      </c>
      <c r="C24" s="9" t="str">
        <f>Sheet1!B72</f>
        <v>Emporia GMBH</v>
      </c>
      <c r="D24" s="11" t="str">
        <f>Sheet1!C72</f>
        <v>039/24</v>
      </c>
      <c r="E24" s="11">
        <f>Sheet1!D72</f>
        <v>320</v>
      </c>
      <c r="F24" s="11" t="str">
        <f>Sheet1!E72</f>
        <v>16/18</v>
      </c>
      <c r="G24" s="11" t="str">
        <f>Sheet1!F72</f>
        <v>Vários</v>
      </c>
      <c r="H24" s="11">
        <f>Sheet1!G72</f>
        <v>0</v>
      </c>
      <c r="I24" s="11">
        <f>Sheet1!H72</f>
        <v>0</v>
      </c>
      <c r="J24" s="11">
        <f>Sheet1!I72</f>
        <v>0</v>
      </c>
      <c r="K24" s="13">
        <f>Sheet1!J72</f>
        <v>413</v>
      </c>
      <c r="L24" s="11" t="str">
        <f>Sheet1!K72</f>
        <v>preço</v>
      </c>
      <c r="M24" s="20">
        <f>Sheet1!L72</f>
        <v>45687</v>
      </c>
      <c r="N24" s="11">
        <f>Sheet1!M72</f>
        <v>60</v>
      </c>
      <c r="O24" s="16">
        <f>Sheet1!N72</f>
        <v>132160</v>
      </c>
      <c r="P24" s="16">
        <f>Sheet1!O72</f>
        <v>0</v>
      </c>
      <c r="Q24" s="16">
        <f>Sheet1!P72</f>
        <v>0</v>
      </c>
      <c r="R24" s="16">
        <f>Sheet1!Q72</f>
        <v>0</v>
      </c>
      <c r="S24" s="16">
        <f>Sheet1!R72</f>
        <v>0</v>
      </c>
      <c r="T24" s="16">
        <f>Sheet1!S72</f>
        <v>0</v>
      </c>
      <c r="U24" s="16">
        <f>Sheet1!T72</f>
        <v>0</v>
      </c>
      <c r="V24" s="16">
        <f>Sheet1!U72</f>
        <v>132160</v>
      </c>
      <c r="W24" s="16">
        <f>Sheet1!V72</f>
        <v>0</v>
      </c>
      <c r="X24" s="16">
        <f>Sheet1!W72</f>
        <v>0</v>
      </c>
      <c r="Y24" s="16">
        <f>Sheet1!X72</f>
        <v>0</v>
      </c>
    </row>
    <row r="25" spans="1:25" x14ac:dyDescent="0.2">
      <c r="A25" s="11">
        <v>2024</v>
      </c>
      <c r="B25" s="9" t="s">
        <v>100</v>
      </c>
      <c r="C25" s="9" t="str">
        <f>Sheet1!B78</f>
        <v>Estimativa</v>
      </c>
      <c r="D25" s="11"/>
      <c r="E25" s="11">
        <f>Sheet1!D78</f>
        <v>38</v>
      </c>
      <c r="F25" s="11">
        <f>Sheet1!E78</f>
        <v>19</v>
      </c>
      <c r="G25" s="11" t="str">
        <f>Sheet1!F78</f>
        <v>Vários</v>
      </c>
      <c r="H25" s="11">
        <f>Sheet1!G78</f>
        <v>10</v>
      </c>
      <c r="I25" s="13">
        <f>Sheet1!H78</f>
        <v>347.35</v>
      </c>
      <c r="J25" s="13">
        <f>Sheet1!I78</f>
        <v>0</v>
      </c>
      <c r="K25" s="13">
        <f>Sheet1!J78</f>
        <v>472.70258000000001</v>
      </c>
      <c r="L25" s="11" t="str">
        <f>Sheet1!K78</f>
        <v>preço</v>
      </c>
      <c r="M25" s="20">
        <f>Sheet1!L78</f>
        <v>0</v>
      </c>
      <c r="N25" s="11">
        <f>Sheet1!M78</f>
        <v>0</v>
      </c>
      <c r="O25" s="16">
        <f>Sheet1!N78</f>
        <v>17962.698039999999</v>
      </c>
      <c r="P25" s="16">
        <f>Sheet1!O78</f>
        <v>0</v>
      </c>
      <c r="Q25" s="16">
        <f>Sheet1!P78</f>
        <v>0</v>
      </c>
      <c r="R25" s="16">
        <f>Sheet1!Q78</f>
        <v>0</v>
      </c>
      <c r="S25" s="16">
        <f>Sheet1!R78</f>
        <v>17962.698039999999</v>
      </c>
      <c r="T25" s="16">
        <f>Sheet1!S78</f>
        <v>0</v>
      </c>
      <c r="U25" s="16">
        <f>Sheet1!T78</f>
        <v>0</v>
      </c>
      <c r="V25" s="16">
        <f>Sheet1!U78</f>
        <v>0</v>
      </c>
      <c r="W25" s="16">
        <f>Sheet1!V78</f>
        <v>0</v>
      </c>
      <c r="X25" s="16">
        <f>Sheet1!W78</f>
        <v>0</v>
      </c>
      <c r="Y25" s="16">
        <f>Sheet1!X78</f>
        <v>0</v>
      </c>
    </row>
    <row r="26" spans="1:25" x14ac:dyDescent="0.2">
      <c r="A26" s="22">
        <v>2024</v>
      </c>
      <c r="B26" s="17" t="s">
        <v>100</v>
      </c>
      <c r="C26" s="17" t="str">
        <f>Sheet1!B79</f>
        <v>Estimativa</v>
      </c>
      <c r="D26" s="22"/>
      <c r="E26" s="22">
        <f>Sheet1!D79</f>
        <v>260</v>
      </c>
      <c r="F26" s="22" t="str">
        <f>Sheet1!E79</f>
        <v>17/18</v>
      </c>
      <c r="G26" s="22" t="str">
        <f>Sheet1!F79</f>
        <v>Vários</v>
      </c>
      <c r="H26" s="22">
        <f>Sheet1!G79</f>
        <v>-5</v>
      </c>
      <c r="I26" s="23">
        <f>Sheet1!H79</f>
        <v>347.35</v>
      </c>
      <c r="J26" s="23">
        <f>Sheet1!I79</f>
        <v>0</v>
      </c>
      <c r="K26" s="23">
        <f>Sheet1!J79</f>
        <v>452.86058000000003</v>
      </c>
      <c r="L26" s="22" t="str">
        <f>Sheet1!K79</f>
        <v>preço</v>
      </c>
      <c r="M26" s="24">
        <f>Sheet1!L79</f>
        <v>0</v>
      </c>
      <c r="N26" s="22">
        <f>Sheet1!M79</f>
        <v>0</v>
      </c>
      <c r="O26" s="18">
        <f>Sheet1!N79</f>
        <v>117743.75080000001</v>
      </c>
      <c r="P26" s="18">
        <f>Sheet1!O79</f>
        <v>0</v>
      </c>
      <c r="Q26" s="18">
        <f>Sheet1!P79</f>
        <v>0</v>
      </c>
      <c r="R26" s="18">
        <f>Sheet1!Q79</f>
        <v>0</v>
      </c>
      <c r="S26" s="18">
        <f>Sheet1!R79</f>
        <v>117743.75080000001</v>
      </c>
      <c r="T26" s="18">
        <f>Sheet1!S79</f>
        <v>0</v>
      </c>
      <c r="U26" s="18">
        <f>Sheet1!T79</f>
        <v>0</v>
      </c>
      <c r="V26" s="18">
        <f>Sheet1!U79</f>
        <v>0</v>
      </c>
      <c r="W26" s="18">
        <f>Sheet1!V79</f>
        <v>0</v>
      </c>
      <c r="X26" s="18">
        <f>Sheet1!W79</f>
        <v>0</v>
      </c>
      <c r="Y26" s="18">
        <f>Sheet1!X79</f>
        <v>0</v>
      </c>
    </row>
    <row r="27" spans="1:25" x14ac:dyDescent="0.2">
      <c r="A27" s="11">
        <v>2024</v>
      </c>
      <c r="B27" s="9" t="s">
        <v>100</v>
      </c>
      <c r="C27" s="9" t="str">
        <f>Sheet1!B80</f>
        <v>Estimativa</v>
      </c>
      <c r="D27" s="11"/>
      <c r="E27" s="11">
        <f>Sheet1!D80</f>
        <v>12</v>
      </c>
      <c r="F27" s="11" t="str">
        <f>Sheet1!E80</f>
        <v>16/18</v>
      </c>
      <c r="G27" s="11" t="str">
        <f>Sheet1!F80</f>
        <v>Vários</v>
      </c>
      <c r="H27" s="11">
        <f>Sheet1!G80</f>
        <v>5</v>
      </c>
      <c r="I27" s="13">
        <f>Sheet1!H80</f>
        <v>347.35</v>
      </c>
      <c r="J27" s="13">
        <f>Sheet1!I80</f>
        <v>0</v>
      </c>
      <c r="K27" s="13">
        <f>Sheet1!J80</f>
        <v>466.08858000000004</v>
      </c>
      <c r="L27" s="11" t="str">
        <f>Sheet1!K80</f>
        <v>preço</v>
      </c>
      <c r="M27" s="20">
        <f>Sheet1!L80</f>
        <v>0</v>
      </c>
      <c r="N27" s="11">
        <f>Sheet1!M80</f>
        <v>0</v>
      </c>
      <c r="O27" s="16">
        <f>Sheet1!N80</f>
        <v>5593.0629600000002</v>
      </c>
      <c r="P27" s="16">
        <f>Sheet1!O80</f>
        <v>0</v>
      </c>
      <c r="Q27" s="16">
        <f>Sheet1!P80</f>
        <v>0</v>
      </c>
      <c r="R27" s="16">
        <f>Sheet1!Q80</f>
        <v>0</v>
      </c>
      <c r="S27" s="16">
        <f>Sheet1!R80</f>
        <v>0</v>
      </c>
      <c r="T27" s="16">
        <f>Sheet1!S80</f>
        <v>0</v>
      </c>
      <c r="U27" s="16">
        <f>Sheet1!T80</f>
        <v>0</v>
      </c>
      <c r="V27" s="16">
        <f>Sheet1!U80</f>
        <v>0</v>
      </c>
      <c r="W27" s="16">
        <f>Sheet1!V80</f>
        <v>0</v>
      </c>
      <c r="X27" s="16">
        <f>Sheet1!W80</f>
        <v>0</v>
      </c>
      <c r="Y27" s="16">
        <f>Sheet1!X80</f>
        <v>0</v>
      </c>
    </row>
    <row r="28" spans="1:25" x14ac:dyDescent="0.2">
      <c r="A28" s="22">
        <v>2024</v>
      </c>
      <c r="B28" s="17" t="s">
        <v>100</v>
      </c>
      <c r="C28" s="17" t="str">
        <f>Sheet1!B81</f>
        <v>Estimativa</v>
      </c>
      <c r="D28" s="22"/>
      <c r="E28" s="22">
        <f>Sheet1!D81</f>
        <v>0</v>
      </c>
      <c r="F28" s="22" t="str">
        <f>Sheet1!E81</f>
        <v>16/18</v>
      </c>
      <c r="G28" s="22" t="str">
        <f>Sheet1!F81</f>
        <v>Vários</v>
      </c>
      <c r="H28" s="22">
        <f>Sheet1!G81</f>
        <v>5</v>
      </c>
      <c r="I28" s="23">
        <f>Sheet1!H81</f>
        <v>290.55</v>
      </c>
      <c r="J28" s="23">
        <f>Sheet1!I81</f>
        <v>0</v>
      </c>
      <c r="K28" s="23">
        <f>Sheet1!J81</f>
        <v>390.95354000000003</v>
      </c>
      <c r="L28" s="22" t="str">
        <f>Sheet1!K81</f>
        <v>preço</v>
      </c>
      <c r="M28" s="24">
        <f>Sheet1!L81</f>
        <v>0</v>
      </c>
      <c r="N28" s="22">
        <f>Sheet1!M81</f>
        <v>0</v>
      </c>
      <c r="O28" s="18">
        <f>Sheet1!N81</f>
        <v>0</v>
      </c>
      <c r="P28" s="18">
        <f>Sheet1!O81</f>
        <v>0</v>
      </c>
      <c r="Q28" s="18">
        <f>Sheet1!P81</f>
        <v>0</v>
      </c>
      <c r="R28" s="18">
        <f>Sheet1!Q81</f>
        <v>0</v>
      </c>
      <c r="S28" s="18">
        <f>Sheet1!R81</f>
        <v>0</v>
      </c>
      <c r="T28" s="18">
        <f>Sheet1!S81</f>
        <v>0</v>
      </c>
      <c r="U28" s="18">
        <f>Sheet1!T81</f>
        <v>0</v>
      </c>
      <c r="V28" s="18">
        <f>Sheet1!U81</f>
        <v>0</v>
      </c>
      <c r="W28" s="18">
        <f>Sheet1!V81</f>
        <v>0</v>
      </c>
      <c r="X28" s="18">
        <f>Sheet1!W81</f>
        <v>0</v>
      </c>
      <c r="Y28" s="18">
        <f>Sheet1!X81</f>
        <v>0</v>
      </c>
    </row>
    <row r="29" spans="1:25" x14ac:dyDescent="0.2">
      <c r="A29" s="11">
        <v>2024</v>
      </c>
      <c r="B29" s="9" t="s">
        <v>100</v>
      </c>
      <c r="C29" s="9" t="str">
        <f>Sheet1!B82</f>
        <v>Estimativa</v>
      </c>
      <c r="D29" s="11"/>
      <c r="E29" s="11">
        <f>Sheet1!D82</f>
        <v>120</v>
      </c>
      <c r="F29" s="11" t="str">
        <f>Sheet1!E82</f>
        <v>14/16</v>
      </c>
      <c r="G29" s="11" t="str">
        <f>Sheet1!F82</f>
        <v>Vários</v>
      </c>
      <c r="H29" s="11">
        <f>Sheet1!G82</f>
        <v>-25</v>
      </c>
      <c r="I29" s="13">
        <f>Sheet1!H82</f>
        <v>347.35</v>
      </c>
      <c r="J29" s="13">
        <f>Sheet1!I82</f>
        <v>0</v>
      </c>
      <c r="K29" s="13">
        <f>Sheet1!J82</f>
        <v>426.40458000000001</v>
      </c>
      <c r="L29" s="11" t="str">
        <f>Sheet1!K82</f>
        <v>preço</v>
      </c>
      <c r="M29" s="20">
        <f>Sheet1!L82</f>
        <v>0</v>
      </c>
      <c r="N29" s="11">
        <f>Sheet1!M82</f>
        <v>0</v>
      </c>
      <c r="O29" s="16">
        <f>Sheet1!N82</f>
        <v>51168.549599999998</v>
      </c>
      <c r="P29" s="16">
        <f>Sheet1!O82</f>
        <v>0</v>
      </c>
      <c r="Q29" s="16">
        <f>Sheet1!P82</f>
        <v>0</v>
      </c>
      <c r="R29" s="16">
        <f>Sheet1!Q82</f>
        <v>0</v>
      </c>
      <c r="S29" s="16">
        <f>Sheet1!R82</f>
        <v>51168.549599999998</v>
      </c>
      <c r="T29" s="16">
        <f>Sheet1!S82</f>
        <v>0</v>
      </c>
      <c r="U29" s="16">
        <f>Sheet1!T82</f>
        <v>0</v>
      </c>
      <c r="V29" s="16">
        <f>Sheet1!U82</f>
        <v>0</v>
      </c>
      <c r="W29" s="16">
        <f>Sheet1!V82</f>
        <v>0</v>
      </c>
      <c r="X29" s="16">
        <f>Sheet1!W82</f>
        <v>0</v>
      </c>
      <c r="Y29" s="16">
        <f>Sheet1!X82</f>
        <v>0</v>
      </c>
    </row>
    <row r="30" spans="1:25" x14ac:dyDescent="0.2">
      <c r="A30" s="22">
        <v>2024</v>
      </c>
      <c r="B30" s="17" t="s">
        <v>100</v>
      </c>
      <c r="C30" s="17" t="str">
        <f>Sheet1!B83</f>
        <v>Estimativa</v>
      </c>
      <c r="D30" s="22"/>
      <c r="E30" s="22">
        <f>Sheet1!D83</f>
        <v>10</v>
      </c>
      <c r="F30" s="22" t="str">
        <f>Sheet1!E83</f>
        <v>14/15</v>
      </c>
      <c r="G30" s="22" t="str">
        <f>Sheet1!F83</f>
        <v>Vários</v>
      </c>
      <c r="H30" s="22">
        <f>Sheet1!G83</f>
        <v>-25</v>
      </c>
      <c r="I30" s="23">
        <f>Sheet1!H83</f>
        <v>347.35</v>
      </c>
      <c r="J30" s="23">
        <f>Sheet1!I83</f>
        <v>0</v>
      </c>
      <c r="K30" s="23">
        <f>Sheet1!J83</f>
        <v>426.40458000000001</v>
      </c>
      <c r="L30" s="22" t="str">
        <f>Sheet1!K83</f>
        <v>preço</v>
      </c>
      <c r="M30" s="24">
        <f>Sheet1!L83</f>
        <v>0</v>
      </c>
      <c r="N30" s="22">
        <f>Sheet1!M83</f>
        <v>0</v>
      </c>
      <c r="O30" s="18">
        <f>Sheet1!N83</f>
        <v>4264.0457999999999</v>
      </c>
      <c r="P30" s="18">
        <f>Sheet1!O83</f>
        <v>0</v>
      </c>
      <c r="Q30" s="18">
        <f>Sheet1!P83</f>
        <v>0</v>
      </c>
      <c r="R30" s="18">
        <f>Sheet1!Q83</f>
        <v>0</v>
      </c>
      <c r="S30" s="18">
        <f>Sheet1!R83</f>
        <v>4264.0457999999999</v>
      </c>
      <c r="T30" s="18">
        <f>Sheet1!S83</f>
        <v>0</v>
      </c>
      <c r="U30" s="18">
        <f>Sheet1!T83</f>
        <v>0</v>
      </c>
      <c r="V30" s="18">
        <f>Sheet1!U83</f>
        <v>0</v>
      </c>
      <c r="W30" s="18">
        <f>Sheet1!V83</f>
        <v>0</v>
      </c>
      <c r="X30" s="18">
        <f>Sheet1!W83</f>
        <v>0</v>
      </c>
      <c r="Y30" s="18">
        <f>Sheet1!X83</f>
        <v>0</v>
      </c>
    </row>
    <row r="31" spans="1:25" x14ac:dyDescent="0.2">
      <c r="A31" s="11">
        <v>2024</v>
      </c>
      <c r="B31" s="9" t="s">
        <v>100</v>
      </c>
      <c r="C31" s="9" t="str">
        <f>Sheet1!B84</f>
        <v>Estimativa</v>
      </c>
      <c r="D31" s="11"/>
      <c r="E31" s="11">
        <f>Sheet1!D84</f>
        <v>4</v>
      </c>
      <c r="F31" s="11" t="str">
        <f>Sheet1!E84</f>
        <v>Bica</v>
      </c>
      <c r="G31" s="11" t="str">
        <f>Sheet1!F84</f>
        <v>Vários</v>
      </c>
      <c r="H31" s="11">
        <f>Sheet1!G84</f>
        <v>-20</v>
      </c>
      <c r="I31" s="13">
        <f>Sheet1!H84</f>
        <v>347.35</v>
      </c>
      <c r="J31" s="13">
        <f>Sheet1!I84</f>
        <v>0</v>
      </c>
      <c r="K31" s="13">
        <f>Sheet1!J84</f>
        <v>433.01858000000004</v>
      </c>
      <c r="L31" s="11" t="str">
        <f>Sheet1!K84</f>
        <v>preço</v>
      </c>
      <c r="M31" s="20">
        <f>Sheet1!L84</f>
        <v>0</v>
      </c>
      <c r="N31" s="11">
        <f>Sheet1!M84</f>
        <v>0</v>
      </c>
      <c r="O31" s="16">
        <f>Sheet1!N84</f>
        <v>1732.0743200000002</v>
      </c>
      <c r="P31" s="16">
        <f>Sheet1!O84</f>
        <v>0</v>
      </c>
      <c r="Q31" s="16">
        <f>Sheet1!P84</f>
        <v>0</v>
      </c>
      <c r="R31" s="16">
        <f>Sheet1!Q84</f>
        <v>0</v>
      </c>
      <c r="S31" s="16">
        <f>Sheet1!R84</f>
        <v>1732.0743200000002</v>
      </c>
      <c r="T31" s="16">
        <f>Sheet1!S84</f>
        <v>0</v>
      </c>
      <c r="U31" s="16">
        <f>Sheet1!T84</f>
        <v>0</v>
      </c>
      <c r="V31" s="16">
        <f>Sheet1!U84</f>
        <v>0</v>
      </c>
      <c r="W31" s="16">
        <f>Sheet1!V84</f>
        <v>0</v>
      </c>
      <c r="X31" s="16">
        <f>Sheet1!W84</f>
        <v>0</v>
      </c>
      <c r="Y31" s="16">
        <f>Sheet1!X84</f>
        <v>0</v>
      </c>
    </row>
    <row r="32" spans="1:25" x14ac:dyDescent="0.2">
      <c r="A32" s="22">
        <v>2024</v>
      </c>
      <c r="B32" s="17" t="s">
        <v>100</v>
      </c>
      <c r="C32" s="17" t="str">
        <f>Sheet1!B85</f>
        <v>Estimativa</v>
      </c>
      <c r="D32" s="22"/>
      <c r="E32" s="22">
        <f>Sheet1!D85</f>
        <v>407</v>
      </c>
      <c r="F32" s="22" t="str">
        <f>Sheet1!E85</f>
        <v>FVR</v>
      </c>
      <c r="G32" s="22" t="str">
        <f>Sheet1!F85</f>
        <v>Vários</v>
      </c>
      <c r="H32" s="22">
        <f>Sheet1!G85</f>
        <v>-80</v>
      </c>
      <c r="I32" s="23">
        <f>Sheet1!H85</f>
        <v>347.35</v>
      </c>
      <c r="J32" s="23">
        <f>Sheet1!I85</f>
        <v>0</v>
      </c>
      <c r="K32" s="23">
        <f>Sheet1!J85</f>
        <v>353.65058000000005</v>
      </c>
      <c r="L32" s="22" t="str">
        <f>Sheet1!K85</f>
        <v>preço</v>
      </c>
      <c r="M32" s="24">
        <f>Sheet1!L85</f>
        <v>0</v>
      </c>
      <c r="N32" s="22">
        <f>Sheet1!M85</f>
        <v>0</v>
      </c>
      <c r="O32" s="18">
        <f>Sheet1!N85</f>
        <v>143935.78606000001</v>
      </c>
      <c r="P32" s="18">
        <f>Sheet1!O85</f>
        <v>0</v>
      </c>
      <c r="Q32" s="18">
        <f>Sheet1!P85</f>
        <v>0</v>
      </c>
      <c r="R32" s="18">
        <f>Sheet1!Q85</f>
        <v>0</v>
      </c>
      <c r="S32" s="18">
        <f>Sheet1!R85</f>
        <v>143935.78606000001</v>
      </c>
      <c r="T32" s="18">
        <f>Sheet1!S85</f>
        <v>0</v>
      </c>
      <c r="U32" s="18">
        <f>Sheet1!T85</f>
        <v>0</v>
      </c>
      <c r="V32" s="18">
        <f>Sheet1!U85</f>
        <v>0</v>
      </c>
      <c r="W32" s="18">
        <f>Sheet1!V85</f>
        <v>0</v>
      </c>
      <c r="X32" s="18">
        <f>Sheet1!W85</f>
        <v>0</v>
      </c>
      <c r="Y32" s="18">
        <f>Sheet1!X85</f>
        <v>0</v>
      </c>
    </row>
    <row r="33" spans="1:25" x14ac:dyDescent="0.2">
      <c r="A33" s="11">
        <v>2024</v>
      </c>
      <c r="B33" s="9" t="s">
        <v>100</v>
      </c>
      <c r="C33" s="9" t="str">
        <f>Sheet1!B86</f>
        <v>Estimativa</v>
      </c>
      <c r="D33" s="11"/>
      <c r="E33" s="11">
        <f>Sheet1!D86</f>
        <v>43</v>
      </c>
      <c r="F33" s="11" t="str">
        <f>Sheet1!E86</f>
        <v>Grinders</v>
      </c>
      <c r="G33" s="11" t="str">
        <f>Sheet1!F86</f>
        <v>Vários</v>
      </c>
      <c r="H33" s="11">
        <f>Sheet1!G86</f>
        <v>-30</v>
      </c>
      <c r="I33" s="13">
        <f>Sheet1!H86</f>
        <v>347.35</v>
      </c>
      <c r="J33" s="13">
        <f>Sheet1!I86</f>
        <v>0</v>
      </c>
      <c r="K33" s="13">
        <f>Sheet1!J86</f>
        <v>419.79058000000003</v>
      </c>
      <c r="L33" s="11" t="str">
        <f>Sheet1!K86</f>
        <v>preço</v>
      </c>
      <c r="M33" s="20">
        <f>Sheet1!L86</f>
        <v>0</v>
      </c>
      <c r="N33" s="11">
        <f>Sheet1!M86</f>
        <v>0</v>
      </c>
      <c r="O33" s="16">
        <f>Sheet1!N86</f>
        <v>18050.99494</v>
      </c>
      <c r="P33" s="16">
        <f>Sheet1!O86</f>
        <v>0</v>
      </c>
      <c r="Q33" s="16">
        <f>Sheet1!P86</f>
        <v>0</v>
      </c>
      <c r="R33" s="16">
        <f>Sheet1!Q86</f>
        <v>0</v>
      </c>
      <c r="S33" s="16">
        <f>Sheet1!R86</f>
        <v>18050.99494</v>
      </c>
      <c r="T33" s="16">
        <f>Sheet1!S86</f>
        <v>0</v>
      </c>
      <c r="U33" s="16">
        <f>Sheet1!T86</f>
        <v>0</v>
      </c>
      <c r="V33" s="16">
        <f>Sheet1!U86</f>
        <v>0</v>
      </c>
      <c r="W33" s="16">
        <f>Sheet1!V86</f>
        <v>0</v>
      </c>
      <c r="X33" s="16">
        <f>Sheet1!W86</f>
        <v>0</v>
      </c>
      <c r="Y33" s="16">
        <f>Sheet1!X86</f>
        <v>0</v>
      </c>
    </row>
    <row r="34" spans="1:25" x14ac:dyDescent="0.2">
      <c r="A34" s="22">
        <v>2024</v>
      </c>
      <c r="B34" s="17" t="s">
        <v>100</v>
      </c>
      <c r="C34" s="17" t="str">
        <f>Sheet1!B87</f>
        <v>Estimativa</v>
      </c>
      <c r="D34" s="22"/>
      <c r="E34" s="22">
        <f>Sheet1!D87</f>
        <v>24</v>
      </c>
      <c r="F34" s="22" t="str">
        <f>Sheet1!E87</f>
        <v>Moka</v>
      </c>
      <c r="G34" s="22" t="str">
        <f>Sheet1!F87</f>
        <v>Vários</v>
      </c>
      <c r="H34" s="22">
        <f>Sheet1!G87</f>
        <v>-25</v>
      </c>
      <c r="I34" s="23">
        <f>Sheet1!H87</f>
        <v>347.35</v>
      </c>
      <c r="J34" s="23">
        <f>Sheet1!I87</f>
        <v>0</v>
      </c>
      <c r="K34" s="23">
        <f>Sheet1!J87</f>
        <v>426.40458000000001</v>
      </c>
      <c r="L34" s="22" t="str">
        <f>Sheet1!K87</f>
        <v>preço</v>
      </c>
      <c r="M34" s="24">
        <f>Sheet1!L87</f>
        <v>0</v>
      </c>
      <c r="N34" s="22">
        <f>Sheet1!M87</f>
        <v>0</v>
      </c>
      <c r="O34" s="18">
        <f>Sheet1!N87</f>
        <v>10233.709920000001</v>
      </c>
      <c r="P34" s="18">
        <f>Sheet1!O87</f>
        <v>0</v>
      </c>
      <c r="Q34" s="18">
        <f>Sheet1!P87</f>
        <v>0</v>
      </c>
      <c r="R34" s="18">
        <f>Sheet1!Q87</f>
        <v>0</v>
      </c>
      <c r="S34" s="18">
        <f>Sheet1!R87</f>
        <v>10233.709920000001</v>
      </c>
      <c r="T34" s="18">
        <f>Sheet1!S87</f>
        <v>0</v>
      </c>
      <c r="U34" s="18">
        <f>Sheet1!T87</f>
        <v>0</v>
      </c>
      <c r="V34" s="18">
        <f>Sheet1!U87</f>
        <v>0</v>
      </c>
      <c r="W34" s="18">
        <f>Sheet1!V87</f>
        <v>0</v>
      </c>
      <c r="X34" s="18">
        <f>Sheet1!W87</f>
        <v>0</v>
      </c>
      <c r="Y34" s="18">
        <f>Sheet1!X87</f>
        <v>0</v>
      </c>
    </row>
    <row r="35" spans="1:25" x14ac:dyDescent="0.2">
      <c r="A35" s="11">
        <v>2024</v>
      </c>
      <c r="B35" s="9" t="s">
        <v>100</v>
      </c>
      <c r="C35" s="9" t="str">
        <f>Sheet1!B88</f>
        <v>Estimativa</v>
      </c>
      <c r="D35" s="11"/>
      <c r="E35" s="11">
        <f>Sheet1!D88</f>
        <v>110</v>
      </c>
      <c r="F35" s="11" t="str">
        <f>Sheet1!E88</f>
        <v>Fundo</v>
      </c>
      <c r="G35" s="11" t="str">
        <f>Sheet1!F88</f>
        <v>Vários</v>
      </c>
      <c r="H35" s="11">
        <f>Sheet1!G88</f>
        <v>-120</v>
      </c>
      <c r="I35" s="13">
        <f>Sheet1!H88</f>
        <v>347.35</v>
      </c>
      <c r="J35" s="13">
        <f>Sheet1!I88</f>
        <v>0</v>
      </c>
      <c r="K35" s="13">
        <f>Sheet1!J88</f>
        <v>300.73858000000001</v>
      </c>
      <c r="L35" s="11" t="str">
        <f>Sheet1!K88</f>
        <v>preço</v>
      </c>
      <c r="M35" s="20">
        <f>Sheet1!L88</f>
        <v>0</v>
      </c>
      <c r="N35" s="11">
        <f>Sheet1!M88</f>
        <v>0</v>
      </c>
      <c r="O35" s="16">
        <f>Sheet1!N88</f>
        <v>33081.243800000004</v>
      </c>
      <c r="P35" s="16">
        <f>Sheet1!O88</f>
        <v>0</v>
      </c>
      <c r="Q35" s="16">
        <f>Sheet1!P88</f>
        <v>0</v>
      </c>
      <c r="R35" s="16">
        <f>Sheet1!Q88</f>
        <v>0</v>
      </c>
      <c r="S35" s="16">
        <f>Sheet1!R88</f>
        <v>33081.243800000004</v>
      </c>
      <c r="T35" s="16">
        <f>Sheet1!S88</f>
        <v>0</v>
      </c>
      <c r="U35" s="16">
        <f>Sheet1!T88</f>
        <v>0</v>
      </c>
      <c r="V35" s="16">
        <f>Sheet1!U88</f>
        <v>0</v>
      </c>
      <c r="W35" s="16">
        <f>Sheet1!V88</f>
        <v>0</v>
      </c>
      <c r="X35" s="16">
        <f>Sheet1!W88</f>
        <v>0</v>
      </c>
      <c r="Y35" s="16">
        <f>Sheet1!X88</f>
        <v>0</v>
      </c>
    </row>
    <row r="36" spans="1:25" x14ac:dyDescent="0.2">
      <c r="A36" s="22">
        <v>2024</v>
      </c>
      <c r="B36" s="17" t="s">
        <v>100</v>
      </c>
      <c r="C36" s="17" t="str">
        <f>Sheet1!B89</f>
        <v>Estimativa</v>
      </c>
      <c r="D36" s="22"/>
      <c r="E36" s="22">
        <f>Sheet1!D89</f>
        <v>530</v>
      </c>
      <c r="F36" s="22" t="str">
        <f>Sheet1!E89</f>
        <v>Escolha</v>
      </c>
      <c r="G36" s="22" t="str">
        <f>Sheet1!F89</f>
        <v>Vários</v>
      </c>
      <c r="H36" s="22">
        <f>Sheet1!G89</f>
        <v>-150</v>
      </c>
      <c r="I36" s="23">
        <f>Sheet1!H89</f>
        <v>347.35</v>
      </c>
      <c r="J36" s="23">
        <f>Sheet1!I89</f>
        <v>0</v>
      </c>
      <c r="K36" s="23">
        <f>Sheet1!J89</f>
        <v>261.05458000000004</v>
      </c>
      <c r="L36" s="22" t="str">
        <f>Sheet1!K89</f>
        <v>preço</v>
      </c>
      <c r="M36" s="24">
        <f>Sheet1!L89</f>
        <v>0</v>
      </c>
      <c r="N36" s="22">
        <f>Sheet1!M89</f>
        <v>0</v>
      </c>
      <c r="O36" s="18">
        <f>Sheet1!N89</f>
        <v>138358.92740000002</v>
      </c>
      <c r="P36" s="18">
        <f>Sheet1!O89</f>
        <v>0</v>
      </c>
      <c r="Q36" s="18">
        <f>Sheet1!P89</f>
        <v>0</v>
      </c>
      <c r="R36" s="18">
        <f>Sheet1!Q89</f>
        <v>0</v>
      </c>
      <c r="S36" s="18">
        <f>Sheet1!R89</f>
        <v>138358.92740000002</v>
      </c>
      <c r="T36" s="18">
        <f>Sheet1!S89</f>
        <v>0</v>
      </c>
      <c r="U36" s="18">
        <f>Sheet1!T89</f>
        <v>0</v>
      </c>
      <c r="V36" s="18">
        <f>Sheet1!U89</f>
        <v>0</v>
      </c>
      <c r="W36" s="18">
        <f>Sheet1!V89</f>
        <v>0</v>
      </c>
      <c r="X36" s="18">
        <f>Sheet1!W89</f>
        <v>0</v>
      </c>
      <c r="Y36" s="18">
        <f>Sheet1!X89</f>
        <v>0</v>
      </c>
    </row>
    <row r="37" spans="1:25" x14ac:dyDescent="0.2">
      <c r="A37" s="11">
        <v>2024</v>
      </c>
      <c r="B37" s="9" t="s">
        <v>100</v>
      </c>
      <c r="C37" s="9" t="str">
        <f>Sheet1!B90</f>
        <v>Estimativa</v>
      </c>
      <c r="D37" s="11"/>
      <c r="E37" s="11">
        <f>Sheet1!D90</f>
        <v>540</v>
      </c>
      <c r="F37" s="11" t="str">
        <f>Sheet1!E90</f>
        <v>Resíduo</v>
      </c>
      <c r="G37" s="11" t="str">
        <f>Sheet1!F90</f>
        <v>Vários</v>
      </c>
      <c r="H37" s="11">
        <f>Sheet1!G90</f>
        <v>-80</v>
      </c>
      <c r="I37" s="13">
        <f>Sheet1!H90</f>
        <v>347.35</v>
      </c>
      <c r="J37" s="13">
        <f>Sheet1!I90</f>
        <v>0</v>
      </c>
      <c r="K37" s="13">
        <f>Sheet1!J90</f>
        <v>353.65058000000005</v>
      </c>
      <c r="L37" s="11" t="str">
        <f>Sheet1!K90</f>
        <v>preço</v>
      </c>
      <c r="M37" s="20">
        <f>Sheet1!L90</f>
        <v>0</v>
      </c>
      <c r="N37" s="11">
        <f>Sheet1!M90</f>
        <v>0</v>
      </c>
      <c r="O37" s="16">
        <f>Sheet1!N90</f>
        <v>190971.31320000003</v>
      </c>
      <c r="P37" s="16">
        <f>Sheet1!O90</f>
        <v>0</v>
      </c>
      <c r="Q37" s="16">
        <f>Sheet1!P90</f>
        <v>0</v>
      </c>
      <c r="R37" s="16">
        <f>Sheet1!Q90</f>
        <v>0</v>
      </c>
      <c r="S37" s="16">
        <f>Sheet1!R90</f>
        <v>190971.31320000003</v>
      </c>
      <c r="T37" s="16">
        <f>Sheet1!S90</f>
        <v>0</v>
      </c>
      <c r="U37" s="16">
        <f>Sheet1!T90</f>
        <v>0</v>
      </c>
      <c r="V37" s="16">
        <f>Sheet1!U90</f>
        <v>0</v>
      </c>
      <c r="W37" s="16">
        <f>Sheet1!V90</f>
        <v>0</v>
      </c>
      <c r="X37" s="16">
        <f>Sheet1!W90</f>
        <v>0</v>
      </c>
      <c r="Y37" s="16">
        <f>Sheet1!X90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C3DD-8F81-F646-820C-FF3C9AF16666}">
  <sheetPr>
    <pageSetUpPr fitToPage="1"/>
  </sheetPr>
  <dimension ref="B2:Y134"/>
  <sheetViews>
    <sheetView workbookViewId="0">
      <selection activeCell="G10" sqref="G10"/>
    </sheetView>
  </sheetViews>
  <sheetFormatPr baseColWidth="10" defaultRowHeight="14" x14ac:dyDescent="0.2"/>
  <cols>
    <col min="1" max="1" width="10.83203125" style="9"/>
    <col min="2" max="2" width="15.33203125" style="9" customWidth="1"/>
    <col min="3" max="9" width="10.83203125" style="9"/>
    <col min="10" max="10" width="16.83203125" style="9" customWidth="1"/>
    <col min="11" max="11" width="10.83203125" style="9"/>
    <col min="12" max="12" width="15.1640625" style="9" customWidth="1"/>
    <col min="13" max="15" width="10.83203125" style="9" customWidth="1"/>
    <col min="16" max="16384" width="10.83203125" style="9"/>
  </cols>
  <sheetData>
    <row r="2" spans="2:24" x14ac:dyDescent="0.2">
      <c r="B2" s="28" t="s">
        <v>116</v>
      </c>
      <c r="C2" s="6"/>
      <c r="D2" s="6"/>
      <c r="E2" s="6"/>
      <c r="G2" s="29" t="s">
        <v>65</v>
      </c>
      <c r="H2" s="27">
        <v>45636</v>
      </c>
    </row>
    <row r="4" spans="2:24" x14ac:dyDescent="0.2">
      <c r="B4" s="25" t="s">
        <v>32</v>
      </c>
      <c r="C4" s="26" t="s">
        <v>41</v>
      </c>
      <c r="D4" s="63" t="s">
        <v>117</v>
      </c>
      <c r="E4" s="25" t="s">
        <v>32</v>
      </c>
      <c r="F4" s="26" t="s">
        <v>41</v>
      </c>
      <c r="G4" s="63" t="s">
        <v>117</v>
      </c>
      <c r="V4" s="11"/>
    </row>
    <row r="5" spans="2:24" x14ac:dyDescent="0.2">
      <c r="B5" s="12">
        <v>45627</v>
      </c>
      <c r="C5" s="13">
        <v>347.35</v>
      </c>
      <c r="D5" s="13">
        <f>C5*$J$34</f>
        <v>459.47458</v>
      </c>
      <c r="E5" s="12">
        <v>45839</v>
      </c>
      <c r="F5" s="13">
        <v>337.15</v>
      </c>
      <c r="G5" s="13">
        <f>F5*$J$34</f>
        <v>445.98201999999998</v>
      </c>
    </row>
    <row r="6" spans="2:24" x14ac:dyDescent="0.2">
      <c r="B6" s="12">
        <v>45717</v>
      </c>
      <c r="C6" s="13">
        <v>345.4</v>
      </c>
      <c r="D6" s="13">
        <f t="shared" ref="D6:D7" si="0">C6*$J$34</f>
        <v>456.89511999999996</v>
      </c>
      <c r="E6" s="12">
        <v>45901</v>
      </c>
      <c r="F6" s="13">
        <v>329.1</v>
      </c>
      <c r="G6" s="13">
        <f t="shared" ref="G6:G7" si="1">F6*$J$34</f>
        <v>435.33348000000001</v>
      </c>
    </row>
    <row r="7" spans="2:24" x14ac:dyDescent="0.2">
      <c r="B7" s="12">
        <v>45778</v>
      </c>
      <c r="C7" s="13">
        <v>342.85</v>
      </c>
      <c r="D7" s="13">
        <f t="shared" si="0"/>
        <v>453.52198000000004</v>
      </c>
      <c r="E7" s="12">
        <v>45992</v>
      </c>
      <c r="F7" s="13">
        <v>316.14999999999998</v>
      </c>
      <c r="G7" s="13">
        <f t="shared" si="1"/>
        <v>418.20321999999999</v>
      </c>
    </row>
    <row r="9" spans="2:24" x14ac:dyDescent="0.2">
      <c r="F9" s="10" t="s">
        <v>40</v>
      </c>
      <c r="G9" s="35">
        <v>6.1</v>
      </c>
    </row>
    <row r="11" spans="2:24" x14ac:dyDescent="0.2">
      <c r="B11" s="14" t="s">
        <v>108</v>
      </c>
      <c r="C11" s="8" t="s">
        <v>52</v>
      </c>
      <c r="D11" s="8" t="s">
        <v>14</v>
      </c>
      <c r="E11" s="8" t="s">
        <v>53</v>
      </c>
      <c r="F11" s="10" t="s">
        <v>51</v>
      </c>
      <c r="G11" s="10" t="s">
        <v>34</v>
      </c>
      <c r="L11" s="14" t="s">
        <v>109</v>
      </c>
      <c r="M11" s="8" t="s">
        <v>14</v>
      </c>
      <c r="N11" s="8" t="s">
        <v>52</v>
      </c>
      <c r="O11" s="15">
        <v>45536</v>
      </c>
      <c r="P11" s="15">
        <v>45566</v>
      </c>
      <c r="Q11" s="15">
        <v>45597</v>
      </c>
      <c r="R11" s="15">
        <v>45627</v>
      </c>
      <c r="S11" s="15">
        <v>45658</v>
      </c>
      <c r="T11" s="15">
        <v>45689</v>
      </c>
      <c r="U11" s="15">
        <v>45717</v>
      </c>
      <c r="V11" s="15">
        <v>45748</v>
      </c>
      <c r="W11" s="15">
        <v>45778</v>
      </c>
      <c r="X11" s="15" t="s">
        <v>31</v>
      </c>
    </row>
    <row r="12" spans="2:24" x14ac:dyDescent="0.2">
      <c r="B12" s="9" t="s">
        <v>1</v>
      </c>
      <c r="C12" s="16">
        <f t="shared" ref="C12:C19" si="2">SUMIFS(N$35:N$90,$B$35:$B$90,B12)</f>
        <v>1680717.9328000003</v>
      </c>
      <c r="D12" s="16">
        <f t="shared" ref="D12:D19" si="3">SUMIFS(D$35:D$90,$B$35:$B$90,B12)</f>
        <v>3840</v>
      </c>
      <c r="E12" s="16">
        <f t="shared" ref="E12:E21" si="4">C12/D12</f>
        <v>437.68696166666672</v>
      </c>
      <c r="F12" s="16">
        <f t="shared" ref="F12:F19" si="5">C12*$G$9</f>
        <v>10252379.390080001</v>
      </c>
      <c r="G12" s="16">
        <f t="shared" ref="G12:G22" si="6">F12/D12</f>
        <v>2669.890466166667</v>
      </c>
      <c r="L12" s="9" t="str">
        <f t="shared" ref="L12:L20" si="7">B12</f>
        <v>Unroasted</v>
      </c>
      <c r="M12" s="16">
        <f t="shared" ref="M12:M19" si="8">D12</f>
        <v>3840</v>
      </c>
      <c r="N12" s="16">
        <f>SUM(O12:X12)</f>
        <v>1680717.9328000001</v>
      </c>
      <c r="O12" s="16">
        <f t="shared" ref="O12:X12" si="9">O50</f>
        <v>0</v>
      </c>
      <c r="P12" s="16">
        <f t="shared" si="9"/>
        <v>0</v>
      </c>
      <c r="Q12" s="16">
        <f t="shared" si="9"/>
        <v>0</v>
      </c>
      <c r="R12" s="16">
        <f t="shared" si="9"/>
        <v>331504.26240000001</v>
      </c>
      <c r="S12" s="16">
        <f t="shared" si="9"/>
        <v>71822.748800000001</v>
      </c>
      <c r="T12" s="16">
        <f t="shared" si="9"/>
        <v>230071.9584</v>
      </c>
      <c r="U12" s="16">
        <f t="shared" si="9"/>
        <v>684130.9952</v>
      </c>
      <c r="V12" s="16">
        <f t="shared" si="9"/>
        <v>212748.56959999999</v>
      </c>
      <c r="W12" s="16">
        <f t="shared" si="9"/>
        <v>150439.39840000001</v>
      </c>
      <c r="X12" s="16">
        <f t="shared" si="9"/>
        <v>0</v>
      </c>
    </row>
    <row r="13" spans="2:24" x14ac:dyDescent="0.2">
      <c r="B13" s="17" t="s">
        <v>24</v>
      </c>
      <c r="C13" s="18">
        <f t="shared" si="2"/>
        <v>208000</v>
      </c>
      <c r="D13" s="18">
        <f t="shared" si="3"/>
        <v>640</v>
      </c>
      <c r="E13" s="18">
        <f t="shared" si="4"/>
        <v>325</v>
      </c>
      <c r="F13" s="18">
        <f t="shared" si="5"/>
        <v>1268800</v>
      </c>
      <c r="G13" s="18">
        <f t="shared" si="6"/>
        <v>1982.5</v>
      </c>
      <c r="L13" s="17" t="str">
        <f t="shared" si="7"/>
        <v>Southland</v>
      </c>
      <c r="M13" s="18">
        <f t="shared" si="8"/>
        <v>640</v>
      </c>
      <c r="N13" s="18">
        <f t="shared" ref="N13:N15" si="10">SUM(O13:X13)</f>
        <v>208000</v>
      </c>
      <c r="O13" s="18">
        <f t="shared" ref="O13:X13" si="11">O54</f>
        <v>0</v>
      </c>
      <c r="P13" s="18">
        <f t="shared" si="11"/>
        <v>0</v>
      </c>
      <c r="Q13" s="18">
        <f t="shared" si="11"/>
        <v>0</v>
      </c>
      <c r="R13" s="18">
        <f t="shared" si="11"/>
        <v>26000</v>
      </c>
      <c r="S13" s="18">
        <f t="shared" si="11"/>
        <v>26000</v>
      </c>
      <c r="T13" s="18">
        <f t="shared" si="11"/>
        <v>52000</v>
      </c>
      <c r="U13" s="18">
        <f t="shared" si="11"/>
        <v>52000</v>
      </c>
      <c r="V13" s="18">
        <f t="shared" si="11"/>
        <v>26000</v>
      </c>
      <c r="W13" s="18">
        <f t="shared" si="11"/>
        <v>26000</v>
      </c>
      <c r="X13" s="18">
        <f t="shared" si="11"/>
        <v>0</v>
      </c>
    </row>
    <row r="14" spans="2:24" x14ac:dyDescent="0.2">
      <c r="B14" s="9" t="s">
        <v>23</v>
      </c>
      <c r="C14" s="16">
        <f t="shared" si="2"/>
        <v>134396.47999999998</v>
      </c>
      <c r="D14" s="16">
        <f t="shared" si="3"/>
        <v>320</v>
      </c>
      <c r="E14" s="16">
        <f t="shared" si="4"/>
        <v>419.98899999999992</v>
      </c>
      <c r="F14" s="16">
        <f t="shared" si="5"/>
        <v>819818.52799999982</v>
      </c>
      <c r="G14" s="16">
        <f t="shared" si="6"/>
        <v>2561.9328999999993</v>
      </c>
      <c r="L14" s="9" t="str">
        <f t="shared" si="7"/>
        <v>Xorxos</v>
      </c>
      <c r="M14" s="16">
        <f t="shared" si="8"/>
        <v>320</v>
      </c>
      <c r="N14" s="16">
        <f t="shared" si="10"/>
        <v>134396.47999999998</v>
      </c>
      <c r="O14" s="16">
        <f t="shared" ref="O14:X14" si="12">O57</f>
        <v>0</v>
      </c>
      <c r="P14" s="16">
        <f t="shared" si="12"/>
        <v>0</v>
      </c>
      <c r="Q14" s="16">
        <f t="shared" si="12"/>
        <v>0</v>
      </c>
      <c r="R14" s="16">
        <f t="shared" si="12"/>
        <v>134396.47999999998</v>
      </c>
      <c r="S14" s="16">
        <f t="shared" si="12"/>
        <v>0</v>
      </c>
      <c r="T14" s="16">
        <f t="shared" si="12"/>
        <v>0</v>
      </c>
      <c r="U14" s="16">
        <f t="shared" si="12"/>
        <v>0</v>
      </c>
      <c r="V14" s="16">
        <f t="shared" si="12"/>
        <v>0</v>
      </c>
      <c r="W14" s="16">
        <f t="shared" si="12"/>
        <v>0</v>
      </c>
      <c r="X14" s="16">
        <f t="shared" si="12"/>
        <v>0</v>
      </c>
    </row>
    <row r="15" spans="2:24" x14ac:dyDescent="0.2">
      <c r="B15" s="17" t="s">
        <v>66</v>
      </c>
      <c r="C15" s="18">
        <f t="shared" si="2"/>
        <v>3040.6557377049185</v>
      </c>
      <c r="D15" s="18">
        <f t="shared" si="3"/>
        <v>8</v>
      </c>
      <c r="E15" s="18">
        <f t="shared" si="4"/>
        <v>380.08196721311481</v>
      </c>
      <c r="F15" s="18">
        <f t="shared" si="5"/>
        <v>18548</v>
      </c>
      <c r="G15" s="18">
        <f t="shared" si="6"/>
        <v>2318.5</v>
      </c>
      <c r="L15" s="17" t="str">
        <f t="shared" si="7"/>
        <v>Los Baristas</v>
      </c>
      <c r="M15" s="18">
        <f t="shared" si="8"/>
        <v>8</v>
      </c>
      <c r="N15" s="18">
        <f t="shared" si="10"/>
        <v>3040.6557377049185</v>
      </c>
      <c r="O15" s="18">
        <f t="shared" ref="O15:X15" si="13">O61</f>
        <v>0</v>
      </c>
      <c r="P15" s="18">
        <f t="shared" si="13"/>
        <v>0</v>
      </c>
      <c r="Q15" s="18">
        <f t="shared" si="13"/>
        <v>0</v>
      </c>
      <c r="R15" s="18">
        <f t="shared" si="13"/>
        <v>760.16393442622962</v>
      </c>
      <c r="S15" s="18">
        <f t="shared" si="13"/>
        <v>760.16393442622962</v>
      </c>
      <c r="T15" s="18">
        <f t="shared" si="13"/>
        <v>760.16393442622962</v>
      </c>
      <c r="U15" s="18">
        <f t="shared" si="13"/>
        <v>760.16393442622962</v>
      </c>
      <c r="V15" s="18">
        <f t="shared" si="13"/>
        <v>0</v>
      </c>
      <c r="W15" s="18">
        <f t="shared" si="13"/>
        <v>0</v>
      </c>
      <c r="X15" s="18">
        <f t="shared" si="13"/>
        <v>0</v>
      </c>
    </row>
    <row r="16" spans="2:24" x14ac:dyDescent="0.2">
      <c r="B16" s="9" t="s">
        <v>85</v>
      </c>
      <c r="C16" s="16">
        <f t="shared" si="2"/>
        <v>172540.98360655736</v>
      </c>
      <c r="D16" s="16">
        <f t="shared" si="3"/>
        <v>500</v>
      </c>
      <c r="E16" s="16">
        <f t="shared" si="4"/>
        <v>345.08196721311475</v>
      </c>
      <c r="F16" s="16">
        <f t="shared" si="5"/>
        <v>1052499.9999999998</v>
      </c>
      <c r="G16" s="16">
        <f t="shared" si="6"/>
        <v>2104.9999999999995</v>
      </c>
      <c r="L16" s="9" t="str">
        <f t="shared" si="7"/>
        <v>Louis Dreyfus</v>
      </c>
      <c r="M16" s="16">
        <f t="shared" si="8"/>
        <v>500</v>
      </c>
      <c r="N16" s="16">
        <f t="shared" ref="N16:X16" si="14">N64</f>
        <v>172540.98360655736</v>
      </c>
      <c r="O16" s="16">
        <f t="shared" si="14"/>
        <v>0</v>
      </c>
      <c r="P16" s="16">
        <f t="shared" si="14"/>
        <v>0</v>
      </c>
      <c r="Q16" s="16">
        <f t="shared" si="14"/>
        <v>0</v>
      </c>
      <c r="R16" s="16">
        <f t="shared" si="14"/>
        <v>172540.98360655736</v>
      </c>
      <c r="S16" s="16">
        <f t="shared" si="14"/>
        <v>0</v>
      </c>
      <c r="T16" s="16">
        <f t="shared" si="14"/>
        <v>0</v>
      </c>
      <c r="U16" s="16">
        <f t="shared" si="14"/>
        <v>0</v>
      </c>
      <c r="V16" s="16">
        <f t="shared" si="14"/>
        <v>0</v>
      </c>
      <c r="W16" s="16">
        <f t="shared" si="14"/>
        <v>0</v>
      </c>
      <c r="X16" s="16">
        <f t="shared" si="14"/>
        <v>0</v>
      </c>
    </row>
    <row r="17" spans="2:24" x14ac:dyDescent="0.2">
      <c r="B17" s="17" t="s">
        <v>102</v>
      </c>
      <c r="C17" s="18">
        <f t="shared" si="2"/>
        <v>7213.1147540983611</v>
      </c>
      <c r="D17" s="18">
        <f t="shared" si="3"/>
        <v>20</v>
      </c>
      <c r="E17" s="18">
        <f t="shared" ref="E17:E18" si="15">C17/D17</f>
        <v>360.65573770491807</v>
      </c>
      <c r="F17" s="18">
        <f t="shared" si="5"/>
        <v>44000</v>
      </c>
      <c r="G17" s="18">
        <f t="shared" ref="G17:G18" si="16">F17/D17</f>
        <v>2200</v>
      </c>
      <c r="L17" s="17" t="str">
        <f t="shared" si="7"/>
        <v>Mundo Novo Café</v>
      </c>
      <c r="M17" s="18">
        <f t="shared" si="8"/>
        <v>20</v>
      </c>
      <c r="N17" s="18">
        <f>C17</f>
        <v>7213.1147540983611</v>
      </c>
      <c r="O17" s="18">
        <f t="shared" ref="O17:X17" si="17">O66</f>
        <v>0</v>
      </c>
      <c r="P17" s="18">
        <f t="shared" si="17"/>
        <v>0</v>
      </c>
      <c r="Q17" s="18">
        <f t="shared" si="17"/>
        <v>0</v>
      </c>
      <c r="R17" s="18">
        <f t="shared" si="17"/>
        <v>3606.5573770491806</v>
      </c>
      <c r="S17" s="18">
        <f t="shared" si="17"/>
        <v>901.63934426229514</v>
      </c>
      <c r="T17" s="18">
        <f t="shared" si="17"/>
        <v>901.63934426229514</v>
      </c>
      <c r="U17" s="18">
        <f t="shared" si="17"/>
        <v>901.63934426229514</v>
      </c>
      <c r="V17" s="18">
        <f t="shared" si="17"/>
        <v>901.63934426229514</v>
      </c>
      <c r="W17" s="18">
        <f t="shared" si="17"/>
        <v>0</v>
      </c>
      <c r="X17" s="18">
        <f t="shared" si="17"/>
        <v>0</v>
      </c>
    </row>
    <row r="18" spans="2:24" x14ac:dyDescent="0.2">
      <c r="B18" s="9" t="s">
        <v>105</v>
      </c>
      <c r="C18" s="16">
        <f t="shared" si="2"/>
        <v>163934.42622950822</v>
      </c>
      <c r="D18" s="16">
        <f t="shared" si="3"/>
        <v>500</v>
      </c>
      <c r="E18" s="16">
        <f t="shared" si="15"/>
        <v>327.86885245901641</v>
      </c>
      <c r="F18" s="16">
        <f t="shared" si="5"/>
        <v>1000000</v>
      </c>
      <c r="G18" s="16">
        <f t="shared" si="16"/>
        <v>2000</v>
      </c>
      <c r="L18" s="9" t="str">
        <f t="shared" si="7"/>
        <v>Melitta</v>
      </c>
      <c r="M18" s="16">
        <f t="shared" si="8"/>
        <v>500</v>
      </c>
      <c r="N18" s="16">
        <f>C18</f>
        <v>163934.42622950822</v>
      </c>
      <c r="O18" s="16">
        <f t="shared" ref="O18:X18" si="18">O69</f>
        <v>0</v>
      </c>
      <c r="P18" s="16">
        <f t="shared" si="18"/>
        <v>0</v>
      </c>
      <c r="Q18" s="16">
        <f t="shared" si="18"/>
        <v>0</v>
      </c>
      <c r="R18" s="16">
        <f t="shared" si="18"/>
        <v>0</v>
      </c>
      <c r="S18" s="16">
        <f t="shared" si="18"/>
        <v>163934.42622950822</v>
      </c>
      <c r="T18" s="16">
        <f t="shared" si="18"/>
        <v>0</v>
      </c>
      <c r="U18" s="16">
        <f t="shared" si="18"/>
        <v>0</v>
      </c>
      <c r="V18" s="16">
        <f t="shared" si="18"/>
        <v>0</v>
      </c>
      <c r="W18" s="16">
        <f t="shared" si="18"/>
        <v>0</v>
      </c>
      <c r="X18" s="16">
        <f t="shared" si="18"/>
        <v>0</v>
      </c>
    </row>
    <row r="19" spans="2:24" x14ac:dyDescent="0.2">
      <c r="B19" s="17" t="s">
        <v>110</v>
      </c>
      <c r="C19" s="18">
        <f t="shared" si="2"/>
        <v>132160</v>
      </c>
      <c r="D19" s="18">
        <f t="shared" si="3"/>
        <v>320</v>
      </c>
      <c r="E19" s="18">
        <f t="shared" ref="E19" si="19">C19/D19</f>
        <v>413</v>
      </c>
      <c r="F19" s="18">
        <f t="shared" si="5"/>
        <v>806176</v>
      </c>
      <c r="G19" s="18">
        <f t="shared" ref="G19" si="20">F19/D19</f>
        <v>2519.3000000000002</v>
      </c>
      <c r="L19" s="17" t="str">
        <f t="shared" si="7"/>
        <v>Emporia GMBH</v>
      </c>
      <c r="M19" s="18">
        <f t="shared" si="8"/>
        <v>320</v>
      </c>
      <c r="N19" s="18">
        <f>C19</f>
        <v>132160</v>
      </c>
      <c r="O19" s="18">
        <f t="shared" ref="O19:X19" si="21">O72</f>
        <v>0</v>
      </c>
      <c r="P19" s="18">
        <f t="shared" si="21"/>
        <v>0</v>
      </c>
      <c r="Q19" s="18">
        <f t="shared" si="21"/>
        <v>0</v>
      </c>
      <c r="R19" s="18">
        <f t="shared" si="21"/>
        <v>0</v>
      </c>
      <c r="S19" s="18">
        <f t="shared" si="21"/>
        <v>0</v>
      </c>
      <c r="T19" s="18">
        <f t="shared" si="21"/>
        <v>0</v>
      </c>
      <c r="U19" s="18">
        <f t="shared" si="21"/>
        <v>132160</v>
      </c>
      <c r="V19" s="18">
        <f t="shared" si="21"/>
        <v>0</v>
      </c>
      <c r="W19" s="18">
        <f t="shared" si="21"/>
        <v>0</v>
      </c>
      <c r="X19" s="18">
        <f t="shared" si="21"/>
        <v>0</v>
      </c>
    </row>
    <row r="20" spans="2:24" x14ac:dyDescent="0.2">
      <c r="B20" s="3" t="s">
        <v>64</v>
      </c>
      <c r="C20" s="7">
        <f>SUM(C12:C19)</f>
        <v>2502003.5931278691</v>
      </c>
      <c r="D20" s="7">
        <f>SUM(D12:D19)</f>
        <v>6148</v>
      </c>
      <c r="E20" s="4">
        <f>C20/D20</f>
        <v>406.96219797135149</v>
      </c>
      <c r="F20" s="39">
        <f>SUM(F12:F19)</f>
        <v>15262221.91808</v>
      </c>
      <c r="G20" s="46">
        <f>F20/D20</f>
        <v>2482.469407625244</v>
      </c>
      <c r="L20" s="3" t="str">
        <f t="shared" si="7"/>
        <v>Vendas Contratadas</v>
      </c>
      <c r="M20" s="7">
        <f>SUM(M12:M19)</f>
        <v>6148</v>
      </c>
      <c r="N20" s="7">
        <f t="shared" ref="N20:X20" si="22">SUM(N12:N19)</f>
        <v>2502003.5931278686</v>
      </c>
      <c r="O20" s="7">
        <f t="shared" si="22"/>
        <v>0</v>
      </c>
      <c r="P20" s="7">
        <f t="shared" si="22"/>
        <v>0</v>
      </c>
      <c r="Q20" s="7">
        <f t="shared" si="22"/>
        <v>0</v>
      </c>
      <c r="R20" s="7">
        <f t="shared" si="22"/>
        <v>668808.44731803285</v>
      </c>
      <c r="S20" s="7">
        <f t="shared" si="22"/>
        <v>263418.97830819676</v>
      </c>
      <c r="T20" s="7">
        <f t="shared" si="22"/>
        <v>283733.76167868852</v>
      </c>
      <c r="U20" s="7">
        <f t="shared" si="22"/>
        <v>869952.79847868858</v>
      </c>
      <c r="V20" s="7">
        <f t="shared" si="22"/>
        <v>239650.2089442623</v>
      </c>
      <c r="W20" s="7">
        <f t="shared" si="22"/>
        <v>176439.39840000001</v>
      </c>
      <c r="X20" s="7">
        <f t="shared" si="22"/>
        <v>0</v>
      </c>
    </row>
    <row r="21" spans="2:24" x14ac:dyDescent="0.2">
      <c r="B21" s="17" t="s">
        <v>30</v>
      </c>
      <c r="C21" s="18">
        <f>SUMIFS(N$35:N$90,$B$35:$B$90,B21)</f>
        <v>733096.15684000007</v>
      </c>
      <c r="D21" s="18">
        <f>SUMIFS(D$35:D$90,$B$35:$B$90,B21)</f>
        <v>2098</v>
      </c>
      <c r="E21" s="18">
        <f t="shared" si="4"/>
        <v>349.42619487130605</v>
      </c>
      <c r="F21" s="18">
        <f>C21*$G$9</f>
        <v>4471886.5567239998</v>
      </c>
      <c r="G21" s="18">
        <f t="shared" si="6"/>
        <v>2131.4997887149666</v>
      </c>
      <c r="K21" s="61" t="s">
        <v>39</v>
      </c>
      <c r="L21" s="47" t="s">
        <v>64</v>
      </c>
      <c r="M21" s="19">
        <f>M20</f>
        <v>6148</v>
      </c>
      <c r="N21" s="19">
        <f>N20*$G$9</f>
        <v>15262221.918079998</v>
      </c>
      <c r="O21" s="19">
        <f t="shared" ref="O21:X21" si="23">O20*$G$9</f>
        <v>0</v>
      </c>
      <c r="P21" s="19">
        <f t="shared" si="23"/>
        <v>0</v>
      </c>
      <c r="Q21" s="19">
        <f t="shared" si="23"/>
        <v>0</v>
      </c>
      <c r="R21" s="19">
        <f t="shared" si="23"/>
        <v>4079731.5286400001</v>
      </c>
      <c r="S21" s="19">
        <f t="shared" si="23"/>
        <v>1606855.76768</v>
      </c>
      <c r="T21" s="19">
        <f t="shared" si="23"/>
        <v>1730775.94624</v>
      </c>
      <c r="U21" s="19">
        <f t="shared" si="23"/>
        <v>5306712.0707200002</v>
      </c>
      <c r="V21" s="19">
        <f t="shared" si="23"/>
        <v>1461866.2745599998</v>
      </c>
      <c r="W21" s="19">
        <f t="shared" si="23"/>
        <v>1076280.33024</v>
      </c>
      <c r="X21" s="19">
        <f t="shared" si="23"/>
        <v>0</v>
      </c>
    </row>
    <row r="22" spans="2:24" x14ac:dyDescent="0.2">
      <c r="B22" s="3" t="s">
        <v>33</v>
      </c>
      <c r="C22" s="7">
        <f>C20+C21</f>
        <v>3235099.7499678694</v>
      </c>
      <c r="D22" s="7">
        <f>D20+D21</f>
        <v>8246</v>
      </c>
      <c r="E22" s="7">
        <f>C22/D22</f>
        <v>392.32352049088882</v>
      </c>
      <c r="F22" s="39">
        <f t="shared" ref="F22" si="24">F20+F21</f>
        <v>19734108.474803999</v>
      </c>
      <c r="G22" s="39">
        <f t="shared" si="6"/>
        <v>2393.1734749944212</v>
      </c>
      <c r="K22" s="61"/>
      <c r="L22" s="17" t="str">
        <f>B21</f>
        <v>Estimativa</v>
      </c>
      <c r="M22" s="18">
        <f>D21</f>
        <v>2098</v>
      </c>
      <c r="N22" s="18">
        <f t="shared" ref="N22:X22" si="25">N91</f>
        <v>733096.15684000007</v>
      </c>
      <c r="O22" s="18">
        <f t="shared" si="25"/>
        <v>0</v>
      </c>
      <c r="P22" s="18">
        <f t="shared" si="25"/>
        <v>0</v>
      </c>
      <c r="Q22" s="18">
        <f t="shared" si="25"/>
        <v>0</v>
      </c>
      <c r="R22" s="18">
        <f t="shared" si="25"/>
        <v>727503.09388000006</v>
      </c>
      <c r="S22" s="18">
        <f t="shared" si="25"/>
        <v>0</v>
      </c>
      <c r="T22" s="18">
        <f t="shared" si="25"/>
        <v>0</v>
      </c>
      <c r="U22" s="18">
        <f t="shared" si="25"/>
        <v>0</v>
      </c>
      <c r="V22" s="18">
        <f t="shared" si="25"/>
        <v>0</v>
      </c>
      <c r="W22" s="18">
        <f t="shared" si="25"/>
        <v>0</v>
      </c>
      <c r="X22" s="18">
        <f t="shared" si="25"/>
        <v>0</v>
      </c>
    </row>
    <row r="23" spans="2:24" x14ac:dyDescent="0.2">
      <c r="B23" s="9" t="s">
        <v>55</v>
      </c>
      <c r="C23" s="36">
        <f>N105+N115</f>
        <v>-3318906.5708997557</v>
      </c>
      <c r="D23" s="16"/>
      <c r="E23" s="16"/>
      <c r="F23" s="16"/>
      <c r="H23" s="16"/>
      <c r="K23" s="61"/>
      <c r="L23" s="3" t="str">
        <f>B22</f>
        <v>TOTAL</v>
      </c>
      <c r="M23" s="7">
        <f>D22</f>
        <v>8246</v>
      </c>
      <c r="N23" s="7">
        <f t="shared" ref="N23:X23" si="26">N20+N22</f>
        <v>3235099.7499678684</v>
      </c>
      <c r="O23" s="7">
        <f t="shared" si="26"/>
        <v>0</v>
      </c>
      <c r="P23" s="7">
        <f t="shared" si="26"/>
        <v>0</v>
      </c>
      <c r="Q23" s="7">
        <f t="shared" si="26"/>
        <v>0</v>
      </c>
      <c r="R23" s="7">
        <f t="shared" si="26"/>
        <v>1396311.5411980329</v>
      </c>
      <c r="S23" s="7">
        <f t="shared" si="26"/>
        <v>263418.97830819676</v>
      </c>
      <c r="T23" s="7">
        <f t="shared" si="26"/>
        <v>283733.76167868852</v>
      </c>
      <c r="U23" s="7">
        <f t="shared" si="26"/>
        <v>869952.79847868858</v>
      </c>
      <c r="V23" s="7">
        <f t="shared" si="26"/>
        <v>239650.2089442623</v>
      </c>
      <c r="W23" s="7">
        <f t="shared" si="26"/>
        <v>176439.39840000001</v>
      </c>
      <c r="X23" s="7">
        <f t="shared" si="26"/>
        <v>0</v>
      </c>
    </row>
    <row r="24" spans="2:24" x14ac:dyDescent="0.2">
      <c r="B24" s="1" t="s">
        <v>54</v>
      </c>
      <c r="C24" s="32">
        <f>C22+C23</f>
        <v>-83806.820931886323</v>
      </c>
      <c r="K24" s="61" t="s">
        <v>39</v>
      </c>
      <c r="L24" s="47" t="s">
        <v>33</v>
      </c>
      <c r="M24" s="19">
        <f>M23</f>
        <v>8246</v>
      </c>
      <c r="N24" s="19">
        <f t="shared" ref="N24:X24" si="27">N23*$G$9</f>
        <v>19734108.474803995</v>
      </c>
      <c r="O24" s="19">
        <f t="shared" si="27"/>
        <v>0</v>
      </c>
      <c r="P24" s="19">
        <f t="shared" si="27"/>
        <v>0</v>
      </c>
      <c r="Q24" s="19">
        <f t="shared" si="27"/>
        <v>0</v>
      </c>
      <c r="R24" s="19">
        <f t="shared" si="27"/>
        <v>8517500.4013080001</v>
      </c>
      <c r="S24" s="19">
        <f t="shared" si="27"/>
        <v>1606855.76768</v>
      </c>
      <c r="T24" s="19">
        <f t="shared" si="27"/>
        <v>1730775.94624</v>
      </c>
      <c r="U24" s="19">
        <f t="shared" si="27"/>
        <v>5306712.0707200002</v>
      </c>
      <c r="V24" s="19">
        <f t="shared" si="27"/>
        <v>1461866.2745599998</v>
      </c>
      <c r="W24" s="19">
        <f t="shared" si="27"/>
        <v>1076280.33024</v>
      </c>
      <c r="X24" s="19">
        <f t="shared" si="27"/>
        <v>0</v>
      </c>
    </row>
    <row r="25" spans="2:24" x14ac:dyDescent="0.2">
      <c r="B25" s="1"/>
      <c r="C25" s="32"/>
      <c r="D25" s="32"/>
      <c r="E25" s="32"/>
      <c r="F25" s="32"/>
      <c r="G25" s="32"/>
      <c r="H25" s="32"/>
      <c r="K25" s="61"/>
      <c r="L25" s="32"/>
      <c r="M25" s="1"/>
    </row>
    <row r="26" spans="2:24" x14ac:dyDescent="0.2">
      <c r="B26" s="1"/>
      <c r="C26" s="32"/>
      <c r="D26" s="32"/>
      <c r="E26" s="32"/>
      <c r="F26" s="32"/>
      <c r="G26" s="32"/>
      <c r="H26" s="32"/>
      <c r="K26" s="61" t="s">
        <v>112</v>
      </c>
      <c r="L26" s="54" t="s">
        <v>114</v>
      </c>
      <c r="M26" s="55">
        <f>-D105</f>
        <v>-11694.374999999998</v>
      </c>
      <c r="N26" s="55">
        <f>N105</f>
        <v>-1343963.0331520159</v>
      </c>
      <c r="O26" s="55">
        <f t="shared" ref="O26:X26" si="28">O105</f>
        <v>0</v>
      </c>
      <c r="P26" s="55">
        <f t="shared" si="28"/>
        <v>0</v>
      </c>
      <c r="Q26" s="55">
        <f t="shared" si="28"/>
        <v>-1215373.406861166</v>
      </c>
      <c r="R26" s="55">
        <f t="shared" si="28"/>
        <v>0</v>
      </c>
      <c r="S26" s="55">
        <f t="shared" si="28"/>
        <v>0</v>
      </c>
      <c r="T26" s="55">
        <f t="shared" si="28"/>
        <v>0</v>
      </c>
      <c r="U26" s="55">
        <f t="shared" si="28"/>
        <v>0</v>
      </c>
      <c r="V26" s="55">
        <f t="shared" si="28"/>
        <v>0</v>
      </c>
      <c r="W26" s="55">
        <f t="shared" si="28"/>
        <v>0</v>
      </c>
      <c r="X26" s="55">
        <f t="shared" si="28"/>
        <v>0</v>
      </c>
    </row>
    <row r="27" spans="2:24" x14ac:dyDescent="0.2">
      <c r="B27" s="1"/>
      <c r="C27" s="32"/>
      <c r="D27" s="32"/>
      <c r="E27" s="32"/>
      <c r="F27" s="32"/>
      <c r="G27" s="32"/>
      <c r="H27" s="32"/>
      <c r="K27" s="61"/>
      <c r="L27" s="51" t="s">
        <v>115</v>
      </c>
      <c r="M27" s="52">
        <f>-D115</f>
        <v>-12250.035</v>
      </c>
      <c r="N27" s="52">
        <f>N115</f>
        <v>-1974943.5377477398</v>
      </c>
      <c r="O27" s="52">
        <f t="shared" ref="O27:X27" si="29">O115</f>
        <v>0</v>
      </c>
      <c r="P27" s="52">
        <f t="shared" si="29"/>
        <v>0</v>
      </c>
      <c r="Q27" s="52">
        <f t="shared" si="29"/>
        <v>0</v>
      </c>
      <c r="R27" s="52">
        <f t="shared" si="29"/>
        <v>0</v>
      </c>
      <c r="S27" s="52">
        <f t="shared" si="29"/>
        <v>0</v>
      </c>
      <c r="T27" s="52">
        <f t="shared" si="29"/>
        <v>-287249.50789289991</v>
      </c>
      <c r="U27" s="52">
        <f t="shared" si="29"/>
        <v>0</v>
      </c>
      <c r="V27" s="52">
        <f t="shared" si="29"/>
        <v>-88719.564759840025</v>
      </c>
      <c r="W27" s="52">
        <f t="shared" si="29"/>
        <v>0</v>
      </c>
      <c r="X27" s="52">
        <f t="shared" si="29"/>
        <v>-1598974.4650949999</v>
      </c>
    </row>
    <row r="28" spans="2:24" x14ac:dyDescent="0.2">
      <c r="B28" s="1"/>
      <c r="C28" s="32"/>
      <c r="D28" s="32"/>
      <c r="E28" s="32"/>
      <c r="F28" s="32"/>
      <c r="G28" s="32"/>
      <c r="H28" s="32"/>
      <c r="K28" s="11"/>
    </row>
    <row r="29" spans="2:24" x14ac:dyDescent="0.2">
      <c r="B29" s="1"/>
      <c r="C29" s="32"/>
      <c r="D29" s="32"/>
      <c r="E29" s="32"/>
      <c r="F29" s="32"/>
      <c r="G29" s="32"/>
      <c r="H29" s="32"/>
      <c r="I29" s="53"/>
      <c r="K29" s="61"/>
      <c r="L29" s="56" t="s">
        <v>113</v>
      </c>
      <c r="M29" s="57">
        <f>M23+M26+M27</f>
        <v>-15698.409999999998</v>
      </c>
      <c r="N29" s="57">
        <f t="shared" ref="N29:X29" si="30">N23+N26+N27</f>
        <v>-83806.820931887254</v>
      </c>
      <c r="O29" s="57">
        <f t="shared" si="30"/>
        <v>0</v>
      </c>
      <c r="P29" s="57">
        <f t="shared" si="30"/>
        <v>0</v>
      </c>
      <c r="Q29" s="57">
        <f t="shared" si="30"/>
        <v>-1215373.406861166</v>
      </c>
      <c r="R29" s="57">
        <f t="shared" si="30"/>
        <v>1396311.5411980329</v>
      </c>
      <c r="S29" s="57">
        <f t="shared" si="30"/>
        <v>263418.97830819676</v>
      </c>
      <c r="T29" s="57">
        <f t="shared" si="30"/>
        <v>-3515.7462142113945</v>
      </c>
      <c r="U29" s="57">
        <f t="shared" si="30"/>
        <v>869952.79847868858</v>
      </c>
      <c r="V29" s="57">
        <f t="shared" si="30"/>
        <v>150930.64418442227</v>
      </c>
      <c r="W29" s="57">
        <f t="shared" si="30"/>
        <v>176439.39840000001</v>
      </c>
      <c r="X29" s="57">
        <f t="shared" si="30"/>
        <v>-1598974.4650949999</v>
      </c>
    </row>
    <row r="30" spans="2:24" x14ac:dyDescent="0.2">
      <c r="B30" s="1"/>
      <c r="C30" s="32"/>
      <c r="D30" s="32"/>
      <c r="E30" s="32"/>
      <c r="F30" s="32"/>
      <c r="G30" s="32"/>
      <c r="H30" s="32"/>
      <c r="I30" s="53"/>
      <c r="K30" s="61" t="s">
        <v>39</v>
      </c>
      <c r="L30" s="58" t="s">
        <v>33</v>
      </c>
      <c r="M30" s="59">
        <f>M29</f>
        <v>-15698.409999999998</v>
      </c>
      <c r="N30" s="59">
        <f>N29*$G$9</f>
        <v>-511221.60768451222</v>
      </c>
      <c r="O30" s="59">
        <f t="shared" ref="O30:X30" si="31">O29*$G$9</f>
        <v>0</v>
      </c>
      <c r="P30" s="59">
        <f t="shared" si="31"/>
        <v>0</v>
      </c>
      <c r="Q30" s="59">
        <f t="shared" si="31"/>
        <v>-7413777.7818531124</v>
      </c>
      <c r="R30" s="59">
        <f t="shared" si="31"/>
        <v>8517500.4013080001</v>
      </c>
      <c r="S30" s="59">
        <f t="shared" si="31"/>
        <v>1606855.76768</v>
      </c>
      <c r="T30" s="59">
        <f t="shared" si="31"/>
        <v>-21446.051906689507</v>
      </c>
      <c r="U30" s="59">
        <f t="shared" si="31"/>
        <v>5306712.0707200002</v>
      </c>
      <c r="V30" s="59">
        <f t="shared" si="31"/>
        <v>920676.92952497583</v>
      </c>
      <c r="W30" s="59">
        <f t="shared" si="31"/>
        <v>1076280.33024</v>
      </c>
      <c r="X30" s="59">
        <f t="shared" si="31"/>
        <v>-9753744.2370794993</v>
      </c>
    </row>
    <row r="31" spans="2:24" x14ac:dyDescent="0.2">
      <c r="B31" s="1"/>
      <c r="C31" s="32"/>
      <c r="D31" s="32"/>
      <c r="E31" s="32"/>
      <c r="F31" s="32"/>
      <c r="G31" s="32"/>
      <c r="H31" s="32"/>
      <c r="I31" s="53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32"/>
      <c r="X31" s="32"/>
    </row>
    <row r="32" spans="2:24" x14ac:dyDescent="0.2">
      <c r="B32" s="1"/>
      <c r="C32" s="32"/>
      <c r="D32" s="32"/>
      <c r="E32" s="32"/>
      <c r="F32" s="32"/>
      <c r="G32" s="32"/>
      <c r="H32" s="32"/>
      <c r="J32" s="32"/>
      <c r="K32" s="1"/>
      <c r="M32" s="1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spans="2:25" x14ac:dyDescent="0.2">
      <c r="B33" s="40" t="s">
        <v>56</v>
      </c>
      <c r="C33" s="42"/>
      <c r="D33" s="42"/>
      <c r="E33" s="42"/>
      <c r="F33" s="42"/>
      <c r="G33" s="42"/>
      <c r="H33" s="42"/>
      <c r="I33" s="41"/>
      <c r="J33" s="42"/>
    </row>
    <row r="34" spans="2:25" x14ac:dyDescent="0.2">
      <c r="J34" s="30">
        <v>1.3228</v>
      </c>
    </row>
    <row r="35" spans="2:25" x14ac:dyDescent="0.2">
      <c r="B35" s="14" t="s">
        <v>16</v>
      </c>
      <c r="C35" s="14" t="s">
        <v>15</v>
      </c>
      <c r="D35" s="8" t="s">
        <v>14</v>
      </c>
      <c r="E35" s="8" t="s">
        <v>87</v>
      </c>
      <c r="F35" s="8" t="s">
        <v>88</v>
      </c>
      <c r="G35" s="8" t="s">
        <v>13</v>
      </c>
      <c r="H35" s="8" t="s">
        <v>22</v>
      </c>
      <c r="I35" s="8" t="s">
        <v>17</v>
      </c>
      <c r="J35" s="8" t="s">
        <v>18</v>
      </c>
      <c r="K35" s="8" t="s">
        <v>62</v>
      </c>
      <c r="L35" s="8" t="s">
        <v>20</v>
      </c>
      <c r="M35" s="8" t="s">
        <v>21</v>
      </c>
      <c r="N35" s="31" t="s">
        <v>19</v>
      </c>
      <c r="O35" s="15">
        <v>45536</v>
      </c>
      <c r="P35" s="15">
        <v>45566</v>
      </c>
      <c r="Q35" s="15">
        <v>45597</v>
      </c>
      <c r="R35" s="15">
        <v>45627</v>
      </c>
      <c r="S35" s="15">
        <v>45658</v>
      </c>
      <c r="T35" s="15">
        <v>45689</v>
      </c>
      <c r="U35" s="15">
        <v>45717</v>
      </c>
      <c r="V35" s="15">
        <v>45748</v>
      </c>
      <c r="W35" s="15">
        <v>45778</v>
      </c>
      <c r="X35" s="31" t="s">
        <v>31</v>
      </c>
      <c r="Y35" s="43"/>
    </row>
    <row r="36" spans="2:25" x14ac:dyDescent="0.2">
      <c r="B36" s="9" t="s">
        <v>1</v>
      </c>
      <c r="C36" s="11" t="s">
        <v>12</v>
      </c>
      <c r="D36" s="11">
        <v>320</v>
      </c>
      <c r="E36" s="11" t="s">
        <v>73</v>
      </c>
      <c r="F36" s="11" t="s">
        <v>91</v>
      </c>
      <c r="G36" s="11">
        <v>10</v>
      </c>
      <c r="H36" s="13">
        <v>251.05</v>
      </c>
      <c r="I36" s="13">
        <v>245</v>
      </c>
      <c r="J36" s="13">
        <f t="shared" ref="J36:J49" si="32">IF(K36="preço",(H36+G36)*$J$34,(I36+G36)*$J$34)</f>
        <v>345.31693999999999</v>
      </c>
      <c r="K36" s="11" t="s">
        <v>63</v>
      </c>
      <c r="L36" s="20">
        <v>45564</v>
      </c>
      <c r="M36" s="11">
        <v>60</v>
      </c>
      <c r="N36" s="16">
        <f>J36*D36</f>
        <v>110501.42079999999</v>
      </c>
      <c r="O36" s="16"/>
      <c r="P36" s="16"/>
      <c r="Q36" s="16"/>
      <c r="R36" s="16">
        <f>N36</f>
        <v>110501.42079999999</v>
      </c>
      <c r="S36" s="16"/>
      <c r="T36" s="16"/>
      <c r="U36" s="16"/>
      <c r="V36" s="16"/>
      <c r="W36" s="16"/>
      <c r="X36" s="16"/>
      <c r="Y36" s="44"/>
    </row>
    <row r="37" spans="2:25" x14ac:dyDescent="0.2">
      <c r="B37" s="17" t="s">
        <v>1</v>
      </c>
      <c r="C37" s="22" t="s">
        <v>11</v>
      </c>
      <c r="D37" s="22">
        <v>320</v>
      </c>
      <c r="E37" s="22" t="s">
        <v>73</v>
      </c>
      <c r="F37" s="22" t="s">
        <v>91</v>
      </c>
      <c r="G37" s="22">
        <v>10</v>
      </c>
      <c r="H37" s="23">
        <v>251.05</v>
      </c>
      <c r="I37" s="23">
        <v>245</v>
      </c>
      <c r="J37" s="23">
        <f t="shared" si="32"/>
        <v>345.31693999999999</v>
      </c>
      <c r="K37" s="22" t="s">
        <v>63</v>
      </c>
      <c r="L37" s="24">
        <v>45564</v>
      </c>
      <c r="M37" s="22">
        <v>60</v>
      </c>
      <c r="N37" s="18">
        <f t="shared" ref="N37:N49" si="33">J37*D37</f>
        <v>110501.42079999999</v>
      </c>
      <c r="O37" s="18"/>
      <c r="P37" s="18"/>
      <c r="Q37" s="18"/>
      <c r="R37" s="18">
        <f>N37</f>
        <v>110501.42079999999</v>
      </c>
      <c r="S37" s="18"/>
      <c r="T37" s="18"/>
      <c r="U37" s="18"/>
      <c r="V37" s="18"/>
      <c r="W37" s="18"/>
      <c r="X37" s="18"/>
      <c r="Y37" s="44"/>
    </row>
    <row r="38" spans="2:25" x14ac:dyDescent="0.2">
      <c r="B38" s="9" t="s">
        <v>1</v>
      </c>
      <c r="C38" s="11" t="s">
        <v>10</v>
      </c>
      <c r="D38" s="11">
        <v>320</v>
      </c>
      <c r="E38" s="11" t="s">
        <v>73</v>
      </c>
      <c r="F38" s="11" t="s">
        <v>92</v>
      </c>
      <c r="G38" s="11">
        <v>10</v>
      </c>
      <c r="H38" s="13">
        <v>251.05</v>
      </c>
      <c r="I38" s="13">
        <v>231.1</v>
      </c>
      <c r="J38" s="13">
        <f t="shared" si="32"/>
        <v>345.31693999999999</v>
      </c>
      <c r="K38" s="11" t="s">
        <v>63</v>
      </c>
      <c r="L38" s="20">
        <v>45564</v>
      </c>
      <c r="M38" s="11">
        <v>60</v>
      </c>
      <c r="N38" s="16">
        <f t="shared" si="33"/>
        <v>110501.42079999999</v>
      </c>
      <c r="O38" s="16"/>
      <c r="P38" s="16"/>
      <c r="Q38" s="16"/>
      <c r="R38" s="16">
        <f>N38</f>
        <v>110501.42079999999</v>
      </c>
      <c r="S38" s="16"/>
      <c r="T38" s="16"/>
      <c r="U38" s="16"/>
      <c r="V38" s="16"/>
      <c r="W38" s="16"/>
      <c r="X38" s="16"/>
      <c r="Y38" s="44"/>
    </row>
    <row r="39" spans="2:25" x14ac:dyDescent="0.2">
      <c r="B39" s="17" t="s">
        <v>1</v>
      </c>
      <c r="C39" s="22" t="s">
        <v>5</v>
      </c>
      <c r="D39" s="22">
        <v>160</v>
      </c>
      <c r="E39" s="22" t="s">
        <v>73</v>
      </c>
      <c r="F39" s="22" t="s">
        <v>93</v>
      </c>
      <c r="G39" s="22">
        <v>25</v>
      </c>
      <c r="H39" s="23">
        <f>C5</f>
        <v>347.35</v>
      </c>
      <c r="I39" s="23">
        <v>243.16</v>
      </c>
      <c r="J39" s="23">
        <f t="shared" si="32"/>
        <v>492.54458</v>
      </c>
      <c r="K39" s="22" t="s">
        <v>63</v>
      </c>
      <c r="L39" s="24">
        <v>45598</v>
      </c>
      <c r="M39" s="22">
        <v>90</v>
      </c>
      <c r="N39" s="18">
        <f t="shared" si="33"/>
        <v>78807.132799999992</v>
      </c>
      <c r="O39" s="18"/>
      <c r="P39" s="18"/>
      <c r="Q39" s="18"/>
      <c r="R39" s="18"/>
      <c r="S39" s="18"/>
      <c r="T39" s="18">
        <f>N39</f>
        <v>78807.132799999992</v>
      </c>
      <c r="U39" s="18"/>
      <c r="V39" s="18"/>
      <c r="W39" s="18"/>
      <c r="X39" s="18"/>
      <c r="Y39" s="44"/>
    </row>
    <row r="40" spans="2:25" x14ac:dyDescent="0.2">
      <c r="B40" s="9" t="s">
        <v>1</v>
      </c>
      <c r="C40" s="11" t="s">
        <v>4</v>
      </c>
      <c r="D40" s="11">
        <v>160</v>
      </c>
      <c r="E40" s="11" t="s">
        <v>74</v>
      </c>
      <c r="F40" s="11" t="s">
        <v>94</v>
      </c>
      <c r="G40" s="11">
        <v>-8</v>
      </c>
      <c r="H40" s="13">
        <f>C5</f>
        <v>347.35</v>
      </c>
      <c r="I40" s="13">
        <v>243.16</v>
      </c>
      <c r="J40" s="13">
        <f t="shared" si="32"/>
        <v>448.89218</v>
      </c>
      <c r="K40" s="11" t="s">
        <v>63</v>
      </c>
      <c r="L40" s="20">
        <v>45598</v>
      </c>
      <c r="M40" s="11">
        <v>60</v>
      </c>
      <c r="N40" s="16">
        <f t="shared" si="33"/>
        <v>71822.748800000001</v>
      </c>
      <c r="O40" s="16"/>
      <c r="P40" s="16"/>
      <c r="Q40" s="16"/>
      <c r="R40" s="16"/>
      <c r="S40" s="16">
        <f>N40</f>
        <v>71822.748800000001</v>
      </c>
      <c r="T40" s="16"/>
      <c r="U40" s="16"/>
      <c r="V40" s="16"/>
      <c r="W40" s="16"/>
      <c r="X40" s="16"/>
      <c r="Y40" s="44"/>
    </row>
    <row r="41" spans="2:25" x14ac:dyDescent="0.2">
      <c r="B41" s="17" t="s">
        <v>1</v>
      </c>
      <c r="C41" s="22" t="s">
        <v>9</v>
      </c>
      <c r="D41" s="22">
        <v>320</v>
      </c>
      <c r="E41" s="22" t="s">
        <v>73</v>
      </c>
      <c r="F41" s="22" t="s">
        <v>94</v>
      </c>
      <c r="G41" s="22">
        <v>10</v>
      </c>
      <c r="H41" s="23">
        <f>C5</f>
        <v>347.35</v>
      </c>
      <c r="I41" s="23">
        <v>240.91</v>
      </c>
      <c r="J41" s="23">
        <f t="shared" si="32"/>
        <v>472.70258000000001</v>
      </c>
      <c r="K41" s="22" t="s">
        <v>63</v>
      </c>
      <c r="L41" s="24">
        <v>45630</v>
      </c>
      <c r="M41" s="22">
        <v>60</v>
      </c>
      <c r="N41" s="18">
        <f t="shared" si="33"/>
        <v>151264.82560000001</v>
      </c>
      <c r="O41" s="18"/>
      <c r="P41" s="18"/>
      <c r="Q41" s="18"/>
      <c r="R41" s="18"/>
      <c r="S41" s="18"/>
      <c r="T41" s="18">
        <f>N41</f>
        <v>151264.82560000001</v>
      </c>
      <c r="U41" s="18"/>
      <c r="V41" s="18"/>
      <c r="W41" s="18"/>
      <c r="X41" s="18"/>
      <c r="Y41" s="44"/>
    </row>
    <row r="42" spans="2:25" x14ac:dyDescent="0.2">
      <c r="B42" s="9" t="s">
        <v>1</v>
      </c>
      <c r="C42" s="11" t="s">
        <v>8</v>
      </c>
      <c r="D42" s="11">
        <v>320</v>
      </c>
      <c r="E42" s="11" t="s">
        <v>73</v>
      </c>
      <c r="F42" s="11" t="s">
        <v>95</v>
      </c>
      <c r="G42" s="11">
        <v>50</v>
      </c>
      <c r="H42" s="13">
        <f>C5</f>
        <v>347.35</v>
      </c>
      <c r="I42" s="13">
        <v>240.91</v>
      </c>
      <c r="J42" s="13">
        <f t="shared" si="32"/>
        <v>525.61458000000005</v>
      </c>
      <c r="K42" s="11" t="s">
        <v>63</v>
      </c>
      <c r="L42" s="20">
        <f>L41</f>
        <v>45630</v>
      </c>
      <c r="M42" s="11">
        <v>90</v>
      </c>
      <c r="N42" s="16">
        <f t="shared" si="33"/>
        <v>168196.66560000001</v>
      </c>
      <c r="O42" s="16"/>
      <c r="P42" s="16"/>
      <c r="Q42" s="16"/>
      <c r="R42" s="16"/>
      <c r="S42" s="16"/>
      <c r="T42" s="16"/>
      <c r="U42" s="16">
        <f>N42</f>
        <v>168196.66560000001</v>
      </c>
      <c r="V42" s="16"/>
      <c r="W42" s="16"/>
      <c r="X42" s="16"/>
      <c r="Y42" s="44"/>
    </row>
    <row r="43" spans="2:25" x14ac:dyDescent="0.2">
      <c r="B43" s="17" t="s">
        <v>1</v>
      </c>
      <c r="C43" s="22" t="s">
        <v>7</v>
      </c>
      <c r="D43" s="22">
        <v>320</v>
      </c>
      <c r="E43" s="22" t="s">
        <v>74</v>
      </c>
      <c r="F43" s="22" t="s">
        <v>96</v>
      </c>
      <c r="G43" s="22">
        <v>-8</v>
      </c>
      <c r="H43" s="23">
        <f>C5</f>
        <v>347.35</v>
      </c>
      <c r="I43" s="23">
        <v>240.91</v>
      </c>
      <c r="J43" s="23">
        <f t="shared" si="32"/>
        <v>448.89218</v>
      </c>
      <c r="K43" s="22" t="s">
        <v>63</v>
      </c>
      <c r="L43" s="24">
        <f>L42</f>
        <v>45630</v>
      </c>
      <c r="M43" s="22">
        <v>90</v>
      </c>
      <c r="N43" s="18">
        <f t="shared" si="33"/>
        <v>143645.4976</v>
      </c>
      <c r="O43" s="18"/>
      <c r="P43" s="18"/>
      <c r="Q43" s="18"/>
      <c r="R43" s="18"/>
      <c r="S43" s="18"/>
      <c r="T43" s="18"/>
      <c r="U43" s="18">
        <f>N43</f>
        <v>143645.4976</v>
      </c>
      <c r="V43" s="18"/>
      <c r="W43" s="18"/>
      <c r="X43" s="18"/>
      <c r="Y43" s="44"/>
    </row>
    <row r="44" spans="2:25" x14ac:dyDescent="0.2">
      <c r="B44" s="9" t="s">
        <v>1</v>
      </c>
      <c r="C44" s="11" t="s">
        <v>5</v>
      </c>
      <c r="D44" s="11">
        <v>160</v>
      </c>
      <c r="E44" s="11" t="s">
        <v>73</v>
      </c>
      <c r="F44" s="11" t="s">
        <v>93</v>
      </c>
      <c r="G44" s="11">
        <v>25</v>
      </c>
      <c r="H44" s="13">
        <f>C6</f>
        <v>345.4</v>
      </c>
      <c r="I44" s="13"/>
      <c r="J44" s="13">
        <f t="shared" si="32"/>
        <v>489.96511999999996</v>
      </c>
      <c r="K44" s="11" t="s">
        <v>63</v>
      </c>
      <c r="L44" s="20">
        <v>45687</v>
      </c>
      <c r="M44" s="11">
        <v>90</v>
      </c>
      <c r="N44" s="16">
        <f t="shared" si="33"/>
        <v>78394.419199999989</v>
      </c>
      <c r="O44" s="16"/>
      <c r="P44" s="16"/>
      <c r="Q44" s="16"/>
      <c r="R44" s="16"/>
      <c r="S44" s="16"/>
      <c r="T44" s="16"/>
      <c r="U44" s="16"/>
      <c r="V44" s="16">
        <f>N44</f>
        <v>78394.419199999989</v>
      </c>
      <c r="W44" s="16"/>
      <c r="X44" s="16"/>
      <c r="Y44" s="44"/>
    </row>
    <row r="45" spans="2:25" x14ac:dyDescent="0.2">
      <c r="B45" s="17" t="s">
        <v>1</v>
      </c>
      <c r="C45" s="22" t="s">
        <v>4</v>
      </c>
      <c r="D45" s="22">
        <v>160</v>
      </c>
      <c r="E45" s="22" t="s">
        <v>73</v>
      </c>
      <c r="F45" s="22" t="s">
        <v>94</v>
      </c>
      <c r="G45" s="22">
        <v>-8</v>
      </c>
      <c r="H45" s="23">
        <f>C6</f>
        <v>345.4</v>
      </c>
      <c r="I45" s="23"/>
      <c r="J45" s="23">
        <f t="shared" si="32"/>
        <v>446.31271999999996</v>
      </c>
      <c r="K45" s="22" t="s">
        <v>63</v>
      </c>
      <c r="L45" s="24">
        <v>45687</v>
      </c>
      <c r="M45" s="22">
        <v>60</v>
      </c>
      <c r="N45" s="18">
        <f t="shared" si="33"/>
        <v>71410.035199999998</v>
      </c>
      <c r="O45" s="18"/>
      <c r="P45" s="18"/>
      <c r="Q45" s="18"/>
      <c r="R45" s="18"/>
      <c r="S45" s="18"/>
      <c r="T45" s="18"/>
      <c r="U45" s="18">
        <f>N45</f>
        <v>71410.035199999998</v>
      </c>
      <c r="V45" s="18"/>
      <c r="W45" s="18"/>
      <c r="X45" s="18"/>
      <c r="Y45" s="44"/>
    </row>
    <row r="46" spans="2:25" x14ac:dyDescent="0.2">
      <c r="B46" s="9" t="s">
        <v>1</v>
      </c>
      <c r="C46" s="11" t="s">
        <v>6</v>
      </c>
      <c r="D46" s="11">
        <v>320</v>
      </c>
      <c r="E46" s="11" t="s">
        <v>73</v>
      </c>
      <c r="F46" s="11" t="s">
        <v>94</v>
      </c>
      <c r="G46" s="11">
        <v>10</v>
      </c>
      <c r="H46" s="13">
        <f>C6</f>
        <v>345.4</v>
      </c>
      <c r="I46" s="13">
        <v>240.91</v>
      </c>
      <c r="J46" s="13">
        <f t="shared" si="32"/>
        <v>470.12311999999997</v>
      </c>
      <c r="K46" s="11" t="s">
        <v>63</v>
      </c>
      <c r="L46" s="20">
        <v>45687</v>
      </c>
      <c r="M46" s="11">
        <v>60</v>
      </c>
      <c r="N46" s="16">
        <f t="shared" si="33"/>
        <v>150439.39840000001</v>
      </c>
      <c r="O46" s="16"/>
      <c r="P46" s="16"/>
      <c r="Q46" s="16"/>
      <c r="R46" s="16"/>
      <c r="S46" s="16"/>
      <c r="T46" s="16"/>
      <c r="U46" s="16">
        <f>N46</f>
        <v>150439.39840000001</v>
      </c>
      <c r="V46" s="16"/>
      <c r="W46" s="16"/>
      <c r="X46" s="16"/>
      <c r="Y46" s="44"/>
    </row>
    <row r="47" spans="2:25" x14ac:dyDescent="0.2">
      <c r="B47" s="17" t="s">
        <v>1</v>
      </c>
      <c r="C47" s="22" t="s">
        <v>3</v>
      </c>
      <c r="D47" s="22">
        <v>320</v>
      </c>
      <c r="E47" s="22" t="s">
        <v>73</v>
      </c>
      <c r="F47" s="22" t="s">
        <v>92</v>
      </c>
      <c r="G47" s="22">
        <v>10</v>
      </c>
      <c r="H47" s="23">
        <f>C6</f>
        <v>345.4</v>
      </c>
      <c r="I47" s="23">
        <v>240.91</v>
      </c>
      <c r="J47" s="23">
        <f t="shared" si="32"/>
        <v>470.12311999999997</v>
      </c>
      <c r="K47" s="22" t="s">
        <v>63</v>
      </c>
      <c r="L47" s="24">
        <v>45687</v>
      </c>
      <c r="M47" s="22">
        <v>60</v>
      </c>
      <c r="N47" s="18">
        <f t="shared" si="33"/>
        <v>150439.39840000001</v>
      </c>
      <c r="O47" s="18"/>
      <c r="P47" s="18"/>
      <c r="Q47" s="18"/>
      <c r="R47" s="18"/>
      <c r="S47" s="18"/>
      <c r="T47" s="18"/>
      <c r="U47" s="18">
        <f>N47</f>
        <v>150439.39840000001</v>
      </c>
      <c r="V47" s="18"/>
      <c r="W47" s="18"/>
      <c r="X47" s="18"/>
      <c r="Y47" s="44"/>
    </row>
    <row r="48" spans="2:25" x14ac:dyDescent="0.2">
      <c r="B48" s="9" t="s">
        <v>1</v>
      </c>
      <c r="C48" s="11" t="s">
        <v>2</v>
      </c>
      <c r="D48" s="11">
        <v>320</v>
      </c>
      <c r="E48" s="11" t="s">
        <v>78</v>
      </c>
      <c r="F48" s="11" t="s">
        <v>96</v>
      </c>
      <c r="G48" s="11">
        <v>-28</v>
      </c>
      <c r="H48" s="13">
        <f>C6</f>
        <v>345.4</v>
      </c>
      <c r="I48" s="13">
        <v>238.17</v>
      </c>
      <c r="J48" s="13">
        <f t="shared" si="32"/>
        <v>419.85671999999994</v>
      </c>
      <c r="K48" s="11" t="s">
        <v>63</v>
      </c>
      <c r="L48" s="20">
        <v>45716</v>
      </c>
      <c r="M48" s="11">
        <v>60</v>
      </c>
      <c r="N48" s="16">
        <f t="shared" si="33"/>
        <v>134354.15039999998</v>
      </c>
      <c r="O48" s="16"/>
      <c r="P48" s="16"/>
      <c r="Q48" s="16"/>
      <c r="R48" s="16"/>
      <c r="S48" s="16"/>
      <c r="T48" s="16"/>
      <c r="U48" s="16"/>
      <c r="V48" s="16">
        <f>N48</f>
        <v>134354.15039999998</v>
      </c>
      <c r="W48" s="16"/>
      <c r="X48" s="16"/>
      <c r="Y48" s="44"/>
    </row>
    <row r="49" spans="2:25" x14ac:dyDescent="0.2">
      <c r="B49" s="17" t="s">
        <v>1</v>
      </c>
      <c r="C49" s="22" t="s">
        <v>0</v>
      </c>
      <c r="D49" s="22">
        <v>320</v>
      </c>
      <c r="E49" s="22" t="s">
        <v>73</v>
      </c>
      <c r="F49" s="22" t="s">
        <v>94</v>
      </c>
      <c r="G49" s="22">
        <v>10</v>
      </c>
      <c r="H49" s="23">
        <f>C6</f>
        <v>345.4</v>
      </c>
      <c r="I49" s="23">
        <v>238.17</v>
      </c>
      <c r="J49" s="23">
        <f t="shared" si="32"/>
        <v>470.12311999999997</v>
      </c>
      <c r="K49" s="22" t="s">
        <v>63</v>
      </c>
      <c r="L49" s="24">
        <v>45746</v>
      </c>
      <c r="M49" s="22">
        <v>60</v>
      </c>
      <c r="N49" s="18">
        <f t="shared" si="33"/>
        <v>150439.39840000001</v>
      </c>
      <c r="O49" s="18"/>
      <c r="P49" s="18"/>
      <c r="Q49" s="18"/>
      <c r="R49" s="18"/>
      <c r="S49" s="18"/>
      <c r="T49" s="18"/>
      <c r="U49" s="18"/>
      <c r="V49" s="18"/>
      <c r="W49" s="18">
        <f>N49</f>
        <v>150439.39840000001</v>
      </c>
      <c r="X49" s="18"/>
      <c r="Y49" s="44"/>
    </row>
    <row r="50" spans="2:25" x14ac:dyDescent="0.2">
      <c r="B50" s="3" t="s">
        <v>35</v>
      </c>
      <c r="C50" s="3"/>
      <c r="D50" s="5">
        <f>SUM(D36:D49)</f>
        <v>3840</v>
      </c>
      <c r="E50" s="5"/>
      <c r="F50" s="5"/>
      <c r="G50" s="3"/>
      <c r="H50" s="3"/>
      <c r="I50" s="3"/>
      <c r="J50" s="3"/>
      <c r="K50" s="3"/>
      <c r="L50" s="3"/>
      <c r="M50" s="3"/>
      <c r="N50" s="7">
        <f t="shared" ref="N50:X50" si="34">SUM(N36:N49)</f>
        <v>1680717.9328000003</v>
      </c>
      <c r="O50" s="7">
        <f t="shared" ref="O50:T50" si="35">SUM(O36:O49)</f>
        <v>0</v>
      </c>
      <c r="P50" s="7">
        <f t="shared" si="35"/>
        <v>0</v>
      </c>
      <c r="Q50" s="7">
        <f t="shared" si="35"/>
        <v>0</v>
      </c>
      <c r="R50" s="7">
        <f>SUM(R36:R49)</f>
        <v>331504.26240000001</v>
      </c>
      <c r="S50" s="7">
        <f t="shared" si="35"/>
        <v>71822.748800000001</v>
      </c>
      <c r="T50" s="7">
        <f t="shared" si="35"/>
        <v>230071.9584</v>
      </c>
      <c r="U50" s="7">
        <f t="shared" si="34"/>
        <v>684130.9952</v>
      </c>
      <c r="V50" s="7">
        <f t="shared" si="34"/>
        <v>212748.56959999999</v>
      </c>
      <c r="W50" s="7">
        <f t="shared" si="34"/>
        <v>150439.39840000001</v>
      </c>
      <c r="X50" s="7">
        <f t="shared" si="34"/>
        <v>0</v>
      </c>
      <c r="Y50" s="44"/>
    </row>
    <row r="51" spans="2:25" x14ac:dyDescent="0.2">
      <c r="B51" s="1"/>
      <c r="C51" s="1"/>
      <c r="D51" s="6"/>
      <c r="E51" s="6"/>
      <c r="F51" s="6"/>
      <c r="G51" s="1"/>
      <c r="H51" s="1"/>
      <c r="I51" s="1"/>
      <c r="J51" s="1"/>
      <c r="K51" s="1"/>
      <c r="L51" s="1"/>
      <c r="M51" s="1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44"/>
    </row>
    <row r="52" spans="2:25" x14ac:dyDescent="0.2">
      <c r="B52" s="9" t="s">
        <v>24</v>
      </c>
      <c r="C52" s="11" t="s">
        <v>25</v>
      </c>
      <c r="D52" s="11">
        <v>320</v>
      </c>
      <c r="E52" s="11" t="s">
        <v>73</v>
      </c>
      <c r="F52" s="11" t="s">
        <v>94</v>
      </c>
      <c r="G52" s="11" t="s">
        <v>27</v>
      </c>
      <c r="H52" s="13" t="s">
        <v>27</v>
      </c>
      <c r="I52" s="13">
        <v>243.16</v>
      </c>
      <c r="J52" s="13">
        <v>325</v>
      </c>
      <c r="K52" s="11" t="s">
        <v>63</v>
      </c>
      <c r="L52" s="20">
        <v>45626</v>
      </c>
      <c r="M52" s="11" t="s">
        <v>28</v>
      </c>
      <c r="N52" s="16">
        <f>J52*D52</f>
        <v>104000</v>
      </c>
      <c r="O52" s="16"/>
      <c r="P52" s="16"/>
      <c r="Q52" s="16"/>
      <c r="R52" s="16">
        <f>N52/4</f>
        <v>26000</v>
      </c>
      <c r="S52" s="16">
        <f>R52</f>
        <v>26000</v>
      </c>
      <c r="T52" s="16">
        <f>S52</f>
        <v>26000</v>
      </c>
      <c r="U52" s="16">
        <f>T52</f>
        <v>26000</v>
      </c>
      <c r="V52" s="16"/>
      <c r="W52" s="16"/>
      <c r="X52" s="16"/>
      <c r="Y52" s="44"/>
    </row>
    <row r="53" spans="2:25" x14ac:dyDescent="0.2">
      <c r="B53" s="17" t="s">
        <v>24</v>
      </c>
      <c r="C53" s="22" t="s">
        <v>26</v>
      </c>
      <c r="D53" s="22">
        <v>320</v>
      </c>
      <c r="E53" s="22" t="s">
        <v>89</v>
      </c>
      <c r="F53" s="22" t="s">
        <v>89</v>
      </c>
      <c r="G53" s="22" t="s">
        <v>27</v>
      </c>
      <c r="H53" s="23" t="s">
        <v>27</v>
      </c>
      <c r="I53" s="23">
        <v>243.16</v>
      </c>
      <c r="J53" s="23">
        <v>325</v>
      </c>
      <c r="K53" s="22" t="s">
        <v>63</v>
      </c>
      <c r="L53" s="24">
        <v>45687</v>
      </c>
      <c r="M53" s="22" t="s">
        <v>28</v>
      </c>
      <c r="N53" s="18">
        <f>J53*D53</f>
        <v>104000</v>
      </c>
      <c r="O53" s="18"/>
      <c r="P53" s="18"/>
      <c r="Q53" s="18"/>
      <c r="R53" s="18"/>
      <c r="S53" s="18"/>
      <c r="T53" s="18">
        <f>N53/4</f>
        <v>26000</v>
      </c>
      <c r="U53" s="18">
        <f>T53</f>
        <v>26000</v>
      </c>
      <c r="V53" s="18">
        <f>U53</f>
        <v>26000</v>
      </c>
      <c r="W53" s="18">
        <f>V53</f>
        <v>26000</v>
      </c>
      <c r="X53" s="18"/>
      <c r="Y53" s="44"/>
    </row>
    <row r="54" spans="2:25" x14ac:dyDescent="0.2">
      <c r="B54" s="3" t="s">
        <v>36</v>
      </c>
      <c r="C54" s="3"/>
      <c r="D54" s="5">
        <f>SUM(D52:D53)</f>
        <v>640</v>
      </c>
      <c r="E54" s="5"/>
      <c r="F54" s="5"/>
      <c r="G54" s="5"/>
      <c r="H54" s="5"/>
      <c r="I54" s="5"/>
      <c r="J54" s="5"/>
      <c r="K54" s="5"/>
      <c r="L54" s="5"/>
      <c r="M54" s="5"/>
      <c r="N54" s="7">
        <f t="shared" ref="N54:X54" si="36">SUM(N52:N53)</f>
        <v>208000</v>
      </c>
      <c r="O54" s="7">
        <f t="shared" si="36"/>
        <v>0</v>
      </c>
      <c r="P54" s="7">
        <f t="shared" si="36"/>
        <v>0</v>
      </c>
      <c r="Q54" s="7">
        <f t="shared" si="36"/>
        <v>0</v>
      </c>
      <c r="R54" s="7">
        <f t="shared" si="36"/>
        <v>26000</v>
      </c>
      <c r="S54" s="7">
        <f t="shared" si="36"/>
        <v>26000</v>
      </c>
      <c r="T54" s="7">
        <f t="shared" si="36"/>
        <v>52000</v>
      </c>
      <c r="U54" s="7">
        <f t="shared" si="36"/>
        <v>52000</v>
      </c>
      <c r="V54" s="7">
        <f t="shared" si="36"/>
        <v>26000</v>
      </c>
      <c r="W54" s="7">
        <f t="shared" si="36"/>
        <v>26000</v>
      </c>
      <c r="X54" s="7">
        <f t="shared" si="36"/>
        <v>0</v>
      </c>
      <c r="Y54" s="44"/>
    </row>
    <row r="55" spans="2:25" x14ac:dyDescent="0.2">
      <c r="B55" s="1"/>
      <c r="C55" s="1"/>
      <c r="D55" s="6"/>
      <c r="E55" s="6"/>
      <c r="F55" s="6"/>
      <c r="G55" s="6"/>
      <c r="H55" s="6"/>
      <c r="I55" s="6"/>
      <c r="J55" s="6"/>
      <c r="K55" s="6"/>
      <c r="L55" s="6"/>
      <c r="M55" s="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44"/>
    </row>
    <row r="56" spans="2:25" x14ac:dyDescent="0.2">
      <c r="B56" s="9" t="s">
        <v>23</v>
      </c>
      <c r="C56" s="11" t="s">
        <v>29</v>
      </c>
      <c r="D56" s="11">
        <v>320</v>
      </c>
      <c r="E56" s="11" t="s">
        <v>73</v>
      </c>
      <c r="F56" s="11" t="s">
        <v>97</v>
      </c>
      <c r="G56" s="11">
        <v>25</v>
      </c>
      <c r="H56" s="13">
        <v>292.5</v>
      </c>
      <c r="I56" s="13">
        <v>243.16</v>
      </c>
      <c r="J56" s="13">
        <f>IF(K56="preço",(H56+G56)*$J$34,(I56+G56)*$J$34)</f>
        <v>419.98899999999998</v>
      </c>
      <c r="K56" s="11" t="s">
        <v>63</v>
      </c>
      <c r="L56" s="20">
        <v>45656</v>
      </c>
      <c r="M56" s="11"/>
      <c r="N56" s="16">
        <f>J56*D56</f>
        <v>134396.47999999998</v>
      </c>
      <c r="O56" s="16"/>
      <c r="P56" s="16"/>
      <c r="Q56" s="16"/>
      <c r="R56" s="16">
        <f>N56</f>
        <v>134396.47999999998</v>
      </c>
      <c r="S56" s="16"/>
      <c r="T56" s="16"/>
      <c r="U56" s="16"/>
      <c r="V56" s="16"/>
      <c r="W56" s="16"/>
      <c r="X56" s="16"/>
      <c r="Y56" s="44"/>
    </row>
    <row r="57" spans="2:25" x14ac:dyDescent="0.2">
      <c r="B57" s="3" t="s">
        <v>37</v>
      </c>
      <c r="C57" s="3"/>
      <c r="D57" s="5">
        <f>D56</f>
        <v>320</v>
      </c>
      <c r="E57" s="5"/>
      <c r="F57" s="5"/>
      <c r="G57" s="5"/>
      <c r="H57" s="5"/>
      <c r="I57" s="5"/>
      <c r="J57" s="5"/>
      <c r="K57" s="5"/>
      <c r="L57" s="5"/>
      <c r="M57" s="5"/>
      <c r="N57" s="7">
        <f t="shared" ref="N57:X57" si="37">N56</f>
        <v>134396.47999999998</v>
      </c>
      <c r="O57" s="7">
        <f t="shared" si="37"/>
        <v>0</v>
      </c>
      <c r="P57" s="7">
        <f t="shared" si="37"/>
        <v>0</v>
      </c>
      <c r="Q57" s="7">
        <f t="shared" si="37"/>
        <v>0</v>
      </c>
      <c r="R57" s="7">
        <f t="shared" si="37"/>
        <v>134396.47999999998</v>
      </c>
      <c r="S57" s="7">
        <f t="shared" si="37"/>
        <v>0</v>
      </c>
      <c r="T57" s="7">
        <f t="shared" si="37"/>
        <v>0</v>
      </c>
      <c r="U57" s="7">
        <f t="shared" si="37"/>
        <v>0</v>
      </c>
      <c r="V57" s="7">
        <f t="shared" si="37"/>
        <v>0</v>
      </c>
      <c r="W57" s="7">
        <f t="shared" si="37"/>
        <v>0</v>
      </c>
      <c r="X57" s="7">
        <f t="shared" si="37"/>
        <v>0</v>
      </c>
      <c r="Y57" s="44"/>
    </row>
    <row r="58" spans="2:25" x14ac:dyDescent="0.2">
      <c r="B58" s="1"/>
      <c r="C58" s="1"/>
      <c r="D58" s="6"/>
      <c r="E58" s="6"/>
      <c r="F58" s="6"/>
      <c r="G58" s="6"/>
      <c r="H58" s="6"/>
      <c r="I58" s="6"/>
      <c r="J58" s="6"/>
      <c r="K58" s="6"/>
      <c r="L58" s="6"/>
      <c r="M58" s="6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44"/>
    </row>
    <row r="59" spans="2:25" x14ac:dyDescent="0.2">
      <c r="B59" s="9" t="s">
        <v>66</v>
      </c>
      <c r="C59" s="11" t="s">
        <v>67</v>
      </c>
      <c r="D59" s="11">
        <v>4</v>
      </c>
      <c r="E59" s="11" t="s">
        <v>89</v>
      </c>
      <c r="F59" s="11" t="s">
        <v>89</v>
      </c>
      <c r="G59" s="11" t="s">
        <v>27</v>
      </c>
      <c r="H59" s="13" t="s">
        <v>27</v>
      </c>
      <c r="I59" s="11">
        <v>2500</v>
      </c>
      <c r="J59" s="13">
        <f>I59/$G$9</f>
        <v>409.8360655737705</v>
      </c>
      <c r="K59" s="11" t="s">
        <v>63</v>
      </c>
      <c r="L59" s="20">
        <v>45656</v>
      </c>
      <c r="M59" s="11" t="s">
        <v>69</v>
      </c>
      <c r="N59" s="16">
        <f>J59*D59</f>
        <v>1639.344262295082</v>
      </c>
      <c r="O59" s="16"/>
      <c r="P59" s="16"/>
      <c r="R59" s="16">
        <f>N59/4</f>
        <v>409.8360655737705</v>
      </c>
      <c r="S59" s="16">
        <f t="shared" ref="S59:U60" si="38">R59</f>
        <v>409.8360655737705</v>
      </c>
      <c r="T59" s="16">
        <f t="shared" si="38"/>
        <v>409.8360655737705</v>
      </c>
      <c r="U59" s="16">
        <f t="shared" si="38"/>
        <v>409.8360655737705</v>
      </c>
      <c r="V59" s="16"/>
      <c r="W59" s="16"/>
      <c r="X59" s="16"/>
      <c r="Y59" s="44"/>
    </row>
    <row r="60" spans="2:25" x14ac:dyDescent="0.2">
      <c r="B60" s="17" t="s">
        <v>66</v>
      </c>
      <c r="C60" s="22" t="s">
        <v>68</v>
      </c>
      <c r="D60" s="22">
        <v>4</v>
      </c>
      <c r="E60" s="22" t="s">
        <v>89</v>
      </c>
      <c r="F60" s="22" t="s">
        <v>89</v>
      </c>
      <c r="G60" s="22" t="s">
        <v>27</v>
      </c>
      <c r="H60" s="23" t="s">
        <v>27</v>
      </c>
      <c r="I60" s="22">
        <v>2137</v>
      </c>
      <c r="J60" s="23">
        <f>I60/$G$9</f>
        <v>350.32786885245906</v>
      </c>
      <c r="K60" s="22" t="s">
        <v>63</v>
      </c>
      <c r="L60" s="24">
        <f>L59</f>
        <v>45656</v>
      </c>
      <c r="M60" s="22" t="s">
        <v>69</v>
      </c>
      <c r="N60" s="18">
        <f>J60*D60</f>
        <v>1401.3114754098362</v>
      </c>
      <c r="O60" s="18"/>
      <c r="P60" s="18"/>
      <c r="Q60" s="18"/>
      <c r="R60" s="18">
        <f>N60/4</f>
        <v>350.32786885245906</v>
      </c>
      <c r="S60" s="18">
        <f t="shared" si="38"/>
        <v>350.32786885245906</v>
      </c>
      <c r="T60" s="18">
        <f t="shared" si="38"/>
        <v>350.32786885245906</v>
      </c>
      <c r="U60" s="18">
        <f t="shared" si="38"/>
        <v>350.32786885245906</v>
      </c>
      <c r="V60" s="18"/>
      <c r="W60" s="18"/>
      <c r="X60" s="18"/>
      <c r="Y60" s="44"/>
    </row>
    <row r="61" spans="2:25" x14ac:dyDescent="0.2">
      <c r="B61" s="3" t="s">
        <v>83</v>
      </c>
      <c r="C61" s="3"/>
      <c r="D61" s="5">
        <f>SUM(D59:D60)</f>
        <v>8</v>
      </c>
      <c r="E61" s="5"/>
      <c r="F61" s="5"/>
      <c r="G61" s="5"/>
      <c r="H61" s="5"/>
      <c r="I61" s="5" t="s">
        <v>70</v>
      </c>
      <c r="J61" s="5"/>
      <c r="K61" s="5"/>
      <c r="L61" s="5"/>
      <c r="M61" s="5"/>
      <c r="N61" s="7">
        <f t="shared" ref="N61" si="39">SUM(N59:N60)</f>
        <v>3040.6557377049185</v>
      </c>
      <c r="O61" s="7">
        <f t="shared" ref="O61" si="40">SUM(O59:O60)</f>
        <v>0</v>
      </c>
      <c r="P61" s="7">
        <f t="shared" ref="P61" si="41">SUM(P59:P60)</f>
        <v>0</v>
      </c>
      <c r="Q61" s="7">
        <f t="shared" ref="Q61:V61" si="42">SUM(Q59:Q60)</f>
        <v>0</v>
      </c>
      <c r="R61" s="7">
        <f t="shared" si="42"/>
        <v>760.16393442622962</v>
      </c>
      <c r="S61" s="7">
        <f t="shared" si="42"/>
        <v>760.16393442622962</v>
      </c>
      <c r="T61" s="7">
        <f t="shared" si="42"/>
        <v>760.16393442622962</v>
      </c>
      <c r="U61" s="7">
        <f t="shared" si="42"/>
        <v>760.16393442622962</v>
      </c>
      <c r="V61" s="7">
        <f t="shared" si="42"/>
        <v>0</v>
      </c>
      <c r="W61" s="7">
        <f t="shared" ref="W61" si="43">SUM(W59:W60)</f>
        <v>0</v>
      </c>
      <c r="X61" s="7">
        <f t="shared" ref="X61" si="44">SUM(X59:X60)</f>
        <v>0</v>
      </c>
      <c r="Y61" s="44"/>
    </row>
    <row r="62" spans="2:25" x14ac:dyDescent="0.2">
      <c r="B62" s="1"/>
      <c r="C62" s="1"/>
      <c r="D62" s="6"/>
      <c r="E62" s="6"/>
      <c r="F62" s="6"/>
      <c r="G62" s="6"/>
      <c r="H62" s="6"/>
      <c r="I62" s="6"/>
      <c r="J62" s="6"/>
      <c r="K62" s="6"/>
      <c r="L62" s="6"/>
      <c r="M62" s="6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44"/>
    </row>
    <row r="63" spans="2:25" x14ac:dyDescent="0.2">
      <c r="B63" s="9" t="s">
        <v>85</v>
      </c>
      <c r="C63" s="11" t="s">
        <v>98</v>
      </c>
      <c r="D63" s="11">
        <v>500</v>
      </c>
      <c r="E63" s="11" t="s">
        <v>90</v>
      </c>
      <c r="F63" s="11" t="s">
        <v>97</v>
      </c>
      <c r="G63" s="11" t="s">
        <v>27</v>
      </c>
      <c r="H63" s="13" t="s">
        <v>27</v>
      </c>
      <c r="I63" s="11">
        <v>2105</v>
      </c>
      <c r="J63" s="13">
        <f>I63/$G$9</f>
        <v>345.08196721311475</v>
      </c>
      <c r="K63" s="11" t="s">
        <v>63</v>
      </c>
      <c r="L63" s="20">
        <v>45631</v>
      </c>
      <c r="M63" s="11"/>
      <c r="N63" s="16">
        <f>J63*D63</f>
        <v>172540.98360655736</v>
      </c>
      <c r="O63" s="16"/>
      <c r="P63" s="16"/>
      <c r="Q63" s="16"/>
      <c r="R63" s="16">
        <f>N63</f>
        <v>172540.98360655736</v>
      </c>
      <c r="S63" s="16"/>
      <c r="T63" s="16"/>
      <c r="V63" s="16"/>
      <c r="W63" s="16"/>
      <c r="X63" s="16"/>
      <c r="Y63" s="44"/>
    </row>
    <row r="64" spans="2:25" x14ac:dyDescent="0.2">
      <c r="B64" s="3" t="s">
        <v>84</v>
      </c>
      <c r="C64" s="3"/>
      <c r="D64" s="5">
        <f>SUM(D62:D63)</f>
        <v>500</v>
      </c>
      <c r="E64" s="5"/>
      <c r="F64" s="5"/>
      <c r="G64" s="5"/>
      <c r="H64" s="5"/>
      <c r="I64" s="5" t="s">
        <v>70</v>
      </c>
      <c r="J64" s="5"/>
      <c r="K64" s="5"/>
      <c r="L64" s="5"/>
      <c r="M64" s="5"/>
      <c r="N64" s="7">
        <f t="shared" ref="N64:P64" si="45">SUM(N62:N63)</f>
        <v>172540.98360655736</v>
      </c>
      <c r="O64" s="7">
        <f t="shared" si="45"/>
        <v>0</v>
      </c>
      <c r="P64" s="7">
        <f t="shared" si="45"/>
        <v>0</v>
      </c>
      <c r="Q64" s="7">
        <f>SUM(Q62:Q63)</f>
        <v>0</v>
      </c>
      <c r="R64" s="7">
        <f>SUM(R62:R63)</f>
        <v>172540.98360655736</v>
      </c>
      <c r="S64" s="7">
        <f>SUM(S62:S63)</f>
        <v>0</v>
      </c>
      <c r="T64" s="7">
        <f t="shared" ref="T64:X64" si="46">SUM(T62:T63)</f>
        <v>0</v>
      </c>
      <c r="U64" s="7">
        <f t="shared" si="46"/>
        <v>0</v>
      </c>
      <c r="V64" s="7">
        <f t="shared" si="46"/>
        <v>0</v>
      </c>
      <c r="W64" s="7">
        <f t="shared" si="46"/>
        <v>0</v>
      </c>
      <c r="X64" s="7">
        <f t="shared" si="46"/>
        <v>0</v>
      </c>
      <c r="Y64" s="44"/>
    </row>
    <row r="65" spans="2:25" x14ac:dyDescent="0.2">
      <c r="B65" s="1"/>
      <c r="C65" s="1"/>
      <c r="D65" s="6"/>
      <c r="E65" s="6"/>
      <c r="F65" s="6"/>
      <c r="G65" s="6"/>
      <c r="H65" s="6"/>
      <c r="I65" s="6"/>
      <c r="J65" s="6"/>
      <c r="K65" s="6"/>
      <c r="L65" s="6"/>
      <c r="M65" s="6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44"/>
    </row>
    <row r="66" spans="2:25" x14ac:dyDescent="0.2">
      <c r="B66" s="9" t="s">
        <v>102</v>
      </c>
      <c r="C66" s="11" t="s">
        <v>103</v>
      </c>
      <c r="D66" s="11">
        <v>20</v>
      </c>
      <c r="E66" s="11" t="s">
        <v>90</v>
      </c>
      <c r="F66" s="11" t="s">
        <v>91</v>
      </c>
      <c r="G66" s="11" t="s">
        <v>27</v>
      </c>
      <c r="H66" s="13" t="s">
        <v>27</v>
      </c>
      <c r="I66" s="11">
        <v>2200</v>
      </c>
      <c r="J66" s="13">
        <f>I66/$G$9</f>
        <v>360.65573770491807</v>
      </c>
      <c r="K66" s="11" t="s">
        <v>63</v>
      </c>
      <c r="L66" s="20">
        <v>45632</v>
      </c>
      <c r="M66" s="11" t="s">
        <v>104</v>
      </c>
      <c r="N66" s="16">
        <f>J66*D66</f>
        <v>7213.1147540983611</v>
      </c>
      <c r="O66" s="16"/>
      <c r="P66" s="16"/>
      <c r="Q66" s="16"/>
      <c r="R66" s="16">
        <f>N66*0.5</f>
        <v>3606.5573770491806</v>
      </c>
      <c r="S66" s="16">
        <f>($N$66-$R$66)/4</f>
        <v>901.63934426229514</v>
      </c>
      <c r="T66" s="16">
        <f>($N$66-$R$66)/4</f>
        <v>901.63934426229514</v>
      </c>
      <c r="U66" s="16">
        <f>($N$66-$R$66)/4</f>
        <v>901.63934426229514</v>
      </c>
      <c r="V66" s="16">
        <f>($N$66-$R$66)/4</f>
        <v>901.63934426229514</v>
      </c>
      <c r="W66" s="16"/>
      <c r="X66" s="16"/>
      <c r="Y66" s="44"/>
    </row>
    <row r="67" spans="2:25" x14ac:dyDescent="0.2">
      <c r="B67" s="3" t="s">
        <v>84</v>
      </c>
      <c r="C67" s="3"/>
      <c r="D67" s="5">
        <f>SUM(D65:D66)</f>
        <v>20</v>
      </c>
      <c r="E67" s="5"/>
      <c r="F67" s="5"/>
      <c r="G67" s="5"/>
      <c r="H67" s="5"/>
      <c r="I67" s="5" t="s">
        <v>70</v>
      </c>
      <c r="J67" s="5"/>
      <c r="K67" s="5"/>
      <c r="L67" s="5"/>
      <c r="M67" s="5"/>
      <c r="N67" s="7">
        <f t="shared" ref="N67:P67" si="47">SUM(N65:N66)</f>
        <v>7213.1147540983611</v>
      </c>
      <c r="O67" s="7">
        <f t="shared" si="47"/>
        <v>0</v>
      </c>
      <c r="P67" s="7">
        <f t="shared" si="47"/>
        <v>0</v>
      </c>
      <c r="Q67" s="7">
        <f>SUM(Q65:Q66)</f>
        <v>0</v>
      </c>
      <c r="R67" s="7">
        <f>SUM(R65:R66)</f>
        <v>3606.5573770491806</v>
      </c>
      <c r="S67" s="7">
        <f>SUM(S65:S66)</f>
        <v>901.63934426229514</v>
      </c>
      <c r="T67" s="7">
        <f t="shared" ref="T67:X67" si="48">SUM(T65:T66)</f>
        <v>901.63934426229514</v>
      </c>
      <c r="U67" s="7">
        <f t="shared" si="48"/>
        <v>901.63934426229514</v>
      </c>
      <c r="V67" s="7">
        <f t="shared" si="48"/>
        <v>901.63934426229514</v>
      </c>
      <c r="W67" s="7">
        <f t="shared" si="48"/>
        <v>0</v>
      </c>
      <c r="X67" s="7">
        <f t="shared" si="48"/>
        <v>0</v>
      </c>
      <c r="Y67" s="44"/>
    </row>
    <row r="68" spans="2:25" x14ac:dyDescent="0.2">
      <c r="B68" s="1"/>
      <c r="C68" s="1"/>
      <c r="D68" s="6"/>
      <c r="E68" s="6"/>
      <c r="F68" s="6"/>
      <c r="G68" s="6"/>
      <c r="H68" s="6"/>
      <c r="I68" s="6"/>
      <c r="J68" s="6"/>
      <c r="K68" s="6"/>
      <c r="L68" s="6"/>
      <c r="M68" s="6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44"/>
    </row>
    <row r="69" spans="2:25" x14ac:dyDescent="0.2">
      <c r="B69" s="9" t="s">
        <v>105</v>
      </c>
      <c r="C69" s="60" t="s">
        <v>107</v>
      </c>
      <c r="D69" s="11">
        <v>500</v>
      </c>
      <c r="E69" s="11" t="s">
        <v>80</v>
      </c>
      <c r="F69" s="11" t="s">
        <v>89</v>
      </c>
      <c r="G69" s="11" t="s">
        <v>27</v>
      </c>
      <c r="H69" s="13" t="s">
        <v>27</v>
      </c>
      <c r="I69" s="11">
        <v>2000</v>
      </c>
      <c r="J69" s="13">
        <f>I69/$G$9</f>
        <v>327.86885245901641</v>
      </c>
      <c r="K69" s="11" t="s">
        <v>63</v>
      </c>
      <c r="L69" s="20">
        <v>45639</v>
      </c>
      <c r="M69" s="11" t="s">
        <v>106</v>
      </c>
      <c r="N69" s="16">
        <f>J69*D69</f>
        <v>163934.42622950822</v>
      </c>
      <c r="O69" s="16"/>
      <c r="P69" s="16"/>
      <c r="Q69" s="16"/>
      <c r="R69" s="16">
        <v>0</v>
      </c>
      <c r="S69" s="16">
        <f>N69</f>
        <v>163934.42622950822</v>
      </c>
      <c r="T69" s="16"/>
      <c r="U69" s="16"/>
      <c r="V69" s="16"/>
      <c r="W69" s="16"/>
      <c r="X69" s="16"/>
      <c r="Y69" s="44"/>
    </row>
    <row r="70" spans="2:25" x14ac:dyDescent="0.2">
      <c r="B70" s="3" t="s">
        <v>84</v>
      </c>
      <c r="C70" s="3"/>
      <c r="D70" s="5">
        <f>SUM(D68:D69)</f>
        <v>500</v>
      </c>
      <c r="E70" s="5"/>
      <c r="F70" s="5"/>
      <c r="G70" s="5"/>
      <c r="H70" s="5"/>
      <c r="I70" s="5" t="s">
        <v>70</v>
      </c>
      <c r="J70" s="5"/>
      <c r="K70" s="5"/>
      <c r="L70" s="5"/>
      <c r="M70" s="5"/>
      <c r="N70" s="7">
        <f t="shared" ref="N70:P70" si="49">SUM(N68:N69)</f>
        <v>163934.42622950822</v>
      </c>
      <c r="O70" s="7">
        <f t="shared" si="49"/>
        <v>0</v>
      </c>
      <c r="P70" s="7">
        <f t="shared" si="49"/>
        <v>0</v>
      </c>
      <c r="Q70" s="7">
        <f>SUM(Q68:Q69)</f>
        <v>0</v>
      </c>
      <c r="R70" s="7">
        <f>SUM(R68:R69)</f>
        <v>0</v>
      </c>
      <c r="S70" s="7">
        <f>SUM(S68:S69)</f>
        <v>163934.42622950822</v>
      </c>
      <c r="T70" s="7">
        <f t="shared" ref="T70:X70" si="50">SUM(T68:T69)</f>
        <v>0</v>
      </c>
      <c r="U70" s="7">
        <f t="shared" si="50"/>
        <v>0</v>
      </c>
      <c r="V70" s="7">
        <f t="shared" si="50"/>
        <v>0</v>
      </c>
      <c r="W70" s="7">
        <f t="shared" si="50"/>
        <v>0</v>
      </c>
      <c r="X70" s="7">
        <f t="shared" si="50"/>
        <v>0</v>
      </c>
      <c r="Y70" s="44"/>
    </row>
    <row r="71" spans="2:25" x14ac:dyDescent="0.2">
      <c r="B71" s="1"/>
      <c r="C71" s="1"/>
      <c r="D71" s="6"/>
      <c r="E71" s="6"/>
      <c r="F71" s="6"/>
      <c r="G71" s="6"/>
      <c r="H71" s="6"/>
      <c r="I71" s="6"/>
      <c r="J71" s="6"/>
      <c r="K71" s="6"/>
      <c r="L71" s="6"/>
      <c r="M71" s="6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44"/>
    </row>
    <row r="72" spans="2:25" x14ac:dyDescent="0.2">
      <c r="B72" s="17" t="s">
        <v>110</v>
      </c>
      <c r="C72" s="62" t="s">
        <v>111</v>
      </c>
      <c r="D72" s="22">
        <v>320</v>
      </c>
      <c r="E72" s="22" t="s">
        <v>73</v>
      </c>
      <c r="F72" s="22" t="s">
        <v>89</v>
      </c>
      <c r="G72" s="22"/>
      <c r="H72" s="23"/>
      <c r="I72" s="23"/>
      <c r="J72" s="23">
        <v>413</v>
      </c>
      <c r="K72" s="22" t="s">
        <v>63</v>
      </c>
      <c r="L72" s="24">
        <v>45687</v>
      </c>
      <c r="M72" s="22">
        <v>60</v>
      </c>
      <c r="N72" s="18">
        <f>J72*D72</f>
        <v>132160</v>
      </c>
      <c r="O72" s="18"/>
      <c r="P72" s="18"/>
      <c r="Q72" s="18"/>
      <c r="R72" s="18"/>
      <c r="S72" s="18"/>
      <c r="T72" s="18"/>
      <c r="U72" s="18">
        <f>N72</f>
        <v>132160</v>
      </c>
      <c r="V72" s="18"/>
      <c r="W72" s="18"/>
      <c r="X72" s="18"/>
      <c r="Y72" s="44"/>
    </row>
    <row r="73" spans="2:25" x14ac:dyDescent="0.2">
      <c r="B73" s="3" t="s">
        <v>35</v>
      </c>
      <c r="C73" s="3"/>
      <c r="D73" s="5">
        <f>SUM(D61:D72)</f>
        <v>2368</v>
      </c>
      <c r="E73" s="5"/>
      <c r="F73" s="5"/>
      <c r="G73" s="3"/>
      <c r="H73" s="3"/>
      <c r="I73" s="3"/>
      <c r="J73" s="3"/>
      <c r="K73" s="3"/>
      <c r="L73" s="3"/>
      <c r="M73" s="3"/>
      <c r="N73" s="7">
        <f t="shared" ref="N73:X73" si="51">SUM(N61:N72)</f>
        <v>822577.70491803286</v>
      </c>
      <c r="O73" s="7">
        <f t="shared" si="51"/>
        <v>0</v>
      </c>
      <c r="P73" s="7">
        <f t="shared" si="51"/>
        <v>0</v>
      </c>
      <c r="Q73" s="7">
        <f t="shared" si="51"/>
        <v>0</v>
      </c>
      <c r="R73" s="7">
        <f t="shared" si="51"/>
        <v>353055.24590163934</v>
      </c>
      <c r="S73" s="7">
        <f t="shared" si="51"/>
        <v>330432.29508196726</v>
      </c>
      <c r="T73" s="7">
        <f t="shared" si="51"/>
        <v>2563.4426229508199</v>
      </c>
      <c r="U73" s="7">
        <f t="shared" si="51"/>
        <v>134723.44262295082</v>
      </c>
      <c r="V73" s="7">
        <f t="shared" si="51"/>
        <v>1803.2786885245903</v>
      </c>
      <c r="W73" s="7">
        <f t="shared" si="51"/>
        <v>0</v>
      </c>
      <c r="X73" s="7">
        <f t="shared" si="51"/>
        <v>0</v>
      </c>
      <c r="Y73" s="44"/>
    </row>
    <row r="74" spans="2:25" x14ac:dyDescent="0.2">
      <c r="B74" s="1"/>
      <c r="C74" s="1"/>
      <c r="D74" s="6"/>
      <c r="E74" s="6"/>
      <c r="F74" s="6"/>
      <c r="G74" s="1"/>
      <c r="H74" s="1"/>
      <c r="I74" s="1"/>
      <c r="J74" s="1"/>
      <c r="K74" s="1"/>
      <c r="L74" s="1"/>
      <c r="M74" s="1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44"/>
    </row>
    <row r="75" spans="2:25" x14ac:dyDescent="0.2">
      <c r="B75" s="1"/>
      <c r="C75" s="1"/>
      <c r="D75" s="6"/>
      <c r="E75" s="6"/>
      <c r="F75" s="6"/>
      <c r="G75" s="1"/>
      <c r="H75" s="1"/>
      <c r="I75" s="1"/>
      <c r="J75" s="1"/>
      <c r="K75" s="1"/>
      <c r="L75" s="1"/>
      <c r="M75" s="1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44"/>
    </row>
    <row r="76" spans="2:25" x14ac:dyDescent="0.2">
      <c r="B76" s="1"/>
      <c r="C76" s="1"/>
      <c r="D76" s="6"/>
      <c r="E76" s="6"/>
      <c r="F76" s="6"/>
      <c r="G76" s="1"/>
      <c r="H76" s="1"/>
      <c r="I76" s="1"/>
      <c r="J76" s="1"/>
      <c r="K76" s="1"/>
      <c r="L76" s="1"/>
      <c r="M76" s="1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44"/>
    </row>
    <row r="77" spans="2:25" x14ac:dyDescent="0.2">
      <c r="B77" s="40" t="s">
        <v>57</v>
      </c>
      <c r="C77" s="42"/>
      <c r="D77" s="42"/>
      <c r="E77" s="42"/>
      <c r="F77" s="42"/>
      <c r="G77" s="42"/>
      <c r="H77" s="42"/>
      <c r="I77" s="41"/>
      <c r="J77" s="42"/>
      <c r="K77" s="6"/>
      <c r="M77" s="6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44"/>
    </row>
    <row r="78" spans="2:25" x14ac:dyDescent="0.2">
      <c r="B78" s="9" t="s">
        <v>30</v>
      </c>
      <c r="C78" s="11"/>
      <c r="D78" s="11">
        <v>38</v>
      </c>
      <c r="E78" s="11">
        <v>19</v>
      </c>
      <c r="F78" s="11" t="s">
        <v>89</v>
      </c>
      <c r="G78" s="11">
        <v>10</v>
      </c>
      <c r="H78" s="13">
        <f>C5</f>
        <v>347.35</v>
      </c>
      <c r="I78" s="13"/>
      <c r="J78" s="13">
        <f t="shared" ref="J78:J90" si="52">IF(K78="preço",(H78+G78)*$J$34,(I78+G78)*$J$34)</f>
        <v>472.70258000000001</v>
      </c>
      <c r="K78" s="11" t="s">
        <v>63</v>
      </c>
      <c r="L78" s="20"/>
      <c r="M78" s="11"/>
      <c r="N78" s="16">
        <f>IF(K78="preço",J78*D78,(I78+G78)*$J$34*D78)</f>
        <v>17962.698039999999</v>
      </c>
      <c r="O78" s="16"/>
      <c r="P78" s="16"/>
      <c r="Q78" s="16"/>
      <c r="R78" s="16">
        <f>N78</f>
        <v>17962.698039999999</v>
      </c>
      <c r="S78" s="16"/>
      <c r="T78" s="16"/>
      <c r="U78" s="16"/>
      <c r="V78" s="16"/>
      <c r="W78" s="16"/>
      <c r="X78" s="16"/>
      <c r="Y78" s="44"/>
    </row>
    <row r="79" spans="2:25" x14ac:dyDescent="0.2">
      <c r="B79" s="17" t="s">
        <v>30</v>
      </c>
      <c r="C79" s="22"/>
      <c r="D79" s="22">
        <v>260</v>
      </c>
      <c r="E79" s="22" t="s">
        <v>72</v>
      </c>
      <c r="F79" s="22" t="s">
        <v>89</v>
      </c>
      <c r="G79" s="22">
        <v>-5</v>
      </c>
      <c r="H79" s="23">
        <f>H78</f>
        <v>347.35</v>
      </c>
      <c r="I79" s="23"/>
      <c r="J79" s="23">
        <f t="shared" si="52"/>
        <v>452.86058000000003</v>
      </c>
      <c r="K79" s="22" t="str">
        <f>K78</f>
        <v>preço</v>
      </c>
      <c r="L79" s="24"/>
      <c r="M79" s="22"/>
      <c r="N79" s="18">
        <f t="shared" ref="N79:N90" si="53">IF(K79="preço",J79*D79,(I79+G79)*$J$34*D79)</f>
        <v>117743.75080000001</v>
      </c>
      <c r="O79" s="18"/>
      <c r="P79" s="18"/>
      <c r="Q79" s="18"/>
      <c r="R79" s="18">
        <f>N79</f>
        <v>117743.75080000001</v>
      </c>
      <c r="S79" s="18"/>
      <c r="T79" s="18"/>
      <c r="U79" s="18"/>
      <c r="V79" s="18"/>
      <c r="W79" s="18"/>
      <c r="X79" s="18"/>
      <c r="Y79" s="44"/>
    </row>
    <row r="80" spans="2:25" x14ac:dyDescent="0.2">
      <c r="B80" s="9" t="s">
        <v>30</v>
      </c>
      <c r="C80" s="11"/>
      <c r="D80" s="11">
        <v>12</v>
      </c>
      <c r="E80" s="11" t="s">
        <v>73</v>
      </c>
      <c r="F80" s="11" t="s">
        <v>89</v>
      </c>
      <c r="G80" s="11">
        <v>5</v>
      </c>
      <c r="H80" s="13">
        <f>C5</f>
        <v>347.35</v>
      </c>
      <c r="I80" s="13"/>
      <c r="J80" s="13">
        <f t="shared" ref="J80" si="54">IF(K80="preço",(H80+G80)*$J$34,(I80+G80)*$J$34)</f>
        <v>466.08858000000004</v>
      </c>
      <c r="K80" s="11" t="str">
        <f>K78</f>
        <v>preço</v>
      </c>
      <c r="L80" s="20"/>
      <c r="M80" s="11"/>
      <c r="N80" s="16">
        <f t="shared" ref="N80" si="55">IF(K80="preço",J80*D80,(I80+G80)*$J$34*D80)</f>
        <v>5593.0629600000002</v>
      </c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44"/>
    </row>
    <row r="81" spans="2:25" x14ac:dyDescent="0.2">
      <c r="B81" s="17" t="s">
        <v>30</v>
      </c>
      <c r="C81" s="22"/>
      <c r="D81" s="22">
        <f>320-D72</f>
        <v>0</v>
      </c>
      <c r="E81" s="22" t="s">
        <v>73</v>
      </c>
      <c r="F81" s="22" t="s">
        <v>89</v>
      </c>
      <c r="G81" s="22">
        <v>5</v>
      </c>
      <c r="H81" s="23">
        <v>290.55</v>
      </c>
      <c r="I81" s="23"/>
      <c r="J81" s="23">
        <f t="shared" si="52"/>
        <v>390.95354000000003</v>
      </c>
      <c r="K81" s="22" t="str">
        <f>K79</f>
        <v>preço</v>
      </c>
      <c r="L81" s="24"/>
      <c r="M81" s="22"/>
      <c r="N81" s="18">
        <f t="shared" si="53"/>
        <v>0</v>
      </c>
      <c r="O81" s="18"/>
      <c r="P81" s="18"/>
      <c r="Q81" s="18"/>
      <c r="R81" s="18"/>
      <c r="S81" s="18"/>
      <c r="T81" s="18"/>
      <c r="U81" s="18">
        <f>N81</f>
        <v>0</v>
      </c>
      <c r="V81" s="18"/>
      <c r="W81" s="18"/>
      <c r="X81" s="18"/>
      <c r="Y81" s="44"/>
    </row>
    <row r="82" spans="2:25" x14ac:dyDescent="0.2">
      <c r="B82" s="9" t="s">
        <v>30</v>
      </c>
      <c r="C82" s="11"/>
      <c r="D82" s="11">
        <v>120</v>
      </c>
      <c r="E82" s="11" t="s">
        <v>74</v>
      </c>
      <c r="F82" s="11" t="s">
        <v>89</v>
      </c>
      <c r="G82" s="11">
        <v>-25</v>
      </c>
      <c r="H82" s="13">
        <f>C5</f>
        <v>347.35</v>
      </c>
      <c r="I82" s="13"/>
      <c r="J82" s="13">
        <f t="shared" si="52"/>
        <v>426.40458000000001</v>
      </c>
      <c r="K82" s="11" t="str">
        <f t="shared" ref="K82:K90" si="56">K81</f>
        <v>preço</v>
      </c>
      <c r="L82" s="20"/>
      <c r="M82" s="11"/>
      <c r="N82" s="16">
        <f t="shared" si="53"/>
        <v>51168.549599999998</v>
      </c>
      <c r="O82" s="16"/>
      <c r="P82" s="16"/>
      <c r="Q82" s="16"/>
      <c r="R82" s="16">
        <f>N82</f>
        <v>51168.549599999998</v>
      </c>
      <c r="S82" s="16"/>
      <c r="T82" s="16"/>
      <c r="U82" s="16"/>
      <c r="V82" s="16"/>
      <c r="W82" s="16"/>
      <c r="X82" s="16"/>
      <c r="Y82" s="44"/>
    </row>
    <row r="83" spans="2:25" x14ac:dyDescent="0.2">
      <c r="B83" s="17" t="s">
        <v>30</v>
      </c>
      <c r="C83" s="22"/>
      <c r="D83" s="22">
        <v>10</v>
      </c>
      <c r="E83" s="22" t="s">
        <v>75</v>
      </c>
      <c r="F83" s="22" t="s">
        <v>89</v>
      </c>
      <c r="G83" s="22">
        <v>-25</v>
      </c>
      <c r="H83" s="23">
        <f t="shared" ref="H83:H87" si="57">H82</f>
        <v>347.35</v>
      </c>
      <c r="I83" s="23"/>
      <c r="J83" s="23">
        <f t="shared" si="52"/>
        <v>426.40458000000001</v>
      </c>
      <c r="K83" s="22" t="str">
        <f t="shared" si="56"/>
        <v>preço</v>
      </c>
      <c r="L83" s="24"/>
      <c r="M83" s="22"/>
      <c r="N83" s="18">
        <f t="shared" si="53"/>
        <v>4264.0457999999999</v>
      </c>
      <c r="O83" s="18"/>
      <c r="P83" s="18"/>
      <c r="Q83" s="18"/>
      <c r="R83" s="18">
        <f t="shared" ref="R83:R90" si="58">N83</f>
        <v>4264.0457999999999</v>
      </c>
      <c r="S83" s="18"/>
      <c r="T83" s="18"/>
      <c r="U83" s="18"/>
      <c r="V83" s="18"/>
      <c r="W83" s="18"/>
      <c r="X83" s="18"/>
      <c r="Y83" s="44"/>
    </row>
    <row r="84" spans="2:25" x14ac:dyDescent="0.2">
      <c r="B84" s="9" t="s">
        <v>30</v>
      </c>
      <c r="C84" s="11"/>
      <c r="D84" s="11">
        <v>4</v>
      </c>
      <c r="E84" s="11" t="s">
        <v>76</v>
      </c>
      <c r="F84" s="11" t="s">
        <v>89</v>
      </c>
      <c r="G84" s="11">
        <v>-20</v>
      </c>
      <c r="H84" s="13">
        <f t="shared" si="57"/>
        <v>347.35</v>
      </c>
      <c r="I84" s="13"/>
      <c r="J84" s="13">
        <f t="shared" si="52"/>
        <v>433.01858000000004</v>
      </c>
      <c r="K84" s="11" t="str">
        <f t="shared" si="56"/>
        <v>preço</v>
      </c>
      <c r="L84" s="20"/>
      <c r="M84" s="11"/>
      <c r="N84" s="16">
        <f t="shared" si="53"/>
        <v>1732.0743200000002</v>
      </c>
      <c r="O84" s="16"/>
      <c r="P84" s="16"/>
      <c r="Q84" s="16"/>
      <c r="R84" s="16">
        <f t="shared" si="58"/>
        <v>1732.0743200000002</v>
      </c>
      <c r="S84" s="16"/>
      <c r="T84" s="16"/>
      <c r="U84" s="16"/>
      <c r="V84" s="16"/>
      <c r="W84" s="16"/>
      <c r="X84" s="16"/>
      <c r="Y84" s="44"/>
    </row>
    <row r="85" spans="2:25" x14ac:dyDescent="0.2">
      <c r="B85" s="17" t="s">
        <v>30</v>
      </c>
      <c r="C85" s="22"/>
      <c r="D85" s="22">
        <v>407</v>
      </c>
      <c r="E85" s="22" t="s">
        <v>77</v>
      </c>
      <c r="F85" s="22" t="s">
        <v>89</v>
      </c>
      <c r="G85" s="22">
        <v>-80</v>
      </c>
      <c r="H85" s="23">
        <f t="shared" si="57"/>
        <v>347.35</v>
      </c>
      <c r="I85" s="23"/>
      <c r="J85" s="23">
        <f t="shared" si="52"/>
        <v>353.65058000000005</v>
      </c>
      <c r="K85" s="22" t="str">
        <f t="shared" si="56"/>
        <v>preço</v>
      </c>
      <c r="L85" s="24"/>
      <c r="M85" s="22"/>
      <c r="N85" s="18">
        <f t="shared" si="53"/>
        <v>143935.78606000001</v>
      </c>
      <c r="O85" s="18"/>
      <c r="P85" s="18"/>
      <c r="Q85" s="18"/>
      <c r="R85" s="18">
        <f t="shared" si="58"/>
        <v>143935.78606000001</v>
      </c>
      <c r="S85" s="18"/>
      <c r="T85" s="18"/>
      <c r="U85" s="18"/>
      <c r="V85" s="18"/>
      <c r="W85" s="18"/>
      <c r="X85" s="18"/>
      <c r="Y85" s="44"/>
    </row>
    <row r="86" spans="2:25" x14ac:dyDescent="0.2">
      <c r="B86" s="9" t="s">
        <v>30</v>
      </c>
      <c r="C86" s="11"/>
      <c r="D86" s="11">
        <v>43</v>
      </c>
      <c r="E86" s="11" t="s">
        <v>78</v>
      </c>
      <c r="F86" s="11" t="s">
        <v>89</v>
      </c>
      <c r="G86" s="11">
        <v>-30</v>
      </c>
      <c r="H86" s="13">
        <f t="shared" si="57"/>
        <v>347.35</v>
      </c>
      <c r="I86" s="13"/>
      <c r="J86" s="13">
        <f t="shared" si="52"/>
        <v>419.79058000000003</v>
      </c>
      <c r="K86" s="11" t="str">
        <f t="shared" si="56"/>
        <v>preço</v>
      </c>
      <c r="L86" s="20"/>
      <c r="M86" s="11"/>
      <c r="N86" s="16">
        <f t="shared" si="53"/>
        <v>18050.99494</v>
      </c>
      <c r="O86" s="16"/>
      <c r="P86" s="16"/>
      <c r="Q86" s="16"/>
      <c r="R86" s="16">
        <f t="shared" si="58"/>
        <v>18050.99494</v>
      </c>
      <c r="S86" s="16"/>
      <c r="T86" s="16"/>
      <c r="U86" s="16"/>
      <c r="V86" s="16"/>
      <c r="W86" s="16"/>
      <c r="X86" s="16"/>
      <c r="Y86" s="44"/>
    </row>
    <row r="87" spans="2:25" x14ac:dyDescent="0.2">
      <c r="B87" s="17" t="s">
        <v>30</v>
      </c>
      <c r="C87" s="22"/>
      <c r="D87" s="22">
        <f>544-D63-D66</f>
        <v>24</v>
      </c>
      <c r="E87" s="22" t="s">
        <v>90</v>
      </c>
      <c r="F87" s="22" t="s">
        <v>89</v>
      </c>
      <c r="G87" s="22">
        <v>-25</v>
      </c>
      <c r="H87" s="23">
        <f t="shared" si="57"/>
        <v>347.35</v>
      </c>
      <c r="I87" s="23"/>
      <c r="J87" s="23">
        <f t="shared" si="52"/>
        <v>426.40458000000001</v>
      </c>
      <c r="K87" s="22" t="str">
        <f t="shared" si="56"/>
        <v>preço</v>
      </c>
      <c r="L87" s="24"/>
      <c r="M87" s="22"/>
      <c r="N87" s="18">
        <f t="shared" si="53"/>
        <v>10233.709920000001</v>
      </c>
      <c r="O87" s="18"/>
      <c r="P87" s="18"/>
      <c r="Q87" s="18"/>
      <c r="R87" s="18">
        <f t="shared" si="58"/>
        <v>10233.709920000001</v>
      </c>
      <c r="S87" s="18"/>
      <c r="T87" s="18"/>
      <c r="U87" s="18"/>
      <c r="V87" s="18"/>
      <c r="W87" s="18"/>
      <c r="X87" s="18"/>
      <c r="Y87" s="44"/>
    </row>
    <row r="88" spans="2:25" x14ac:dyDescent="0.2">
      <c r="B88" s="9" t="s">
        <v>30</v>
      </c>
      <c r="C88" s="11"/>
      <c r="D88" s="11">
        <v>110</v>
      </c>
      <c r="E88" s="11" t="s">
        <v>79</v>
      </c>
      <c r="F88" s="11" t="s">
        <v>89</v>
      </c>
      <c r="G88" s="11">
        <v>-120</v>
      </c>
      <c r="H88" s="13">
        <f>H87</f>
        <v>347.35</v>
      </c>
      <c r="I88" s="13"/>
      <c r="J88" s="13">
        <f t="shared" si="52"/>
        <v>300.73858000000001</v>
      </c>
      <c r="K88" s="11" t="str">
        <f t="shared" si="56"/>
        <v>preço</v>
      </c>
      <c r="L88" s="20"/>
      <c r="M88" s="11"/>
      <c r="N88" s="16">
        <f t="shared" si="53"/>
        <v>33081.243800000004</v>
      </c>
      <c r="O88" s="16"/>
      <c r="P88" s="16"/>
      <c r="Q88" s="16"/>
      <c r="R88" s="16">
        <f t="shared" si="58"/>
        <v>33081.243800000004</v>
      </c>
      <c r="S88" s="16"/>
      <c r="T88" s="16"/>
      <c r="U88" s="16"/>
      <c r="V88" s="16"/>
      <c r="W88" s="16"/>
      <c r="X88" s="16"/>
      <c r="Y88" s="44"/>
    </row>
    <row r="89" spans="2:25" x14ac:dyDescent="0.2">
      <c r="B89" s="17" t="s">
        <v>30</v>
      </c>
      <c r="C89" s="22"/>
      <c r="D89" s="22">
        <f>1030-D69</f>
        <v>530</v>
      </c>
      <c r="E89" s="22" t="s">
        <v>80</v>
      </c>
      <c r="F89" s="22" t="s">
        <v>89</v>
      </c>
      <c r="G89" s="22">
        <v>-150</v>
      </c>
      <c r="H89" s="23">
        <f>H88</f>
        <v>347.35</v>
      </c>
      <c r="I89" s="23"/>
      <c r="J89" s="23">
        <f t="shared" si="52"/>
        <v>261.05458000000004</v>
      </c>
      <c r="K89" s="22" t="str">
        <f t="shared" si="56"/>
        <v>preço</v>
      </c>
      <c r="L89" s="24"/>
      <c r="M89" s="22"/>
      <c r="N89" s="18">
        <f t="shared" si="53"/>
        <v>138358.92740000002</v>
      </c>
      <c r="O89" s="18"/>
      <c r="P89" s="18"/>
      <c r="Q89" s="18"/>
      <c r="R89" s="18">
        <f t="shared" si="58"/>
        <v>138358.92740000002</v>
      </c>
      <c r="S89" s="18"/>
      <c r="T89" s="18"/>
      <c r="U89" s="18"/>
      <c r="V89" s="18"/>
      <c r="W89" s="18"/>
      <c r="X89" s="18"/>
      <c r="Y89" s="44"/>
    </row>
    <row r="90" spans="2:25" x14ac:dyDescent="0.2">
      <c r="B90" s="9" t="s">
        <v>30</v>
      </c>
      <c r="C90" s="11"/>
      <c r="D90" s="11">
        <v>540</v>
      </c>
      <c r="E90" s="11" t="s">
        <v>81</v>
      </c>
      <c r="F90" s="11" t="s">
        <v>89</v>
      </c>
      <c r="G90" s="11">
        <v>-80</v>
      </c>
      <c r="H90" s="13">
        <f>H89</f>
        <v>347.35</v>
      </c>
      <c r="I90" s="13"/>
      <c r="J90" s="13">
        <f t="shared" si="52"/>
        <v>353.65058000000005</v>
      </c>
      <c r="K90" s="11" t="str">
        <f t="shared" si="56"/>
        <v>preço</v>
      </c>
      <c r="L90" s="20"/>
      <c r="M90" s="11"/>
      <c r="N90" s="16">
        <f t="shared" si="53"/>
        <v>190971.31320000003</v>
      </c>
      <c r="O90" s="16"/>
      <c r="P90" s="16"/>
      <c r="Q90" s="16"/>
      <c r="R90" s="16">
        <f t="shared" si="58"/>
        <v>190971.31320000003</v>
      </c>
      <c r="S90" s="16"/>
      <c r="T90" s="16"/>
      <c r="U90" s="16"/>
      <c r="V90" s="16"/>
      <c r="W90" s="16"/>
      <c r="X90" s="16"/>
      <c r="Y90" s="44"/>
    </row>
    <row r="91" spans="2:25" x14ac:dyDescent="0.2">
      <c r="B91" s="3" t="s">
        <v>38</v>
      </c>
      <c r="C91" s="3"/>
      <c r="D91" s="5">
        <f>SUM(D78:D90)</f>
        <v>2098</v>
      </c>
      <c r="E91" s="5"/>
      <c r="F91" s="5"/>
      <c r="G91" s="5"/>
      <c r="H91" s="5"/>
      <c r="I91" s="5"/>
      <c r="J91" s="49"/>
      <c r="K91" s="5"/>
      <c r="L91" s="5"/>
      <c r="M91" s="5"/>
      <c r="N91" s="7">
        <f>SUM(N78:N90)</f>
        <v>733096.15684000007</v>
      </c>
      <c r="O91" s="7">
        <f t="shared" ref="O91:X91" si="59">SUM(O78:O90)</f>
        <v>0</v>
      </c>
      <c r="P91" s="7">
        <f t="shared" si="59"/>
        <v>0</v>
      </c>
      <c r="Q91" s="7">
        <f t="shared" si="59"/>
        <v>0</v>
      </c>
      <c r="R91" s="7">
        <f t="shared" si="59"/>
        <v>727503.09388000006</v>
      </c>
      <c r="S91" s="7">
        <f t="shared" si="59"/>
        <v>0</v>
      </c>
      <c r="T91" s="7">
        <f t="shared" si="59"/>
        <v>0</v>
      </c>
      <c r="U91" s="7">
        <f t="shared" si="59"/>
        <v>0</v>
      </c>
      <c r="V91" s="7">
        <f t="shared" si="59"/>
        <v>0</v>
      </c>
      <c r="W91" s="7">
        <f t="shared" si="59"/>
        <v>0</v>
      </c>
      <c r="X91" s="7">
        <f t="shared" si="59"/>
        <v>0</v>
      </c>
      <c r="Y91" s="45"/>
    </row>
    <row r="93" spans="2:25" x14ac:dyDescent="0.2">
      <c r="B93" s="9" t="s">
        <v>82</v>
      </c>
    </row>
    <row r="95" spans="2:25" x14ac:dyDescent="0.2">
      <c r="B95" s="40" t="s">
        <v>58</v>
      </c>
      <c r="C95" s="41"/>
      <c r="D95" s="41"/>
      <c r="E95" s="41"/>
      <c r="F95" s="41"/>
      <c r="G95" s="41"/>
      <c r="H95" s="41"/>
      <c r="I95" s="41"/>
      <c r="J95" s="41"/>
    </row>
    <row r="96" spans="2:25" x14ac:dyDescent="0.2">
      <c r="D96" s="34">
        <f>37500/60*0.4536</f>
        <v>283.5</v>
      </c>
      <c r="E96" s="34"/>
      <c r="F96" s="34"/>
    </row>
    <row r="97" spans="2:25" x14ac:dyDescent="0.2">
      <c r="B97" s="14" t="s">
        <v>16</v>
      </c>
      <c r="C97" s="14" t="s">
        <v>15</v>
      </c>
      <c r="D97" s="8" t="s">
        <v>14</v>
      </c>
      <c r="E97" s="8"/>
      <c r="F97" s="8"/>
      <c r="G97" s="8" t="s">
        <v>44</v>
      </c>
      <c r="H97" s="8" t="s">
        <v>22</v>
      </c>
      <c r="I97" s="8" t="s">
        <v>49</v>
      </c>
      <c r="J97" s="8" t="s">
        <v>48</v>
      </c>
      <c r="K97" s="8"/>
      <c r="L97" s="8" t="s">
        <v>50</v>
      </c>
      <c r="M97" s="8" t="s">
        <v>47</v>
      </c>
      <c r="N97" s="31" t="s">
        <v>19</v>
      </c>
      <c r="O97" s="15">
        <f t="shared" ref="O97:X97" si="60">O35</f>
        <v>45536</v>
      </c>
      <c r="P97" s="15">
        <f t="shared" si="60"/>
        <v>45566</v>
      </c>
      <c r="Q97" s="15">
        <f t="shared" si="60"/>
        <v>45597</v>
      </c>
      <c r="R97" s="15">
        <f t="shared" si="60"/>
        <v>45627</v>
      </c>
      <c r="S97" s="15">
        <f t="shared" si="60"/>
        <v>45658</v>
      </c>
      <c r="T97" s="15">
        <f t="shared" si="60"/>
        <v>45689</v>
      </c>
      <c r="U97" s="15">
        <f t="shared" si="60"/>
        <v>45717</v>
      </c>
      <c r="V97" s="15">
        <f t="shared" si="60"/>
        <v>45748</v>
      </c>
      <c r="W97" s="15">
        <f t="shared" si="60"/>
        <v>45778</v>
      </c>
      <c r="X97" s="15" t="str">
        <f t="shared" si="60"/>
        <v>em aberto</v>
      </c>
      <c r="Y97" s="43"/>
    </row>
    <row r="98" spans="2:25" x14ac:dyDescent="0.2">
      <c r="B98" s="9" t="s">
        <v>46</v>
      </c>
      <c r="C98" s="11" t="s">
        <v>43</v>
      </c>
      <c r="D98" s="21">
        <f t="shared" ref="D98:D104" si="61">$D$96*G98</f>
        <v>1304.0999999999999</v>
      </c>
      <c r="E98" s="21"/>
      <c r="F98" s="21"/>
      <c r="G98" s="13">
        <v>4.5999999999999996</v>
      </c>
      <c r="H98" s="13">
        <v>191.55</v>
      </c>
      <c r="I98" s="13">
        <v>241.4</v>
      </c>
      <c r="J98" s="11"/>
      <c r="K98" s="33"/>
      <c r="L98" s="35">
        <v>5.2268999999999997</v>
      </c>
      <c r="M98" s="33">
        <v>45405</v>
      </c>
      <c r="N98" s="36">
        <f t="shared" ref="N98:N104" si="62">IF(J98&gt;0,(H98*J98-I98*L98)*$J$34*D98,(H98-I98)*$J$34*L98*D98)/$G$9</f>
        <v>-73685.935251648873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44"/>
    </row>
    <row r="99" spans="2:25" x14ac:dyDescent="0.2">
      <c r="B99" s="9" t="s">
        <v>45</v>
      </c>
      <c r="C99" s="11" t="s">
        <v>42</v>
      </c>
      <c r="D99" s="21">
        <f t="shared" si="61"/>
        <v>567</v>
      </c>
      <c r="E99" s="21"/>
      <c r="F99" s="21"/>
      <c r="G99" s="13">
        <v>2</v>
      </c>
      <c r="H99" s="13">
        <v>226.05</v>
      </c>
      <c r="I99" s="13">
        <v>239.9</v>
      </c>
      <c r="J99" s="11"/>
      <c r="K99" s="33"/>
      <c r="L99" s="35">
        <v>5.4650999999999996</v>
      </c>
      <c r="M99" s="33">
        <v>45520</v>
      </c>
      <c r="N99" s="36">
        <f t="shared" si="62"/>
        <v>-9306.6910392009795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44"/>
    </row>
    <row r="100" spans="2:25" x14ac:dyDescent="0.2">
      <c r="B100" s="9" t="s">
        <v>45</v>
      </c>
      <c r="C100" s="11">
        <v>507185025</v>
      </c>
      <c r="D100" s="21">
        <f t="shared" si="61"/>
        <v>3118.5</v>
      </c>
      <c r="E100" s="21"/>
      <c r="F100" s="21"/>
      <c r="G100" s="13">
        <v>11</v>
      </c>
      <c r="H100" s="13">
        <v>183.6</v>
      </c>
      <c r="I100" s="11">
        <v>263.55</v>
      </c>
      <c r="J100" s="11">
        <v>4.9850000000000003</v>
      </c>
      <c r="K100" s="33"/>
      <c r="L100" s="35">
        <v>5.7694000000000001</v>
      </c>
      <c r="M100" s="33">
        <v>45608</v>
      </c>
      <c r="N100" s="36">
        <f t="shared" si="62"/>
        <v>-409322.83322268305</v>
      </c>
      <c r="O100" s="11"/>
      <c r="P100" s="11"/>
      <c r="Q100" s="37">
        <f>N100</f>
        <v>-409322.83322268305</v>
      </c>
      <c r="R100" s="11"/>
      <c r="S100" s="11"/>
      <c r="T100" s="11"/>
      <c r="U100" s="11"/>
      <c r="V100" s="11"/>
      <c r="W100" s="11"/>
      <c r="X100" s="11"/>
      <c r="Y100" s="44"/>
    </row>
    <row r="101" spans="2:25" x14ac:dyDescent="0.2">
      <c r="B101" s="9" t="s">
        <v>45</v>
      </c>
      <c r="C101" s="11">
        <v>507224803</v>
      </c>
      <c r="D101" s="21">
        <f t="shared" si="61"/>
        <v>5103</v>
      </c>
      <c r="E101" s="21"/>
      <c r="F101" s="21"/>
      <c r="G101" s="13">
        <v>18</v>
      </c>
      <c r="H101" s="13">
        <v>158.4</v>
      </c>
      <c r="I101" s="11">
        <v>263.55</v>
      </c>
      <c r="J101" s="11">
        <v>4.9850000000000003</v>
      </c>
      <c r="K101" s="33"/>
      <c r="L101" s="35">
        <v>5.7694000000000001</v>
      </c>
      <c r="M101" s="33">
        <v>45608</v>
      </c>
      <c r="N101" s="36">
        <f t="shared" si="62"/>
        <v>-808814.0661311982</v>
      </c>
      <c r="O101" s="11"/>
      <c r="P101" s="11"/>
      <c r="Q101" s="37">
        <f>N101</f>
        <v>-808814.0661311982</v>
      </c>
      <c r="R101" s="11"/>
      <c r="S101" s="11"/>
      <c r="T101" s="11"/>
      <c r="U101" s="11"/>
      <c r="V101" s="11"/>
      <c r="W101" s="11"/>
      <c r="X101" s="11"/>
      <c r="Y101" s="44"/>
    </row>
    <row r="102" spans="2:25" x14ac:dyDescent="0.2">
      <c r="B102" s="9" t="s">
        <v>46</v>
      </c>
      <c r="C102" s="11">
        <v>43136</v>
      </c>
      <c r="D102" s="21">
        <f t="shared" si="61"/>
        <v>640.70999999999992</v>
      </c>
      <c r="E102" s="21"/>
      <c r="F102" s="21"/>
      <c r="G102" s="13">
        <v>2.2599999999999998</v>
      </c>
      <c r="H102" s="13">
        <v>245</v>
      </c>
      <c r="I102" s="11">
        <v>251.05</v>
      </c>
      <c r="J102" s="11"/>
      <c r="K102" s="33"/>
      <c r="L102" s="35">
        <v>5.726</v>
      </c>
      <c r="M102" s="33">
        <v>45615</v>
      </c>
      <c r="N102" s="36">
        <f t="shared" si="62"/>
        <v>-4813.1851924676148</v>
      </c>
      <c r="O102" s="11"/>
      <c r="P102" s="11"/>
      <c r="Q102" s="37">
        <f>N102</f>
        <v>-4813.1851924676148</v>
      </c>
      <c r="R102" s="11"/>
      <c r="S102" s="11"/>
      <c r="T102" s="11"/>
      <c r="U102" s="11"/>
      <c r="V102" s="11"/>
      <c r="W102" s="11"/>
      <c r="X102" s="11"/>
      <c r="Y102" s="44"/>
    </row>
    <row r="103" spans="2:25" x14ac:dyDescent="0.2">
      <c r="B103" s="9" t="s">
        <v>46</v>
      </c>
      <c r="C103" s="11">
        <v>44564</v>
      </c>
      <c r="D103" s="21">
        <f t="shared" si="61"/>
        <v>320.35499999999996</v>
      </c>
      <c r="E103" s="21"/>
      <c r="F103" s="21"/>
      <c r="G103" s="13">
        <v>1.1299999999999999</v>
      </c>
      <c r="H103" s="13">
        <v>231.1</v>
      </c>
      <c r="I103" s="11">
        <v>251.05</v>
      </c>
      <c r="J103" s="11"/>
      <c r="K103" s="33"/>
      <c r="L103" s="35">
        <v>5.726</v>
      </c>
      <c r="M103" s="33">
        <v>45615</v>
      </c>
      <c r="N103" s="36">
        <f t="shared" si="62"/>
        <v>-7935.7888090684983</v>
      </c>
      <c r="O103" s="11"/>
      <c r="P103" s="11"/>
      <c r="Q103" s="37">
        <f>N103</f>
        <v>-7935.7888090684983</v>
      </c>
      <c r="R103" s="11"/>
      <c r="S103" s="11"/>
      <c r="T103" s="11"/>
      <c r="U103" s="11"/>
      <c r="V103" s="11"/>
      <c r="W103" s="11"/>
      <c r="X103" s="11"/>
      <c r="Y103" s="44"/>
    </row>
    <row r="104" spans="2:25" x14ac:dyDescent="0.2">
      <c r="B104" s="9" t="s">
        <v>46</v>
      </c>
      <c r="C104" s="11">
        <v>47900</v>
      </c>
      <c r="D104" s="21">
        <f t="shared" si="61"/>
        <v>640.70999999999992</v>
      </c>
      <c r="E104" s="21"/>
      <c r="F104" s="21"/>
      <c r="G104" s="13">
        <v>2.2599999999999998</v>
      </c>
      <c r="H104" s="13">
        <v>243.16</v>
      </c>
      <c r="I104" s="11">
        <v>280.75</v>
      </c>
      <c r="J104" s="11"/>
      <c r="K104" s="33"/>
      <c r="L104" s="35">
        <v>5.7603</v>
      </c>
      <c r="M104" s="33">
        <v>45615</v>
      </c>
      <c r="N104" s="36">
        <f t="shared" si="62"/>
        <v>-30084.533505748564</v>
      </c>
      <c r="O104" s="11"/>
      <c r="P104" s="11"/>
      <c r="Q104" s="37">
        <f>N104</f>
        <v>-30084.533505748564</v>
      </c>
      <c r="R104" s="11"/>
      <c r="S104" s="11"/>
      <c r="T104" s="11"/>
      <c r="U104" s="11"/>
      <c r="V104" s="11"/>
      <c r="W104" s="11"/>
      <c r="X104" s="11"/>
      <c r="Y104" s="44"/>
    </row>
    <row r="105" spans="2:25" x14ac:dyDescent="0.2">
      <c r="B105" s="3" t="s">
        <v>60</v>
      </c>
      <c r="C105" s="3"/>
      <c r="D105" s="4">
        <f>SUM(D98:D104)</f>
        <v>11694.374999999998</v>
      </c>
      <c r="E105" s="4"/>
      <c r="F105" s="4"/>
      <c r="G105" s="5"/>
      <c r="H105" s="5"/>
      <c r="I105" s="5"/>
      <c r="J105" s="5"/>
      <c r="K105" s="5"/>
      <c r="L105" s="5"/>
      <c r="M105" s="5"/>
      <c r="N105" s="7">
        <f t="shared" ref="N105" si="63">SUM(N95:N104)</f>
        <v>-1343963.0331520159</v>
      </c>
      <c r="O105" s="7"/>
      <c r="P105" s="7"/>
      <c r="Q105" s="7">
        <f t="shared" ref="Q105" si="64">SUM(Q95:Q104)</f>
        <v>-1215373.406861166</v>
      </c>
      <c r="R105" s="7"/>
      <c r="S105" s="7"/>
      <c r="T105" s="7"/>
      <c r="U105" s="7"/>
      <c r="V105" s="7"/>
      <c r="W105" s="7"/>
      <c r="X105" s="7"/>
      <c r="Y105" s="44"/>
    </row>
    <row r="106" spans="2:25" x14ac:dyDescent="0.2">
      <c r="B106" s="1"/>
      <c r="C106" s="1"/>
      <c r="D106" s="2"/>
      <c r="E106" s="2"/>
      <c r="F106" s="2"/>
      <c r="G106" s="6"/>
      <c r="H106" s="6"/>
      <c r="I106" s="6"/>
      <c r="J106" s="6"/>
      <c r="K106" s="6"/>
      <c r="L106" s="11" t="s">
        <v>39</v>
      </c>
      <c r="M106" s="47" t="s">
        <v>33</v>
      </c>
      <c r="N106" s="19">
        <f t="shared" ref="N106:X106" si="65">N105*$G$9</f>
        <v>-8198174.5022272961</v>
      </c>
      <c r="O106" s="19">
        <f t="shared" si="65"/>
        <v>0</v>
      </c>
      <c r="P106" s="19">
        <f t="shared" si="65"/>
        <v>0</v>
      </c>
      <c r="Q106" s="19">
        <f t="shared" si="65"/>
        <v>-7413777.7818531124</v>
      </c>
      <c r="R106" s="19">
        <f t="shared" si="65"/>
        <v>0</v>
      </c>
      <c r="S106" s="19">
        <f t="shared" si="65"/>
        <v>0</v>
      </c>
      <c r="T106" s="19">
        <f t="shared" si="65"/>
        <v>0</v>
      </c>
      <c r="U106" s="19">
        <f t="shared" si="65"/>
        <v>0</v>
      </c>
      <c r="V106" s="19">
        <f t="shared" si="65"/>
        <v>0</v>
      </c>
      <c r="W106" s="19">
        <f t="shared" si="65"/>
        <v>0</v>
      </c>
      <c r="X106" s="19">
        <f t="shared" si="65"/>
        <v>0</v>
      </c>
    </row>
    <row r="107" spans="2:25" x14ac:dyDescent="0.2">
      <c r="B107" s="40" t="s">
        <v>59</v>
      </c>
      <c r="C107" s="42"/>
      <c r="D107" s="42"/>
      <c r="E107" s="42"/>
      <c r="F107" s="42"/>
      <c r="G107" s="42"/>
      <c r="H107" s="42"/>
      <c r="I107" s="41"/>
      <c r="J107" s="42"/>
      <c r="K107" s="33"/>
      <c r="M107" s="33"/>
      <c r="N107" s="36"/>
      <c r="O107" s="11"/>
      <c r="P107" s="11"/>
      <c r="Q107" s="37"/>
      <c r="R107" s="11"/>
      <c r="S107" s="11"/>
      <c r="T107" s="11"/>
      <c r="U107" s="11"/>
      <c r="V107" s="11"/>
      <c r="W107" s="11"/>
      <c r="X107" s="11"/>
      <c r="Y107" s="44"/>
    </row>
    <row r="108" spans="2:25" x14ac:dyDescent="0.2">
      <c r="C108" s="11"/>
      <c r="D108" s="21"/>
      <c r="E108" s="21"/>
      <c r="F108" s="21"/>
      <c r="G108" s="13"/>
      <c r="H108" s="11"/>
      <c r="I108" s="11"/>
      <c r="J108" s="11"/>
      <c r="K108" s="33"/>
      <c r="L108" s="11"/>
      <c r="M108" s="33"/>
      <c r="N108" s="36"/>
      <c r="O108" s="11"/>
      <c r="P108" s="11"/>
      <c r="Q108" s="37"/>
      <c r="R108" s="11"/>
      <c r="S108" s="11"/>
      <c r="T108" s="11"/>
      <c r="U108" s="11"/>
      <c r="V108" s="11"/>
      <c r="W108" s="11"/>
      <c r="X108" s="11"/>
      <c r="Y108" s="44"/>
    </row>
    <row r="109" spans="2:25" x14ac:dyDescent="0.2">
      <c r="B109" s="9" t="s">
        <v>46</v>
      </c>
      <c r="C109" s="11"/>
      <c r="D109" s="21">
        <f t="shared" ref="D109:D114" si="66">$D$96*G109</f>
        <v>961.06500000000005</v>
      </c>
      <c r="E109" s="21"/>
      <c r="F109" s="21"/>
      <c r="G109" s="13">
        <v>3.39</v>
      </c>
      <c r="H109" s="13">
        <v>293.60000000000002</v>
      </c>
      <c r="I109" s="13">
        <f>C6</f>
        <v>345.4</v>
      </c>
      <c r="J109" s="11"/>
      <c r="K109" s="33"/>
      <c r="L109" s="35">
        <f>L110</f>
        <v>6.1</v>
      </c>
      <c r="M109" s="33">
        <v>45708</v>
      </c>
      <c r="N109" s="36">
        <f t="shared" ref="N109:N114" si="67">IF(J109&gt;0,(H109*J109-I109*L109)*$J$34*D109,(H109-I109)*$J$34*L109*D109)/$G$9</f>
        <v>-65853.173307599951</v>
      </c>
      <c r="O109" s="11"/>
      <c r="P109" s="11"/>
      <c r="Q109" s="37"/>
      <c r="R109" s="11"/>
      <c r="S109" s="11"/>
      <c r="T109" s="37">
        <f>N109</f>
        <v>-65853.173307599951</v>
      </c>
      <c r="U109" s="37"/>
      <c r="V109" s="11"/>
      <c r="W109" s="11"/>
      <c r="X109" s="11"/>
      <c r="Y109" s="44"/>
    </row>
    <row r="110" spans="2:25" x14ac:dyDescent="0.2">
      <c r="B110" s="9" t="s">
        <v>46</v>
      </c>
      <c r="C110" s="11">
        <v>47898</v>
      </c>
      <c r="D110" s="21">
        <f t="shared" si="66"/>
        <v>1601.7750000000001</v>
      </c>
      <c r="E110" s="21"/>
      <c r="F110" s="21"/>
      <c r="G110" s="13">
        <v>5.65</v>
      </c>
      <c r="H110" s="13">
        <v>240.91</v>
      </c>
      <c r="I110" s="13">
        <f>C6</f>
        <v>345.4</v>
      </c>
      <c r="J110" s="11"/>
      <c r="K110" s="33"/>
      <c r="L110" s="35">
        <f>G9</f>
        <v>6.1</v>
      </c>
      <c r="M110" s="33">
        <v>45708</v>
      </c>
      <c r="N110" s="36">
        <f t="shared" si="67"/>
        <v>-221396.33458529998</v>
      </c>
      <c r="O110" s="11"/>
      <c r="P110" s="11"/>
      <c r="Q110" s="11"/>
      <c r="R110" s="11"/>
      <c r="S110" s="11"/>
      <c r="T110" s="37">
        <f>N110</f>
        <v>-221396.33458529998</v>
      </c>
      <c r="U110" s="11"/>
      <c r="V110" s="11"/>
      <c r="W110" s="11"/>
      <c r="X110" s="11"/>
      <c r="Y110" s="44"/>
    </row>
    <row r="111" spans="2:25" x14ac:dyDescent="0.2">
      <c r="B111" s="9" t="s">
        <v>46</v>
      </c>
      <c r="C111" s="11">
        <v>47899</v>
      </c>
      <c r="D111" s="21">
        <f t="shared" si="66"/>
        <v>640.70999999999992</v>
      </c>
      <c r="E111" s="21"/>
      <c r="F111" s="21"/>
      <c r="G111" s="13">
        <v>2.2599999999999998</v>
      </c>
      <c r="H111" s="13">
        <v>238.17</v>
      </c>
      <c r="I111" s="13">
        <f>C7</f>
        <v>342.85</v>
      </c>
      <c r="J111" s="11"/>
      <c r="K111" s="33"/>
      <c r="L111" s="35">
        <f>L110</f>
        <v>6.1</v>
      </c>
      <c r="M111" s="33">
        <v>45769</v>
      </c>
      <c r="N111" s="36">
        <f t="shared" si="67"/>
        <v>-88719.564759840025</v>
      </c>
      <c r="O111" s="11"/>
      <c r="P111" s="11"/>
      <c r="Q111" s="11"/>
      <c r="R111" s="11"/>
      <c r="S111" s="11"/>
      <c r="T111" s="11"/>
      <c r="U111" s="11"/>
      <c r="V111" s="37">
        <f>N111</f>
        <v>-88719.564759840025</v>
      </c>
      <c r="W111" s="11"/>
      <c r="X111" s="11"/>
      <c r="Y111" s="44"/>
    </row>
    <row r="112" spans="2:25" x14ac:dyDescent="0.2">
      <c r="B112" s="9" t="s">
        <v>46</v>
      </c>
      <c r="C112" s="11">
        <v>25852</v>
      </c>
      <c r="D112" s="21">
        <f t="shared" si="66"/>
        <v>5017.95</v>
      </c>
      <c r="E112" s="21"/>
      <c r="F112" s="21"/>
      <c r="G112" s="13">
        <v>17.7</v>
      </c>
      <c r="H112" s="13">
        <v>179</v>
      </c>
      <c r="I112" s="13">
        <f>F7</f>
        <v>316.14999999999998</v>
      </c>
      <c r="J112" s="11"/>
      <c r="K112" s="33"/>
      <c r="L112" s="35">
        <f>L111</f>
        <v>6.1</v>
      </c>
      <c r="M112" s="33">
        <v>45973</v>
      </c>
      <c r="N112" s="36">
        <f t="shared" si="67"/>
        <v>-910366.62525899988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37">
        <f>N112</f>
        <v>-910366.62525899988</v>
      </c>
      <c r="Y112" s="44"/>
    </row>
    <row r="113" spans="2:25" x14ac:dyDescent="0.2">
      <c r="B113" s="9" t="s">
        <v>45</v>
      </c>
      <c r="C113" s="11">
        <v>507931308</v>
      </c>
      <c r="D113" s="21">
        <f t="shared" si="66"/>
        <v>1984.5</v>
      </c>
      <c r="E113" s="21"/>
      <c r="F113" s="21"/>
      <c r="G113" s="13">
        <v>7</v>
      </c>
      <c r="H113" s="13">
        <v>196.1</v>
      </c>
      <c r="I113" s="13">
        <f>I112</f>
        <v>316.14999999999998</v>
      </c>
      <c r="J113" s="11"/>
      <c r="K113" s="33"/>
      <c r="L113" s="35">
        <f>L112</f>
        <v>6.1</v>
      </c>
      <c r="M113" s="33">
        <v>45973</v>
      </c>
      <c r="N113" s="36">
        <f t="shared" si="67"/>
        <v>-315142.84682999999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37">
        <f>N113</f>
        <v>-315142.84682999999</v>
      </c>
      <c r="Y113" s="44"/>
    </row>
    <row r="114" spans="2:25" x14ac:dyDescent="0.2">
      <c r="B114" s="9" t="s">
        <v>46</v>
      </c>
      <c r="C114" s="11">
        <v>47616</v>
      </c>
      <c r="D114" s="21">
        <f t="shared" si="66"/>
        <v>3005.1</v>
      </c>
      <c r="E114" s="21"/>
      <c r="F114" s="21"/>
      <c r="G114" s="13">
        <v>10.6</v>
      </c>
      <c r="H114" s="13">
        <v>222.2</v>
      </c>
      <c r="I114" s="13">
        <f>I113</f>
        <v>316.14999999999998</v>
      </c>
      <c r="J114" s="11"/>
      <c r="K114" s="33"/>
      <c r="L114" s="35">
        <f>L113</f>
        <v>6.1</v>
      </c>
      <c r="M114" s="33">
        <v>45980</v>
      </c>
      <c r="N114" s="36">
        <f t="shared" si="67"/>
        <v>-373464.99300599995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37">
        <f>N114</f>
        <v>-373464.99300599995</v>
      </c>
      <c r="Y114" s="44"/>
    </row>
    <row r="115" spans="2:25" x14ac:dyDescent="0.2">
      <c r="B115" s="3" t="s">
        <v>61</v>
      </c>
      <c r="C115" s="3"/>
      <c r="D115" s="4">
        <f>SUM(D110:D114)</f>
        <v>12250.035</v>
      </c>
      <c r="E115" s="4"/>
      <c r="F115" s="4"/>
      <c r="G115" s="5"/>
      <c r="H115" s="5"/>
      <c r="I115" s="48"/>
      <c r="J115" s="5"/>
      <c r="K115" s="5"/>
      <c r="L115" s="5"/>
      <c r="M115" s="5"/>
      <c r="N115" s="7">
        <f>SUM(N108:N114)</f>
        <v>-1974943.5377477398</v>
      </c>
      <c r="O115" s="7"/>
      <c r="P115" s="7"/>
      <c r="Q115" s="7"/>
      <c r="R115" s="7"/>
      <c r="S115" s="7"/>
      <c r="T115" s="7">
        <f>SUM(T108:T114)</f>
        <v>-287249.50789289991</v>
      </c>
      <c r="U115" s="7"/>
      <c r="V115" s="7">
        <f>SUM(V108:V114)</f>
        <v>-88719.564759840025</v>
      </c>
      <c r="W115" s="7"/>
      <c r="X115" s="7">
        <f>SUM(X108:X114)</f>
        <v>-1598974.4650949999</v>
      </c>
      <c r="Y115" s="44"/>
    </row>
    <row r="116" spans="2:25" x14ac:dyDescent="0.2">
      <c r="L116" s="11" t="s">
        <v>39</v>
      </c>
      <c r="M116" s="47" t="s">
        <v>33</v>
      </c>
      <c r="N116" s="19">
        <f t="shared" ref="N116:X116" si="68">N115*$G$9</f>
        <v>-12047155.580261212</v>
      </c>
      <c r="O116" s="19">
        <f t="shared" si="68"/>
        <v>0</v>
      </c>
      <c r="P116" s="19">
        <f t="shared" si="68"/>
        <v>0</v>
      </c>
      <c r="Q116" s="19">
        <f t="shared" si="68"/>
        <v>0</v>
      </c>
      <c r="R116" s="19">
        <f t="shared" si="68"/>
        <v>0</v>
      </c>
      <c r="S116" s="19">
        <f t="shared" si="68"/>
        <v>0</v>
      </c>
      <c r="T116" s="19">
        <f t="shared" si="68"/>
        <v>-1752221.9981466893</v>
      </c>
      <c r="U116" s="19">
        <f t="shared" si="68"/>
        <v>0</v>
      </c>
      <c r="V116" s="19">
        <f t="shared" si="68"/>
        <v>-541189.3450350241</v>
      </c>
      <c r="W116" s="19">
        <f t="shared" si="68"/>
        <v>0</v>
      </c>
      <c r="X116" s="19">
        <f t="shared" si="68"/>
        <v>-9753744.2370794993</v>
      </c>
      <c r="Y116" s="44"/>
    </row>
    <row r="117" spans="2:25" x14ac:dyDescent="0.2">
      <c r="B117" s="9" t="s">
        <v>71</v>
      </c>
      <c r="Y117" s="44"/>
    </row>
    <row r="118" spans="2:25" x14ac:dyDescent="0.2">
      <c r="Y118" s="44"/>
    </row>
    <row r="119" spans="2:25" x14ac:dyDescent="0.2">
      <c r="Y119" s="44"/>
    </row>
    <row r="120" spans="2:25" x14ac:dyDescent="0.2">
      <c r="I120" s="38"/>
      <c r="J120" s="38"/>
      <c r="Y120" s="44"/>
    </row>
    <row r="121" spans="2:25" x14ac:dyDescent="0.2">
      <c r="J121" s="38"/>
      <c r="Y121" s="44"/>
    </row>
    <row r="122" spans="2:25" x14ac:dyDescent="0.2">
      <c r="Y122" s="44"/>
    </row>
    <row r="123" spans="2:25" x14ac:dyDescent="0.2">
      <c r="Y123" s="44"/>
    </row>
    <row r="124" spans="2:25" x14ac:dyDescent="0.2">
      <c r="Y124" s="44"/>
    </row>
    <row r="125" spans="2:25" x14ac:dyDescent="0.2">
      <c r="Y125" s="44"/>
    </row>
    <row r="126" spans="2:25" x14ac:dyDescent="0.2">
      <c r="Y126" s="44"/>
    </row>
    <row r="127" spans="2:25" x14ac:dyDescent="0.2">
      <c r="Y127" s="44"/>
    </row>
    <row r="128" spans="2:25" x14ac:dyDescent="0.2">
      <c r="Y128" s="44"/>
    </row>
    <row r="129" spans="25:25" x14ac:dyDescent="0.2">
      <c r="Y129" s="44"/>
    </row>
    <row r="130" spans="25:25" x14ac:dyDescent="0.2">
      <c r="Y130" s="44"/>
    </row>
    <row r="131" spans="25:25" x14ac:dyDescent="0.2">
      <c r="Y131" s="44"/>
    </row>
    <row r="132" spans="25:25" x14ac:dyDescent="0.2">
      <c r="Y132" s="44"/>
    </row>
    <row r="133" spans="25:25" x14ac:dyDescent="0.2">
      <c r="Y133" s="45"/>
    </row>
    <row r="134" spans="25:25" x14ac:dyDescent="0.2">
      <c r="Y134" s="45"/>
    </row>
  </sheetData>
  <pageMargins left="0.7" right="0.7" top="0.75" bottom="0.75" header="0.3" footer="0.3"/>
  <pageSetup paperSize="9" scale="43" fitToHeight="4" orientation="landscape" horizontalDpi="0" verticalDpi="0"/>
  <ignoredErrors>
    <ignoredError sqref="C23 E22:G22 C20:D20 E20:F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2024-12-04T18:06:43Z</cp:lastPrinted>
  <dcterms:created xsi:type="dcterms:W3CDTF">2024-11-20T00:40:58Z</dcterms:created>
  <dcterms:modified xsi:type="dcterms:W3CDTF">2024-12-10T12:29:48Z</dcterms:modified>
</cp:coreProperties>
</file>