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rotocastro/PycharmProjects/Vendas Cafe/"/>
    </mc:Choice>
  </mc:AlternateContent>
  <xr:revisionPtr revIDLastSave="0" documentId="13_ncr:1_{C73A411C-EE9C-0740-851E-9D36DE4223F6}" xr6:coauthVersionLast="47" xr6:coauthVersionMax="47" xr10:uidLastSave="{00000000-0000-0000-0000-000000000000}"/>
  <bookViews>
    <workbookView xWindow="140" yWindow="740" windowWidth="29100" windowHeight="18240" xr2:uid="{AC82ADC5-E628-F847-8939-89BAF5623AE6}"/>
  </bookViews>
  <sheets>
    <sheet name="Sheet2" sheetId="2" r:id="rId1"/>
    <sheet name="VENDA CAFÉ 220125" sheetId="7" state="hidden" r:id="rId2"/>
    <sheet name="DU-E" sheetId="8" state="hidden" r:id="rId3"/>
    <sheet name="vendas" sheetId="1" r:id="rId4"/>
    <sheet name="charge" sheetId="4" r:id="rId5"/>
    <sheet name="painel" sheetId="12" r:id="rId6"/>
    <sheet name="hedgedez25" sheetId="10" state="hidden" r:id="rId7"/>
    <sheet name="CashFlow_Edson_Luiz" sheetId="3" state="hidden" r:id="rId8"/>
  </sheets>
  <definedNames>
    <definedName name="_xlnm._FilterDatabase" localSheetId="4" hidden="1">charge!$B$3:$M$36</definedName>
    <definedName name="_xlnm._FilterDatabase" localSheetId="5" hidden="1">painel!#REF!</definedName>
    <definedName name="_xlnm._FilterDatabase" localSheetId="1" hidden="1">'VENDA CAFÉ 220125'!$A$3:$Z$61</definedName>
    <definedName name="LITRAGEM" localSheetId="6">#REF!</definedName>
    <definedName name="LITRAGEM" localSheetId="1">#REF!</definedName>
    <definedName name="LITRAGEM">#REF!</definedName>
    <definedName name="_xlnm.Print_Area" localSheetId="1">'VENDA CAFÉ 220125'!$A$1:$S$69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C23" i="2"/>
  <c r="C24" i="2"/>
  <c r="C25" i="2"/>
  <c r="C26" i="2"/>
  <c r="C27" i="2"/>
  <c r="C28" i="2"/>
  <c r="C29" i="2"/>
  <c r="C30" i="2"/>
  <c r="C31" i="2"/>
  <c r="C32" i="2"/>
  <c r="C22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D1" i="2"/>
  <c r="E1" i="2"/>
  <c r="F1" i="2"/>
  <c r="G1" i="2"/>
  <c r="H1" i="2"/>
  <c r="I1" i="2"/>
  <c r="J1" i="2"/>
  <c r="K1" i="2"/>
  <c r="L1" i="2"/>
  <c r="M1" i="2"/>
  <c r="O1" i="2"/>
  <c r="P1" i="2"/>
  <c r="Q1" i="2"/>
  <c r="R1" i="2"/>
  <c r="S1" i="2"/>
  <c r="T1" i="2"/>
  <c r="U1" i="2"/>
  <c r="V1" i="2"/>
  <c r="W1" i="2"/>
  <c r="X1" i="2"/>
  <c r="Y1" i="2"/>
  <c r="C1" i="2"/>
  <c r="C2" i="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3" i="12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48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47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I48" i="4"/>
  <c r="I47" i="4"/>
  <c r="J47" i="4" s="1"/>
  <c r="C48" i="4"/>
  <c r="C47" i="4"/>
  <c r="L47" i="4"/>
  <c r="K46" i="4"/>
  <c r="I46" i="4"/>
  <c r="J46" i="4" s="1"/>
  <c r="L46" i="4"/>
  <c r="M46" i="4" s="1"/>
  <c r="C46" i="4"/>
  <c r="G45" i="4"/>
  <c r="G44" i="4"/>
  <c r="G43" i="4"/>
  <c r="J43" i="4" s="1"/>
  <c r="M43" i="4" s="1"/>
  <c r="G42" i="4"/>
  <c r="J42" i="4" s="1"/>
  <c r="L45" i="4"/>
  <c r="K45" i="4"/>
  <c r="I45" i="4"/>
  <c r="J45" i="4" s="1"/>
  <c r="C45" i="4"/>
  <c r="L44" i="4"/>
  <c r="K44" i="4"/>
  <c r="I44" i="4"/>
  <c r="J44" i="4"/>
  <c r="C44" i="4"/>
  <c r="L43" i="4"/>
  <c r="K43" i="4"/>
  <c r="I43" i="4"/>
  <c r="C43" i="4"/>
  <c r="L42" i="4"/>
  <c r="K42" i="4"/>
  <c r="I42" i="4"/>
  <c r="C42" i="4"/>
  <c r="L41" i="4"/>
  <c r="K41" i="4"/>
  <c r="I41" i="4"/>
  <c r="J41" i="4" s="1"/>
  <c r="C41" i="4"/>
  <c r="L40" i="4"/>
  <c r="K40" i="4"/>
  <c r="I40" i="4"/>
  <c r="J40" i="4" s="1"/>
  <c r="C40" i="4"/>
  <c r="L39" i="4"/>
  <c r="K39" i="4"/>
  <c r="I39" i="4"/>
  <c r="J39" i="4" s="1"/>
  <c r="C39" i="4"/>
  <c r="L38" i="4"/>
  <c r="M38" i="4" s="1"/>
  <c r="K38" i="4"/>
  <c r="I38" i="4"/>
  <c r="J38" i="4" s="1"/>
  <c r="C38" i="4"/>
  <c r="L37" i="4"/>
  <c r="I5" i="4"/>
  <c r="I6" i="4"/>
  <c r="I7" i="4"/>
  <c r="I8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J27" i="4" s="1"/>
  <c r="I28" i="4"/>
  <c r="I29" i="4"/>
  <c r="I30" i="4"/>
  <c r="I31" i="4"/>
  <c r="J31" i="4" s="1"/>
  <c r="I32" i="4"/>
  <c r="I33" i="4"/>
  <c r="I34" i="4"/>
  <c r="I35" i="4"/>
  <c r="I36" i="4"/>
  <c r="I37" i="4"/>
  <c r="J37" i="4" s="1"/>
  <c r="I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4" i="4"/>
  <c r="C37" i="4"/>
  <c r="Q4" i="12"/>
  <c r="R4" i="12"/>
  <c r="Q5" i="12"/>
  <c r="R5" i="12"/>
  <c r="Q6" i="12"/>
  <c r="R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R3" i="12"/>
  <c r="Q3" i="12"/>
  <c r="H4" i="12"/>
  <c r="I4" i="12"/>
  <c r="J4" i="12"/>
  <c r="K4" i="12"/>
  <c r="L4" i="12"/>
  <c r="M4" i="12"/>
  <c r="N4" i="12"/>
  <c r="O4" i="12"/>
  <c r="H5" i="12"/>
  <c r="I5" i="12"/>
  <c r="J5" i="12"/>
  <c r="K5" i="12"/>
  <c r="L5" i="12"/>
  <c r="M5" i="12"/>
  <c r="N5" i="12"/>
  <c r="O5" i="12"/>
  <c r="H6" i="12"/>
  <c r="I6" i="12"/>
  <c r="J6" i="12"/>
  <c r="K6" i="12"/>
  <c r="L6" i="12"/>
  <c r="M6" i="12"/>
  <c r="N6" i="12"/>
  <c r="O6" i="12"/>
  <c r="H7" i="12"/>
  <c r="I7" i="12"/>
  <c r="J7" i="12"/>
  <c r="K7" i="12"/>
  <c r="L7" i="12"/>
  <c r="M7" i="12"/>
  <c r="N7" i="12"/>
  <c r="O7" i="12"/>
  <c r="H8" i="12"/>
  <c r="I8" i="12"/>
  <c r="J8" i="12"/>
  <c r="K8" i="12"/>
  <c r="L8" i="12"/>
  <c r="M8" i="12"/>
  <c r="N8" i="12"/>
  <c r="O8" i="12"/>
  <c r="H9" i="12"/>
  <c r="I9" i="12"/>
  <c r="J9" i="12"/>
  <c r="K9" i="12"/>
  <c r="L9" i="12"/>
  <c r="M9" i="12"/>
  <c r="N9" i="12"/>
  <c r="O9" i="12"/>
  <c r="H10" i="12"/>
  <c r="I10" i="12"/>
  <c r="J10" i="12"/>
  <c r="K10" i="12"/>
  <c r="L10" i="12"/>
  <c r="M10" i="12"/>
  <c r="N10" i="12"/>
  <c r="O10" i="12"/>
  <c r="H11" i="12"/>
  <c r="I11" i="12"/>
  <c r="J11" i="12"/>
  <c r="K11" i="12"/>
  <c r="L11" i="12"/>
  <c r="M11" i="12"/>
  <c r="N11" i="12"/>
  <c r="O11" i="12"/>
  <c r="H12" i="12"/>
  <c r="I12" i="12"/>
  <c r="J12" i="12"/>
  <c r="K12" i="12"/>
  <c r="L12" i="12"/>
  <c r="M12" i="12"/>
  <c r="N12" i="12"/>
  <c r="O12" i="12"/>
  <c r="H13" i="12"/>
  <c r="I13" i="12"/>
  <c r="J13" i="12"/>
  <c r="K13" i="12"/>
  <c r="L13" i="12"/>
  <c r="M13" i="12"/>
  <c r="N13" i="12"/>
  <c r="O13" i="12"/>
  <c r="H14" i="12"/>
  <c r="I14" i="12"/>
  <c r="J14" i="12"/>
  <c r="K14" i="12"/>
  <c r="L14" i="12"/>
  <c r="M14" i="12"/>
  <c r="N14" i="12"/>
  <c r="O14" i="12"/>
  <c r="H15" i="12"/>
  <c r="I15" i="12"/>
  <c r="J15" i="12"/>
  <c r="K15" i="12"/>
  <c r="L15" i="12"/>
  <c r="M15" i="12"/>
  <c r="N15" i="12"/>
  <c r="O15" i="12"/>
  <c r="H16" i="12"/>
  <c r="I16" i="12"/>
  <c r="J16" i="12"/>
  <c r="K16" i="12"/>
  <c r="L16" i="12"/>
  <c r="M16" i="12"/>
  <c r="N16" i="12"/>
  <c r="O16" i="12"/>
  <c r="H17" i="12"/>
  <c r="I17" i="12"/>
  <c r="J17" i="12"/>
  <c r="K17" i="12"/>
  <c r="L17" i="12"/>
  <c r="M17" i="12"/>
  <c r="N17" i="12"/>
  <c r="O17" i="12"/>
  <c r="H18" i="12"/>
  <c r="I18" i="12"/>
  <c r="J18" i="12"/>
  <c r="K18" i="12"/>
  <c r="L18" i="12"/>
  <c r="M18" i="12"/>
  <c r="N18" i="12"/>
  <c r="O18" i="12"/>
  <c r="H19" i="12"/>
  <c r="I19" i="12"/>
  <c r="J19" i="12"/>
  <c r="K19" i="12"/>
  <c r="L19" i="12"/>
  <c r="M19" i="12"/>
  <c r="N19" i="12"/>
  <c r="O19" i="12"/>
  <c r="H20" i="12"/>
  <c r="I20" i="12"/>
  <c r="J20" i="12"/>
  <c r="K20" i="12"/>
  <c r="L20" i="12"/>
  <c r="M20" i="12"/>
  <c r="N20" i="12"/>
  <c r="O20" i="12"/>
  <c r="H21" i="12"/>
  <c r="I21" i="12"/>
  <c r="J21" i="12"/>
  <c r="K21" i="12"/>
  <c r="L21" i="12"/>
  <c r="M21" i="12"/>
  <c r="N21" i="12"/>
  <c r="O21" i="12"/>
  <c r="H22" i="12"/>
  <c r="I22" i="12"/>
  <c r="J22" i="12"/>
  <c r="K22" i="12"/>
  <c r="L22" i="12"/>
  <c r="M22" i="12"/>
  <c r="N22" i="12"/>
  <c r="O22" i="12"/>
  <c r="I3" i="12"/>
  <c r="J3" i="12"/>
  <c r="K3" i="12"/>
  <c r="L3" i="12"/>
  <c r="M3" i="12"/>
  <c r="N3" i="12"/>
  <c r="O3" i="12"/>
  <c r="H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3" i="12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4" i="4"/>
  <c r="G36" i="4"/>
  <c r="L36" i="4"/>
  <c r="L32" i="4"/>
  <c r="M32" i="4" s="1"/>
  <c r="L33" i="4"/>
  <c r="L34" i="4"/>
  <c r="L35" i="4"/>
  <c r="G35" i="4"/>
  <c r="G34" i="4"/>
  <c r="G33" i="4"/>
  <c r="G32" i="4"/>
  <c r="J32" i="4" s="1"/>
  <c r="L31" i="4"/>
  <c r="M31" i="4" s="1"/>
  <c r="L28" i="4"/>
  <c r="L29" i="4"/>
  <c r="L30" i="4"/>
  <c r="G29" i="4"/>
  <c r="G30" i="4"/>
  <c r="G28" i="4"/>
  <c r="L27" i="4"/>
  <c r="M27" i="4" s="1"/>
  <c r="I61" i="1"/>
  <c r="M37" i="4" l="1"/>
  <c r="M47" i="4"/>
  <c r="M40" i="4"/>
  <c r="M45" i="4"/>
  <c r="M44" i="4"/>
  <c r="M42" i="4"/>
  <c r="M41" i="4"/>
  <c r="M39" i="4"/>
  <c r="J29" i="4"/>
  <c r="M29" i="4" s="1"/>
  <c r="J30" i="4"/>
  <c r="M30" i="4" s="1"/>
  <c r="J28" i="4"/>
  <c r="M28" i="4" s="1"/>
  <c r="J35" i="4"/>
  <c r="M35" i="4" s="1"/>
  <c r="J33" i="4"/>
  <c r="M33" i="4" s="1"/>
  <c r="J36" i="4"/>
  <c r="M36" i="4" s="1"/>
  <c r="J34" i="4"/>
  <c r="M34" i="4" s="1"/>
  <c r="H62" i="1"/>
  <c r="H61" i="1"/>
  <c r="J61" i="1" s="1"/>
  <c r="W13" i="1"/>
  <c r="X13" i="1"/>
  <c r="X17" i="1" s="1"/>
  <c r="O121" i="1"/>
  <c r="P121" i="1"/>
  <c r="Q121" i="1"/>
  <c r="R121" i="1"/>
  <c r="S121" i="1"/>
  <c r="T121" i="1"/>
  <c r="U121" i="1"/>
  <c r="V121" i="1"/>
  <c r="W121" i="1"/>
  <c r="I65" i="1"/>
  <c r="I62" i="1"/>
  <c r="H65" i="1"/>
  <c r="S43" i="1"/>
  <c r="W42" i="1"/>
  <c r="V42" i="1"/>
  <c r="T42" i="1"/>
  <c r="S42" i="1"/>
  <c r="R42" i="1"/>
  <c r="Q39" i="1"/>
  <c r="R39" i="1"/>
  <c r="T39" i="1"/>
  <c r="U39" i="1"/>
  <c r="V39" i="1"/>
  <c r="W39" i="1"/>
  <c r="X39" i="1"/>
  <c r="Q40" i="1"/>
  <c r="R40" i="1"/>
  <c r="S40" i="1"/>
  <c r="T40" i="1"/>
  <c r="V40" i="1"/>
  <c r="W40" i="1"/>
  <c r="Q17" i="1"/>
  <c r="R17" i="1"/>
  <c r="S17" i="1"/>
  <c r="T17" i="1"/>
  <c r="P17" i="1"/>
  <c r="R28" i="1"/>
  <c r="S28" i="1"/>
  <c r="T28" i="1"/>
  <c r="U28" i="1"/>
  <c r="V28" i="1"/>
  <c r="W28" i="1"/>
  <c r="X28" i="1"/>
  <c r="Q28" i="1"/>
  <c r="R22" i="1"/>
  <c r="S22" i="1"/>
  <c r="T22" i="1"/>
  <c r="U22" i="1"/>
  <c r="V22" i="1"/>
  <c r="W22" i="1"/>
  <c r="X22" i="1"/>
  <c r="R23" i="1"/>
  <c r="S23" i="1"/>
  <c r="T23" i="1"/>
  <c r="U23" i="1"/>
  <c r="V23" i="1"/>
  <c r="W23" i="1"/>
  <c r="X23" i="1"/>
  <c r="R24" i="1"/>
  <c r="S24" i="1"/>
  <c r="T24" i="1"/>
  <c r="U24" i="1"/>
  <c r="V24" i="1"/>
  <c r="W24" i="1"/>
  <c r="X24" i="1"/>
  <c r="R25" i="1"/>
  <c r="S25" i="1"/>
  <c r="T25" i="1"/>
  <c r="U25" i="1"/>
  <c r="V25" i="1"/>
  <c r="W25" i="1"/>
  <c r="X25" i="1"/>
  <c r="R26" i="1"/>
  <c r="S26" i="1"/>
  <c r="T26" i="1"/>
  <c r="U26" i="1"/>
  <c r="V26" i="1"/>
  <c r="W26" i="1"/>
  <c r="X26" i="1"/>
  <c r="R27" i="1"/>
  <c r="S27" i="1"/>
  <c r="T27" i="1"/>
  <c r="U27" i="1"/>
  <c r="V27" i="1"/>
  <c r="W27" i="1"/>
  <c r="X27" i="1"/>
  <c r="Q33" i="1"/>
  <c r="R33" i="1"/>
  <c r="T33" i="1"/>
  <c r="U33" i="1"/>
  <c r="V33" i="1"/>
  <c r="W33" i="1"/>
  <c r="X33" i="1"/>
  <c r="Q32" i="1"/>
  <c r="Q34" i="1" s="1"/>
  <c r="Q35" i="1" s="1"/>
  <c r="X133" i="1"/>
  <c r="W133" i="1"/>
  <c r="V133" i="1"/>
  <c r="U133" i="1"/>
  <c r="T133" i="1"/>
  <c r="R133" i="1"/>
  <c r="Q133" i="1"/>
  <c r="P133" i="1"/>
  <c r="O133" i="1"/>
  <c r="W115" i="1"/>
  <c r="V115" i="1"/>
  <c r="U115" i="1"/>
  <c r="T115" i="1"/>
  <c r="W108" i="1"/>
  <c r="V108" i="1"/>
  <c r="U108" i="1"/>
  <c r="T108" i="1"/>
  <c r="S108" i="1"/>
  <c r="X101" i="1"/>
  <c r="W101" i="1"/>
  <c r="X100" i="1"/>
  <c r="X99" i="1"/>
  <c r="W100" i="1"/>
  <c r="W99" i="1"/>
  <c r="W143" i="1"/>
  <c r="V143" i="1"/>
  <c r="T143" i="1"/>
  <c r="S143" i="1"/>
  <c r="R143" i="1"/>
  <c r="Q143" i="1"/>
  <c r="P143" i="1"/>
  <c r="O143" i="1"/>
  <c r="N143" i="1"/>
  <c r="D139" i="1"/>
  <c r="K139" i="1"/>
  <c r="M139" i="1" s="1"/>
  <c r="U139" i="1" s="1"/>
  <c r="I139" i="1"/>
  <c r="N133" i="1"/>
  <c r="W16" i="1"/>
  <c r="W15" i="1"/>
  <c r="W14" i="1"/>
  <c r="O52" i="1"/>
  <c r="P52" i="1"/>
  <c r="Q52" i="1"/>
  <c r="R52" i="1"/>
  <c r="S52" i="1"/>
  <c r="T52" i="1"/>
  <c r="U52" i="1"/>
  <c r="V52" i="1"/>
  <c r="W52" i="1"/>
  <c r="N52" i="1"/>
  <c r="Q31" i="1"/>
  <c r="Q45" i="1" s="1"/>
  <c r="R31" i="1"/>
  <c r="R45" i="1" s="1"/>
  <c r="O20" i="1"/>
  <c r="O31" i="1" s="1"/>
  <c r="O45" i="1" s="1"/>
  <c r="P20" i="1"/>
  <c r="P31" i="1" s="1"/>
  <c r="P45" i="1" s="1"/>
  <c r="Q20" i="1"/>
  <c r="R20" i="1"/>
  <c r="S20" i="1"/>
  <c r="S31" i="1" s="1"/>
  <c r="S45" i="1" s="1"/>
  <c r="T20" i="1"/>
  <c r="T31" i="1" s="1"/>
  <c r="T45" i="1" s="1"/>
  <c r="U20" i="1"/>
  <c r="U31" i="1" s="1"/>
  <c r="U45" i="1" s="1"/>
  <c r="V20" i="1"/>
  <c r="V31" i="1" s="1"/>
  <c r="V45" i="1" s="1"/>
  <c r="W20" i="1"/>
  <c r="W31" i="1" s="1"/>
  <c r="W45" i="1" s="1"/>
  <c r="N20" i="1"/>
  <c r="N31" i="1" s="1"/>
  <c r="N45" i="1" s="1"/>
  <c r="M78" i="1" l="1"/>
  <c r="Z20" i="1"/>
  <c r="Z31" i="1" s="1"/>
  <c r="L12" i="8" l="1"/>
  <c r="H165" i="1"/>
  <c r="H174" i="1" s="1"/>
  <c r="I164" i="1"/>
  <c r="J164" i="1" s="1"/>
  <c r="L164" i="1" s="1"/>
  <c r="I165" i="1"/>
  <c r="J165" i="1" s="1"/>
  <c r="L165" i="1" s="1"/>
  <c r="J166" i="1"/>
  <c r="L166" i="1" s="1"/>
  <c r="I162" i="1"/>
  <c r="I173" i="1" s="1"/>
  <c r="H162" i="1"/>
  <c r="J150" i="1"/>
  <c r="J151" i="1"/>
  <c r="I163" i="1"/>
  <c r="H163" i="1"/>
  <c r="J149" i="1"/>
  <c r="J163" i="1"/>
  <c r="K152" i="1"/>
  <c r="H173" i="1" l="1"/>
  <c r="J162" i="1"/>
  <c r="J173" i="1" s="1"/>
  <c r="L174" i="1"/>
  <c r="L179" i="1"/>
  <c r="L180" i="1"/>
  <c r="J180" i="1"/>
  <c r="I180" i="1"/>
  <c r="H180" i="1"/>
  <c r="J179" i="1"/>
  <c r="I179" i="1"/>
  <c r="H179" i="1"/>
  <c r="J175" i="1"/>
  <c r="I175" i="1"/>
  <c r="H175" i="1"/>
  <c r="H176" i="1" s="1"/>
  <c r="H184" i="1" s="1"/>
  <c r="J174" i="1"/>
  <c r="I174" i="1"/>
  <c r="J152" i="1"/>
  <c r="S41" i="1" s="1"/>
  <c r="E25" i="10"/>
  <c r="E24" i="10"/>
  <c r="C10" i="10"/>
  <c r="C11" i="10" s="1"/>
  <c r="C12" i="10" s="1"/>
  <c r="C13" i="10" s="1"/>
  <c r="C14" i="10" s="1"/>
  <c r="C8" i="10"/>
  <c r="C7" i="10"/>
  <c r="C6" i="10" s="1"/>
  <c r="C5" i="10" s="1"/>
  <c r="C4" i="10" s="1"/>
  <c r="B7" i="10"/>
  <c r="I3" i="10"/>
  <c r="J3" i="10" s="1"/>
  <c r="K3" i="10" s="1"/>
  <c r="L3" i="10" s="1"/>
  <c r="G3" i="10"/>
  <c r="F3" i="10"/>
  <c r="E3" i="10" s="1"/>
  <c r="D3" i="10" s="1"/>
  <c r="L162" i="1" l="1"/>
  <c r="L173" i="1" s="1"/>
  <c r="L175" i="1"/>
  <c r="H177" i="1"/>
  <c r="H182" i="1"/>
  <c r="J176" i="1"/>
  <c r="I176" i="1"/>
  <c r="J62" i="1"/>
  <c r="M62" i="1" s="1"/>
  <c r="U62" i="1" s="1"/>
  <c r="U67" i="1" s="1"/>
  <c r="U17" i="1" l="1"/>
  <c r="L176" i="1"/>
  <c r="L177" i="1" s="1"/>
  <c r="J177" i="1"/>
  <c r="J182" i="1"/>
  <c r="J184" i="1"/>
  <c r="I177" i="1"/>
  <c r="I184" i="1"/>
  <c r="I182" i="1"/>
  <c r="H183" i="1"/>
  <c r="H188" i="1" s="1"/>
  <c r="H185" i="1"/>
  <c r="H189" i="1" s="1"/>
  <c r="G149" i="1" s="1"/>
  <c r="F149" i="1" s="1"/>
  <c r="N29" i="8"/>
  <c r="N28" i="8"/>
  <c r="N26" i="8"/>
  <c r="L25" i="8"/>
  <c r="N25" i="8" s="1"/>
  <c r="N24" i="8"/>
  <c r="N23" i="8"/>
  <c r="N22" i="8"/>
  <c r="M21" i="8"/>
  <c r="L21" i="8"/>
  <c r="N21" i="8" s="1"/>
  <c r="L184" i="1" l="1"/>
  <c r="L182" i="1"/>
  <c r="L185" i="1"/>
  <c r="L183" i="1"/>
  <c r="J183" i="1"/>
  <c r="J188" i="1" s="1"/>
  <c r="G151" i="1" s="1"/>
  <c r="J185" i="1"/>
  <c r="J189" i="1" s="1"/>
  <c r="I185" i="1"/>
  <c r="I189" i="1" s="1"/>
  <c r="I183" i="1"/>
  <c r="I188" i="1" s="1"/>
  <c r="G150" i="1" s="1"/>
  <c r="F150" i="1" s="1"/>
  <c r="N34" i="8"/>
  <c r="AA65" i="1"/>
  <c r="AB65" i="1" s="1"/>
  <c r="J59" i="1"/>
  <c r="M59" i="1" s="1"/>
  <c r="S59" i="1" s="1"/>
  <c r="AA59" i="1"/>
  <c r="O8" i="8"/>
  <c r="N8" i="8"/>
  <c r="Q8" i="8" s="1"/>
  <c r="O3" i="8"/>
  <c r="L6" i="8"/>
  <c r="N3" i="8"/>
  <c r="L189" i="1" l="1"/>
  <c r="L188" i="1"/>
  <c r="F151" i="1"/>
  <c r="F152" i="1" s="1"/>
  <c r="O6" i="8"/>
  <c r="P6" i="8" s="1"/>
  <c r="N6" i="8"/>
  <c r="E12" i="8"/>
  <c r="I12" i="8" s="1"/>
  <c r="E11" i="8"/>
  <c r="I11" i="8" s="1"/>
  <c r="J11" i="8" s="1"/>
  <c r="E10" i="8"/>
  <c r="I10" i="8" s="1"/>
  <c r="J10" i="8" s="1"/>
  <c r="E9" i="8"/>
  <c r="I9" i="8" s="1"/>
  <c r="J9" i="8" s="1"/>
  <c r="E8" i="8"/>
  <c r="I8" i="8" s="1"/>
  <c r="J8" i="8" s="1"/>
  <c r="E7" i="8"/>
  <c r="I7" i="8" s="1"/>
  <c r="J7" i="8" s="1"/>
  <c r="E6" i="8"/>
  <c r="I6" i="8" s="1"/>
  <c r="J6" i="8" s="1"/>
  <c r="E5" i="8"/>
  <c r="I5" i="8" s="1"/>
  <c r="J5" i="8" s="1"/>
  <c r="E4" i="8"/>
  <c r="I4" i="8" s="1"/>
  <c r="J4" i="8" s="1"/>
  <c r="E3" i="8"/>
  <c r="I3" i="8" s="1"/>
  <c r="J3" i="8" s="1"/>
  <c r="Q3" i="8" s="1"/>
  <c r="L27" i="1"/>
  <c r="Q6" i="8" l="1"/>
  <c r="J12" i="8"/>
  <c r="H111" i="1"/>
  <c r="H112" i="1" s="1"/>
  <c r="H113" i="1" s="1"/>
  <c r="H114" i="1" s="1"/>
  <c r="C33" i="1"/>
  <c r="D67" i="1"/>
  <c r="D81" i="1"/>
  <c r="G81" i="7"/>
  <c r="O69" i="7"/>
  <c r="N69" i="7"/>
  <c r="L69" i="7"/>
  <c r="K69" i="7"/>
  <c r="M61" i="7"/>
  <c r="Q61" i="7" s="1"/>
  <c r="H61" i="7"/>
  <c r="M60" i="7"/>
  <c r="Q60" i="7" s="1"/>
  <c r="H60" i="7"/>
  <c r="M59" i="7"/>
  <c r="P59" i="7" s="1"/>
  <c r="H59" i="7"/>
  <c r="M58" i="7"/>
  <c r="Q58" i="7" s="1"/>
  <c r="H58" i="7"/>
  <c r="M57" i="7"/>
  <c r="Q57" i="7" s="1"/>
  <c r="H57" i="7"/>
  <c r="M56" i="7"/>
  <c r="Q56" i="7" s="1"/>
  <c r="H56" i="7"/>
  <c r="M55" i="7"/>
  <c r="Q55" i="7" s="1"/>
  <c r="H55" i="7"/>
  <c r="M54" i="7"/>
  <c r="Q54" i="7" s="1"/>
  <c r="H54" i="7"/>
  <c r="M53" i="7"/>
  <c r="P53" i="7" s="1"/>
  <c r="H53" i="7"/>
  <c r="J52" i="7"/>
  <c r="M52" i="7" s="1"/>
  <c r="H52" i="7"/>
  <c r="M51" i="7"/>
  <c r="Q51" i="7" s="1"/>
  <c r="H51" i="7"/>
  <c r="M50" i="7"/>
  <c r="Q50" i="7" s="1"/>
  <c r="H50" i="7"/>
  <c r="M49" i="7"/>
  <c r="P49" i="7" s="1"/>
  <c r="H49" i="7"/>
  <c r="M48" i="7"/>
  <c r="Q48" i="7" s="1"/>
  <c r="H48" i="7"/>
  <c r="M47" i="7"/>
  <c r="Q47" i="7" s="1"/>
  <c r="H47" i="7"/>
  <c r="M46" i="7"/>
  <c r="Q46" i="7" s="1"/>
  <c r="H46" i="7"/>
  <c r="M45" i="7"/>
  <c r="P45" i="7" s="1"/>
  <c r="H45" i="7"/>
  <c r="M44" i="7"/>
  <c r="Q44" i="7" s="1"/>
  <c r="H44" i="7"/>
  <c r="M43" i="7"/>
  <c r="Q43" i="7" s="1"/>
  <c r="I43" i="7"/>
  <c r="H43" i="7"/>
  <c r="I42" i="7"/>
  <c r="H42" i="7" s="1"/>
  <c r="M41" i="7"/>
  <c r="Q41" i="7" s="1"/>
  <c r="I41" i="7"/>
  <c r="H41" i="7"/>
  <c r="J40" i="7"/>
  <c r="M40" i="7" s="1"/>
  <c r="I40" i="7"/>
  <c r="H40" i="7"/>
  <c r="G40" i="7"/>
  <c r="M39" i="7"/>
  <c r="P39" i="7" s="1"/>
  <c r="H39" i="7"/>
  <c r="J38" i="7"/>
  <c r="M38" i="7" s="1"/>
  <c r="Q38" i="7" s="1"/>
  <c r="H38" i="7"/>
  <c r="M37" i="7"/>
  <c r="P37" i="7" s="1"/>
  <c r="H37" i="7"/>
  <c r="M36" i="7"/>
  <c r="Q36" i="7" s="1"/>
  <c r="G36" i="7"/>
  <c r="H36" i="7" s="1"/>
  <c r="I35" i="7"/>
  <c r="M35" i="7" s="1"/>
  <c r="M34" i="7"/>
  <c r="Q34" i="7" s="1"/>
  <c r="H34" i="7"/>
  <c r="M33" i="7"/>
  <c r="Q33" i="7" s="1"/>
  <c r="H33" i="7"/>
  <c r="I32" i="7"/>
  <c r="H32" i="7" s="1"/>
  <c r="I31" i="7"/>
  <c r="M31" i="7" s="1"/>
  <c r="Q31" i="7" s="1"/>
  <c r="M30" i="7"/>
  <c r="P30" i="7" s="1"/>
  <c r="H30" i="7"/>
  <c r="M29" i="7"/>
  <c r="Q29" i="7" s="1"/>
  <c r="G29" i="7"/>
  <c r="H29" i="7" s="1"/>
  <c r="M28" i="7"/>
  <c r="P28" i="7" s="1"/>
  <c r="I28" i="7"/>
  <c r="H28" i="7"/>
  <c r="G28" i="7"/>
  <c r="M27" i="7"/>
  <c r="Q27" i="7" s="1"/>
  <c r="G27" i="7"/>
  <c r="H27" i="7" s="1"/>
  <c r="M26" i="7"/>
  <c r="Q26" i="7" s="1"/>
  <c r="H26" i="7"/>
  <c r="M25" i="7"/>
  <c r="Q25" i="7" s="1"/>
  <c r="H25" i="7"/>
  <c r="M24" i="7"/>
  <c r="Q24" i="7" s="1"/>
  <c r="H24" i="7"/>
  <c r="M23" i="7"/>
  <c r="Q23" i="7" s="1"/>
  <c r="I22" i="7"/>
  <c r="M21" i="7"/>
  <c r="Q21" i="7" s="1"/>
  <c r="H21" i="7"/>
  <c r="M20" i="7"/>
  <c r="Q20" i="7" s="1"/>
  <c r="I19" i="7"/>
  <c r="M19" i="7" s="1"/>
  <c r="Q19" i="7" s="1"/>
  <c r="I18" i="7"/>
  <c r="I17" i="7"/>
  <c r="J17" i="7" s="1"/>
  <c r="I16" i="7"/>
  <c r="J16" i="7" s="1"/>
  <c r="I15" i="7"/>
  <c r="J15" i="7" s="1"/>
  <c r="H14" i="7"/>
  <c r="G14" i="7"/>
  <c r="I14" i="7" s="1"/>
  <c r="I13" i="7"/>
  <c r="J13" i="7" s="1"/>
  <c r="M13" i="7" s="1"/>
  <c r="H13" i="7"/>
  <c r="G13" i="7"/>
  <c r="I12" i="7"/>
  <c r="M12" i="7" s="1"/>
  <c r="I11" i="7"/>
  <c r="I10" i="7"/>
  <c r="I9" i="7"/>
  <c r="M9" i="7" s="1"/>
  <c r="Q9" i="7" s="1"/>
  <c r="I8" i="7"/>
  <c r="M8" i="7" s="1"/>
  <c r="P8" i="7" s="1"/>
  <c r="I7" i="7"/>
  <c r="M7" i="7" s="1"/>
  <c r="Q7" i="7" s="1"/>
  <c r="I6" i="7"/>
  <c r="M6" i="7" s="1"/>
  <c r="P6" i="7" s="1"/>
  <c r="I5" i="7"/>
  <c r="M5" i="7" s="1"/>
  <c r="Q5" i="7" s="1"/>
  <c r="I4" i="7"/>
  <c r="M4" i="7" s="1"/>
  <c r="P4" i="7" s="1"/>
  <c r="H31" i="7" l="1"/>
  <c r="Q37" i="7"/>
  <c r="Q53" i="7"/>
  <c r="P43" i="7"/>
  <c r="P35" i="7"/>
  <c r="Q35" i="7"/>
  <c r="H35" i="7"/>
  <c r="P25" i="7"/>
  <c r="P51" i="7"/>
  <c r="P58" i="7"/>
  <c r="P60" i="7"/>
  <c r="Q45" i="7"/>
  <c r="P55" i="7"/>
  <c r="P61" i="7"/>
  <c r="P33" i="7"/>
  <c r="M17" i="7"/>
  <c r="Q28" i="7"/>
  <c r="P36" i="7"/>
  <c r="I69" i="7"/>
  <c r="P57" i="7"/>
  <c r="Q59" i="7"/>
  <c r="P20" i="7"/>
  <c r="Q30" i="7"/>
  <c r="Q49" i="7"/>
  <c r="P26" i="7"/>
  <c r="P23" i="7"/>
  <c r="P56" i="7"/>
  <c r="P54" i="7"/>
  <c r="P47" i="7"/>
  <c r="J10" i="7"/>
  <c r="M10" i="7" s="1"/>
  <c r="P21" i="7"/>
  <c r="P24" i="7"/>
  <c r="M15" i="7"/>
  <c r="Q15" i="7" s="1"/>
  <c r="P29" i="7"/>
  <c r="Q13" i="7"/>
  <c r="P13" i="7"/>
  <c r="J14" i="7"/>
  <c r="M14" i="7" s="1"/>
  <c r="Q12" i="7"/>
  <c r="P12" i="7"/>
  <c r="Q52" i="7"/>
  <c r="P52" i="7"/>
  <c r="P40" i="7"/>
  <c r="Q40" i="7"/>
  <c r="G69" i="7"/>
  <c r="P19" i="7"/>
  <c r="P27" i="7"/>
  <c r="M32" i="7"/>
  <c r="Q4" i="7"/>
  <c r="Q6" i="7"/>
  <c r="Q8" i="7"/>
  <c r="M16" i="7"/>
  <c r="P34" i="7"/>
  <c r="Q39" i="7"/>
  <c r="J18" i="7"/>
  <c r="M18" i="7" s="1"/>
  <c r="J22" i="7"/>
  <c r="M22" i="7" s="1"/>
  <c r="P44" i="7"/>
  <c r="P46" i="7"/>
  <c r="P48" i="7"/>
  <c r="P50" i="7"/>
  <c r="P5" i="7"/>
  <c r="P7" i="7"/>
  <c r="P9" i="7"/>
  <c r="J11" i="7"/>
  <c r="M11" i="7" s="1"/>
  <c r="P31" i="7"/>
  <c r="P38" i="7"/>
  <c r="P41" i="7"/>
  <c r="M42" i="7"/>
  <c r="P15" i="7" l="1"/>
  <c r="Q17" i="7"/>
  <c r="P17" i="7"/>
  <c r="P11" i="7"/>
  <c r="Q11" i="7"/>
  <c r="Q18" i="7"/>
  <c r="P18" i="7"/>
  <c r="Q32" i="7"/>
  <c r="P32" i="7"/>
  <c r="P14" i="7"/>
  <c r="Q14" i="7"/>
  <c r="Q22" i="7"/>
  <c r="P22" i="7"/>
  <c r="J69" i="7"/>
  <c r="P10" i="7"/>
  <c r="M69" i="7"/>
  <c r="Q10" i="7"/>
  <c r="Q42" i="7"/>
  <c r="P42" i="7"/>
  <c r="Q16" i="7"/>
  <c r="P16" i="7"/>
  <c r="G83" i="7"/>
  <c r="G71" i="7"/>
  <c r="H69" i="7"/>
  <c r="Q69" i="7" l="1"/>
  <c r="P69" i="7"/>
  <c r="C16" i="1" l="1"/>
  <c r="P35" i="1"/>
  <c r="N35" i="1" l="1"/>
  <c r="N81" i="1"/>
  <c r="N16" i="1" s="1"/>
  <c r="U81" i="1"/>
  <c r="U16" i="1" s="1"/>
  <c r="T81" i="1"/>
  <c r="T16" i="1" s="1"/>
  <c r="S81" i="1"/>
  <c r="S16" i="1" s="1"/>
  <c r="R81" i="1"/>
  <c r="R16" i="1" s="1"/>
  <c r="Q81" i="1"/>
  <c r="Q16" i="1" s="1"/>
  <c r="P81" i="1"/>
  <c r="P16" i="1" s="1"/>
  <c r="O81" i="1"/>
  <c r="O16" i="1" s="1"/>
  <c r="J77" i="1"/>
  <c r="M77" i="1" s="1"/>
  <c r="T77" i="1" s="1"/>
  <c r="J76" i="1"/>
  <c r="M76" i="1" s="1"/>
  <c r="O67" i="1"/>
  <c r="P67" i="1"/>
  <c r="N67" i="1"/>
  <c r="G132" i="1"/>
  <c r="I138" i="1"/>
  <c r="C27" i="1"/>
  <c r="D108" i="1"/>
  <c r="X108" i="1"/>
  <c r="Q108" i="1"/>
  <c r="Q27" i="1" s="1"/>
  <c r="P108" i="1"/>
  <c r="P27" i="1" s="1"/>
  <c r="O108" i="1"/>
  <c r="O27" i="1" s="1"/>
  <c r="N108" i="1"/>
  <c r="N27" i="1" s="1"/>
  <c r="J105" i="1"/>
  <c r="J104" i="1"/>
  <c r="M104" i="1" s="1"/>
  <c r="J107" i="1"/>
  <c r="J106" i="1"/>
  <c r="M105" i="1" l="1"/>
  <c r="S105" i="1" s="1"/>
  <c r="I105" i="1"/>
  <c r="M106" i="1"/>
  <c r="I106" i="1"/>
  <c r="M107" i="1"/>
  <c r="S107" i="1" s="1"/>
  <c r="I107" i="1"/>
  <c r="R106" i="1"/>
  <c r="R104" i="1"/>
  <c r="AA77" i="1"/>
  <c r="AB77" i="1" s="1"/>
  <c r="AA76" i="1"/>
  <c r="AB76" i="1" s="1"/>
  <c r="N47" i="1"/>
  <c r="AA106" i="1"/>
  <c r="AB106" i="1" s="1"/>
  <c r="AA107" i="1"/>
  <c r="AB107" i="1" s="1"/>
  <c r="AA104" i="1"/>
  <c r="AB104" i="1" s="1"/>
  <c r="AA105" i="1"/>
  <c r="AB105" i="1" s="1"/>
  <c r="M108" i="1" l="1"/>
  <c r="R108" i="1"/>
  <c r="M27" i="1" s="1"/>
  <c r="AB108" i="1"/>
  <c r="F27" i="1" s="1"/>
  <c r="D27" i="1" l="1"/>
  <c r="E27" i="1" s="1"/>
  <c r="G27" i="1"/>
  <c r="L26" i="4" l="1"/>
  <c r="G26" i="4"/>
  <c r="J26" i="4" s="1"/>
  <c r="L23" i="4"/>
  <c r="L24" i="4"/>
  <c r="L25" i="4"/>
  <c r="G24" i="4"/>
  <c r="J24" i="4" s="1"/>
  <c r="G25" i="4"/>
  <c r="J25" i="4" s="1"/>
  <c r="G23" i="4"/>
  <c r="J23" i="4" s="1"/>
  <c r="L22" i="4"/>
  <c r="M22" i="4" s="1"/>
  <c r="J22" i="4"/>
  <c r="L21" i="4"/>
  <c r="G21" i="4"/>
  <c r="J21" i="4" s="1"/>
  <c r="G20" i="4"/>
  <c r="J20" i="4" s="1"/>
  <c r="J19" i="4"/>
  <c r="G17" i="4"/>
  <c r="J17" i="4" s="1"/>
  <c r="G18" i="4"/>
  <c r="J18" i="4" s="1"/>
  <c r="G16" i="4"/>
  <c r="J16" i="4" s="1"/>
  <c r="G14" i="4"/>
  <c r="J14" i="4" s="1"/>
  <c r="G15" i="4"/>
  <c r="J15" i="4" s="1"/>
  <c r="G13" i="4"/>
  <c r="J13" i="4" s="1"/>
  <c r="G12" i="4"/>
  <c r="J12" i="4" s="1"/>
  <c r="G11" i="4"/>
  <c r="J11" i="4" s="1"/>
  <c r="H10" i="4"/>
  <c r="E10" i="4"/>
  <c r="F10" i="4"/>
  <c r="G9" i="4"/>
  <c r="J8" i="4"/>
  <c r="L8" i="4"/>
  <c r="M8" i="4" s="1"/>
  <c r="L9" i="4"/>
  <c r="L10" i="4"/>
  <c r="L11" i="4"/>
  <c r="M11" i="4" s="1"/>
  <c r="L12" i="4"/>
  <c r="M12" i="4" s="1"/>
  <c r="L13" i="4"/>
  <c r="L14" i="4"/>
  <c r="M14" i="4" s="1"/>
  <c r="L15" i="4"/>
  <c r="M15" i="4" s="1"/>
  <c r="L16" i="4"/>
  <c r="M16" i="4" s="1"/>
  <c r="L17" i="4"/>
  <c r="L18" i="4"/>
  <c r="L19" i="4"/>
  <c r="M19" i="4" s="1"/>
  <c r="L20" i="4"/>
  <c r="M20" i="4" s="1"/>
  <c r="L5" i="4"/>
  <c r="L6" i="4"/>
  <c r="L7" i="4"/>
  <c r="J5" i="4"/>
  <c r="J6" i="4"/>
  <c r="J7" i="4"/>
  <c r="L4" i="4"/>
  <c r="J4" i="4"/>
  <c r="M7" i="4" l="1"/>
  <c r="M23" i="4"/>
  <c r="M4" i="4"/>
  <c r="M18" i="4"/>
  <c r="M24" i="4"/>
  <c r="M6" i="4"/>
  <c r="M17" i="4"/>
  <c r="M25" i="4"/>
  <c r="M21" i="4"/>
  <c r="M5" i="4"/>
  <c r="M13" i="4"/>
  <c r="M26" i="4"/>
  <c r="G10" i="4"/>
  <c r="J10" i="4" s="1"/>
  <c r="M10" i="4" s="1"/>
  <c r="J9" i="4"/>
  <c r="M9" i="4" s="1"/>
  <c r="K138" i="1" l="1"/>
  <c r="K140" i="1"/>
  <c r="K141" i="1"/>
  <c r="K142" i="1"/>
  <c r="M31" i="1"/>
  <c r="O101" i="1"/>
  <c r="O26" i="1" s="1"/>
  <c r="P101" i="1"/>
  <c r="P26" i="1" s="1"/>
  <c r="Q101" i="1"/>
  <c r="N101" i="1"/>
  <c r="N26" i="1" s="1"/>
  <c r="O97" i="1"/>
  <c r="P97" i="1"/>
  <c r="Q97" i="1"/>
  <c r="R97" i="1"/>
  <c r="U97" i="1"/>
  <c r="V97" i="1"/>
  <c r="X97" i="1"/>
  <c r="N97" i="1"/>
  <c r="O94" i="1"/>
  <c r="P94" i="1"/>
  <c r="V94" i="1"/>
  <c r="X94" i="1"/>
  <c r="N94" i="1"/>
  <c r="O91" i="1"/>
  <c r="P91" i="1"/>
  <c r="R91" i="1"/>
  <c r="S91" i="1"/>
  <c r="T91" i="1"/>
  <c r="U91" i="1"/>
  <c r="V91" i="1"/>
  <c r="X91" i="1"/>
  <c r="N91" i="1"/>
  <c r="O88" i="1"/>
  <c r="O22" i="1" s="1"/>
  <c r="P88" i="1"/>
  <c r="P22" i="1" s="1"/>
  <c r="U88" i="1"/>
  <c r="V88" i="1"/>
  <c r="X88" i="1"/>
  <c r="N88" i="1"/>
  <c r="N22" i="1" s="1"/>
  <c r="J100" i="1"/>
  <c r="J99" i="1"/>
  <c r="J96" i="1"/>
  <c r="J93" i="1"/>
  <c r="J90" i="1"/>
  <c r="J87" i="1"/>
  <c r="J86" i="1"/>
  <c r="L21" i="1"/>
  <c r="M20" i="1"/>
  <c r="L14" i="1"/>
  <c r="L15" i="1"/>
  <c r="L22" i="1"/>
  <c r="L23" i="1"/>
  <c r="L24" i="1"/>
  <c r="L25" i="1"/>
  <c r="L16" i="1"/>
  <c r="L26" i="1"/>
  <c r="L13" i="1"/>
  <c r="C26" i="1"/>
  <c r="D101" i="1"/>
  <c r="AA80" i="1"/>
  <c r="AB80" i="1" s="1"/>
  <c r="M80" i="1"/>
  <c r="V80" i="1" s="1"/>
  <c r="AA79" i="1"/>
  <c r="AB79" i="1" s="1"/>
  <c r="M79" i="1"/>
  <c r="V79" i="1" s="1"/>
  <c r="M11" i="1"/>
  <c r="AA78" i="1"/>
  <c r="AB78" i="1" s="1"/>
  <c r="H66" i="1"/>
  <c r="AA62" i="1" l="1"/>
  <c r="AB62" i="1" s="1"/>
  <c r="AB81" i="1"/>
  <c r="F16" i="1" s="1"/>
  <c r="AA86" i="1"/>
  <c r="AB86" i="1" s="1"/>
  <c r="AA87" i="1"/>
  <c r="AB87" i="1" s="1"/>
  <c r="M90" i="1"/>
  <c r="M93" i="1"/>
  <c r="M96" i="1"/>
  <c r="M99" i="1"/>
  <c r="M100" i="1"/>
  <c r="M86" i="1"/>
  <c r="AA100" i="1"/>
  <c r="AB100" i="1" s="1"/>
  <c r="AA99" i="1"/>
  <c r="G129" i="1"/>
  <c r="D120" i="1"/>
  <c r="D122" i="1" s="1"/>
  <c r="M122" i="1" s="1"/>
  <c r="M42" i="3"/>
  <c r="L42" i="3"/>
  <c r="K42" i="3"/>
  <c r="J42" i="3"/>
  <c r="I42" i="3"/>
  <c r="H42" i="3"/>
  <c r="I47" i="3" s="1"/>
  <c r="J47" i="3" s="1"/>
  <c r="G42" i="3"/>
  <c r="T96" i="1" l="1"/>
  <c r="D130" i="1"/>
  <c r="D131" i="1"/>
  <c r="M131" i="1" s="1"/>
  <c r="R131" i="1" s="1"/>
  <c r="T100" i="1"/>
  <c r="S100" i="1"/>
  <c r="T99" i="1"/>
  <c r="M101" i="1"/>
  <c r="V99" i="1"/>
  <c r="V100" i="1"/>
  <c r="U100" i="1"/>
  <c r="U99" i="1"/>
  <c r="S99" i="1"/>
  <c r="AB99" i="1"/>
  <c r="Q26" i="1"/>
  <c r="AB88" i="1"/>
  <c r="F22" i="1" s="1"/>
  <c r="J65" i="1"/>
  <c r="J64" i="1"/>
  <c r="J56" i="1"/>
  <c r="AA69" i="1"/>
  <c r="J54" i="1"/>
  <c r="J57" i="1"/>
  <c r="J66" i="1"/>
  <c r="AA66" i="1"/>
  <c r="AC66" i="1" s="1"/>
  <c r="J53" i="1"/>
  <c r="AC59" i="1"/>
  <c r="J60" i="1"/>
  <c r="AA70" i="1"/>
  <c r="AA54" i="1"/>
  <c r="AC54" i="1" s="1"/>
  <c r="J55" i="1"/>
  <c r="AA56" i="1"/>
  <c r="AC56" i="1" s="1"/>
  <c r="AC65" i="1"/>
  <c r="J58" i="1"/>
  <c r="AA53" i="1"/>
  <c r="AC53" i="1" s="1"/>
  <c r="AA55" i="1"/>
  <c r="AC55" i="1" s="1"/>
  <c r="AA63" i="1"/>
  <c r="AC63" i="1" s="1"/>
  <c r="AA64" i="1"/>
  <c r="AC64" i="1" s="1"/>
  <c r="AA57" i="1"/>
  <c r="AC57" i="1" s="1"/>
  <c r="AA58" i="1"/>
  <c r="AC58" i="1" s="1"/>
  <c r="AA60" i="1"/>
  <c r="AC60" i="1" s="1"/>
  <c r="J73" i="1"/>
  <c r="AA61" i="1"/>
  <c r="AC61" i="1" s="1"/>
  <c r="AC62" i="1"/>
  <c r="J63" i="1"/>
  <c r="M130" i="1"/>
  <c r="Q130" i="1" s="1"/>
  <c r="D129" i="1"/>
  <c r="M129" i="1" s="1"/>
  <c r="Q129" i="1" s="1"/>
  <c r="Q13" i="1"/>
  <c r="I73" i="1"/>
  <c r="Q42" i="1" l="1"/>
  <c r="T97" i="1"/>
  <c r="R101" i="1"/>
  <c r="U101" i="1"/>
  <c r="S101" i="1"/>
  <c r="T101" i="1"/>
  <c r="M60" i="1"/>
  <c r="V101" i="1"/>
  <c r="M58" i="1"/>
  <c r="AB101" i="1"/>
  <c r="F26" i="1" s="1"/>
  <c r="G26" i="1" s="1"/>
  <c r="AB69" i="1"/>
  <c r="AA73" i="1"/>
  <c r="AB73" i="1" s="1"/>
  <c r="AB70" i="1"/>
  <c r="S60" i="1" l="1"/>
  <c r="S58" i="1"/>
  <c r="AC73" i="1"/>
  <c r="AB71" i="1"/>
  <c r="F14" i="1" s="1"/>
  <c r="AB74" i="1"/>
  <c r="F15" i="1" s="1"/>
  <c r="D115" i="1"/>
  <c r="K59" i="1"/>
  <c r="P7" i="1"/>
  <c r="Q7" i="1"/>
  <c r="O7" i="1"/>
  <c r="M7" i="1"/>
  <c r="N7" i="1"/>
  <c r="S67" i="1" l="1"/>
  <c r="M81" i="1"/>
  <c r="V78" i="1"/>
  <c r="V81" i="1" s="1"/>
  <c r="V16" i="1" s="1"/>
  <c r="M26" i="1"/>
  <c r="K60" i="1"/>
  <c r="D26" i="1"/>
  <c r="E26" i="1" s="1"/>
  <c r="N40" i="1"/>
  <c r="O40" i="1"/>
  <c r="O39" i="1"/>
  <c r="C13" i="1"/>
  <c r="O24" i="1"/>
  <c r="P24" i="1"/>
  <c r="O25" i="1"/>
  <c r="P25" i="1"/>
  <c r="N25" i="1"/>
  <c r="N24" i="1"/>
  <c r="C25" i="1"/>
  <c r="C24" i="1"/>
  <c r="D97" i="1"/>
  <c r="D94" i="1"/>
  <c r="AA90" i="1"/>
  <c r="AB90" i="1" s="1"/>
  <c r="R43" i="1" l="1"/>
  <c r="AB91" i="1"/>
  <c r="AA96" i="1"/>
  <c r="AB96" i="1" s="1"/>
  <c r="AA93" i="1"/>
  <c r="AB93" i="1" s="1"/>
  <c r="M87" i="1"/>
  <c r="N13" i="1"/>
  <c r="K87" i="1"/>
  <c r="C23" i="1"/>
  <c r="X32" i="1"/>
  <c r="X34" i="1" s="1"/>
  <c r="X35" i="1" s="1"/>
  <c r="O23" i="1"/>
  <c r="O28" i="1" s="1"/>
  <c r="N23" i="1"/>
  <c r="D91" i="1"/>
  <c r="I140" i="1"/>
  <c r="N28" i="1" l="1"/>
  <c r="I141" i="1"/>
  <c r="J111" i="1"/>
  <c r="F23" i="1"/>
  <c r="X81" i="1"/>
  <c r="X16" i="1" s="1"/>
  <c r="Q90" i="1"/>
  <c r="P23" i="1"/>
  <c r="P28" i="1" s="1"/>
  <c r="M91" i="1"/>
  <c r="R115" i="1"/>
  <c r="P115" i="1"/>
  <c r="O115" i="1"/>
  <c r="N115" i="1"/>
  <c r="M16" i="1" l="1"/>
  <c r="S97" i="1"/>
  <c r="M111" i="1"/>
  <c r="Q91" i="1"/>
  <c r="Q23" i="1" s="1"/>
  <c r="D23" i="1" s="1"/>
  <c r="E23" i="1" s="1"/>
  <c r="AB97" i="1"/>
  <c r="F25" i="1" s="1"/>
  <c r="G25" i="1" s="1"/>
  <c r="AB94" i="1"/>
  <c r="F24" i="1" s="1"/>
  <c r="G24" i="1" s="1"/>
  <c r="I142" i="1"/>
  <c r="G23" i="1"/>
  <c r="J112" i="1"/>
  <c r="G16" i="1"/>
  <c r="M94" i="1"/>
  <c r="Q25" i="1"/>
  <c r="M97" i="1"/>
  <c r="Q93" i="1"/>
  <c r="D88" i="1"/>
  <c r="Q87" i="1"/>
  <c r="Q86" i="1"/>
  <c r="M23" i="1" l="1"/>
  <c r="F28" i="1"/>
  <c r="M112" i="1"/>
  <c r="Q88" i="1"/>
  <c r="Q22" i="1" s="1"/>
  <c r="Q94" i="1"/>
  <c r="D16" i="1"/>
  <c r="E16" i="1" s="1"/>
  <c r="J113" i="1"/>
  <c r="U93" i="1"/>
  <c r="T93" i="1"/>
  <c r="S93" i="1"/>
  <c r="D25" i="1"/>
  <c r="E25" i="1" s="1"/>
  <c r="R93" i="1"/>
  <c r="Q24" i="1"/>
  <c r="R87" i="1"/>
  <c r="R86" i="1"/>
  <c r="M88" i="1"/>
  <c r="C22" i="1"/>
  <c r="C28" i="1" s="1"/>
  <c r="N33" i="1"/>
  <c r="O33" i="1"/>
  <c r="P33" i="1"/>
  <c r="M25" i="1" l="1"/>
  <c r="M113" i="1"/>
  <c r="G22" i="1"/>
  <c r="S94" i="1"/>
  <c r="T94" i="1"/>
  <c r="U94" i="1"/>
  <c r="R88" i="1"/>
  <c r="R94" i="1"/>
  <c r="J114" i="1"/>
  <c r="U32" i="1"/>
  <c r="U34" i="1" s="1"/>
  <c r="U35" i="1" s="1"/>
  <c r="S87" i="1"/>
  <c r="S86" i="1"/>
  <c r="M70" i="1"/>
  <c r="M69" i="1"/>
  <c r="M24" i="1" l="1"/>
  <c r="R32" i="1"/>
  <c r="R34" i="1" s="1"/>
  <c r="R35" i="1" s="1"/>
  <c r="M114" i="1"/>
  <c r="G28" i="1"/>
  <c r="S88" i="1"/>
  <c r="D24" i="1"/>
  <c r="E24" i="1" s="1"/>
  <c r="M55" i="1"/>
  <c r="M73" i="1"/>
  <c r="M53" i="1"/>
  <c r="M54" i="1"/>
  <c r="T87" i="1"/>
  <c r="T86" i="1"/>
  <c r="T88" i="1" l="1"/>
  <c r="S32" i="1"/>
  <c r="R73" i="1"/>
  <c r="T32" i="1" l="1"/>
  <c r="T34" i="1" s="1"/>
  <c r="T35" i="1" s="1"/>
  <c r="M22" i="1"/>
  <c r="M28" i="1"/>
  <c r="D22" i="1" l="1"/>
  <c r="D28" i="1" s="1"/>
  <c r="E28" i="1" s="1"/>
  <c r="E22" i="1" l="1"/>
  <c r="X121" i="1" l="1"/>
  <c r="D126" i="1" l="1"/>
  <c r="M126" i="1" s="1"/>
  <c r="P126" i="1" s="1"/>
  <c r="D138" i="1"/>
  <c r="D132" i="1"/>
  <c r="M132" i="1" s="1"/>
  <c r="D124" i="1"/>
  <c r="D127" i="1"/>
  <c r="D123" i="1"/>
  <c r="M123" i="1" s="1"/>
  <c r="D125" i="1"/>
  <c r="D141" i="1"/>
  <c r="D140" i="1"/>
  <c r="D142" i="1"/>
  <c r="D128" i="1"/>
  <c r="N121" i="1"/>
  <c r="N74" i="1"/>
  <c r="N15" i="1" s="1"/>
  <c r="O74" i="1"/>
  <c r="O15" i="1" s="1"/>
  <c r="P74" i="1"/>
  <c r="P15" i="1" s="1"/>
  <c r="R74" i="1"/>
  <c r="R15" i="1" s="1"/>
  <c r="S74" i="1"/>
  <c r="S15" i="1" s="1"/>
  <c r="T74" i="1"/>
  <c r="T15" i="1" s="1"/>
  <c r="U74" i="1"/>
  <c r="U15" i="1" s="1"/>
  <c r="V74" i="1"/>
  <c r="V15" i="1" s="1"/>
  <c r="X74" i="1"/>
  <c r="X15" i="1" s="1"/>
  <c r="N71" i="1"/>
  <c r="N14" i="1" s="1"/>
  <c r="O71" i="1"/>
  <c r="O14" i="1" s="1"/>
  <c r="P71" i="1"/>
  <c r="P14" i="1" s="1"/>
  <c r="X71" i="1"/>
  <c r="X14" i="1" s="1"/>
  <c r="O13" i="1"/>
  <c r="D74" i="1"/>
  <c r="D71" i="1"/>
  <c r="C14" i="1"/>
  <c r="C15" i="1"/>
  <c r="G15" i="1" s="1"/>
  <c r="S70" i="1"/>
  <c r="B9" i="10" l="1"/>
  <c r="C17" i="1"/>
  <c r="C32" i="1" s="1"/>
  <c r="S132" i="1"/>
  <c r="O17" i="1"/>
  <c r="O32" i="1" s="1"/>
  <c r="D133" i="1"/>
  <c r="C39" i="1" s="1"/>
  <c r="C34" i="1"/>
  <c r="C35" i="1" s="1"/>
  <c r="N17" i="1"/>
  <c r="N32" i="1" s="1"/>
  <c r="G14" i="1"/>
  <c r="M127" i="1"/>
  <c r="P127" i="1" s="1"/>
  <c r="M124" i="1"/>
  <c r="M128" i="1"/>
  <c r="P128" i="1" s="1"/>
  <c r="M125" i="1"/>
  <c r="P125" i="1" s="1"/>
  <c r="M140" i="1"/>
  <c r="X140" i="1" s="1"/>
  <c r="M138" i="1"/>
  <c r="M71" i="1"/>
  <c r="T70" i="1"/>
  <c r="R69" i="1"/>
  <c r="U138" i="1" l="1"/>
  <c r="U143" i="1" s="1"/>
  <c r="U40" i="1" s="1"/>
  <c r="U42" i="1" s="1"/>
  <c r="S133" i="1"/>
  <c r="S39" i="1" s="1"/>
  <c r="M133" i="1"/>
  <c r="D143" i="1"/>
  <c r="C40" i="1" s="1"/>
  <c r="E21" i="10"/>
  <c r="I14" i="10"/>
  <c r="E5" i="10"/>
  <c r="F12" i="10"/>
  <c r="I7" i="10"/>
  <c r="H24" i="10"/>
  <c r="E10" i="10"/>
  <c r="J7" i="10"/>
  <c r="L14" i="10"/>
  <c r="L7" i="10"/>
  <c r="D4" i="10"/>
  <c r="E11" i="10"/>
  <c r="J9" i="10"/>
  <c r="J6" i="10"/>
  <c r="K11" i="10"/>
  <c r="J4" i="10"/>
  <c r="J8" i="10"/>
  <c r="K12" i="10"/>
  <c r="F11" i="10"/>
  <c r="G7" i="10"/>
  <c r="G5" i="10"/>
  <c r="F10" i="10"/>
  <c r="I13" i="10"/>
  <c r="E8" i="10"/>
  <c r="F8" i="10"/>
  <c r="E6" i="10"/>
  <c r="F6" i="10"/>
  <c r="H6" i="10"/>
  <c r="K9" i="10"/>
  <c r="K7" i="10"/>
  <c r="K5" i="10"/>
  <c r="H10" i="10"/>
  <c r="G6" i="10"/>
  <c r="K8" i="10"/>
  <c r="G11" i="10"/>
  <c r="E13" i="10"/>
  <c r="D7" i="10"/>
  <c r="I9" i="10"/>
  <c r="E12" i="10"/>
  <c r="K14" i="10"/>
  <c r="H9" i="10"/>
  <c r="F14" i="10"/>
  <c r="K6" i="10"/>
  <c r="D13" i="10"/>
  <c r="G8" i="10"/>
  <c r="I4" i="10"/>
  <c r="H8" i="10"/>
  <c r="L4" i="10"/>
  <c r="F9" i="10"/>
  <c r="J5" i="10"/>
  <c r="E4" i="10"/>
  <c r="K10" i="10"/>
  <c r="D10" i="10"/>
  <c r="G14" i="10"/>
  <c r="K4" i="10"/>
  <c r="E7" i="10"/>
  <c r="L9" i="10"/>
  <c r="J24" i="10"/>
  <c r="J12" i="10"/>
  <c r="D6" i="10"/>
  <c r="I8" i="10"/>
  <c r="H13" i="10"/>
  <c r="D5" i="10"/>
  <c r="H11" i="10"/>
  <c r="G9" i="10"/>
  <c r="G10" i="10"/>
  <c r="K13" i="10"/>
  <c r="H7" i="10"/>
  <c r="L13" i="10"/>
  <c r="E9" i="10"/>
  <c r="G13" i="10"/>
  <c r="H5" i="10"/>
  <c r="D12" i="10"/>
  <c r="J14" i="10"/>
  <c r="E14" i="10"/>
  <c r="D11" i="10"/>
  <c r="L12" i="10"/>
  <c r="L10" i="10"/>
  <c r="L11" i="10"/>
  <c r="I10" i="10"/>
  <c r="F5" i="10"/>
  <c r="H12" i="10"/>
  <c r="F7" i="10"/>
  <c r="J13" i="10"/>
  <c r="L24" i="10"/>
  <c r="L6" i="10"/>
  <c r="D14" i="10"/>
  <c r="L8" i="10"/>
  <c r="I6" i="10"/>
  <c r="D9" i="10"/>
  <c r="H4" i="10"/>
  <c r="I11" i="10"/>
  <c r="J11" i="10"/>
  <c r="H14" i="10"/>
  <c r="G12" i="10"/>
  <c r="I12" i="10"/>
  <c r="F4" i="10"/>
  <c r="J10" i="10"/>
  <c r="F13" i="10"/>
  <c r="D8" i="10"/>
  <c r="G4" i="10"/>
  <c r="I5" i="10"/>
  <c r="L5" i="10"/>
  <c r="C42" i="1"/>
  <c r="P124" i="1"/>
  <c r="P40" i="1" s="1"/>
  <c r="M141" i="1"/>
  <c r="X141" i="1" s="1"/>
  <c r="S69" i="1"/>
  <c r="O34" i="1"/>
  <c r="O35" i="1" s="1"/>
  <c r="N34" i="1"/>
  <c r="M61" i="1"/>
  <c r="M65" i="1"/>
  <c r="M64" i="1"/>
  <c r="M63" i="1"/>
  <c r="M66" i="1"/>
  <c r="M57" i="1"/>
  <c r="M56" i="1"/>
  <c r="R56" i="1" s="1"/>
  <c r="U70" i="1"/>
  <c r="Q71" i="1"/>
  <c r="Q14" i="1" s="1"/>
  <c r="W67" i="1" l="1"/>
  <c r="V61" i="1"/>
  <c r="T43" i="1"/>
  <c r="V66" i="1"/>
  <c r="V65" i="1"/>
  <c r="X67" i="1"/>
  <c r="P42" i="1"/>
  <c r="P47" i="1" s="1"/>
  <c r="E22" i="10"/>
  <c r="L23" i="10" s="1"/>
  <c r="L25" i="10" s="1"/>
  <c r="O47" i="1"/>
  <c r="M67" i="1"/>
  <c r="P39" i="1"/>
  <c r="T69" i="1"/>
  <c r="M142" i="1"/>
  <c r="X142" i="1" s="1"/>
  <c r="X143" i="1" s="1"/>
  <c r="X40" i="1" s="1"/>
  <c r="X42" i="1" s="1"/>
  <c r="O46" i="1"/>
  <c r="R57" i="1"/>
  <c r="R67" i="1" s="1"/>
  <c r="V70" i="1"/>
  <c r="R71" i="1"/>
  <c r="R14" i="1" s="1"/>
  <c r="M143" i="1" l="1"/>
  <c r="U43" i="1"/>
  <c r="V43" i="1" s="1"/>
  <c r="V67" i="1"/>
  <c r="V13" i="1" s="1"/>
  <c r="P43" i="1"/>
  <c r="H23" i="10"/>
  <c r="H25" i="10" s="1"/>
  <c r="J23" i="10"/>
  <c r="J25" i="10" s="1"/>
  <c r="U69" i="1"/>
  <c r="V71" i="1"/>
  <c r="V14" i="1" s="1"/>
  <c r="S71" i="1"/>
  <c r="S14" i="1" s="1"/>
  <c r="X43" i="1" l="1"/>
  <c r="W43" i="1"/>
  <c r="U71" i="1"/>
  <c r="U14" i="1" s="1"/>
  <c r="T71" i="1"/>
  <c r="T14" i="1" s="1"/>
  <c r="M14" i="1" l="1"/>
  <c r="D14" i="1" l="1"/>
  <c r="E14" i="1" s="1"/>
  <c r="S111" i="1"/>
  <c r="S113" i="1"/>
  <c r="M42" i="1" l="1"/>
  <c r="Q55" i="1"/>
  <c r="Q53" i="1"/>
  <c r="Q54" i="1"/>
  <c r="T64" i="1"/>
  <c r="T63" i="1"/>
  <c r="T67" i="1" s="1"/>
  <c r="T13" i="1" s="1"/>
  <c r="Q67" i="1" l="1"/>
  <c r="D42" i="1"/>
  <c r="S13" i="1"/>
  <c r="D40" i="1"/>
  <c r="M40" i="1"/>
  <c r="P13" i="1"/>
  <c r="Q74" i="1"/>
  <c r="Q15" i="1" s="1"/>
  <c r="M74" i="1"/>
  <c r="M15" i="1" l="1"/>
  <c r="R13" i="1"/>
  <c r="P32" i="1"/>
  <c r="D15" i="1"/>
  <c r="E15" i="1" s="1"/>
  <c r="P34" i="1" l="1"/>
  <c r="P46" i="1" s="1"/>
  <c r="T46" i="1"/>
  <c r="U46" i="1"/>
  <c r="R46" i="1" l="1"/>
  <c r="T47" i="1"/>
  <c r="U47" i="1"/>
  <c r="S112" i="1"/>
  <c r="R47" i="1" l="1"/>
  <c r="Q115" i="1"/>
  <c r="S114" i="1" l="1"/>
  <c r="M115" i="1"/>
  <c r="S115" i="1" l="1"/>
  <c r="S33" i="1" s="1"/>
  <c r="S34" i="1" s="1"/>
  <c r="S35" i="1" s="1"/>
  <c r="X115" i="1"/>
  <c r="Q47" i="1" l="1"/>
  <c r="D33" i="1"/>
  <c r="F33" i="1" s="1"/>
  <c r="S46" i="1"/>
  <c r="M33" i="1"/>
  <c r="X46" i="1"/>
  <c r="G33" i="1" l="1"/>
  <c r="E33" i="1"/>
  <c r="X47" i="1" l="1"/>
  <c r="S47" i="1"/>
  <c r="N39" i="1"/>
  <c r="N46" i="1" s="1"/>
  <c r="Q46" i="1" l="1"/>
  <c r="Q43" i="1" l="1"/>
  <c r="M39" i="1"/>
  <c r="D39" i="1"/>
  <c r="AB53" i="1"/>
  <c r="AB57" i="1"/>
  <c r="AB66" i="1"/>
  <c r="V17" i="1" s="1"/>
  <c r="V32" i="1" s="1"/>
  <c r="V34" i="1" s="1"/>
  <c r="AB61" i="1"/>
  <c r="AB60" i="1"/>
  <c r="AB58" i="1"/>
  <c r="AB64" i="1"/>
  <c r="AB56" i="1"/>
  <c r="AB63" i="1"/>
  <c r="AB55" i="1"/>
  <c r="AB59" i="1"/>
  <c r="AB54" i="1"/>
  <c r="V35" i="1" l="1"/>
  <c r="V47" i="1" s="1"/>
  <c r="M47" i="1" s="1"/>
  <c r="C47" i="1" s="1"/>
  <c r="V46" i="1"/>
  <c r="M46" i="1" s="1"/>
  <c r="C46" i="1" s="1"/>
  <c r="W17" i="1"/>
  <c r="M13" i="1"/>
  <c r="D13" i="1"/>
  <c r="AB67" i="1"/>
  <c r="F13" i="1" s="1"/>
  <c r="F17" i="1" s="1"/>
  <c r="F32" i="1" s="1"/>
  <c r="F34" i="1" s="1"/>
  <c r="F35" i="1" s="1"/>
  <c r="D17" i="1" l="1"/>
  <c r="E13" i="1"/>
  <c r="W32" i="1"/>
  <c r="W34" i="1" s="1"/>
  <c r="M17" i="1"/>
  <c r="M32" i="1" s="1"/>
  <c r="G17" i="1"/>
  <c r="G13" i="1"/>
  <c r="W35" i="1" l="1"/>
  <c r="M35" i="1" s="1"/>
  <c r="D35" i="1" s="1"/>
  <c r="E35" i="1" s="1"/>
  <c r="M34" i="1"/>
  <c r="D34" i="1" s="1"/>
  <c r="E34" i="1" s="1"/>
  <c r="D32" i="1"/>
  <c r="E32" i="1" s="1"/>
  <c r="E17" i="1"/>
  <c r="G35" i="1"/>
  <c r="G32" i="1"/>
  <c r="G34" i="1" l="1"/>
  <c r="P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tc={E3D98B5E-7837-8841-B2F2-BBA413DD5825}</author>
  </authors>
  <commentList>
    <comment ref="I12" authorId="0" shapeId="0" xr:uid="{E3D98B5E-7837-8841-B2F2-BBA413DD5825}">
      <text>
        <t>[Threaded comment]
Your version of Excel allows you to read this threaded comment; however, any edits to it will get removed if the file is opened in a newer version of Excel. Learn more: https://go.microsoft.com/fwlink/?linkid=870924
Comment:
    diferença de depósito acima de 11365.47 usd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tc={9A6E298F-0F30-634E-B3E7-67B0B20F7499}</author>
    <author>tc={E5D2C83C-2029-1349-BE3F-C957EA22B621}</author>
  </authors>
  <commentList>
    <comment ref="Q13" authorId="0" shapeId="0" xr:uid="{9A6E298F-0F30-634E-B3E7-67B0B20F74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Foi pago um valor a mais de USD 342,869.76 ao invés de USD 331,504. O valor será abatido no próximo pagamento de janeiro.</t>
      </text>
    </comment>
    <comment ref="U13" authorId="1" shapeId="0" xr:uid="{E5D2C83C-2029-1349-BE3F-C957EA22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Luiz &gt; 28/02</t>
      </text>
    </comment>
  </commentList>
</comments>
</file>

<file path=xl/sharedStrings.xml><?xml version="1.0" encoding="utf-8"?>
<sst xmlns="http://schemas.openxmlformats.org/spreadsheetml/2006/main" count="1078" uniqueCount="445">
  <si>
    <t>026/24</t>
  </si>
  <si>
    <t>Unroasted</t>
  </si>
  <si>
    <t>029/24</t>
  </si>
  <si>
    <t>023/24</t>
  </si>
  <si>
    <t>028/24</t>
  </si>
  <si>
    <t>027/24</t>
  </si>
  <si>
    <t>025/24</t>
  </si>
  <si>
    <t>035/24</t>
  </si>
  <si>
    <t>030/24</t>
  </si>
  <si>
    <t>024/24</t>
  </si>
  <si>
    <t>022/24</t>
  </si>
  <si>
    <t>019/24</t>
  </si>
  <si>
    <t>018/24</t>
  </si>
  <si>
    <t>Diferencial</t>
  </si>
  <si>
    <t># Sacas</t>
  </si>
  <si>
    <t>Código</t>
  </si>
  <si>
    <t>Cliente</t>
  </si>
  <si>
    <t>Hedge (cts/lb)</t>
  </si>
  <si>
    <t>Preço (u$/sc)</t>
  </si>
  <si>
    <t>Resultado U$</t>
  </si>
  <si>
    <t>Data BL</t>
  </si>
  <si>
    <t>Prazo Receb.</t>
  </si>
  <si>
    <t>Preço (cts/lb) *</t>
  </si>
  <si>
    <t>Southland</t>
  </si>
  <si>
    <t>031/24</t>
  </si>
  <si>
    <t>032/24</t>
  </si>
  <si>
    <t>4x</t>
  </si>
  <si>
    <t>021/24</t>
  </si>
  <si>
    <t>Estimativa</t>
  </si>
  <si>
    <t>em aberto</t>
  </si>
  <si>
    <t>Preços NY</t>
  </si>
  <si>
    <t>TOTAL</t>
  </si>
  <si>
    <t>Sub-total Unroasted</t>
  </si>
  <si>
    <t>Sub-total Southland</t>
  </si>
  <si>
    <t>Sub-total Xorxos</t>
  </si>
  <si>
    <t>Sub-total Estimativa</t>
  </si>
  <si>
    <t>Cotação Dólar</t>
  </si>
  <si>
    <t>cts/lb</t>
  </si>
  <si>
    <t>h6/24</t>
  </si>
  <si>
    <t>h3/24</t>
  </si>
  <si>
    <t>Contratos</t>
  </si>
  <si>
    <t>Rabobank</t>
  </si>
  <si>
    <t>Itaú BBA</t>
  </si>
  <si>
    <t>Vencimento</t>
  </si>
  <si>
    <t>Trava Dólar</t>
  </si>
  <si>
    <t>Liq. (cts/lb)</t>
  </si>
  <si>
    <t>Liq. (ptax)</t>
  </si>
  <si>
    <t>Média (U$/sc)</t>
  </si>
  <si>
    <t>Hedges liquidados</t>
  </si>
  <si>
    <t xml:space="preserve">Hedges em aberto </t>
  </si>
  <si>
    <t>Sub-total Hedge Liquidado</t>
  </si>
  <si>
    <t>Sub-total Hedge Ativos</t>
  </si>
  <si>
    <t>Los Baristas</t>
  </si>
  <si>
    <t>033/24</t>
  </si>
  <si>
    <t>034/24</t>
  </si>
  <si>
    <t>1+3</t>
  </si>
  <si>
    <t>obs. (1) o preço refere-se ao preço em que o contrato foi liquidado ou contrato futuro mais próximo.</t>
  </si>
  <si>
    <t>16/18</t>
  </si>
  <si>
    <t>14/16</t>
  </si>
  <si>
    <t>14/15</t>
  </si>
  <si>
    <t>Bica</t>
  </si>
  <si>
    <t>FVR</t>
  </si>
  <si>
    <t>Grinders</t>
  </si>
  <si>
    <t>Escolha</t>
  </si>
  <si>
    <t>Sub-total Los Baristas</t>
  </si>
  <si>
    <t>Sub-total Louis Dreyfus</t>
  </si>
  <si>
    <t>Louis Dreyfus</t>
  </si>
  <si>
    <t>safra</t>
  </si>
  <si>
    <t>peneira</t>
  </si>
  <si>
    <t>qualidade</t>
  </si>
  <si>
    <t>Vários</t>
  </si>
  <si>
    <t>Moka</t>
  </si>
  <si>
    <t>Fine Cup</t>
  </si>
  <si>
    <t>Benedictos</t>
  </si>
  <si>
    <t>Ortu Sollis</t>
  </si>
  <si>
    <t>Petrus</t>
  </si>
  <si>
    <t>Brasilis</t>
  </si>
  <si>
    <t>Essentia</t>
  </si>
  <si>
    <t>Natural</t>
  </si>
  <si>
    <t>036/24</t>
  </si>
  <si>
    <t>tipo</t>
  </si>
  <si>
    <t>Exportação</t>
  </si>
  <si>
    <t>Mundo Novo Café</t>
  </si>
  <si>
    <t>037/24</t>
  </si>
  <si>
    <t>50% + 4</t>
  </si>
  <si>
    <t>Melitta</t>
  </si>
  <si>
    <t>45 dias</t>
  </si>
  <si>
    <t>038/24</t>
  </si>
  <si>
    <t>Quadro Resumo</t>
  </si>
  <si>
    <t>Emporia GMBH</t>
  </si>
  <si>
    <t>039/24</t>
  </si>
  <si>
    <t>us/sc</t>
  </si>
  <si>
    <t>hedge</t>
  </si>
  <si>
    <t>Resultado Líquido (R$)</t>
  </si>
  <si>
    <t>Hedges Liquidad. (US)</t>
  </si>
  <si>
    <t>Hedges Abertos (U$)</t>
  </si>
  <si>
    <t>Data de fechamento:</t>
  </si>
  <si>
    <t>Controle de Vendas - Fazenda São Pedro da Canastra - Safra 2024/25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</si>
  <si>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</si>
  <si>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</si>
  <si>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</si>
  <si>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</si>
  <si>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</si>
  <si>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</si>
  <si>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</si>
  <si>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</si>
  <si>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</si>
  <si>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VENDA/EMBARQUE</t>
  </si>
  <si>
    <t>960 SACAS NY + 10 BL 60</t>
  </si>
  <si>
    <t>160 SACAS NY + 25 BL 90</t>
  </si>
  <si>
    <t>640 SACAS NY + 10 BL 60</t>
  </si>
  <si>
    <t>320 SACAS NY - 28 BL 60</t>
  </si>
  <si>
    <t>320 SACAS NY + 10 BL 60</t>
  </si>
  <si>
    <t>160 SACAS NY - 8 BL 60</t>
  </si>
  <si>
    <t>UNROSTED</t>
  </si>
  <si>
    <t>320 SACAS NY + 50 BL 90</t>
  </si>
  <si>
    <t>320 SACAS NY - 8 BL 90</t>
  </si>
  <si>
    <t>RECEBIMENTO</t>
  </si>
  <si>
    <t>320 SACOS NY + 25 A VISTA</t>
  </si>
  <si>
    <t>XORXOS</t>
  </si>
  <si>
    <t>320 SACAS $ 325,00 BL 30/60/90/120</t>
  </si>
  <si>
    <t>SOUTHLAND</t>
  </si>
  <si>
    <t>EXPORTACAO</t>
  </si>
  <si>
    <t>RESIDUO</t>
  </si>
  <si>
    <t>EMBARCADO E FIXADO</t>
  </si>
  <si>
    <t>EMARCADO E NÃO FIXADO TRAVA 243,16</t>
  </si>
  <si>
    <t>ESTUFADO TRAVA 240,91</t>
  </si>
  <si>
    <t>TRAVA 240,91</t>
  </si>
  <si>
    <t xml:space="preserve">DOLAR </t>
  </si>
  <si>
    <t>REAIS</t>
  </si>
  <si>
    <t>TRAVA 338,17</t>
  </si>
  <si>
    <t>TRAVA 284,30 REF MARCO TELA SEM TRAVA</t>
  </si>
  <si>
    <t>TRAVA 243,16</t>
  </si>
  <si>
    <t>Data</t>
  </si>
  <si>
    <t>Dia 13/12/24</t>
  </si>
  <si>
    <t>Receita Bruta U$</t>
  </si>
  <si>
    <t>Receita Líquida U$</t>
  </si>
  <si>
    <t>Receita Bruta (U$)</t>
  </si>
  <si>
    <t>Rec. Líquida (U$)</t>
  </si>
  <si>
    <t>SIM</t>
  </si>
  <si>
    <t>CAD</t>
  </si>
  <si>
    <t>check</t>
  </si>
  <si>
    <t>040/24</t>
  </si>
  <si>
    <t>041/24</t>
  </si>
  <si>
    <t>Sub-total Emporia</t>
  </si>
  <si>
    <t>Vendas contratadas Exportação</t>
  </si>
  <si>
    <t>Vendas contratadas Mercado Interno</t>
  </si>
  <si>
    <t>55 Coffee</t>
  </si>
  <si>
    <t>Sub-total 55 Coffee</t>
  </si>
  <si>
    <t>042/24</t>
  </si>
  <si>
    <t>043/24</t>
  </si>
  <si>
    <t>6x</t>
  </si>
  <si>
    <t>Mercado Interno</t>
  </si>
  <si>
    <t>Receita Bruta (R$)</t>
  </si>
  <si>
    <t>Média (R$/sc)</t>
  </si>
  <si>
    <t>Rec. Líquida (R$)</t>
  </si>
  <si>
    <t>Preço (R$/sc)</t>
  </si>
  <si>
    <t>Receita Líquida R$</t>
  </si>
  <si>
    <t xml:space="preserve">Preço (R$/sc) </t>
  </si>
  <si>
    <t>Receita Bruta R$</t>
  </si>
  <si>
    <t>funrural</t>
  </si>
  <si>
    <t>Estimativa (em estoque)</t>
  </si>
  <si>
    <t>TOTAL (U$)</t>
  </si>
  <si>
    <t>Vendas Contratadas (U$)</t>
  </si>
  <si>
    <t>** a receita líquida considera 1.5% de funfural</t>
  </si>
  <si>
    <t>Resultado Líquido (U$)</t>
  </si>
  <si>
    <t>TOTAL (R$)</t>
  </si>
  <si>
    <t>2024/25</t>
  </si>
  <si>
    <t>cliente</t>
  </si>
  <si>
    <t>centro de custo</t>
  </si>
  <si>
    <t>data</t>
  </si>
  <si>
    <t>valor (R$)</t>
  </si>
  <si>
    <t>documento</t>
  </si>
  <si>
    <t># sacas</t>
  </si>
  <si>
    <t>valor (R$/sc)</t>
  </si>
  <si>
    <t>destino</t>
  </si>
  <si>
    <t>benefício</t>
  </si>
  <si>
    <t>liga simples</t>
  </si>
  <si>
    <t>ensaque</t>
  </si>
  <si>
    <t>ensaque especial</t>
  </si>
  <si>
    <t>entrada</t>
  </si>
  <si>
    <t>saída</t>
  </si>
  <si>
    <t>seguro</t>
  </si>
  <si>
    <t>armazenagem</t>
  </si>
  <si>
    <t>silcagem</t>
  </si>
  <si>
    <t>fornecedor</t>
  </si>
  <si>
    <t>sacaria</t>
  </si>
  <si>
    <t>selo</t>
  </si>
  <si>
    <t>transporte</t>
  </si>
  <si>
    <t>comissão</t>
  </si>
  <si>
    <t>capatazia</t>
  </si>
  <si>
    <t>agenciamento de carga</t>
  </si>
  <si>
    <t>despachante</t>
  </si>
  <si>
    <t>inspeção</t>
  </si>
  <si>
    <t>certificações</t>
  </si>
  <si>
    <t>associação comercial</t>
  </si>
  <si>
    <t>sindicato aduaneiros</t>
  </si>
  <si>
    <t>redex</t>
  </si>
  <si>
    <t>valor médio</t>
  </si>
  <si>
    <t>R$/sc</t>
  </si>
  <si>
    <t>0.025/dia</t>
  </si>
  <si>
    <t>0.035/dia</t>
  </si>
  <si>
    <t>dif.</t>
  </si>
  <si>
    <t>Xorxios</t>
  </si>
  <si>
    <t>Espanha</t>
  </si>
  <si>
    <t>Polônia</t>
  </si>
  <si>
    <t>Atma</t>
  </si>
  <si>
    <t>Sindicato dos Aduaneiros</t>
  </si>
  <si>
    <t>Ass. Comercial de Santos</t>
  </si>
  <si>
    <t>Top Freight</t>
  </si>
  <si>
    <t>Austrália</t>
  </si>
  <si>
    <t>Brasil Terminal Portuário</t>
  </si>
  <si>
    <t>Five Star</t>
  </si>
  <si>
    <t>OK</t>
  </si>
  <si>
    <t>NF</t>
  </si>
  <si>
    <t>contrato</t>
  </si>
  <si>
    <t>-</t>
  </si>
  <si>
    <t>Londe e Ribeiro</t>
  </si>
  <si>
    <t>268/270</t>
  </si>
  <si>
    <t>111818/111830</t>
  </si>
  <si>
    <t>323/329</t>
  </si>
  <si>
    <t>RECUSADO</t>
  </si>
  <si>
    <t>VENDAS CAFÉ SAFRA 2023/2024</t>
  </si>
  <si>
    <t>QUANT</t>
  </si>
  <si>
    <t>DATA</t>
  </si>
  <si>
    <t>CLIENTE</t>
  </si>
  <si>
    <t>TRANSPORTADOR</t>
  </si>
  <si>
    <t>PLACA</t>
  </si>
  <si>
    <t>QUANT. KG</t>
  </si>
  <si>
    <t>PREÇO/KG</t>
  </si>
  <si>
    <t>RECEITA TOTAL</t>
  </si>
  <si>
    <t>FUNRURAL</t>
  </si>
  <si>
    <t>COMISSÃO</t>
  </si>
  <si>
    <t>PREMIO</t>
  </si>
  <si>
    <t>RECEITA LIQUIDA</t>
  </si>
  <si>
    <t>DEPOSITOS</t>
  </si>
  <si>
    <t>EDSON</t>
  </si>
  <si>
    <t>MAURICIO</t>
  </si>
  <si>
    <t>SITUAÇÃO</t>
  </si>
  <si>
    <t>OLAM AGRICOLA LTDA</t>
  </si>
  <si>
    <t>FH &amp; MARTINS TRANSPORTES LTDA</t>
  </si>
  <si>
    <t>GVK6532</t>
  </si>
  <si>
    <t>GXM3495</t>
  </si>
  <si>
    <t>BTR7755</t>
  </si>
  <si>
    <t>HDI5D13</t>
  </si>
  <si>
    <t>MDI2107</t>
  </si>
  <si>
    <t>EXPERIMENTAL AGRICOLA DO BRASIL LTDA (ILLY)</t>
  </si>
  <si>
    <t>RODOCOFFEE LTDA</t>
  </si>
  <si>
    <t>KEU7764</t>
  </si>
  <si>
    <t>DANIEL CARVALHO</t>
  </si>
  <si>
    <t>CAFEBRAS COMERCIO DE CAFES DO BRASIL S/A</t>
  </si>
  <si>
    <t>TRANSPARENCY LOGISTICA E TRANSPORTES LTDA</t>
  </si>
  <si>
    <t>KTN4A79</t>
  </si>
  <si>
    <t>QXV6H94</t>
  </si>
  <si>
    <t>BXJ3679</t>
  </si>
  <si>
    <t>HJS2432</t>
  </si>
  <si>
    <t>GRANO TRADING EXPORT. E IMPORT. LTDA</t>
  </si>
  <si>
    <t>TRANSCOFFE TRANSPORTADORA LTDA</t>
  </si>
  <si>
    <t>RNE2C88</t>
  </si>
  <si>
    <t>LOUIS DREYFUS COMPANY BRASIL S.A.</t>
  </si>
  <si>
    <t>TRANSPORTADORA EUROCAFE EIRELI</t>
  </si>
  <si>
    <t>MWF6H33</t>
  </si>
  <si>
    <t xml:space="preserve">55 COFFEE HUB PRODUTOS E SERVIÇOS </t>
  </si>
  <si>
    <t>RODONAVES</t>
  </si>
  <si>
    <t>ABEX EXPORTAÇÃO E COMERCIO DE CAFÉ LTDA</t>
  </si>
  <si>
    <t>LAURO PINTO DA MOTA</t>
  </si>
  <si>
    <t>HNM3F03</t>
  </si>
  <si>
    <t>SUCAFINA BRASIL INDUSTRIA, COM. E EXPORTAÇÃO LTDA</t>
  </si>
  <si>
    <t>SOUZA E RABELO TRANSPORTES LTDA-ME</t>
  </si>
  <si>
    <t>GPY6207</t>
  </si>
  <si>
    <t>15/05 2.800,00 - 19/07 5.600,00 - 24/10 5.000,00</t>
  </si>
  <si>
    <t>realizado</t>
  </si>
  <si>
    <t>CSG MARKETING LTDA</t>
  </si>
  <si>
    <t>LONDE E RIBEIRO AGRONEGOCIOS LTDA</t>
  </si>
  <si>
    <t>DANIEL DENIS EUZEBIO</t>
  </si>
  <si>
    <t>GSH6627</t>
  </si>
  <si>
    <t>GARDINGO TRADE IMPORTAÇÃO E EXPORTAÇÃO LTDA</t>
  </si>
  <si>
    <t>COFFEETRANS TRANSPORTES LTDA</t>
  </si>
  <si>
    <t>WARLEM NUNES DA SILVA</t>
  </si>
  <si>
    <t>AQU5J91</t>
  </si>
  <si>
    <t>AW TRADING SP. Z.O.O.</t>
  </si>
  <si>
    <t>ATMA LOGISTICA E TRANSPORTES LTDA</t>
  </si>
  <si>
    <t>RMT1I17</t>
  </si>
  <si>
    <t>KQD0J21</t>
  </si>
  <si>
    <t>EMPORIA GMBH</t>
  </si>
  <si>
    <t>CPJ4128</t>
  </si>
  <si>
    <t>BRM0143</t>
  </si>
  <si>
    <t>BTS9B66</t>
  </si>
  <si>
    <t>BYH8834</t>
  </si>
  <si>
    <t>ITAH COMERCIAL EXPORTADORA LTDA</t>
  </si>
  <si>
    <t>ALESSANDRO FERREIRA DE CARVALHO</t>
  </si>
  <si>
    <t>HHK8G80</t>
  </si>
  <si>
    <t>SHF7A22</t>
  </si>
  <si>
    <t>EXPOCACCER - COOP CAFEICULTORES DO CERRADO</t>
  </si>
  <si>
    <t>VICENTE AUGUSTO LOURENÇO</t>
  </si>
  <si>
    <t>JLG2540</t>
  </si>
  <si>
    <t>SYF7A01</t>
  </si>
  <si>
    <t>SLM COFFEE PTY LTD T/AS</t>
  </si>
  <si>
    <t>MUNDO CAFÉ MAQUINAS E EQUIPAMENTOS LTDA</t>
  </si>
  <si>
    <t>05/12 E 06/12/2024</t>
  </si>
  <si>
    <t>MELITTA DO BRASIL INDUSTRIA E COMERCIO LTDA</t>
  </si>
  <si>
    <t>RETORNO CAFÉ SAFRA 2023/2024</t>
  </si>
  <si>
    <t>EDSON LUIZ IGNACIO</t>
  </si>
  <si>
    <t>CESAR</t>
  </si>
  <si>
    <t>Sub-total Londe e Ribeiro</t>
  </si>
  <si>
    <t>044/24</t>
  </si>
  <si>
    <t>045/24</t>
  </si>
  <si>
    <t>046/24</t>
  </si>
  <si>
    <t>047/24</t>
  </si>
  <si>
    <t>18 e 19</t>
  </si>
  <si>
    <t>23 e 25</t>
  </si>
  <si>
    <t>Hedges (R$)</t>
  </si>
  <si>
    <t>* a receita líquida considera as travas do hegde; ** foi adicionado 600 sacas da safra anterior à Emporia</t>
  </si>
  <si>
    <t>Dólar médio</t>
  </si>
  <si>
    <t>Fluxo de caixa</t>
  </si>
  <si>
    <t>** foi adicionado 600 sacas da safra anterior à Emporia</t>
  </si>
  <si>
    <t>Hedges</t>
  </si>
  <si>
    <t>Vendas</t>
  </si>
  <si>
    <t>Contrato</t>
  </si>
  <si>
    <t>22</t>
  </si>
  <si>
    <t>24, 30 e 35</t>
  </si>
  <si>
    <t>21</t>
  </si>
  <si>
    <t>27 e 28</t>
  </si>
  <si>
    <t>305.000,00 12/09/2024</t>
  </si>
  <si>
    <t>174.205,44 14/11/2024</t>
  </si>
  <si>
    <t>02/01/25 5.5500,00</t>
  </si>
  <si>
    <t>LOS BARISTAS CASA DE CAFES LTDA</t>
  </si>
  <si>
    <t>13/12/24 4.986,02</t>
  </si>
  <si>
    <t>20/01/25 4.986,02</t>
  </si>
  <si>
    <t>XORXIOS, SL</t>
  </si>
  <si>
    <t>26 e 29</t>
  </si>
  <si>
    <t>obs. (1) o preço refere-se ao preço fixado pelo cliente ou contrato futuro mais próximo ou hedge; (2) última estimativa enviada em 10/12/24 e subtraída das vendas.</t>
  </si>
  <si>
    <t>Invoice</t>
  </si>
  <si>
    <t>Ptax</t>
  </si>
  <si>
    <t>Nota Inicial</t>
  </si>
  <si>
    <t>Número NF</t>
  </si>
  <si>
    <t>Diferença DU-E</t>
  </si>
  <si>
    <t>DU-E</t>
  </si>
  <si>
    <t>Nota Complementar</t>
  </si>
  <si>
    <t>EDL 02/23</t>
  </si>
  <si>
    <t>Emporia</t>
  </si>
  <si>
    <t>027 e 28/24</t>
  </si>
  <si>
    <t>TX</t>
  </si>
  <si>
    <t>V.M.N.</t>
  </si>
  <si>
    <t>V.M.E.</t>
  </si>
  <si>
    <t>Número NF Comp.</t>
  </si>
  <si>
    <t>Fees</t>
  </si>
  <si>
    <t>À ver</t>
  </si>
  <si>
    <t>Variação Cambial</t>
  </si>
  <si>
    <t>ANO</t>
  </si>
  <si>
    <t>Número Documento</t>
  </si>
  <si>
    <t>Valor M. E.</t>
  </si>
  <si>
    <t>Tx. Cliente</t>
  </si>
  <si>
    <t>Valor M.N.</t>
  </si>
  <si>
    <t>Data M.N.</t>
  </si>
  <si>
    <t>Data M.E.</t>
  </si>
  <si>
    <t>Valor Nota</t>
  </si>
  <si>
    <t>TX Nota</t>
  </si>
  <si>
    <t>Variação cambial</t>
  </si>
  <si>
    <t>Unroasted 018, 019, 022</t>
  </si>
  <si>
    <t>424, 425 e 426</t>
  </si>
  <si>
    <t>Emporia 88USD</t>
  </si>
  <si>
    <t>Unroasted 016</t>
  </si>
  <si>
    <t>275, 276 e 283</t>
  </si>
  <si>
    <t>Southland 031/24</t>
  </si>
  <si>
    <t>Xorxios 021/24</t>
  </si>
  <si>
    <t>Data/Hora</t>
  </si>
  <si>
    <t>escala</t>
  </si>
  <si>
    <t>USD/KC DEZ25</t>
  </si>
  <si>
    <t>usd</t>
  </si>
  <si>
    <t>preço médio*</t>
  </si>
  <si>
    <t>* preço médio dos três contratos de hedge 17.70 @	179.00, 7.00 @196.10 e 10.60 @ 222.20.</t>
  </si>
  <si>
    <t>scs**</t>
  </si>
  <si>
    <t>** volume dos contratos em sacas</t>
  </si>
  <si>
    <t>Cenário A</t>
  </si>
  <si>
    <t>Cenário B</t>
  </si>
  <si>
    <t>Cenário C</t>
  </si>
  <si>
    <t>Produção</t>
  </si>
  <si>
    <t>scs</t>
  </si>
  <si>
    <t>Vende 10 mil a preço de tela, paga o</t>
  </si>
  <si>
    <t>Hedgeadas</t>
  </si>
  <si>
    <t>hedge. Saldo a:</t>
  </si>
  <si>
    <t>Saldo</t>
  </si>
  <si>
    <t>Receita (R$ M)</t>
  </si>
  <si>
    <t>Preço (c/lb)</t>
  </si>
  <si>
    <t>(-) Hedge</t>
  </si>
  <si>
    <t>Resultado (R$ M)</t>
  </si>
  <si>
    <t>mil dólares</t>
  </si>
  <si>
    <t>para cada 10 centavos no dólar</t>
  </si>
  <si>
    <t>mil reais</t>
  </si>
  <si>
    <t>para cada 10 pts no café</t>
  </si>
  <si>
    <t>Sub-total Operação Estruturada</t>
  </si>
  <si>
    <t>compra de call</t>
  </si>
  <si>
    <t>venda  de put</t>
  </si>
  <si>
    <t>Operação estruturada</t>
  </si>
  <si>
    <t>strike (cts/lb)</t>
  </si>
  <si>
    <t>prêmio</t>
  </si>
  <si>
    <t>prêmio USD</t>
  </si>
  <si>
    <t>prêmio BRL</t>
  </si>
  <si>
    <t>Sendo:</t>
  </si>
  <si>
    <t>S = Preço atual do ativo</t>
  </si>
  <si>
    <t>r = Taxa de juros livre de risco</t>
  </si>
  <si>
    <t>t = Tempo até o vencimento (em anos)</t>
  </si>
  <si>
    <t>σ (sigma) = Volatilidade do ativo</t>
  </si>
  <si>
    <t>N() = Função de distribuição normal cumulativa</t>
  </si>
  <si>
    <t>d1</t>
  </si>
  <si>
    <t>d2</t>
  </si>
  <si>
    <t>prêmio B&amp;S</t>
  </si>
  <si>
    <t>https://www.barchart.com/futures/quotes/KCN25/volatility-greeks/jul-25?futuresOptionsView=merged&amp;moneyness=allRows</t>
  </si>
  <si>
    <t xml:space="preserve"> </t>
  </si>
  <si>
    <t>prêmio USD B&amp;S</t>
  </si>
  <si>
    <t>ln (S/K)</t>
  </si>
  <si>
    <t>t(r+q2/2)</t>
  </si>
  <si>
    <t>q*t^0.5</t>
  </si>
  <si>
    <t>e^-qt</t>
  </si>
  <si>
    <t>e^-rt</t>
  </si>
  <si>
    <t>C</t>
  </si>
  <si>
    <t>P</t>
  </si>
  <si>
    <t>N(d1)</t>
  </si>
  <si>
    <t>N(d2)</t>
  </si>
  <si>
    <t>N(-d1)</t>
  </si>
  <si>
    <t>N(-d2)</t>
  </si>
  <si>
    <t>vende call</t>
  </si>
  <si>
    <t>Operação Estruturada (US$)</t>
  </si>
  <si>
    <t>Hedges + Operação (R$)</t>
  </si>
  <si>
    <t>K = Preço de strike</t>
  </si>
  <si>
    <t>Envio de 3 containeres em fevereiro. Previsão de pagamento em 90 dias.</t>
  </si>
  <si>
    <t>Mudanças na semana</t>
  </si>
  <si>
    <t>janeiro</t>
  </si>
  <si>
    <t>Catuaí</t>
  </si>
  <si>
    <t>Prazo alterado para 1a semana de março.</t>
  </si>
  <si>
    <t>Unroasted 27, 28 e 29 prêmio de 13.95</t>
  </si>
  <si>
    <t>Antecipação de R$ 700 mil da Unroasted de março para fevereiro. Contudo, atraso de abril p/ maio.</t>
  </si>
  <si>
    <t>Queda do hedge em razão da queda do café Dez/25 e dólar.</t>
  </si>
  <si>
    <t>Com  o adiamento dos 3 cont. da Unroasted, teremos só Southland entrando em abril.</t>
  </si>
  <si>
    <t>Anteciparam pagamento de dois contratos para fevereiro.</t>
  </si>
  <si>
    <t>Listas</t>
  </si>
  <si>
    <t>país</t>
  </si>
  <si>
    <t>Alemanha</t>
  </si>
  <si>
    <t>C-Freight</t>
  </si>
  <si>
    <t>Cia. Libra de Navegação</t>
  </si>
  <si>
    <t>Inside Logística</t>
  </si>
  <si>
    <t>valor total</t>
  </si>
  <si>
    <t>R$/saca</t>
  </si>
  <si>
    <t>Operações Estruturadas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</si>
</sst>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mmm/yy"/>
    <numFmt numFmtId="165" formatCode="0.0000"/>
    <numFmt numFmtId="166" formatCode="0.000"/>
    <numFmt numFmtId="167" formatCode="#,##0_ ;[Red]\-#,##0\ "/>
    <numFmt numFmtId="168" formatCode="0.0"/>
    <numFmt numFmtId="169" formatCode="[$]dd/mm/yy;@" x16r2:formatCode16="[$-en-BR,1]dd/mm/yy;@"/>
    <numFmt numFmtId="170" formatCode="_-[$$-409]* #,##0.00_ ;_-[$$-409]* \-#,##0.00\ ;_-[$$-409]* &quot;-&quot;??_ ;_-@_ "/>
    <numFmt numFmtId="171" formatCode="#,##0.000"/>
    <numFmt numFmtId="172" formatCode="0.0%"/>
    <numFmt numFmtId="173" formatCode="0.000000000000000%"/>
  </numFmts>
  <fonts count="32" x14ac:knownFonts="1">
    <font>
      <sz val="12"/>
      <color theme="1"/>
      <name val="Aptos Narrow"/>
      <family val="2"/>
      <scheme val="minor"/>
    </font>
    <font>
      <b/>
      <sz val="10"/>
      <color theme="1"/>
      <name val="Aptos Narrow"/>
      <scheme val="minor"/>
    </font>
    <font>
      <sz val="10"/>
      <color theme="0"/>
      <name val="Aptos Narrow"/>
      <scheme val="minor"/>
    </font>
    <font>
      <sz val="10"/>
      <color theme="1"/>
      <name val="Aptos Narrow"/>
      <scheme val="minor"/>
    </font>
    <font>
      <sz val="10"/>
      <name val="Aptos Narrow"/>
      <scheme val="minor"/>
    </font>
    <font>
      <sz val="10"/>
      <color theme="0" tint="-0.249977111117893"/>
      <name val="Aptos Narrow"/>
      <scheme val="minor"/>
    </font>
    <font>
      <sz val="10"/>
      <color theme="0" tint="-4.9989318521683403E-2"/>
      <name val="Aptos Narrow"/>
      <scheme val="minor"/>
    </font>
    <font>
      <b/>
      <sz val="10"/>
      <color theme="0"/>
      <name val="Aptos Narrow"/>
      <scheme val="minor"/>
    </font>
    <font>
      <sz val="10"/>
      <color theme="6" tint="0.59999389629810485"/>
      <name val="Aptos Narrow"/>
      <scheme val="minor"/>
    </font>
    <font>
      <b/>
      <sz val="12"/>
      <color rgb="FFFF0000"/>
      <name val="Aptos Narrow"/>
      <scheme val="minor"/>
    </font>
    <font>
      <b/>
      <sz val="12"/>
      <color theme="1"/>
      <name val="Aptos Narrow"/>
      <scheme val="minor"/>
    </font>
    <font>
      <sz val="10"/>
      <color rgb="FFFF0000"/>
      <name val="Aptos Narrow"/>
      <scheme val="minor"/>
    </font>
    <font>
      <sz val="12"/>
      <color theme="1"/>
      <name val="Aptos Narrow"/>
      <family val="2"/>
      <scheme val="minor"/>
    </font>
    <font>
      <sz val="10"/>
      <color theme="0" tint="-0.14999847407452621"/>
      <name val="Aptos Narrow"/>
      <scheme val="minor"/>
    </font>
    <font>
      <b/>
      <sz val="10"/>
      <color rgb="FFFF0000"/>
      <name val="Aptos Narrow"/>
      <scheme val="minor"/>
    </font>
    <font>
      <b/>
      <sz val="10"/>
      <color theme="0" tint="-0.249977111117893"/>
      <name val="Aptos Narrow"/>
      <scheme val="minor"/>
    </font>
    <font>
      <sz val="10"/>
      <color theme="0" tint="-0.34998626667073579"/>
      <name val="Aptos Narrow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0"/>
      <color theme="0" tint="-0.499984740745262"/>
      <name val="Aptos Narrow"/>
      <scheme val="minor"/>
    </font>
    <font>
      <b/>
      <sz val="10"/>
      <name val="Aptos Narrow"/>
      <scheme val="minor"/>
    </font>
    <font>
      <sz val="12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2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0"/>
      <color theme="0" tint="-0.14999847407452621"/>
      <name val="Aptos Narrow (Body)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2" fillId="0" borderId="0" applyFont="0" applyFill="0" applyBorder="0" applyAlignment="0" applyProtection="0"/>
    <xf numFmtId="0" fontId="19" fillId="0" borderId="0"/>
    <xf numFmtId="0" fontId="30" fillId="0" borderId="0" applyNumberFormat="0" applyFill="0" applyBorder="0" applyAlignment="0" applyProtection="0"/>
  </cellStyleXfs>
  <cellXfs count="342">
    <xf numFmtId="0" fontId="0" fillId="0" borderId="0" xfId="0"/>
    <xf numFmtId="0" fontId="1" fillId="2" borderId="0" xfId="0" applyFont="1" applyFill="1"/>
    <xf numFmtId="1" fontId="1" fillId="2" borderId="0" xfId="0" applyNumberFormat="1" applyFont="1" applyFill="1" applyAlignment="1">
      <alignment horizontal="center"/>
    </xf>
    <xf numFmtId="0" fontId="1" fillId="4" borderId="0" xfId="0" applyFont="1" applyFill="1"/>
    <xf numFmtId="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2" fillId="3" borderId="0" xfId="0" applyFont="1" applyFill="1"/>
    <xf numFmtId="17" fontId="2" fillId="3" borderId="0" xfId="0" applyNumberFormat="1" applyFont="1" applyFill="1" applyAlignment="1">
      <alignment horizontal="center"/>
    </xf>
    <xf numFmtId="3" fontId="3" fillId="2" borderId="0" xfId="0" applyNumberFormat="1" applyFont="1" applyFill="1" applyAlignment="1">
      <alignment horizontal="center"/>
    </xf>
    <xf numFmtId="0" fontId="3" fillId="5" borderId="0" xfId="0" applyFont="1" applyFill="1"/>
    <xf numFmtId="3" fontId="3" fillId="5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" fontId="3" fillId="2" borderId="0" xfId="0" applyNumberFormat="1" applyFont="1" applyFill="1" applyAlignment="1">
      <alignment horizontal="center"/>
    </xf>
    <xf numFmtId="0" fontId="3" fillId="5" borderId="0" xfId="0" applyFont="1" applyFill="1" applyAlignment="1">
      <alignment horizontal="center"/>
    </xf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6" fontId="3" fillId="2" borderId="0" xfId="0" applyNumberFormat="1" applyFont="1" applyFill="1" applyAlignment="1">
      <alignment horizontal="center"/>
    </xf>
    <xf numFmtId="167" fontId="4" fillId="2" borderId="0" xfId="0" applyNumberFormat="1" applyFont="1" applyFill="1" applyAlignment="1">
      <alignment horizontal="center"/>
    </xf>
    <xf numFmtId="167" fontId="3" fillId="2" borderId="0" xfId="0" applyNumberFormat="1" applyFont="1" applyFill="1" applyAlignment="1">
      <alignment horizontal="center"/>
    </xf>
    <xf numFmtId="3" fontId="3" fillId="2" borderId="0" xfId="0" applyNumberFormat="1" applyFont="1" applyFill="1"/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/>
    <xf numFmtId="3" fontId="1" fillId="2" borderId="1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6" fillId="2" borderId="0" xfId="0" applyFont="1" applyFill="1"/>
    <xf numFmtId="167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169" fontId="3" fillId="2" borderId="0" xfId="0" applyNumberFormat="1" applyFont="1" applyFill="1" applyAlignment="1">
      <alignment horizontal="center"/>
    </xf>
    <xf numFmtId="169" fontId="3" fillId="5" borderId="0" xfId="0" applyNumberFormat="1" applyFont="1" applyFill="1" applyAlignment="1">
      <alignment horizontal="center"/>
    </xf>
    <xf numFmtId="169" fontId="1" fillId="4" borderId="0" xfId="0" applyNumberFormat="1" applyFont="1" applyFill="1"/>
    <xf numFmtId="169" fontId="1" fillId="2" borderId="0" xfId="0" applyNumberFormat="1" applyFont="1" applyFill="1"/>
    <xf numFmtId="169" fontId="1" fillId="4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horizontal="center"/>
    </xf>
    <xf numFmtId="1" fontId="3" fillId="5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4" fontId="0" fillId="10" borderId="0" xfId="0" applyNumberFormat="1" applyFill="1" applyAlignment="1">
      <alignment horizontal="center"/>
    </xf>
    <xf numFmtId="4" fontId="0" fillId="11" borderId="0" xfId="0" applyNumberFormat="1" applyFill="1" applyAlignment="1">
      <alignment horizontal="center"/>
    </xf>
    <xf numFmtId="4" fontId="0" fillId="12" borderId="0" xfId="0" applyNumberFormat="1" applyFill="1" applyAlignment="1">
      <alignment horizontal="center"/>
    </xf>
    <xf numFmtId="4" fontId="0" fillId="13" borderId="0" xfId="0" applyNumberFormat="1" applyFill="1" applyAlignment="1">
      <alignment horizontal="center"/>
    </xf>
    <xf numFmtId="4" fontId="0" fillId="14" borderId="6" xfId="0" applyNumberFormat="1" applyFill="1" applyBorder="1" applyAlignment="1">
      <alignment horizontal="center"/>
    </xf>
    <xf numFmtId="170" fontId="0" fillId="2" borderId="0" xfId="0" applyNumberFormat="1" applyFill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15" borderId="0" xfId="0" applyNumberFormat="1" applyFill="1" applyAlignment="1">
      <alignment horizontal="center"/>
    </xf>
    <xf numFmtId="4" fontId="0" fillId="7" borderId="0" xfId="0" applyNumberFormat="1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4" fontId="0" fillId="2" borderId="8" xfId="0" applyNumberFormat="1" applyFill="1" applyBorder="1" applyAlignment="1">
      <alignment horizontal="center"/>
    </xf>
    <xf numFmtId="4" fontId="0" fillId="15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2" borderId="8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9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4" fontId="9" fillId="0" borderId="0" xfId="0" applyNumberFormat="1" applyFont="1"/>
    <xf numFmtId="0" fontId="0" fillId="10" borderId="0" xfId="0" applyFill="1"/>
    <xf numFmtId="0" fontId="0" fillId="11" borderId="0" xfId="0" applyFill="1"/>
    <xf numFmtId="0" fontId="0" fillId="15" borderId="0" xfId="0" applyFill="1"/>
    <xf numFmtId="0" fontId="0" fillId="12" borderId="0" xfId="0" applyFill="1"/>
    <xf numFmtId="0" fontId="0" fillId="14" borderId="0" xfId="0" applyFill="1"/>
    <xf numFmtId="0" fontId="0" fillId="13" borderId="0" xfId="0" applyFill="1"/>
    <xf numFmtId="0" fontId="0" fillId="7" borderId="0" xfId="0" applyFill="1"/>
    <xf numFmtId="0" fontId="0" fillId="6" borderId="0" xfId="0" applyFill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5" fillId="2" borderId="0" xfId="0" applyNumberFormat="1" applyFont="1" applyFill="1" applyAlignment="1">
      <alignment horizontal="center"/>
    </xf>
    <xf numFmtId="1" fontId="11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171" fontId="5" fillId="2" borderId="0" xfId="0" applyNumberFormat="1" applyFont="1" applyFill="1" applyAlignment="1">
      <alignment horizontal="center" vertical="center"/>
    </xf>
    <xf numFmtId="166" fontId="4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4" fillId="5" borderId="0" xfId="0" applyNumberFormat="1" applyFont="1" applyFill="1" applyAlignment="1">
      <alignment horizontal="center"/>
    </xf>
    <xf numFmtId="0" fontId="4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16" borderId="0" xfId="0" applyFont="1" applyFill="1"/>
    <xf numFmtId="0" fontId="2" fillId="16" borderId="0" xfId="0" applyFont="1" applyFill="1" applyAlignment="1">
      <alignment horizontal="center"/>
    </xf>
    <xf numFmtId="17" fontId="2" fillId="16" borderId="0" xfId="0" applyNumberFormat="1" applyFont="1" applyFill="1" applyAlignment="1">
      <alignment horizontal="center"/>
    </xf>
    <xf numFmtId="3" fontId="2" fillId="16" borderId="0" xfId="0" applyNumberFormat="1" applyFont="1" applyFill="1" applyAlignment="1">
      <alignment horizontal="center"/>
    </xf>
    <xf numFmtId="0" fontId="1" fillId="17" borderId="0" xfId="0" applyFont="1" applyFill="1"/>
    <xf numFmtId="0" fontId="1" fillId="17" borderId="0" xfId="0" applyFont="1" applyFill="1" applyAlignment="1">
      <alignment horizontal="center"/>
    </xf>
    <xf numFmtId="169" fontId="1" fillId="17" borderId="0" xfId="0" applyNumberFormat="1" applyFont="1" applyFill="1" applyAlignment="1">
      <alignment horizontal="center"/>
    </xf>
    <xf numFmtId="3" fontId="1" fillId="17" borderId="0" xfId="0" applyNumberFormat="1" applyFont="1" applyFill="1" applyAlignment="1">
      <alignment horizontal="center"/>
    </xf>
    <xf numFmtId="3" fontId="15" fillId="2" borderId="0" xfId="0" applyNumberFormat="1" applyFont="1" applyFill="1" applyAlignment="1">
      <alignment horizontal="center"/>
    </xf>
    <xf numFmtId="10" fontId="15" fillId="2" borderId="0" xfId="1" applyNumberFormat="1" applyFont="1" applyFill="1" applyAlignment="1">
      <alignment horizontal="center"/>
    </xf>
    <xf numFmtId="0" fontId="16" fillId="2" borderId="0" xfId="0" applyFont="1" applyFill="1"/>
    <xf numFmtId="166" fontId="4" fillId="2" borderId="1" xfId="0" applyNumberFormat="1" applyFont="1" applyFill="1" applyBorder="1" applyAlignment="1">
      <alignment horizontal="center" vertical="center"/>
    </xf>
    <xf numFmtId="169" fontId="1" fillId="5" borderId="0" xfId="0" applyNumberFormat="1" applyFont="1" applyFill="1" applyAlignment="1">
      <alignment horizontal="center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18" fillId="2" borderId="0" xfId="0" applyNumberFormat="1" applyFont="1" applyFill="1" applyAlignment="1">
      <alignment horizontal="center"/>
    </xf>
    <xf numFmtId="4" fontId="2" fillId="3" borderId="0" xfId="0" applyNumberFormat="1" applyFont="1" applyFill="1" applyAlignment="1">
      <alignment horizontal="center"/>
    </xf>
    <xf numFmtId="4" fontId="18" fillId="2" borderId="0" xfId="0" applyNumberFormat="1" applyFont="1" applyFill="1" applyAlignment="1">
      <alignment horizontal="center"/>
    </xf>
    <xf numFmtId="4" fontId="3" fillId="5" borderId="0" xfId="0" applyNumberFormat="1" applyFont="1" applyFill="1" applyAlignment="1">
      <alignment horizontal="center"/>
    </xf>
    <xf numFmtId="14" fontId="3" fillId="5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1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0" fontId="20" fillId="0" borderId="0" xfId="2" applyFont="1"/>
    <xf numFmtId="0" fontId="19" fillId="0" borderId="0" xfId="2"/>
    <xf numFmtId="14" fontId="19" fillId="0" borderId="0" xfId="2" applyNumberFormat="1"/>
    <xf numFmtId="0" fontId="19" fillId="0" borderId="2" xfId="2" applyBorder="1"/>
    <xf numFmtId="0" fontId="19" fillId="0" borderId="3" xfId="2" applyBorder="1"/>
    <xf numFmtId="0" fontId="19" fillId="15" borderId="3" xfId="2" applyFill="1" applyBorder="1"/>
    <xf numFmtId="0" fontId="19" fillId="0" borderId="4" xfId="2" applyBorder="1"/>
    <xf numFmtId="0" fontId="19" fillId="0" borderId="5" xfId="2" applyBorder="1" applyAlignment="1">
      <alignment horizontal="center"/>
    </xf>
    <xf numFmtId="14" fontId="19" fillId="0" borderId="0" xfId="2" applyNumberFormat="1" applyAlignment="1">
      <alignment horizontal="center"/>
    </xf>
    <xf numFmtId="0" fontId="19" fillId="0" borderId="0" xfId="2" applyAlignment="1">
      <alignment horizontal="center"/>
    </xf>
    <xf numFmtId="4" fontId="19" fillId="0" borderId="0" xfId="2" applyNumberFormat="1"/>
    <xf numFmtId="0" fontId="19" fillId="15" borderId="0" xfId="2" applyFill="1"/>
    <xf numFmtId="4" fontId="19" fillId="23" borderId="0" xfId="2" applyNumberFormat="1" applyFill="1"/>
    <xf numFmtId="4" fontId="19" fillId="0" borderId="0" xfId="2" applyNumberFormat="1" applyAlignment="1">
      <alignment horizontal="center"/>
    </xf>
    <xf numFmtId="4" fontId="19" fillId="0" borderId="5" xfId="2" applyNumberFormat="1" applyBorder="1"/>
    <xf numFmtId="4" fontId="19" fillId="0" borderId="6" xfId="2" applyNumberFormat="1" applyBorder="1"/>
    <xf numFmtId="0" fontId="19" fillId="0" borderId="6" xfId="2" applyBorder="1"/>
    <xf numFmtId="4" fontId="19" fillId="15" borderId="0" xfId="2" applyNumberFormat="1" applyFill="1"/>
    <xf numFmtId="4" fontId="19" fillId="10" borderId="0" xfId="2" applyNumberFormat="1" applyFill="1"/>
    <xf numFmtId="4" fontId="19" fillId="15" borderId="6" xfId="2" applyNumberFormat="1" applyFill="1" applyBorder="1"/>
    <xf numFmtId="4" fontId="21" fillId="0" borderId="0" xfId="2" applyNumberFormat="1" applyFont="1"/>
    <xf numFmtId="4" fontId="22" fillId="10" borderId="0" xfId="2" applyNumberFormat="1" applyFont="1" applyFill="1"/>
    <xf numFmtId="4" fontId="19" fillId="0" borderId="0" xfId="2" quotePrefix="1" applyNumberFormat="1"/>
    <xf numFmtId="4" fontId="19" fillId="15" borderId="0" xfId="2" quotePrefix="1" applyNumberFormat="1" applyFill="1"/>
    <xf numFmtId="0" fontId="19" fillId="15" borderId="0" xfId="2" applyFill="1" applyAlignment="1">
      <alignment horizontal="center"/>
    </xf>
    <xf numFmtId="2" fontId="19" fillId="0" borderId="0" xfId="2" applyNumberFormat="1"/>
    <xf numFmtId="0" fontId="19" fillId="0" borderId="7" xfId="2" applyBorder="1" applyAlignment="1">
      <alignment horizontal="center"/>
    </xf>
    <xf numFmtId="0" fontId="19" fillId="0" borderId="8" xfId="2" applyBorder="1"/>
    <xf numFmtId="4" fontId="19" fillId="0" borderId="8" xfId="2" applyNumberFormat="1" applyBorder="1"/>
    <xf numFmtId="4" fontId="19" fillId="0" borderId="7" xfId="2" applyNumberFormat="1" applyBorder="1"/>
    <xf numFmtId="4" fontId="19" fillId="0" borderId="9" xfId="2" applyNumberFormat="1" applyBorder="1"/>
    <xf numFmtId="0" fontId="19" fillId="2" borderId="0" xfId="2" applyFill="1"/>
    <xf numFmtId="4" fontId="19" fillId="2" borderId="0" xfId="2" applyNumberFormat="1" applyFill="1"/>
    <xf numFmtId="14" fontId="19" fillId="2" borderId="0" xfId="2" applyNumberFormat="1" applyFill="1"/>
    <xf numFmtId="14" fontId="5" fillId="2" borderId="0" xfId="0" applyNumberFormat="1" applyFont="1" applyFill="1" applyAlignment="1">
      <alignment horizontal="left"/>
    </xf>
    <xf numFmtId="3" fontId="13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vertical="center"/>
    </xf>
    <xf numFmtId="3" fontId="2" fillId="18" borderId="0" xfId="0" applyNumberFormat="1" applyFont="1" applyFill="1" applyAlignment="1">
      <alignment horizontal="center" vertical="center"/>
    </xf>
    <xf numFmtId="1" fontId="2" fillId="18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17" fontId="2" fillId="18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1" fontId="3" fillId="2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vertical="center"/>
    </xf>
    <xf numFmtId="3" fontId="3" fillId="5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vertical="center"/>
    </xf>
    <xf numFmtId="3" fontId="2" fillId="19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3" fontId="1" fillId="17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3" fontId="1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4" fontId="14" fillId="2" borderId="0" xfId="0" applyNumberFormat="1" applyFont="1" applyFill="1" applyAlignment="1">
      <alignment horizontal="center" vertical="center"/>
    </xf>
    <xf numFmtId="172" fontId="1" fillId="2" borderId="0" xfId="1" applyNumberFormat="1" applyFont="1" applyFill="1" applyAlignment="1">
      <alignment horizontal="center" vertical="center"/>
    </xf>
    <xf numFmtId="3" fontId="7" fillId="2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vertical="center"/>
    </xf>
    <xf numFmtId="3" fontId="3" fillId="8" borderId="0" xfId="0" applyNumberFormat="1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3" fontId="7" fillId="9" borderId="0" xfId="0" applyNumberFormat="1" applyFont="1" applyFill="1" applyAlignment="1">
      <alignment horizontal="center" vertical="center"/>
    </xf>
    <xf numFmtId="14" fontId="5" fillId="2" borderId="0" xfId="0" applyNumberFormat="1" applyFont="1" applyFill="1" applyAlignment="1">
      <alignment horizontal="left" vertical="center"/>
    </xf>
    <xf numFmtId="3" fontId="13" fillId="2" borderId="0" xfId="0" applyNumberFormat="1" applyFont="1" applyFill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3" fontId="3" fillId="7" borderId="0" xfId="0" applyNumberFormat="1" applyFont="1" applyFill="1" applyAlignment="1">
      <alignment horizontal="center" vertical="center"/>
    </xf>
    <xf numFmtId="0" fontId="3" fillId="24" borderId="0" xfId="0" applyFont="1" applyFill="1" applyAlignment="1">
      <alignment vertical="center"/>
    </xf>
    <xf numFmtId="3" fontId="3" fillId="24" borderId="0" xfId="0" applyNumberFormat="1" applyFont="1" applyFill="1" applyAlignment="1">
      <alignment horizontal="center" vertical="center"/>
    </xf>
    <xf numFmtId="0" fontId="3" fillId="7" borderId="0" xfId="0" applyFont="1" applyFill="1" applyAlignment="1">
      <alignment vertical="center"/>
    </xf>
    <xf numFmtId="4" fontId="3" fillId="2" borderId="0" xfId="0" applyNumberFormat="1" applyFont="1" applyFill="1" applyAlignment="1">
      <alignment horizontal="center" vertical="center"/>
    </xf>
    <xf numFmtId="171" fontId="16" fillId="2" borderId="0" xfId="0" applyNumberFormat="1" applyFont="1" applyFill="1" applyAlignment="1">
      <alignment horizontal="center" vertical="center"/>
    </xf>
    <xf numFmtId="3" fontId="23" fillId="2" borderId="0" xfId="0" applyNumberFormat="1" applyFont="1" applyFill="1" applyAlignment="1">
      <alignment horizontal="center" vertical="center"/>
    </xf>
    <xf numFmtId="0" fontId="2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3" fontId="4" fillId="2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vertical="center"/>
    </xf>
    <xf numFmtId="3" fontId="3" fillId="17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/>
    </xf>
    <xf numFmtId="0" fontId="19" fillId="15" borderId="5" xfId="2" applyFill="1" applyBorder="1" applyAlignment="1">
      <alignment horizontal="center"/>
    </xf>
    <xf numFmtId="14" fontId="19" fillId="15" borderId="0" xfId="2" applyNumberFormat="1" applyFill="1"/>
    <xf numFmtId="4" fontId="21" fillId="15" borderId="0" xfId="2" applyNumberFormat="1" applyFont="1" applyFill="1"/>
    <xf numFmtId="4" fontId="19" fillId="15" borderId="5" xfId="2" applyNumberFormat="1" applyFill="1" applyBorder="1"/>
    <xf numFmtId="0" fontId="19" fillId="22" borderId="5" xfId="2" applyFill="1" applyBorder="1" applyAlignment="1">
      <alignment horizontal="center"/>
    </xf>
    <xf numFmtId="14" fontId="19" fillId="22" borderId="0" xfId="2" applyNumberFormat="1" applyFill="1"/>
    <xf numFmtId="0" fontId="19" fillId="22" borderId="0" xfId="2" applyFill="1"/>
    <xf numFmtId="0" fontId="19" fillId="22" borderId="0" xfId="2" applyFill="1" applyAlignment="1">
      <alignment horizontal="center"/>
    </xf>
    <xf numFmtId="4" fontId="19" fillId="22" borderId="0" xfId="2" applyNumberFormat="1" applyFill="1"/>
    <xf numFmtId="4" fontId="19" fillId="22" borderId="5" xfId="2" applyNumberFormat="1" applyFill="1" applyBorder="1"/>
    <xf numFmtId="4" fontId="19" fillId="22" borderId="6" xfId="2" applyNumberFormat="1" applyFill="1" applyBorder="1"/>
    <xf numFmtId="165" fontId="0" fillId="0" borderId="0" xfId="0" applyNumberFormat="1"/>
    <xf numFmtId="165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25" fillId="3" borderId="0" xfId="0" applyFont="1" applyFill="1"/>
    <xf numFmtId="0" fontId="25" fillId="3" borderId="0" xfId="0" applyFont="1" applyFill="1" applyAlignment="1">
      <alignment horizontal="center"/>
    </xf>
    <xf numFmtId="1" fontId="25" fillId="3" borderId="0" xfId="0" applyNumberFormat="1" applyFont="1" applyFill="1" applyAlignment="1">
      <alignment horizontal="center"/>
    </xf>
    <xf numFmtId="165" fontId="25" fillId="3" borderId="0" xfId="0" applyNumberFormat="1" applyFont="1" applyFill="1" applyAlignment="1">
      <alignment horizontal="center"/>
    </xf>
    <xf numFmtId="0" fontId="25" fillId="21" borderId="0" xfId="0" applyFont="1" applyFill="1" applyAlignment="1">
      <alignment horizontal="center"/>
    </xf>
    <xf numFmtId="4" fontId="0" fillId="22" borderId="0" xfId="0" applyNumberFormat="1" applyFill="1" applyAlignment="1">
      <alignment horizontal="center"/>
    </xf>
    <xf numFmtId="0" fontId="25" fillId="11" borderId="0" xfId="0" applyFont="1" applyFill="1" applyAlignment="1">
      <alignment horizontal="center"/>
    </xf>
    <xf numFmtId="0" fontId="25" fillId="20" borderId="0" xfId="0" applyFont="1" applyFill="1" applyAlignment="1">
      <alignment horizontal="center"/>
    </xf>
    <xf numFmtId="0" fontId="26" fillId="20" borderId="10" xfId="0" applyFont="1" applyFill="1" applyBorder="1" applyAlignment="1">
      <alignment horizontal="center" vertical="center" wrapText="1"/>
    </xf>
    <xf numFmtId="1" fontId="26" fillId="20" borderId="10" xfId="0" applyNumberFormat="1" applyFont="1" applyFill="1" applyBorder="1" applyAlignment="1">
      <alignment horizontal="center" vertical="center" wrapText="1"/>
    </xf>
    <xf numFmtId="0" fontId="26" fillId="20" borderId="10" xfId="0" applyFont="1" applyFill="1" applyBorder="1" applyAlignment="1">
      <alignment wrapText="1"/>
    </xf>
    <xf numFmtId="0" fontId="26" fillId="20" borderId="10" xfId="0" applyFont="1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22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wrapText="1"/>
    </xf>
    <xf numFmtId="4" fontId="0" fillId="22" borderId="0" xfId="0" applyNumberFormat="1" applyFill="1" applyAlignment="1">
      <alignment vertical="center" wrapText="1"/>
    </xf>
    <xf numFmtId="0" fontId="0" fillId="0" borderId="0" xfId="0" applyAlignment="1">
      <alignment horizontal="left" wrapText="1"/>
    </xf>
    <xf numFmtId="1" fontId="0" fillId="0" borderId="0" xfId="0" applyNumberFormat="1" applyAlignment="1">
      <alignment wrapText="1"/>
    </xf>
    <xf numFmtId="1" fontId="27" fillId="0" borderId="0" xfId="0" applyNumberFormat="1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" fontId="0" fillId="22" borderId="0" xfId="0" applyNumberFormat="1" applyFill="1" applyAlignment="1">
      <alignment horizontal="center" vertical="center" wrapText="1"/>
    </xf>
    <xf numFmtId="169" fontId="24" fillId="5" borderId="0" xfId="0" applyNumberFormat="1" applyFont="1" applyFill="1" applyAlignment="1">
      <alignment horizontal="center"/>
    </xf>
    <xf numFmtId="0" fontId="0" fillId="2" borderId="0" xfId="0" applyFill="1" applyAlignment="1">
      <alignment vertical="center"/>
    </xf>
    <xf numFmtId="0" fontId="28" fillId="2" borderId="0" xfId="0" applyFont="1" applyFill="1" applyAlignment="1">
      <alignment horizontal="center"/>
    </xf>
    <xf numFmtId="0" fontId="28" fillId="2" borderId="0" xfId="0" applyFont="1" applyFill="1"/>
    <xf numFmtId="0" fontId="28" fillId="2" borderId="0" xfId="0" applyFont="1" applyFill="1" applyAlignment="1">
      <alignment horizontal="center" vertical="center"/>
    </xf>
    <xf numFmtId="0" fontId="28" fillId="2" borderId="0" xfId="0" applyFont="1" applyFill="1" applyAlignment="1">
      <alignment vertical="center"/>
    </xf>
    <xf numFmtId="2" fontId="28" fillId="2" borderId="0" xfId="0" applyNumberFormat="1" applyFont="1" applyFill="1" applyAlignment="1">
      <alignment horizontal="center" vertical="center"/>
    </xf>
    <xf numFmtId="166" fontId="28" fillId="2" borderId="0" xfId="0" applyNumberFormat="1" applyFont="1" applyFill="1" applyAlignment="1">
      <alignment horizontal="center" vertical="center"/>
    </xf>
    <xf numFmtId="1" fontId="28" fillId="2" borderId="0" xfId="0" applyNumberFormat="1" applyFont="1" applyFill="1" applyAlignment="1">
      <alignment horizontal="center" vertical="center"/>
    </xf>
    <xf numFmtId="166" fontId="28" fillId="2" borderId="10" xfId="0" applyNumberFormat="1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/>
    <xf numFmtId="168" fontId="29" fillId="2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18" fillId="2" borderId="0" xfId="0" applyFont="1" applyFill="1" applyAlignment="1">
      <alignment horizontal="right"/>
    </xf>
    <xf numFmtId="0" fontId="0" fillId="2" borderId="0" xfId="0" applyFill="1" applyAlignment="1">
      <alignment horizontal="left"/>
    </xf>
    <xf numFmtId="168" fontId="0" fillId="2" borderId="0" xfId="0" applyNumberFormat="1" applyFill="1" applyAlignment="1">
      <alignment horizontal="center"/>
    </xf>
    <xf numFmtId="0" fontId="29" fillId="2" borderId="0" xfId="0" applyFont="1" applyFill="1" applyAlignment="1">
      <alignment horizontal="left"/>
    </xf>
    <xf numFmtId="2" fontId="0" fillId="2" borderId="0" xfId="0" applyNumberFormat="1" applyFill="1" applyAlignment="1">
      <alignment horizontal="center"/>
    </xf>
    <xf numFmtId="2" fontId="29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vertical="center"/>
    </xf>
    <xf numFmtId="166" fontId="3" fillId="2" borderId="0" xfId="0" applyNumberFormat="1" applyFont="1" applyFill="1"/>
    <xf numFmtId="166" fontId="3" fillId="2" borderId="0" xfId="0" applyNumberFormat="1" applyFont="1" applyFill="1" applyAlignment="1">
      <alignment vertical="center"/>
    </xf>
    <xf numFmtId="0" fontId="26" fillId="22" borderId="10" xfId="0" applyFont="1" applyFill="1" applyBorder="1" applyAlignment="1">
      <alignment horizontal="center" wrapText="1"/>
    </xf>
    <xf numFmtId="2" fontId="3" fillId="2" borderId="0" xfId="0" applyNumberFormat="1" applyFont="1" applyFill="1"/>
    <xf numFmtId="168" fontId="3" fillId="2" borderId="0" xfId="0" applyNumberFormat="1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173" fontId="3" fillId="2" borderId="0" xfId="0" applyNumberFormat="1" applyFont="1" applyFill="1"/>
    <xf numFmtId="17" fontId="3" fillId="2" borderId="0" xfId="0" applyNumberFormat="1" applyFont="1" applyFill="1" applyAlignment="1">
      <alignment horizontal="center"/>
    </xf>
    <xf numFmtId="9" fontId="3" fillId="2" borderId="0" xfId="1" applyFont="1" applyFill="1" applyAlignment="1">
      <alignment horizontal="center"/>
    </xf>
    <xf numFmtId="9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2" fontId="3" fillId="2" borderId="0" xfId="0" applyNumberFormat="1" applyFont="1" applyFill="1" applyAlignment="1">
      <alignment horizontal="center"/>
    </xf>
    <xf numFmtId="0" fontId="30" fillId="2" borderId="0" xfId="3" applyFill="1"/>
    <xf numFmtId="4" fontId="1" fillId="2" borderId="0" xfId="0" applyNumberFormat="1" applyFont="1" applyFill="1" applyAlignment="1">
      <alignment horizontal="center"/>
    </xf>
    <xf numFmtId="14" fontId="13" fillId="2" borderId="0" xfId="0" applyNumberFormat="1" applyFont="1" applyFill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/>
    </xf>
    <xf numFmtId="169" fontId="24" fillId="2" borderId="0" xfId="0" applyNumberFormat="1" applyFont="1" applyFill="1" applyAlignment="1">
      <alignment horizontal="center"/>
    </xf>
    <xf numFmtId="3" fontId="3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2" borderId="0" xfId="0" applyFont="1" applyFill="1" applyAlignment="1">
      <alignment horizontal="right" vertical="center"/>
    </xf>
    <xf numFmtId="14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4" fontId="2" fillId="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vertical="center"/>
    </xf>
    <xf numFmtId="14" fontId="4" fillId="8" borderId="0" xfId="0" applyNumberFormat="1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172" fontId="3" fillId="2" borderId="0" xfId="1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6" fontId="8" fillId="2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7" fontId="2" fillId="3" borderId="0" xfId="0" applyNumberFormat="1" applyFont="1" applyFill="1" applyAlignment="1">
      <alignment horizontal="center" vertical="center"/>
    </xf>
    <xf numFmtId="0" fontId="2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17" fontId="2" fillId="2" borderId="1" xfId="0" applyNumberFormat="1" applyFont="1" applyFill="1" applyBorder="1" applyAlignment="1">
      <alignment horizontal="center" vertical="center"/>
    </xf>
    <xf numFmtId="17" fontId="11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3" fontId="1" fillId="4" borderId="0" xfId="0" applyNumberFormat="1" applyFont="1" applyFill="1" applyAlignment="1">
      <alignment horizontal="center" vertical="center"/>
    </xf>
    <xf numFmtId="171" fontId="3" fillId="2" borderId="0" xfId="0" applyNumberFormat="1" applyFont="1" applyFill="1" applyAlignment="1">
      <alignment horizontal="center" vertical="center"/>
    </xf>
    <xf numFmtId="0" fontId="2" fillId="16" borderId="0" xfId="0" applyFont="1" applyFill="1" applyAlignment="1">
      <alignment vertical="center"/>
    </xf>
    <xf numFmtId="17" fontId="2" fillId="16" borderId="0" xfId="0" applyNumberFormat="1" applyFont="1" applyFill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3" fontId="3" fillId="5" borderId="1" xfId="0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left" vertical="center"/>
    </xf>
    <xf numFmtId="4" fontId="2" fillId="11" borderId="0" xfId="0" applyNumberFormat="1" applyFont="1" applyFill="1" applyAlignment="1">
      <alignment horizontal="center"/>
    </xf>
    <xf numFmtId="0" fontId="2" fillId="25" borderId="0" xfId="0" applyFont="1" applyFill="1" applyAlignment="1">
      <alignment horizontal="center"/>
    </xf>
    <xf numFmtId="4" fontId="2" fillId="25" borderId="0" xfId="0" applyNumberFormat="1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2" fillId="18" borderId="0" xfId="0" applyFont="1" applyFill="1" applyAlignment="1">
      <alignment horizontal="center"/>
    </xf>
    <xf numFmtId="164" fontId="2" fillId="18" borderId="0" xfId="0" applyNumberFormat="1" applyFont="1" applyFill="1" applyAlignment="1">
      <alignment horizontal="center"/>
    </xf>
    <xf numFmtId="2" fontId="2" fillId="18" borderId="0" xfId="0" applyNumberFormat="1" applyFont="1" applyFill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0" xfId="0" applyNumberFormat="1" applyFont="1" applyFill="1"/>
    <xf numFmtId="3" fontId="3" fillId="2" borderId="1" xfId="0" applyNumberFormat="1" applyFont="1" applyFill="1" applyBorder="1" applyAlignment="1">
      <alignment horizontal="center"/>
    </xf>
    <xf numFmtId="0" fontId="19" fillId="0" borderId="3" xfId="2" applyBorder="1" applyAlignment="1">
      <alignment horizontal="center"/>
    </xf>
    <xf numFmtId="0" fontId="19" fillId="2" borderId="0" xfId="2" applyFill="1" applyAlignment="1">
      <alignment horizontal="center"/>
    </xf>
    <xf numFmtId="17" fontId="2" fillId="3" borderId="0" xfId="0" applyNumberFormat="1" applyFont="1" applyFill="1" applyAlignment="1">
      <alignment horizontal="left" vertical="center"/>
    </xf>
    <xf numFmtId="17" fontId="2" fillId="16" borderId="0" xfId="0" applyNumberFormat="1" applyFont="1" applyFill="1" applyAlignment="1">
      <alignment horizontal="left" vertical="center"/>
    </xf>
    <xf numFmtId="17" fontId="2" fillId="18" borderId="0" xfId="0" applyNumberFormat="1" applyFont="1" applyFill="1" applyAlignment="1">
      <alignment horizontal="left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/>
  </cellXfs>
  <cellStyles count="4">
    <cellStyle name="Hyperlink" xfId="3" builtinId="8"/>
    <cellStyle name="Normal" xfId="0" builtinId="0"/>
    <cellStyle name="Normal 2" xfId="2" xr:uid="{FBDE122D-F9BE-AE4A-91C0-5CA92DAE08C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149</xdr:row>
      <xdr:rowOff>0</xdr:rowOff>
    </xdr:from>
    <xdr:to>
      <xdr:col>3</xdr:col>
      <xdr:colOff>304800</xdr:colOff>
      <xdr:row>150</xdr:row>
      <xdr:rowOff>119742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B6976ADA-75A8-F952-7FAD-C471B1E76265}"/>
            </a:ext>
          </a:extLst>
        </xdr:cNvPr>
        <xdr:cNvSpPr>
          <a:spLocks noChangeAspect="1" noChangeArrowheads="1"/>
        </xdr:cNvSpPr>
      </xdr:nvSpPr>
      <xdr:spPr bwMode="auto">
        <a:xfrm>
          <a:off x="3136900" y="269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190</xdr:row>
      <xdr:rowOff>72572</xdr:rowOff>
    </xdr:from>
    <xdr:to>
      <xdr:col>9</xdr:col>
      <xdr:colOff>948871</xdr:colOff>
      <xdr:row>200</xdr:row>
      <xdr:rowOff>742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873100-2697-B79B-4986-4B9C988CA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58857" y="37646429"/>
          <a:ext cx="4432300" cy="1739900"/>
        </a:xfrm>
        <a:prstGeom prst="rect">
          <a:avLst/>
        </a:prstGeom>
      </xdr:spPr>
    </xdr:pic>
    <xdr:clientData/>
  </xdr:twoCellAnchor>
  <xdr:twoCellAnchor editAs="oneCell">
    <xdr:from>
      <xdr:col>6</xdr:col>
      <xdr:colOff>90714</xdr:colOff>
      <xdr:row>201</xdr:row>
      <xdr:rowOff>72572</xdr:rowOff>
    </xdr:from>
    <xdr:to>
      <xdr:col>11</xdr:col>
      <xdr:colOff>39914</xdr:colOff>
      <xdr:row>209</xdr:row>
      <xdr:rowOff>30842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24E7F62-CCDF-5FE8-584A-FD5968B39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49571" y="39642143"/>
          <a:ext cx="5410200" cy="1409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dolfo Castro" id="{13DA6435-8028-7E4E-8BAC-E13216844B55}" userId="cee4aa5b88c061f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2" dT="2025-02-05T10:37:41.33" personId="{13DA6435-8028-7E4E-8BAC-E13216844B55}" id="{E3D98B5E-7837-8841-B2F2-BBA413DD5825}">
    <text>diferença de depósito acima de 11365.47 usd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13" dT="2024-12-10T18:14:29.52" personId="{13DA6435-8028-7E4E-8BAC-E13216844B55}" id="{9A6E298F-0F30-634E-B3E7-67B0B20F7499}">
    <text>Foi pago um valor a mais de USD 342,869.76 ao invés de USD 331,504. O valor será abatido no próximo pagamento de janeiro.</text>
  </threadedComment>
  <threadedComment ref="U13" dT="2025-02-28T14:32:53.73" personId="{13DA6435-8028-7E4E-8BAC-E13216844B55}" id="{E5D2C83C-2029-1349-BE3F-C957EA22B621}">
    <text>Luiz &gt; 28/02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hyperlink" Target="https://www.barchart.com/futures/quotes/KCN25/volatility-greeks/jul-25?futuresOptionsView=merged&amp;moneyness=allRows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115D-D1E6-C943-B0EC-2BC4BD1B44BA}">
  <sheetPr codeName="Sheet1"/>
  <dimension ref="A1:Y35"/>
  <sheetViews>
    <sheetView tabSelected="1" zoomScale="80" zoomScaleNormal="80" workbookViewId="0">
      <selection activeCell="C22" sqref="C22"/>
    </sheetView>
  </sheetViews>
  <sheetFormatPr baseColWidth="10" defaultRowHeight="14" x14ac:dyDescent="0.2"/>
  <cols>
    <col min="1" max="1" width="15.5" style="9" customWidth="1"/>
    <col min="2" max="2" width="15.83203125" style="10" customWidth="1"/>
    <col min="3" max="3" width="19.6640625" style="9" customWidth="1"/>
    <col min="4" max="8" width="10.83203125" style="9"/>
    <col min="9" max="11" width="10.83203125" style="276"/>
    <col min="12" max="12" width="10.83203125" style="332"/>
    <col min="13" max="17" width="10.83203125" style="9"/>
    <col min="18" max="18" width="12.5" style="9" bestFit="1" customWidth="1"/>
    <col min="19" max="19" width="11" style="9" bestFit="1" customWidth="1"/>
    <col min="20" max="20" width="12.5" style="9" bestFit="1" customWidth="1"/>
    <col min="21" max="24" width="11" style="9" bestFit="1" customWidth="1"/>
    <col min="25" max="16384" width="10.83203125" style="9"/>
  </cols>
  <sheetData>
    <row r="1" spans="1:25" x14ac:dyDescent="0.2">
      <c r="A1" s="328" t="s">
        <v>67</v>
      </c>
      <c r="B1" s="328" t="s">
        <v>80</v>
      </c>
      <c r="C1" s="328" t="str">
        <f>vendas!B52</f>
        <v>Cliente</v>
      </c>
      <c r="D1" s="328" t="str">
        <f>vendas!C52</f>
        <v>Código</v>
      </c>
      <c r="E1" s="328" t="str">
        <f>vendas!D52</f>
        <v># Sacas</v>
      </c>
      <c r="F1" s="328" t="str">
        <f>vendas!E52</f>
        <v>peneira</v>
      </c>
      <c r="G1" s="328" t="str">
        <f>vendas!F52</f>
        <v>qualidade</v>
      </c>
      <c r="H1" s="328" t="str">
        <f>vendas!G52</f>
        <v>Diferencial</v>
      </c>
      <c r="I1" s="330" t="str">
        <f>vendas!H52</f>
        <v>Preço (cts/lb) *</v>
      </c>
      <c r="J1" s="330" t="str">
        <f>vendas!I52</f>
        <v>Hedge (cts/lb)</v>
      </c>
      <c r="K1" s="330" t="str">
        <f>vendas!J52</f>
        <v>Preço (u$/sc)</v>
      </c>
      <c r="L1" s="329" t="str">
        <f>vendas!K52</f>
        <v>Data BL</v>
      </c>
      <c r="M1" s="328" t="str">
        <f>vendas!L52</f>
        <v>Prazo Receb.</v>
      </c>
      <c r="N1" s="328" t="s">
        <v>19</v>
      </c>
      <c r="O1" s="329">
        <f>vendas!N52</f>
        <v>45536</v>
      </c>
      <c r="P1" s="329">
        <f>vendas!O52</f>
        <v>45566</v>
      </c>
      <c r="Q1" s="329">
        <f>vendas!P52</f>
        <v>45597</v>
      </c>
      <c r="R1" s="329">
        <f>vendas!Q52</f>
        <v>45627</v>
      </c>
      <c r="S1" s="329">
        <f>vendas!R52</f>
        <v>45658</v>
      </c>
      <c r="T1" s="329">
        <f>vendas!S52</f>
        <v>45689</v>
      </c>
      <c r="U1" s="329">
        <f>vendas!T52</f>
        <v>45717</v>
      </c>
      <c r="V1" s="329">
        <f>vendas!U52</f>
        <v>45748</v>
      </c>
      <c r="W1" s="329">
        <f>vendas!V52</f>
        <v>45778</v>
      </c>
      <c r="X1" s="329">
        <f>vendas!W52</f>
        <v>45809</v>
      </c>
      <c r="Y1" s="328" t="str">
        <f>vendas!X52</f>
        <v>em aberto</v>
      </c>
    </row>
    <row r="2" spans="1:25" s="10" customFormat="1" x14ac:dyDescent="0.2">
      <c r="A2" s="10" t="s">
        <v>167</v>
      </c>
      <c r="B2" s="10" t="s">
        <v>81</v>
      </c>
      <c r="C2" s="10" t="str">
        <f>vendas!B53</f>
        <v>Unroasted</v>
      </c>
      <c r="D2" s="10" t="str">
        <f>vendas!C53</f>
        <v>018/24</v>
      </c>
      <c r="E2" s="10">
        <f>vendas!D53</f>
        <v>320</v>
      </c>
      <c r="F2" s="10" t="str">
        <f>vendas!E53</f>
        <v>16/18</v>
      </c>
      <c r="G2" s="10" t="str">
        <f>vendas!F53</f>
        <v>Fine Cup</v>
      </c>
      <c r="H2" s="10">
        <f>vendas!G53</f>
        <v>10</v>
      </c>
      <c r="I2" s="11">
        <f>vendas!H53</f>
        <v>251.05</v>
      </c>
      <c r="J2" s="11">
        <f>vendas!I53</f>
        <v>245</v>
      </c>
      <c r="K2" s="11">
        <f>vendas!J53</f>
        <v>345.31693999999999</v>
      </c>
      <c r="L2" s="17">
        <f>vendas!K53</f>
        <v>45564</v>
      </c>
      <c r="M2" s="10">
        <f>vendas!L53</f>
        <v>60</v>
      </c>
      <c r="N2" s="14">
        <f>vendas!M53</f>
        <v>110501.42079999999</v>
      </c>
      <c r="O2" s="14">
        <f>vendas!N53</f>
        <v>0</v>
      </c>
      <c r="P2" s="14">
        <f>vendas!O53</f>
        <v>0</v>
      </c>
      <c r="Q2" s="14">
        <f>vendas!P53</f>
        <v>0</v>
      </c>
      <c r="R2" s="14">
        <f>vendas!Q53</f>
        <v>110501.42079999999</v>
      </c>
      <c r="S2" s="14">
        <f>vendas!R53</f>
        <v>0</v>
      </c>
      <c r="T2" s="14">
        <f>vendas!S53</f>
        <v>0</v>
      </c>
      <c r="U2" s="14">
        <f>vendas!T53</f>
        <v>0</v>
      </c>
      <c r="V2" s="14">
        <f>vendas!U53</f>
        <v>0</v>
      </c>
      <c r="W2" s="14">
        <f>vendas!V53</f>
        <v>0</v>
      </c>
      <c r="X2" s="14">
        <f>vendas!W53</f>
        <v>0</v>
      </c>
      <c r="Y2" s="14">
        <f>vendas!X53</f>
        <v>0</v>
      </c>
    </row>
    <row r="3" spans="1:25" x14ac:dyDescent="0.2">
      <c r="A3" s="10" t="s">
        <v>167</v>
      </c>
      <c r="B3" s="10" t="s">
        <v>81</v>
      </c>
      <c r="C3" s="10" t="str">
        <f>vendas!B54</f>
        <v>Unroasted</v>
      </c>
      <c r="D3" s="10" t="str">
        <f>vendas!C54</f>
        <v>019/24</v>
      </c>
      <c r="E3" s="10">
        <f>vendas!D54</f>
        <v>320</v>
      </c>
      <c r="F3" s="10" t="str">
        <f>vendas!E54</f>
        <v>16/18</v>
      </c>
      <c r="G3" s="10" t="str">
        <f>vendas!F54</f>
        <v>Fine Cup</v>
      </c>
      <c r="H3" s="10">
        <f>vendas!G54</f>
        <v>10</v>
      </c>
      <c r="I3" s="11">
        <f>vendas!H54</f>
        <v>251.05</v>
      </c>
      <c r="J3" s="11">
        <f>vendas!I54</f>
        <v>245</v>
      </c>
      <c r="K3" s="11">
        <f>vendas!J54</f>
        <v>345.31693999999999</v>
      </c>
      <c r="L3" s="17">
        <f>vendas!K54</f>
        <v>45564</v>
      </c>
      <c r="M3" s="10">
        <f>vendas!L54</f>
        <v>60</v>
      </c>
      <c r="N3" s="14">
        <f>vendas!M54</f>
        <v>110501.42079999999</v>
      </c>
      <c r="O3" s="14">
        <f>vendas!N54</f>
        <v>0</v>
      </c>
      <c r="P3" s="14">
        <f>vendas!O54</f>
        <v>0</v>
      </c>
      <c r="Q3" s="14">
        <f>vendas!P54</f>
        <v>0</v>
      </c>
      <c r="R3" s="14">
        <f>vendas!Q54</f>
        <v>110501.42079999999</v>
      </c>
      <c r="S3" s="14">
        <f>vendas!R54</f>
        <v>0</v>
      </c>
      <c r="T3" s="14">
        <f>vendas!S54</f>
        <v>0</v>
      </c>
      <c r="U3" s="14">
        <f>vendas!T54</f>
        <v>0</v>
      </c>
      <c r="V3" s="14">
        <f>vendas!U54</f>
        <v>0</v>
      </c>
      <c r="W3" s="14">
        <f>vendas!V54</f>
        <v>0</v>
      </c>
      <c r="X3" s="14">
        <f>vendas!W54</f>
        <v>0</v>
      </c>
      <c r="Y3" s="14">
        <f>vendas!X54</f>
        <v>0</v>
      </c>
    </row>
    <row r="4" spans="1:25" x14ac:dyDescent="0.2">
      <c r="A4" s="10" t="s">
        <v>167</v>
      </c>
      <c r="B4" s="10" t="s">
        <v>81</v>
      </c>
      <c r="C4" s="10" t="str">
        <f>vendas!B55</f>
        <v>Unroasted</v>
      </c>
      <c r="D4" s="10" t="str">
        <f>vendas!C55</f>
        <v>022/24</v>
      </c>
      <c r="E4" s="10">
        <f>vendas!D55</f>
        <v>320</v>
      </c>
      <c r="F4" s="10" t="str">
        <f>vendas!E55</f>
        <v>16/18</v>
      </c>
      <c r="G4" s="10" t="str">
        <f>vendas!F55</f>
        <v>Benedictos</v>
      </c>
      <c r="H4" s="10">
        <f>vendas!G55</f>
        <v>10</v>
      </c>
      <c r="I4" s="11">
        <f>vendas!H55</f>
        <v>251.05</v>
      </c>
      <c r="J4" s="11">
        <f>vendas!I55</f>
        <v>231.1</v>
      </c>
      <c r="K4" s="11">
        <f>vendas!J55</f>
        <v>345.31693999999999</v>
      </c>
      <c r="L4" s="17">
        <f>vendas!K55</f>
        <v>45564</v>
      </c>
      <c r="M4" s="10">
        <f>vendas!L55</f>
        <v>60</v>
      </c>
      <c r="N4" s="14">
        <f>vendas!M55</f>
        <v>110501.42079999999</v>
      </c>
      <c r="O4" s="14">
        <f>vendas!N55</f>
        <v>0</v>
      </c>
      <c r="P4" s="14">
        <f>vendas!O55</f>
        <v>0</v>
      </c>
      <c r="Q4" s="14">
        <f>vendas!P55</f>
        <v>0</v>
      </c>
      <c r="R4" s="14">
        <f>vendas!Q55</f>
        <v>110501.42079999999</v>
      </c>
      <c r="S4" s="14">
        <f>vendas!R55</f>
        <v>0</v>
      </c>
      <c r="T4" s="14">
        <f>vendas!S55</f>
        <v>0</v>
      </c>
      <c r="U4" s="14">
        <f>vendas!T55</f>
        <v>0</v>
      </c>
      <c r="V4" s="14">
        <f>vendas!U55</f>
        <v>0</v>
      </c>
      <c r="W4" s="14">
        <f>vendas!V55</f>
        <v>0</v>
      </c>
      <c r="X4" s="14">
        <f>vendas!W55</f>
        <v>0</v>
      </c>
      <c r="Y4" s="14">
        <f>vendas!X55</f>
        <v>0</v>
      </c>
    </row>
    <row r="5" spans="1:25" x14ac:dyDescent="0.2">
      <c r="A5" s="10" t="s">
        <v>167</v>
      </c>
      <c r="B5" s="10" t="s">
        <v>81</v>
      </c>
      <c r="C5" s="10" t="str">
        <f>vendas!B56</f>
        <v>Unroasted</v>
      </c>
      <c r="D5" s="10" t="str">
        <f>vendas!C56</f>
        <v>027/24</v>
      </c>
      <c r="E5" s="10">
        <f>vendas!D56</f>
        <v>160</v>
      </c>
      <c r="F5" s="10" t="str">
        <f>vendas!E56</f>
        <v>16/18</v>
      </c>
      <c r="G5" s="10" t="str">
        <f>vendas!F56</f>
        <v>Ortu Sollis</v>
      </c>
      <c r="H5" s="10">
        <f>vendas!G56</f>
        <v>25</v>
      </c>
      <c r="I5" s="11">
        <f>vendas!H56</f>
        <v>280.75</v>
      </c>
      <c r="J5" s="11">
        <f>vendas!I56</f>
        <v>243.16</v>
      </c>
      <c r="K5" s="11">
        <f>vendas!J56</f>
        <v>404.4461</v>
      </c>
      <c r="L5" s="17">
        <f>vendas!K56</f>
        <v>45599</v>
      </c>
      <c r="M5" s="10">
        <f>vendas!L56</f>
        <v>90</v>
      </c>
      <c r="N5" s="14">
        <f>vendas!M56</f>
        <v>64711.376000000004</v>
      </c>
      <c r="O5" s="14">
        <f>vendas!N56</f>
        <v>0</v>
      </c>
      <c r="P5" s="14">
        <f>vendas!O56</f>
        <v>0</v>
      </c>
      <c r="Q5" s="14">
        <f>vendas!P56</f>
        <v>0</v>
      </c>
      <c r="R5" s="14">
        <f>vendas!Q56</f>
        <v>0</v>
      </c>
      <c r="S5" s="14">
        <f>vendas!R56</f>
        <v>64711.376000000004</v>
      </c>
      <c r="T5" s="14">
        <f>vendas!S56</f>
        <v>0</v>
      </c>
      <c r="U5" s="14">
        <f>vendas!T56</f>
        <v>0</v>
      </c>
      <c r="V5" s="14">
        <f>vendas!U56</f>
        <v>0</v>
      </c>
      <c r="W5" s="14">
        <f>vendas!V56</f>
        <v>0</v>
      </c>
      <c r="X5" s="14">
        <f>vendas!W56</f>
        <v>0</v>
      </c>
      <c r="Y5" s="14">
        <f>vendas!X56</f>
        <v>0</v>
      </c>
    </row>
    <row r="6" spans="1:25" x14ac:dyDescent="0.2">
      <c r="A6" s="10" t="s">
        <v>167</v>
      </c>
      <c r="B6" s="10" t="s">
        <v>81</v>
      </c>
      <c r="C6" s="10" t="str">
        <f>vendas!B57</f>
        <v>Unroasted</v>
      </c>
      <c r="D6" s="10" t="str">
        <f>vendas!C57</f>
        <v>028/24</v>
      </c>
      <c r="E6" s="10">
        <f>vendas!D57</f>
        <v>160</v>
      </c>
      <c r="F6" s="10" t="str">
        <f>vendas!E57</f>
        <v>14/16</v>
      </c>
      <c r="G6" s="10" t="str">
        <f>vendas!F57</f>
        <v>Petrus</v>
      </c>
      <c r="H6" s="10">
        <f>vendas!G57</f>
        <v>-8</v>
      </c>
      <c r="I6" s="11">
        <f>vendas!H57</f>
        <v>280.75</v>
      </c>
      <c r="J6" s="11">
        <f>vendas!I57</f>
        <v>243.16</v>
      </c>
      <c r="K6" s="11">
        <f>vendas!J57</f>
        <v>360.7937</v>
      </c>
      <c r="L6" s="17">
        <f>vendas!K57</f>
        <v>45599</v>
      </c>
      <c r="M6" s="10">
        <f>vendas!L57</f>
        <v>60</v>
      </c>
      <c r="N6" s="14">
        <f>vendas!M57</f>
        <v>57726.991999999998</v>
      </c>
      <c r="O6" s="14">
        <f>vendas!N57</f>
        <v>0</v>
      </c>
      <c r="P6" s="14">
        <f>vendas!O57</f>
        <v>0</v>
      </c>
      <c r="Q6" s="14">
        <f>vendas!P57</f>
        <v>0</v>
      </c>
      <c r="R6" s="14">
        <f>vendas!Q57</f>
        <v>0</v>
      </c>
      <c r="S6" s="14">
        <f>vendas!R57</f>
        <v>57726.991999999998</v>
      </c>
      <c r="T6" s="14">
        <f>vendas!S57</f>
        <v>0</v>
      </c>
      <c r="U6" s="14">
        <f>vendas!T57</f>
        <v>0</v>
      </c>
      <c r="V6" s="14">
        <f>vendas!U57</f>
        <v>0</v>
      </c>
      <c r="W6" s="14">
        <f>vendas!V57</f>
        <v>0</v>
      </c>
      <c r="X6" s="14">
        <f>vendas!W57</f>
        <v>0</v>
      </c>
      <c r="Y6" s="14">
        <f>vendas!X57</f>
        <v>0</v>
      </c>
    </row>
    <row r="7" spans="1:25" x14ac:dyDescent="0.2">
      <c r="A7" s="10" t="s">
        <v>167</v>
      </c>
      <c r="B7" s="10" t="s">
        <v>81</v>
      </c>
      <c r="C7" s="10" t="str">
        <f>vendas!B58</f>
        <v>Unroasted</v>
      </c>
      <c r="D7" s="10" t="str">
        <f>vendas!C58</f>
        <v>024/24</v>
      </c>
      <c r="E7" s="10">
        <f>vendas!D58</f>
        <v>320</v>
      </c>
      <c r="F7" s="10" t="str">
        <f>vendas!E58</f>
        <v>16/18</v>
      </c>
      <c r="G7" s="10" t="str">
        <f>vendas!F58</f>
        <v>Petrus</v>
      </c>
      <c r="H7" s="10">
        <f>vendas!G58</f>
        <v>10</v>
      </c>
      <c r="I7" s="11">
        <f>vendas!H58</f>
        <v>323.25</v>
      </c>
      <c r="J7" s="11">
        <f>vendas!I58</f>
        <v>240.91</v>
      </c>
      <c r="K7" s="11">
        <f>vendas!J58</f>
        <v>440.82310000000001</v>
      </c>
      <c r="L7" s="17">
        <f>vendas!K58</f>
        <v>45630</v>
      </c>
      <c r="M7" s="10">
        <f>vendas!L58</f>
        <v>60</v>
      </c>
      <c r="N7" s="14">
        <f>vendas!M58</f>
        <v>141063.39199999999</v>
      </c>
      <c r="O7" s="14">
        <f>vendas!N58</f>
        <v>0</v>
      </c>
      <c r="P7" s="14">
        <f>vendas!O58</f>
        <v>0</v>
      </c>
      <c r="Q7" s="14">
        <f>vendas!P58</f>
        <v>0</v>
      </c>
      <c r="R7" s="14">
        <f>vendas!Q58</f>
        <v>0</v>
      </c>
      <c r="S7" s="14">
        <f>vendas!R58</f>
        <v>0</v>
      </c>
      <c r="T7" s="14">
        <f>vendas!S58</f>
        <v>141063.39199999999</v>
      </c>
      <c r="U7" s="14">
        <f>vendas!T58</f>
        <v>0</v>
      </c>
      <c r="V7" s="14">
        <f>vendas!U58</f>
        <v>0</v>
      </c>
      <c r="W7" s="14">
        <f>vendas!V58</f>
        <v>0</v>
      </c>
      <c r="X7" s="14">
        <f>vendas!W58</f>
        <v>0</v>
      </c>
      <c r="Y7" s="14">
        <f>vendas!X58</f>
        <v>0</v>
      </c>
    </row>
    <row r="8" spans="1:25" x14ac:dyDescent="0.2">
      <c r="A8" s="10" t="s">
        <v>167</v>
      </c>
      <c r="B8" s="10" t="s">
        <v>81</v>
      </c>
      <c r="C8" s="10" t="str">
        <f>vendas!B59</f>
        <v>Unroasted</v>
      </c>
      <c r="D8" s="10" t="str">
        <f>vendas!C59</f>
        <v>030/24</v>
      </c>
      <c r="E8" s="10">
        <f>vendas!D59</f>
        <v>320</v>
      </c>
      <c r="F8" s="10" t="str">
        <f>vendas!E59</f>
        <v>16/18</v>
      </c>
      <c r="G8" s="10" t="str">
        <f>vendas!F59</f>
        <v>Brasilis</v>
      </c>
      <c r="H8" s="10">
        <f>vendas!G59</f>
        <v>50</v>
      </c>
      <c r="I8" s="11">
        <f>vendas!H59</f>
        <v>323.25</v>
      </c>
      <c r="J8" s="11">
        <f>vendas!I59</f>
        <v>240.91</v>
      </c>
      <c r="K8" s="11">
        <f>vendas!J59</f>
        <v>493.73509999999999</v>
      </c>
      <c r="L8" s="17">
        <f>vendas!K59</f>
        <v>45630</v>
      </c>
      <c r="M8" s="10">
        <f>vendas!L59</f>
        <v>90</v>
      </c>
      <c r="N8" s="14">
        <f>vendas!M59</f>
        <v>157995.23199999999</v>
      </c>
      <c r="O8" s="14">
        <f>vendas!N59</f>
        <v>0</v>
      </c>
      <c r="P8" s="14">
        <f>vendas!O59</f>
        <v>0</v>
      </c>
      <c r="Q8" s="14">
        <f>vendas!P59</f>
        <v>0</v>
      </c>
      <c r="R8" s="14">
        <f>vendas!Q59</f>
        <v>0</v>
      </c>
      <c r="S8" s="14">
        <f>vendas!R59</f>
        <v>0</v>
      </c>
      <c r="T8" s="14">
        <f>vendas!S59</f>
        <v>157995.23199999999</v>
      </c>
      <c r="U8" s="14">
        <f>vendas!T59</f>
        <v>0</v>
      </c>
      <c r="V8" s="14">
        <f>vendas!U59</f>
        <v>0</v>
      </c>
      <c r="W8" s="14">
        <f>vendas!V59</f>
        <v>0</v>
      </c>
      <c r="X8" s="14">
        <f>vendas!W59</f>
        <v>0</v>
      </c>
      <c r="Y8" s="14">
        <f>vendas!X59</f>
        <v>0</v>
      </c>
    </row>
    <row r="9" spans="1:25" x14ac:dyDescent="0.2">
      <c r="A9" s="10" t="s">
        <v>167</v>
      </c>
      <c r="B9" s="10" t="s">
        <v>81</v>
      </c>
      <c r="C9" s="10" t="str">
        <f>vendas!B60</f>
        <v>Unroasted</v>
      </c>
      <c r="D9" s="10" t="str">
        <f>vendas!C60</f>
        <v>035/24</v>
      </c>
      <c r="E9" s="10">
        <f>vendas!D60</f>
        <v>320</v>
      </c>
      <c r="F9" s="10" t="str">
        <f>vendas!E60</f>
        <v>14/16</v>
      </c>
      <c r="G9" s="10" t="str">
        <f>vendas!F60</f>
        <v>Essentia</v>
      </c>
      <c r="H9" s="10">
        <f>vendas!G60</f>
        <v>-8</v>
      </c>
      <c r="I9" s="11">
        <f>vendas!H60</f>
        <v>323.25</v>
      </c>
      <c r="J9" s="11">
        <f>vendas!I60</f>
        <v>240.91</v>
      </c>
      <c r="K9" s="11">
        <f>vendas!J60</f>
        <v>417.0127</v>
      </c>
      <c r="L9" s="17">
        <f>vendas!K60</f>
        <v>45630</v>
      </c>
      <c r="M9" s="10">
        <f>vendas!L60</f>
        <v>90</v>
      </c>
      <c r="N9" s="14">
        <f>vendas!M60</f>
        <v>133444.06400000001</v>
      </c>
      <c r="O9" s="14">
        <f>vendas!N60</f>
        <v>0</v>
      </c>
      <c r="P9" s="14">
        <f>vendas!O60</f>
        <v>0</v>
      </c>
      <c r="Q9" s="14">
        <f>vendas!P60</f>
        <v>0</v>
      </c>
      <c r="R9" s="14">
        <f>vendas!Q60</f>
        <v>0</v>
      </c>
      <c r="S9" s="14">
        <f>vendas!R60</f>
        <v>0</v>
      </c>
      <c r="T9" s="14">
        <f>vendas!S60</f>
        <v>133444.06400000001</v>
      </c>
      <c r="U9" s="14">
        <f>vendas!T60</f>
        <v>0</v>
      </c>
      <c r="V9" s="14">
        <f>vendas!U60</f>
        <v>0</v>
      </c>
      <c r="W9" s="14">
        <f>vendas!V60</f>
        <v>0</v>
      </c>
      <c r="X9" s="14">
        <f>vendas!W60</f>
        <v>0</v>
      </c>
      <c r="Y9" s="14">
        <f>vendas!X60</f>
        <v>0</v>
      </c>
    </row>
    <row r="10" spans="1:25" x14ac:dyDescent="0.2">
      <c r="A10" s="10" t="s">
        <v>167</v>
      </c>
      <c r="B10" s="10" t="s">
        <v>81</v>
      </c>
      <c r="C10" s="10" t="str">
        <f>vendas!B61</f>
        <v>Unroasted</v>
      </c>
      <c r="D10" s="10" t="str">
        <f>vendas!C61</f>
        <v>027/24</v>
      </c>
      <c r="E10" s="10">
        <f>vendas!D61</f>
        <v>160</v>
      </c>
      <c r="F10" s="10" t="str">
        <f>vendas!E61</f>
        <v>16/18</v>
      </c>
      <c r="G10" s="10" t="str">
        <f>vendas!F61</f>
        <v>Ortu Sollis</v>
      </c>
      <c r="H10" s="10">
        <f>vendas!G61</f>
        <v>25</v>
      </c>
      <c r="I10" s="11">
        <f>vendas!H61</f>
        <v>396.65</v>
      </c>
      <c r="J10" s="11">
        <f>vendas!I61</f>
        <v>257.11</v>
      </c>
      <c r="K10" s="11">
        <f>vendas!J61</f>
        <v>557.75861999999995</v>
      </c>
      <c r="L10" s="17">
        <f>vendas!K61</f>
        <v>45349</v>
      </c>
      <c r="M10" s="10">
        <f>vendas!L61</f>
        <v>90</v>
      </c>
      <c r="N10" s="14">
        <f>vendas!M61</f>
        <v>89241.379199999996</v>
      </c>
      <c r="O10" s="14">
        <f>vendas!N61</f>
        <v>0</v>
      </c>
      <c r="P10" s="14">
        <f>vendas!O61</f>
        <v>0</v>
      </c>
      <c r="Q10" s="14">
        <f>vendas!P61</f>
        <v>0</v>
      </c>
      <c r="R10" s="14">
        <f>vendas!Q61</f>
        <v>0</v>
      </c>
      <c r="S10" s="14">
        <f>vendas!R61</f>
        <v>0</v>
      </c>
      <c r="T10" s="14">
        <f>vendas!S61</f>
        <v>0</v>
      </c>
      <c r="U10" s="14">
        <f>vendas!T61</f>
        <v>0</v>
      </c>
      <c r="V10" s="14">
        <f>vendas!U61</f>
        <v>0</v>
      </c>
      <c r="W10" s="14">
        <f>vendas!V61</f>
        <v>89241.379199999996</v>
      </c>
      <c r="X10" s="14">
        <f>vendas!W61</f>
        <v>0</v>
      </c>
      <c r="Y10" s="14">
        <f>vendas!X61</f>
        <v>0</v>
      </c>
    </row>
    <row r="11" spans="1:25" x14ac:dyDescent="0.2">
      <c r="A11" s="10" t="s">
        <v>167</v>
      </c>
      <c r="B11" s="10" t="s">
        <v>81</v>
      </c>
      <c r="C11" s="10" t="str">
        <f>vendas!B62</f>
        <v>Unroasted</v>
      </c>
      <c r="D11" s="10" t="str">
        <f>vendas!C62</f>
        <v>028/24</v>
      </c>
      <c r="E11" s="10">
        <f>vendas!D62</f>
        <v>160</v>
      </c>
      <c r="F11" s="10" t="str">
        <f>vendas!E62</f>
        <v>16/18</v>
      </c>
      <c r="G11" s="10" t="str">
        <f>vendas!F62</f>
        <v>Petrus</v>
      </c>
      <c r="H11" s="10">
        <f>vendas!G62</f>
        <v>-8</v>
      </c>
      <c r="I11" s="11">
        <f>vendas!H62</f>
        <v>405.9</v>
      </c>
      <c r="J11" s="11">
        <f>vendas!I62</f>
        <v>257.11</v>
      </c>
      <c r="K11" s="11">
        <f>vendas!J62</f>
        <v>526.34211999999991</v>
      </c>
      <c r="L11" s="17">
        <f>vendas!K62</f>
        <v>45349</v>
      </c>
      <c r="M11" s="10">
        <f>vendas!L62</f>
        <v>60</v>
      </c>
      <c r="N11" s="14">
        <f>vendas!M62</f>
        <v>84214.739199999982</v>
      </c>
      <c r="O11" s="14">
        <f>vendas!N62</f>
        <v>0</v>
      </c>
      <c r="P11" s="14">
        <f>vendas!O62</f>
        <v>0</v>
      </c>
      <c r="Q11" s="14">
        <f>vendas!P62</f>
        <v>0</v>
      </c>
      <c r="R11" s="14">
        <f>vendas!Q62</f>
        <v>0</v>
      </c>
      <c r="S11" s="14">
        <f>vendas!R62</f>
        <v>0</v>
      </c>
      <c r="T11" s="14">
        <f>vendas!S62</f>
        <v>0</v>
      </c>
      <c r="U11" s="14">
        <f>vendas!T62</f>
        <v>0</v>
      </c>
      <c r="V11" s="14">
        <f>vendas!U62</f>
        <v>84214.739199999982</v>
      </c>
      <c r="W11" s="14">
        <f>vendas!V62</f>
        <v>0</v>
      </c>
      <c r="X11" s="14">
        <f>vendas!W62</f>
        <v>0</v>
      </c>
      <c r="Y11" s="14">
        <f>vendas!X62</f>
        <v>0</v>
      </c>
    </row>
    <row r="12" spans="1:25" x14ac:dyDescent="0.2">
      <c r="A12" s="10" t="s">
        <v>167</v>
      </c>
      <c r="B12" s="10" t="s">
        <v>81</v>
      </c>
      <c r="C12" s="10" t="str">
        <f>vendas!B63</f>
        <v>Unroasted</v>
      </c>
      <c r="D12" s="10" t="str">
        <f>vendas!C63</f>
        <v>025/24</v>
      </c>
      <c r="E12" s="10">
        <f>vendas!D63</f>
        <v>320</v>
      </c>
      <c r="F12" s="10" t="str">
        <f>vendas!E63</f>
        <v>16/18</v>
      </c>
      <c r="G12" s="10" t="str">
        <f>vendas!F63</f>
        <v>Petrus</v>
      </c>
      <c r="H12" s="10">
        <f>vendas!G63</f>
        <v>10</v>
      </c>
      <c r="I12" s="11">
        <f>vendas!H63</f>
        <v>342</v>
      </c>
      <c r="J12" s="11">
        <f>vendas!I63</f>
        <v>240.91</v>
      </c>
      <c r="K12" s="11">
        <f>vendas!J63</f>
        <v>465.62559999999996</v>
      </c>
      <c r="L12" s="17">
        <f>vendas!K63</f>
        <v>45678</v>
      </c>
      <c r="M12" s="10">
        <f>vendas!L63</f>
        <v>60</v>
      </c>
      <c r="N12" s="14">
        <f>vendas!M63</f>
        <v>149000.19199999998</v>
      </c>
      <c r="O12" s="14">
        <f>vendas!N63</f>
        <v>0</v>
      </c>
      <c r="P12" s="14">
        <f>vendas!O63</f>
        <v>0</v>
      </c>
      <c r="Q12" s="14">
        <f>vendas!P63</f>
        <v>0</v>
      </c>
      <c r="R12" s="14">
        <f>vendas!Q63</f>
        <v>0</v>
      </c>
      <c r="S12" s="14">
        <f>vendas!R63</f>
        <v>0</v>
      </c>
      <c r="T12" s="14">
        <f>vendas!S63</f>
        <v>0</v>
      </c>
      <c r="U12" s="14">
        <f>vendas!T63</f>
        <v>149000.19199999998</v>
      </c>
      <c r="V12" s="14">
        <f>vendas!U63</f>
        <v>0</v>
      </c>
      <c r="W12" s="14">
        <f>vendas!V63</f>
        <v>0</v>
      </c>
      <c r="X12" s="14">
        <f>vendas!W63</f>
        <v>0</v>
      </c>
      <c r="Y12" s="14">
        <f>vendas!X63</f>
        <v>0</v>
      </c>
    </row>
    <row r="13" spans="1:25" x14ac:dyDescent="0.2">
      <c r="A13" s="10" t="s">
        <v>167</v>
      </c>
      <c r="B13" s="10" t="s">
        <v>81</v>
      </c>
      <c r="C13" s="10" t="str">
        <f>vendas!B64</f>
        <v>Unroasted</v>
      </c>
      <c r="D13" s="10" t="str">
        <f>vendas!C64</f>
        <v>023/24</v>
      </c>
      <c r="E13" s="10">
        <f>vendas!D64</f>
        <v>320</v>
      </c>
      <c r="F13" s="10" t="str">
        <f>vendas!E64</f>
        <v>16/18</v>
      </c>
      <c r="G13" s="10" t="str">
        <f>vendas!F64</f>
        <v>Benedictos</v>
      </c>
      <c r="H13" s="10">
        <f>vendas!G64</f>
        <v>10</v>
      </c>
      <c r="I13" s="11">
        <f>vendas!H64</f>
        <v>342</v>
      </c>
      <c r="J13" s="11">
        <f>vendas!I64</f>
        <v>240.91</v>
      </c>
      <c r="K13" s="11">
        <f>vendas!J64</f>
        <v>465.62559999999996</v>
      </c>
      <c r="L13" s="17">
        <f>vendas!K64</f>
        <v>45678</v>
      </c>
      <c r="M13" s="10">
        <f>vendas!L64</f>
        <v>60</v>
      </c>
      <c r="N13" s="14">
        <f>vendas!M64</f>
        <v>149000.19199999998</v>
      </c>
      <c r="O13" s="14">
        <f>vendas!N64</f>
        <v>0</v>
      </c>
      <c r="P13" s="14">
        <f>vendas!O64</f>
        <v>0</v>
      </c>
      <c r="Q13" s="14">
        <f>vendas!P64</f>
        <v>0</v>
      </c>
      <c r="R13" s="14">
        <f>vendas!Q64</f>
        <v>0</v>
      </c>
      <c r="S13" s="14">
        <f>vendas!R64</f>
        <v>0</v>
      </c>
      <c r="T13" s="14">
        <f>vendas!S64</f>
        <v>0</v>
      </c>
      <c r="U13" s="14">
        <f>vendas!T64</f>
        <v>149000.19199999998</v>
      </c>
      <c r="V13" s="14">
        <f>vendas!U64</f>
        <v>0</v>
      </c>
      <c r="W13" s="14">
        <f>vendas!V64</f>
        <v>0</v>
      </c>
      <c r="X13" s="14">
        <f>vendas!W64</f>
        <v>0</v>
      </c>
      <c r="Y13" s="14">
        <f>vendas!X64</f>
        <v>0</v>
      </c>
    </row>
    <row r="14" spans="1:25" x14ac:dyDescent="0.2">
      <c r="A14" s="10" t="s">
        <v>167</v>
      </c>
      <c r="B14" s="10" t="s">
        <v>81</v>
      </c>
      <c r="C14" s="10" t="str">
        <f>vendas!B65</f>
        <v>Unroasted</v>
      </c>
      <c r="D14" s="10" t="str">
        <f>vendas!C65</f>
        <v>029/24</v>
      </c>
      <c r="E14" s="10">
        <f>vendas!D65</f>
        <v>320</v>
      </c>
      <c r="F14" s="10" t="str">
        <f>vendas!E65</f>
        <v>Grinders</v>
      </c>
      <c r="G14" s="10" t="str">
        <f>vendas!F65</f>
        <v>Essentia</v>
      </c>
      <c r="H14" s="10">
        <f>vendas!G65</f>
        <v>-28</v>
      </c>
      <c r="I14" s="11">
        <f>vendas!H65</f>
        <v>406.65</v>
      </c>
      <c r="J14" s="11">
        <f>vendas!I65</f>
        <v>252.11999999999998</v>
      </c>
      <c r="K14" s="11">
        <f>vendas!J65</f>
        <v>500.87821999999994</v>
      </c>
      <c r="L14" s="17">
        <f>vendas!K65</f>
        <v>45746</v>
      </c>
      <c r="M14" s="10">
        <f>vendas!L65</f>
        <v>60</v>
      </c>
      <c r="N14" s="14">
        <f>vendas!M65</f>
        <v>160281.03039999999</v>
      </c>
      <c r="O14" s="14">
        <f>vendas!N65</f>
        <v>0</v>
      </c>
      <c r="P14" s="14">
        <f>vendas!O65</f>
        <v>0</v>
      </c>
      <c r="Q14" s="14">
        <f>vendas!P65</f>
        <v>0</v>
      </c>
      <c r="R14" s="14">
        <f>vendas!Q65</f>
        <v>0</v>
      </c>
      <c r="S14" s="14">
        <f>vendas!R65</f>
        <v>0</v>
      </c>
      <c r="T14" s="14">
        <f>vendas!S65</f>
        <v>0</v>
      </c>
      <c r="U14" s="14">
        <f>vendas!T65</f>
        <v>0</v>
      </c>
      <c r="V14" s="14">
        <f>vendas!U65</f>
        <v>0</v>
      </c>
      <c r="W14" s="14">
        <f>vendas!V65</f>
        <v>160281.03039999999</v>
      </c>
      <c r="X14" s="14">
        <f>vendas!W65</f>
        <v>0</v>
      </c>
      <c r="Y14" s="14">
        <f>vendas!X65</f>
        <v>0</v>
      </c>
    </row>
    <row r="15" spans="1:25" x14ac:dyDescent="0.2">
      <c r="A15" s="10" t="s">
        <v>167</v>
      </c>
      <c r="B15" s="10" t="s">
        <v>81</v>
      </c>
      <c r="C15" s="10" t="str">
        <f>vendas!B66</f>
        <v>Unroasted</v>
      </c>
      <c r="D15" s="10" t="str">
        <f>vendas!C66</f>
        <v>026/24</v>
      </c>
      <c r="E15" s="10">
        <f>vendas!D66</f>
        <v>320</v>
      </c>
      <c r="F15" s="10" t="str">
        <f>vendas!E66</f>
        <v>16/18</v>
      </c>
      <c r="G15" s="10" t="str">
        <f>vendas!F66</f>
        <v>Petrus</v>
      </c>
      <c r="H15" s="10">
        <f>vendas!G66</f>
        <v>10</v>
      </c>
      <c r="I15" s="11">
        <f>vendas!H66</f>
        <v>392.7</v>
      </c>
      <c r="J15" s="11">
        <f>vendas!I66</f>
        <v>238.17</v>
      </c>
      <c r="K15" s="11">
        <f>vendas!J66</f>
        <v>532.69155999999998</v>
      </c>
      <c r="L15" s="17">
        <f>vendas!K66</f>
        <v>45746</v>
      </c>
      <c r="M15" s="10">
        <f>vendas!L66</f>
        <v>60</v>
      </c>
      <c r="N15" s="14">
        <f>vendas!M66</f>
        <v>170461.29920000001</v>
      </c>
      <c r="O15" s="14">
        <f>vendas!N66</f>
        <v>0</v>
      </c>
      <c r="P15" s="14">
        <f>vendas!O66</f>
        <v>0</v>
      </c>
      <c r="Q15" s="14">
        <f>vendas!P66</f>
        <v>0</v>
      </c>
      <c r="R15" s="14">
        <f>vendas!Q66</f>
        <v>0</v>
      </c>
      <c r="S15" s="14">
        <f>vendas!R66</f>
        <v>0</v>
      </c>
      <c r="T15" s="14">
        <f>vendas!S66</f>
        <v>0</v>
      </c>
      <c r="U15" s="14">
        <f>vendas!T66</f>
        <v>0</v>
      </c>
      <c r="V15" s="14">
        <f>vendas!U66</f>
        <v>0</v>
      </c>
      <c r="W15" s="14">
        <f>vendas!V66</f>
        <v>170461.29920000001</v>
      </c>
      <c r="X15" s="14">
        <f>vendas!W66</f>
        <v>0</v>
      </c>
      <c r="Y15" s="14">
        <f>vendas!X66</f>
        <v>0</v>
      </c>
    </row>
    <row r="16" spans="1:25" x14ac:dyDescent="0.2">
      <c r="A16" s="10" t="s">
        <v>167</v>
      </c>
      <c r="B16" s="10" t="s">
        <v>81</v>
      </c>
      <c r="C16" s="10" t="str">
        <f>vendas!B69</f>
        <v>Southland</v>
      </c>
      <c r="D16" s="10" t="str">
        <f>vendas!C69</f>
        <v>031/24</v>
      </c>
      <c r="E16" s="10">
        <f>vendas!D69</f>
        <v>320</v>
      </c>
      <c r="F16" s="10" t="str">
        <f>vendas!E69</f>
        <v>16/18</v>
      </c>
      <c r="G16" s="10" t="str">
        <f>vendas!F69</f>
        <v>Petrus</v>
      </c>
      <c r="H16" s="10">
        <f>vendas!G69</f>
        <v>0</v>
      </c>
      <c r="I16" s="11">
        <f>vendas!H69</f>
        <v>0</v>
      </c>
      <c r="J16" s="11">
        <f>vendas!I69</f>
        <v>0</v>
      </c>
      <c r="K16" s="11">
        <f>vendas!J69</f>
        <v>325</v>
      </c>
      <c r="L16" s="17">
        <f>vendas!K69</f>
        <v>45671</v>
      </c>
      <c r="M16" s="10" t="str">
        <f>vendas!L69</f>
        <v>4x</v>
      </c>
      <c r="N16" s="14">
        <f>vendas!M69</f>
        <v>104000</v>
      </c>
      <c r="O16" s="14">
        <f>vendas!N69</f>
        <v>0</v>
      </c>
      <c r="P16" s="14">
        <f>vendas!O69</f>
        <v>0</v>
      </c>
      <c r="Q16" s="14">
        <f>vendas!P69</f>
        <v>0</v>
      </c>
      <c r="R16" s="14">
        <f>vendas!Q69</f>
        <v>0</v>
      </c>
      <c r="S16" s="14">
        <f>vendas!R69</f>
        <v>26000</v>
      </c>
      <c r="T16" s="14">
        <f>vendas!S69</f>
        <v>26000</v>
      </c>
      <c r="U16" s="14">
        <f>vendas!T69</f>
        <v>26000</v>
      </c>
      <c r="V16" s="14">
        <f>vendas!U69</f>
        <v>26000</v>
      </c>
      <c r="W16" s="14">
        <f>vendas!V69</f>
        <v>0</v>
      </c>
      <c r="X16" s="14">
        <f>vendas!W69</f>
        <v>0</v>
      </c>
      <c r="Y16" s="14">
        <f>vendas!X69</f>
        <v>0</v>
      </c>
    </row>
    <row r="17" spans="1:25" x14ac:dyDescent="0.2">
      <c r="A17" s="10" t="s">
        <v>167</v>
      </c>
      <c r="B17" s="10" t="s">
        <v>81</v>
      </c>
      <c r="C17" s="10" t="str">
        <f>vendas!B70</f>
        <v>Southland</v>
      </c>
      <c r="D17" s="10" t="str">
        <f>vendas!C70</f>
        <v>032/24</v>
      </c>
      <c r="E17" s="10">
        <f>vendas!D70</f>
        <v>320</v>
      </c>
      <c r="F17" s="10" t="str">
        <f>vendas!E70</f>
        <v>Vários</v>
      </c>
      <c r="G17" s="10" t="str">
        <f>vendas!F70</f>
        <v>Vários</v>
      </c>
      <c r="H17" s="10">
        <f>vendas!G70</f>
        <v>0</v>
      </c>
      <c r="I17" s="11">
        <f>vendas!H70</f>
        <v>0</v>
      </c>
      <c r="J17" s="11">
        <f>vendas!I70</f>
        <v>0</v>
      </c>
      <c r="K17" s="11">
        <f>vendas!J70</f>
        <v>325</v>
      </c>
      <c r="L17" s="17">
        <f>vendas!K70</f>
        <v>45671</v>
      </c>
      <c r="M17" s="10" t="str">
        <f>vendas!L70</f>
        <v>4x</v>
      </c>
      <c r="N17" s="14">
        <f>vendas!M70</f>
        <v>104000</v>
      </c>
      <c r="O17" s="14">
        <f>vendas!N70</f>
        <v>0</v>
      </c>
      <c r="P17" s="14">
        <f>vendas!O70</f>
        <v>0</v>
      </c>
      <c r="Q17" s="14">
        <f>vendas!P70</f>
        <v>0</v>
      </c>
      <c r="R17" s="14">
        <f>vendas!Q70</f>
        <v>0</v>
      </c>
      <c r="S17" s="14">
        <f>vendas!R70</f>
        <v>0</v>
      </c>
      <c r="T17" s="14">
        <f>vendas!S70</f>
        <v>26000</v>
      </c>
      <c r="U17" s="14">
        <f>vendas!T70</f>
        <v>26000</v>
      </c>
      <c r="V17" s="14">
        <f>vendas!U70</f>
        <v>26000</v>
      </c>
      <c r="W17" s="14">
        <f>vendas!V70</f>
        <v>26000</v>
      </c>
      <c r="X17" s="14">
        <f>vendas!W70</f>
        <v>0</v>
      </c>
      <c r="Y17" s="14">
        <f>vendas!X70</f>
        <v>0</v>
      </c>
    </row>
    <row r="18" spans="1:25" x14ac:dyDescent="0.2">
      <c r="A18" s="10" t="s">
        <v>167</v>
      </c>
      <c r="B18" s="10" t="s">
        <v>81</v>
      </c>
      <c r="C18" s="10" t="str">
        <f>vendas!B73</f>
        <v>Xorxios</v>
      </c>
      <c r="D18" s="10" t="str">
        <f>vendas!C73</f>
        <v>021/24</v>
      </c>
      <c r="E18" s="10">
        <f>vendas!D73</f>
        <v>320</v>
      </c>
      <c r="F18" s="10" t="str">
        <f>vendas!E73</f>
        <v>16/18</v>
      </c>
      <c r="G18" s="10" t="str">
        <f>vendas!F73</f>
        <v>Natural</v>
      </c>
      <c r="H18" s="10">
        <f>vendas!G73</f>
        <v>25</v>
      </c>
      <c r="I18" s="11">
        <f>vendas!H73</f>
        <v>329</v>
      </c>
      <c r="J18" s="11">
        <f>vendas!I73</f>
        <v>293.60000000000002</v>
      </c>
      <c r="K18" s="11">
        <f>vendas!J73</f>
        <v>468.27119999999996</v>
      </c>
      <c r="L18" s="17">
        <f>vendas!K73</f>
        <v>45666</v>
      </c>
      <c r="M18" s="10" t="str">
        <f>vendas!L73</f>
        <v>CAD</v>
      </c>
      <c r="N18" s="14">
        <f>vendas!M73</f>
        <v>149846.78399999999</v>
      </c>
      <c r="O18" s="14">
        <f>vendas!N73</f>
        <v>0</v>
      </c>
      <c r="P18" s="14">
        <f>vendas!O73</f>
        <v>0</v>
      </c>
      <c r="Q18" s="14">
        <f>vendas!P73</f>
        <v>0</v>
      </c>
      <c r="R18" s="14">
        <f>vendas!Q73</f>
        <v>0</v>
      </c>
      <c r="S18" s="14">
        <f>vendas!R73</f>
        <v>149846.78399999999</v>
      </c>
      <c r="T18" s="14">
        <f>vendas!S73</f>
        <v>0</v>
      </c>
      <c r="U18" s="14">
        <f>vendas!T73</f>
        <v>0</v>
      </c>
      <c r="V18" s="14">
        <f>vendas!U73</f>
        <v>0</v>
      </c>
      <c r="W18" s="14">
        <f>vendas!V73</f>
        <v>0</v>
      </c>
      <c r="X18" s="14">
        <f>vendas!W73</f>
        <v>0</v>
      </c>
      <c r="Y18" s="14">
        <f>vendas!X73</f>
        <v>0</v>
      </c>
    </row>
    <row r="19" spans="1:25" x14ac:dyDescent="0.2">
      <c r="A19" s="10" t="s">
        <v>167</v>
      </c>
      <c r="B19" s="10" t="s">
        <v>81</v>
      </c>
      <c r="C19" s="10" t="str">
        <f>vendas!B78</f>
        <v>Emporia GMBH</v>
      </c>
      <c r="D19" s="10" t="str">
        <f>vendas!C78</f>
        <v>039/24</v>
      </c>
      <c r="E19" s="10">
        <f>vendas!D78</f>
        <v>320</v>
      </c>
      <c r="F19" s="10" t="str">
        <f>vendas!E78</f>
        <v>16/18</v>
      </c>
      <c r="G19" s="10" t="str">
        <f>vendas!F78</f>
        <v>Essentia</v>
      </c>
      <c r="H19" s="10">
        <f>vendas!G78</f>
        <v>0</v>
      </c>
      <c r="I19" s="11">
        <f>vendas!H78</f>
        <v>0</v>
      </c>
      <c r="J19" s="11">
        <f>vendas!I78</f>
        <v>0</v>
      </c>
      <c r="K19" s="11">
        <f>vendas!J78</f>
        <v>413</v>
      </c>
      <c r="L19" s="17">
        <f>vendas!K78</f>
        <v>45695</v>
      </c>
      <c r="M19" s="10">
        <f>vendas!L78</f>
        <v>60</v>
      </c>
      <c r="N19" s="14">
        <f>vendas!M78</f>
        <v>132160</v>
      </c>
      <c r="O19" s="14">
        <f>vendas!N78</f>
        <v>0</v>
      </c>
      <c r="P19" s="14">
        <f>vendas!O78</f>
        <v>0</v>
      </c>
      <c r="Q19" s="14">
        <f>vendas!P78</f>
        <v>0</v>
      </c>
      <c r="R19" s="14">
        <f>vendas!Q78</f>
        <v>0</v>
      </c>
      <c r="S19" s="14">
        <f>vendas!R78</f>
        <v>0</v>
      </c>
      <c r="T19" s="14">
        <f>vendas!S78</f>
        <v>0</v>
      </c>
      <c r="U19" s="14">
        <f>vendas!T78</f>
        <v>0</v>
      </c>
      <c r="V19" s="14">
        <f>vendas!U78</f>
        <v>0</v>
      </c>
      <c r="W19" s="14">
        <f>vendas!V78</f>
        <v>132160</v>
      </c>
      <c r="X19" s="14">
        <f>vendas!W78</f>
        <v>0</v>
      </c>
      <c r="Y19" s="14">
        <f>vendas!X78</f>
        <v>0</v>
      </c>
    </row>
    <row r="20" spans="1:25" x14ac:dyDescent="0.2">
      <c r="A20" s="10" t="s">
        <v>167</v>
      </c>
      <c r="B20" s="10" t="s">
        <v>81</v>
      </c>
      <c r="C20" s="10" t="str">
        <f>vendas!B79</f>
        <v>Emporia GMBH</v>
      </c>
      <c r="D20" s="10" t="str">
        <f>vendas!C79</f>
        <v>040/24</v>
      </c>
      <c r="E20" s="10">
        <f>vendas!D79</f>
        <v>320</v>
      </c>
      <c r="F20" s="10" t="str">
        <f>vendas!E79</f>
        <v>16/18</v>
      </c>
      <c r="G20" s="10" t="str">
        <f>vendas!F79</f>
        <v>Essentia</v>
      </c>
      <c r="H20" s="10">
        <f>vendas!G79</f>
        <v>0</v>
      </c>
      <c r="I20" s="11">
        <f>vendas!H79</f>
        <v>0</v>
      </c>
      <c r="J20" s="11">
        <f>vendas!I79</f>
        <v>0</v>
      </c>
      <c r="K20" s="11">
        <f>vendas!J79</f>
        <v>450</v>
      </c>
      <c r="L20" s="17">
        <f>vendas!K79</f>
        <v>45695</v>
      </c>
      <c r="M20" s="10">
        <f>vendas!L79</f>
        <v>60</v>
      </c>
      <c r="N20" s="14">
        <f>vendas!M79</f>
        <v>144000</v>
      </c>
      <c r="O20" s="14">
        <f>vendas!N79</f>
        <v>0</v>
      </c>
      <c r="P20" s="14">
        <f>vendas!O79</f>
        <v>0</v>
      </c>
      <c r="Q20" s="14">
        <f>vendas!P79</f>
        <v>0</v>
      </c>
      <c r="R20" s="14">
        <f>vendas!Q79</f>
        <v>0</v>
      </c>
      <c r="S20" s="14">
        <f>vendas!R79</f>
        <v>0</v>
      </c>
      <c r="T20" s="14">
        <f>vendas!S79</f>
        <v>0</v>
      </c>
      <c r="U20" s="14">
        <f>vendas!T79</f>
        <v>0</v>
      </c>
      <c r="V20" s="14">
        <f>vendas!U79</f>
        <v>0</v>
      </c>
      <c r="W20" s="14">
        <f>vendas!V79</f>
        <v>144000</v>
      </c>
      <c r="X20" s="14">
        <f>vendas!W79</f>
        <v>0</v>
      </c>
      <c r="Y20" s="14">
        <f>vendas!X79</f>
        <v>0</v>
      </c>
    </row>
    <row r="21" spans="1:25" x14ac:dyDescent="0.2">
      <c r="A21" s="195" t="s">
        <v>167</v>
      </c>
      <c r="B21" s="195" t="s">
        <v>81</v>
      </c>
      <c r="C21" s="195" t="str">
        <f>vendas!B80</f>
        <v>Emporia GMBH</v>
      </c>
      <c r="D21" s="195" t="str">
        <f>vendas!C80</f>
        <v>041/24</v>
      </c>
      <c r="E21" s="195">
        <f>vendas!D80</f>
        <v>223</v>
      </c>
      <c r="F21" s="195" t="str">
        <f>vendas!E80</f>
        <v>Moka</v>
      </c>
      <c r="G21" s="195" t="str">
        <f>vendas!F80</f>
        <v>Vários</v>
      </c>
      <c r="H21" s="195">
        <f>vendas!G80</f>
        <v>0</v>
      </c>
      <c r="I21" s="196">
        <f>vendas!H80</f>
        <v>0</v>
      </c>
      <c r="J21" s="196">
        <f>vendas!I80</f>
        <v>0</v>
      </c>
      <c r="K21" s="196">
        <f>vendas!J80</f>
        <v>409.35</v>
      </c>
      <c r="L21" s="331">
        <f>vendas!K80</f>
        <v>45695</v>
      </c>
      <c r="M21" s="195">
        <f>vendas!L80</f>
        <v>60</v>
      </c>
      <c r="N21" s="333">
        <f>vendas!M80</f>
        <v>91285.05</v>
      </c>
      <c r="O21" s="333">
        <f>vendas!N80</f>
        <v>0</v>
      </c>
      <c r="P21" s="333">
        <f>vendas!O80</f>
        <v>0</v>
      </c>
      <c r="Q21" s="333">
        <f>vendas!P80</f>
        <v>0</v>
      </c>
      <c r="R21" s="333">
        <f>vendas!Q80</f>
        <v>0</v>
      </c>
      <c r="S21" s="333">
        <f>vendas!R80</f>
        <v>0</v>
      </c>
      <c r="T21" s="333">
        <f>vendas!S80</f>
        <v>0</v>
      </c>
      <c r="U21" s="333">
        <f>vendas!T80</f>
        <v>0</v>
      </c>
      <c r="V21" s="333">
        <f>vendas!U80</f>
        <v>0</v>
      </c>
      <c r="W21" s="333">
        <f>vendas!V80</f>
        <v>91285.05</v>
      </c>
      <c r="X21" s="333">
        <f>vendas!W80</f>
        <v>0</v>
      </c>
      <c r="Y21" s="333">
        <f>vendas!X80</f>
        <v>0</v>
      </c>
    </row>
    <row r="22" spans="1:25" x14ac:dyDescent="0.2">
      <c r="A22" s="10" t="s">
        <v>167</v>
      </c>
      <c r="B22" s="10" t="s">
        <v>152</v>
      </c>
      <c r="C22" s="10" t="str">
        <f>vendas!B86</f>
        <v>Los Baristas</v>
      </c>
      <c r="D22" s="10" t="str">
        <f>vendas!C86</f>
        <v>033/24</v>
      </c>
      <c r="E22" s="10">
        <f>vendas!D86</f>
        <v>4</v>
      </c>
      <c r="F22" s="10" t="str">
        <f>vendas!E86</f>
        <v>Vários</v>
      </c>
      <c r="G22" s="10" t="str">
        <f>vendas!F86</f>
        <v>Vários</v>
      </c>
      <c r="H22" s="10">
        <f>vendas!G86</f>
        <v>0</v>
      </c>
      <c r="I22" s="11">
        <f>vendas!H86</f>
        <v>2500</v>
      </c>
      <c r="J22" s="11">
        <f>vendas!I86</f>
        <v>0</v>
      </c>
      <c r="K22" s="11">
        <f>vendas!J86</f>
        <v>2500</v>
      </c>
      <c r="L22" s="17">
        <f>vendas!K86</f>
        <v>45656</v>
      </c>
      <c r="M22" s="10" t="str">
        <f>vendas!L86</f>
        <v>1+3</v>
      </c>
      <c r="N22" s="14">
        <f>vendas!M86</f>
        <v>10000</v>
      </c>
      <c r="O22" s="14">
        <f>vendas!N86</f>
        <v>0</v>
      </c>
      <c r="P22" s="14">
        <f>vendas!O86</f>
        <v>0</v>
      </c>
      <c r="Q22" s="14">
        <f>vendas!P86</f>
        <v>0</v>
      </c>
      <c r="R22" s="14">
        <f>vendas!Q86</f>
        <v>2500</v>
      </c>
      <c r="S22" s="14">
        <f>vendas!R86</f>
        <v>2500</v>
      </c>
      <c r="T22" s="14">
        <f>vendas!S86</f>
        <v>2500</v>
      </c>
      <c r="U22" s="14">
        <f>vendas!T86</f>
        <v>2500</v>
      </c>
      <c r="V22" s="14">
        <f>vendas!U86</f>
        <v>0</v>
      </c>
      <c r="W22" s="14">
        <f>vendas!V86</f>
        <v>0</v>
      </c>
      <c r="X22" s="14">
        <f>vendas!W86</f>
        <v>0</v>
      </c>
      <c r="Y22" s="14">
        <f>vendas!X86</f>
        <v>0</v>
      </c>
    </row>
    <row r="23" spans="1:25" x14ac:dyDescent="0.2">
      <c r="A23" s="10" t="s">
        <v>167</v>
      </c>
      <c r="B23" s="10" t="s">
        <v>152</v>
      </c>
      <c r="C23" s="10" t="str">
        <f>vendas!B87</f>
        <v>Los Baristas</v>
      </c>
      <c r="D23" s="10" t="str">
        <f>vendas!C87</f>
        <v>034/24</v>
      </c>
      <c r="E23" s="10">
        <f>vendas!D87</f>
        <v>4</v>
      </c>
      <c r="F23" s="10" t="str">
        <f>vendas!E87</f>
        <v>Vários</v>
      </c>
      <c r="G23" s="10" t="str">
        <f>vendas!F87</f>
        <v>Vários</v>
      </c>
      <c r="H23" s="10">
        <f>vendas!G87</f>
        <v>0</v>
      </c>
      <c r="I23" s="11">
        <f>vendas!H87</f>
        <v>2137</v>
      </c>
      <c r="J23" s="11">
        <f>vendas!I87</f>
        <v>0</v>
      </c>
      <c r="K23" s="11">
        <f>vendas!J87</f>
        <v>2137</v>
      </c>
      <c r="L23" s="17">
        <f>vendas!K87</f>
        <v>45656</v>
      </c>
      <c r="M23" s="10" t="str">
        <f>vendas!L87</f>
        <v>1+3</v>
      </c>
      <c r="N23" s="14">
        <f>vendas!M87</f>
        <v>8548</v>
      </c>
      <c r="O23" s="14">
        <f>vendas!N87</f>
        <v>0</v>
      </c>
      <c r="P23" s="14">
        <f>vendas!O87</f>
        <v>0</v>
      </c>
      <c r="Q23" s="14">
        <f>vendas!P87</f>
        <v>0</v>
      </c>
      <c r="R23" s="14">
        <f>vendas!Q87</f>
        <v>2137</v>
      </c>
      <c r="S23" s="14">
        <f>vendas!R87</f>
        <v>2137</v>
      </c>
      <c r="T23" s="14">
        <f>vendas!S87</f>
        <v>2137</v>
      </c>
      <c r="U23" s="14">
        <f>vendas!T87</f>
        <v>2137</v>
      </c>
      <c r="V23" s="14">
        <f>vendas!U87</f>
        <v>0</v>
      </c>
      <c r="W23" s="14">
        <f>vendas!V87</f>
        <v>0</v>
      </c>
      <c r="X23" s="14">
        <f>vendas!W87</f>
        <v>0</v>
      </c>
      <c r="Y23" s="14">
        <f>vendas!X87</f>
        <v>0</v>
      </c>
    </row>
    <row r="24" spans="1:25" x14ac:dyDescent="0.2">
      <c r="A24" s="10" t="s">
        <v>167</v>
      </c>
      <c r="B24" s="10" t="s">
        <v>152</v>
      </c>
      <c r="C24" s="10" t="str">
        <f>vendas!B90</f>
        <v>Louis Dreyfus</v>
      </c>
      <c r="D24" s="10" t="str">
        <f>vendas!C90</f>
        <v>036/24</v>
      </c>
      <c r="E24" s="10">
        <f>vendas!D90</f>
        <v>500</v>
      </c>
      <c r="F24" s="10" t="str">
        <f>vendas!E90</f>
        <v>Moka</v>
      </c>
      <c r="G24" s="10" t="str">
        <f>vendas!F90</f>
        <v>Natural</v>
      </c>
      <c r="H24" s="10">
        <f>vendas!G90</f>
        <v>0</v>
      </c>
      <c r="I24" s="11">
        <f>vendas!H90</f>
        <v>2105</v>
      </c>
      <c r="J24" s="11">
        <f>vendas!I90</f>
        <v>0</v>
      </c>
      <c r="K24" s="11">
        <f>vendas!J90</f>
        <v>2105</v>
      </c>
      <c r="L24" s="17">
        <f>vendas!K90</f>
        <v>45631</v>
      </c>
      <c r="M24" s="10" t="str">
        <f>vendas!L90</f>
        <v>CAD</v>
      </c>
      <c r="N24" s="14">
        <f>vendas!M90</f>
        <v>1052500</v>
      </c>
      <c r="O24" s="14">
        <f>vendas!N90</f>
        <v>0</v>
      </c>
      <c r="P24" s="14">
        <f>vendas!O90</f>
        <v>0</v>
      </c>
      <c r="Q24" s="14">
        <f>vendas!P90</f>
        <v>0</v>
      </c>
      <c r="R24" s="14">
        <f>vendas!Q90</f>
        <v>1052500</v>
      </c>
      <c r="S24" s="14">
        <f>vendas!R90</f>
        <v>0</v>
      </c>
      <c r="T24" s="14">
        <f>vendas!S90</f>
        <v>0</v>
      </c>
      <c r="U24" s="14">
        <f>vendas!T90</f>
        <v>0</v>
      </c>
      <c r="V24" s="14">
        <f>vendas!U90</f>
        <v>0</v>
      </c>
      <c r="W24" s="14">
        <f>vendas!V90</f>
        <v>0</v>
      </c>
      <c r="X24" s="14">
        <f>vendas!W90</f>
        <v>0</v>
      </c>
      <c r="Y24" s="14">
        <f>vendas!X90</f>
        <v>0</v>
      </c>
    </row>
    <row r="25" spans="1:25" x14ac:dyDescent="0.2">
      <c r="A25" s="10" t="s">
        <v>167</v>
      </c>
      <c r="B25" s="10" t="s">
        <v>152</v>
      </c>
      <c r="C25" s="10" t="str">
        <f>vendas!B93</f>
        <v>Mundo Novo Café</v>
      </c>
      <c r="D25" s="10" t="str">
        <f>vendas!C93</f>
        <v>037/24</v>
      </c>
      <c r="E25" s="10">
        <f>vendas!D93</f>
        <v>20</v>
      </c>
      <c r="F25" s="10" t="str">
        <f>vendas!E93</f>
        <v>Moka</v>
      </c>
      <c r="G25" s="10" t="str">
        <f>vendas!F93</f>
        <v>Fine Cup</v>
      </c>
      <c r="H25" s="10">
        <f>vendas!G93</f>
        <v>0</v>
      </c>
      <c r="I25" s="11">
        <f>vendas!H93</f>
        <v>2200</v>
      </c>
      <c r="J25" s="11">
        <f>vendas!I93</f>
        <v>0</v>
      </c>
      <c r="K25" s="11">
        <f>vendas!J93</f>
        <v>2200</v>
      </c>
      <c r="L25" s="17">
        <f>vendas!K93</f>
        <v>45632</v>
      </c>
      <c r="M25" s="10" t="str">
        <f>vendas!L93</f>
        <v>50% + 4</v>
      </c>
      <c r="N25" s="14">
        <f>vendas!M93</f>
        <v>44000</v>
      </c>
      <c r="O25" s="14">
        <f>vendas!N93</f>
        <v>0</v>
      </c>
      <c r="P25" s="14">
        <f>vendas!O93</f>
        <v>0</v>
      </c>
      <c r="Q25" s="14">
        <f>vendas!P93</f>
        <v>0</v>
      </c>
      <c r="R25" s="14">
        <f>vendas!Q93</f>
        <v>22000</v>
      </c>
      <c r="S25" s="14">
        <f>vendas!R93</f>
        <v>5500</v>
      </c>
      <c r="T25" s="14">
        <f>vendas!S93</f>
        <v>5500</v>
      </c>
      <c r="U25" s="14">
        <f>vendas!T93</f>
        <v>5500</v>
      </c>
      <c r="V25" s="14">
        <f>vendas!U93</f>
        <v>5500</v>
      </c>
      <c r="W25" s="14">
        <f>vendas!V93</f>
        <v>0</v>
      </c>
      <c r="X25" s="14">
        <f>vendas!W93</f>
        <v>0</v>
      </c>
      <c r="Y25" s="14">
        <f>vendas!X93</f>
        <v>0</v>
      </c>
    </row>
    <row r="26" spans="1:25" x14ac:dyDescent="0.2">
      <c r="A26" s="10" t="s">
        <v>167</v>
      </c>
      <c r="B26" s="10" t="s">
        <v>152</v>
      </c>
      <c r="C26" s="10" t="str">
        <f>vendas!B96</f>
        <v>Melitta</v>
      </c>
      <c r="D26" s="10" t="str">
        <f>vendas!C96</f>
        <v>038/24</v>
      </c>
      <c r="E26" s="10">
        <f>vendas!D96</f>
        <v>500</v>
      </c>
      <c r="F26" s="10" t="str">
        <f>vendas!E96</f>
        <v>Escolha</v>
      </c>
      <c r="G26" s="10" t="str">
        <f>vendas!F96</f>
        <v>Vários</v>
      </c>
      <c r="H26" s="10">
        <f>vendas!G96</f>
        <v>0</v>
      </c>
      <c r="I26" s="11">
        <f>vendas!H96</f>
        <v>2000</v>
      </c>
      <c r="J26" s="11">
        <f>vendas!I96</f>
        <v>0</v>
      </c>
      <c r="K26" s="11">
        <f>vendas!J96</f>
        <v>2000</v>
      </c>
      <c r="L26" s="17">
        <f>vendas!K96</f>
        <v>45679</v>
      </c>
      <c r="M26" s="10" t="str">
        <f>vendas!L96</f>
        <v>45 dias</v>
      </c>
      <c r="N26" s="14">
        <f>vendas!M96</f>
        <v>1000000</v>
      </c>
      <c r="O26" s="14">
        <f>vendas!N96</f>
        <v>0</v>
      </c>
      <c r="P26" s="14">
        <f>vendas!O96</f>
        <v>0</v>
      </c>
      <c r="Q26" s="14">
        <f>vendas!P96</f>
        <v>0</v>
      </c>
      <c r="R26" s="14">
        <f>vendas!Q96</f>
        <v>0</v>
      </c>
      <c r="S26" s="14">
        <f>vendas!R96</f>
        <v>0</v>
      </c>
      <c r="T26" s="14">
        <f>vendas!S96</f>
        <v>0</v>
      </c>
      <c r="U26" s="14">
        <f>vendas!T96</f>
        <v>1000000</v>
      </c>
      <c r="V26" s="14">
        <f>vendas!U96</f>
        <v>0</v>
      </c>
      <c r="W26" s="14">
        <f>vendas!V96</f>
        <v>0</v>
      </c>
      <c r="X26" s="14">
        <f>vendas!W96</f>
        <v>0</v>
      </c>
      <c r="Y26" s="14">
        <f>vendas!X96</f>
        <v>0</v>
      </c>
    </row>
    <row r="27" spans="1:25" x14ac:dyDescent="0.2">
      <c r="A27" s="10" t="s">
        <v>167</v>
      </c>
      <c r="B27" s="10" t="s">
        <v>152</v>
      </c>
      <c r="C27" s="10" t="str">
        <f>vendas!B99</f>
        <v>55 Coffee</v>
      </c>
      <c r="D27" s="10" t="str">
        <f>vendas!C99</f>
        <v>042/24</v>
      </c>
      <c r="E27" s="10">
        <f>vendas!D99</f>
        <v>0.5</v>
      </c>
      <c r="F27" s="10" t="str">
        <f>vendas!E99</f>
        <v>Grinders</v>
      </c>
      <c r="G27" s="10" t="str">
        <f>vendas!F99</f>
        <v>Vários</v>
      </c>
      <c r="H27" s="10">
        <f>vendas!G99</f>
        <v>0</v>
      </c>
      <c r="I27" s="11">
        <f>vendas!H99</f>
        <v>2293.33</v>
      </c>
      <c r="J27" s="11">
        <f>vendas!I99</f>
        <v>0</v>
      </c>
      <c r="K27" s="11">
        <f>vendas!J99</f>
        <v>2293.33</v>
      </c>
      <c r="L27" s="17">
        <f>vendas!K99</f>
        <v>45708</v>
      </c>
      <c r="M27" s="10" t="str">
        <f>vendas!L99</f>
        <v>6x</v>
      </c>
      <c r="N27" s="14">
        <f>vendas!M99</f>
        <v>1146.665</v>
      </c>
      <c r="O27" s="14">
        <f>vendas!N99</f>
        <v>0</v>
      </c>
      <c r="P27" s="14">
        <f>vendas!O99</f>
        <v>0</v>
      </c>
      <c r="Q27" s="14">
        <f>vendas!P99</f>
        <v>0</v>
      </c>
      <c r="R27" s="14">
        <f>vendas!Q99</f>
        <v>0</v>
      </c>
      <c r="S27" s="14">
        <f>vendas!R99</f>
        <v>0</v>
      </c>
      <c r="T27" s="14">
        <f>vendas!S99</f>
        <v>191.11083333333332</v>
      </c>
      <c r="U27" s="14">
        <f>vendas!T99</f>
        <v>191.11083333333332</v>
      </c>
      <c r="V27" s="14">
        <f>vendas!U99</f>
        <v>191.11083333333332</v>
      </c>
      <c r="W27" s="14">
        <f>vendas!V99</f>
        <v>191.11083333333332</v>
      </c>
      <c r="X27" s="14">
        <f>vendas!W99</f>
        <v>191.11083333333332</v>
      </c>
      <c r="Y27" s="14">
        <f>vendas!X99</f>
        <v>191.11083333333332</v>
      </c>
    </row>
    <row r="28" spans="1:25" x14ac:dyDescent="0.2">
      <c r="A28" s="10" t="s">
        <v>167</v>
      </c>
      <c r="B28" s="10" t="s">
        <v>152</v>
      </c>
      <c r="C28" s="10" t="str">
        <f>vendas!B100</f>
        <v>55 Coffee</v>
      </c>
      <c r="D28" s="10" t="str">
        <f>vendas!C100</f>
        <v>043/24</v>
      </c>
      <c r="E28" s="10">
        <f>vendas!D100</f>
        <v>7</v>
      </c>
      <c r="F28" s="10" t="str">
        <f>vendas!E100</f>
        <v>Moka</v>
      </c>
      <c r="G28" s="10" t="str">
        <f>vendas!F100</f>
        <v>Brasilis</v>
      </c>
      <c r="H28" s="10">
        <f>vendas!G100</f>
        <v>0</v>
      </c>
      <c r="I28" s="11">
        <f>vendas!H100</f>
        <v>2616.61</v>
      </c>
      <c r="J28" s="11">
        <f>vendas!I100</f>
        <v>0</v>
      </c>
      <c r="K28" s="11">
        <f>vendas!J100</f>
        <v>2616.61</v>
      </c>
      <c r="L28" s="17">
        <f>vendas!K100</f>
        <v>45708</v>
      </c>
      <c r="M28" s="10" t="str">
        <f>vendas!L100</f>
        <v>6x</v>
      </c>
      <c r="N28" s="14">
        <f>vendas!M100</f>
        <v>18316.27</v>
      </c>
      <c r="O28" s="14">
        <f>vendas!N100</f>
        <v>0</v>
      </c>
      <c r="P28" s="14">
        <f>vendas!O100</f>
        <v>0</v>
      </c>
      <c r="Q28" s="14">
        <f>vendas!P100</f>
        <v>0</v>
      </c>
      <c r="R28" s="14">
        <f>vendas!Q100</f>
        <v>0</v>
      </c>
      <c r="S28" s="14">
        <f>vendas!R100</f>
        <v>0</v>
      </c>
      <c r="T28" s="14">
        <f>vendas!S100</f>
        <v>3052.7116666666666</v>
      </c>
      <c r="U28" s="14">
        <f>vendas!T100</f>
        <v>3052.7116666666666</v>
      </c>
      <c r="V28" s="14">
        <f>vendas!U100</f>
        <v>3052.7116666666666</v>
      </c>
      <c r="W28" s="14">
        <f>vendas!V100</f>
        <v>3052.7116666666666</v>
      </c>
      <c r="X28" s="14">
        <f>vendas!W100</f>
        <v>3052.7116666666666</v>
      </c>
      <c r="Y28" s="14">
        <f>vendas!X100</f>
        <v>3052.7116666666666</v>
      </c>
    </row>
    <row r="29" spans="1:25" x14ac:dyDescent="0.2">
      <c r="A29" s="10" t="s">
        <v>167</v>
      </c>
      <c r="B29" s="10" t="s">
        <v>152</v>
      </c>
      <c r="C29" s="10" t="str">
        <f>vendas!B104</f>
        <v>Londe e Ribeiro</v>
      </c>
      <c r="D29" s="10" t="str">
        <f>vendas!C104</f>
        <v>044/24</v>
      </c>
      <c r="E29" s="10">
        <f>vendas!D104</f>
        <v>486.3</v>
      </c>
      <c r="F29" s="10" t="str">
        <f>vendas!E104</f>
        <v>Vários</v>
      </c>
      <c r="G29" s="10" t="str">
        <f>vendas!F104</f>
        <v>Vários</v>
      </c>
      <c r="H29" s="10">
        <f>vendas!G104</f>
        <v>0</v>
      </c>
      <c r="I29" s="11">
        <f>vendas!H104</f>
        <v>810</v>
      </c>
      <c r="J29" s="11">
        <f>vendas!I104</f>
        <v>0</v>
      </c>
      <c r="K29" s="11">
        <f>vendas!J104</f>
        <v>810</v>
      </c>
      <c r="L29" s="17">
        <f>vendas!K104</f>
        <v>45684</v>
      </c>
      <c r="M29" s="10" t="str">
        <f>vendas!L104</f>
        <v>CAD</v>
      </c>
      <c r="N29" s="14">
        <f>vendas!M104</f>
        <v>393903</v>
      </c>
      <c r="O29" s="14">
        <f>vendas!N104</f>
        <v>0</v>
      </c>
      <c r="P29" s="14">
        <f>vendas!O104</f>
        <v>0</v>
      </c>
      <c r="Q29" s="14">
        <f>vendas!P104</f>
        <v>0</v>
      </c>
      <c r="R29" s="14">
        <f>vendas!Q104</f>
        <v>0</v>
      </c>
      <c r="S29" s="14">
        <f>vendas!R104</f>
        <v>393903</v>
      </c>
      <c r="T29" s="14">
        <f>vendas!S104</f>
        <v>0</v>
      </c>
      <c r="U29" s="14">
        <f>vendas!T104</f>
        <v>0</v>
      </c>
      <c r="V29" s="14">
        <f>vendas!U104</f>
        <v>0</v>
      </c>
      <c r="W29" s="14">
        <f>vendas!V104</f>
        <v>0</v>
      </c>
      <c r="X29" s="14">
        <f>vendas!W104</f>
        <v>0</v>
      </c>
      <c r="Y29" s="14">
        <f>vendas!X104</f>
        <v>0</v>
      </c>
    </row>
    <row r="30" spans="1:25" x14ac:dyDescent="0.2">
      <c r="A30" s="10" t="s">
        <v>167</v>
      </c>
      <c r="B30" s="10" t="s">
        <v>152</v>
      </c>
      <c r="C30" s="10" t="str">
        <f>vendas!B105</f>
        <v>Londe e Ribeiro</v>
      </c>
      <c r="D30" s="10" t="str">
        <f>vendas!C105</f>
        <v>045/24</v>
      </c>
      <c r="E30" s="10">
        <f>vendas!D105</f>
        <v>632.20000000000005</v>
      </c>
      <c r="F30" s="10" t="str">
        <f>vendas!E105</f>
        <v>Vários</v>
      </c>
      <c r="G30" s="10" t="str">
        <f>vendas!F105</f>
        <v>Vários</v>
      </c>
      <c r="H30" s="10">
        <f>vendas!G105</f>
        <v>0</v>
      </c>
      <c r="I30" s="11">
        <f>vendas!H105</f>
        <v>2220</v>
      </c>
      <c r="J30" s="11">
        <f>vendas!I105</f>
        <v>444</v>
      </c>
      <c r="K30" s="11">
        <f>vendas!J105</f>
        <v>2220</v>
      </c>
      <c r="L30" s="17">
        <f>vendas!K105</f>
        <v>45700</v>
      </c>
      <c r="M30" s="10" t="str">
        <f>vendas!L105</f>
        <v>CAD</v>
      </c>
      <c r="N30" s="14">
        <f>vendas!M105</f>
        <v>1403484</v>
      </c>
      <c r="O30" s="14">
        <f>vendas!N105</f>
        <v>0</v>
      </c>
      <c r="P30" s="14">
        <f>vendas!O105</f>
        <v>0</v>
      </c>
      <c r="Q30" s="14">
        <f>vendas!P105</f>
        <v>0</v>
      </c>
      <c r="R30" s="14">
        <f>vendas!Q105</f>
        <v>0</v>
      </c>
      <c r="S30" s="14">
        <f>vendas!R105</f>
        <v>0</v>
      </c>
      <c r="T30" s="14">
        <f>vendas!S105</f>
        <v>1403484</v>
      </c>
      <c r="U30" s="14">
        <f>vendas!T105</f>
        <v>0</v>
      </c>
      <c r="V30" s="14">
        <f>vendas!U105</f>
        <v>0</v>
      </c>
      <c r="W30" s="14">
        <f>vendas!V105</f>
        <v>0</v>
      </c>
      <c r="X30" s="14">
        <f>vendas!W105</f>
        <v>0</v>
      </c>
      <c r="Y30" s="14">
        <f>vendas!X105</f>
        <v>0</v>
      </c>
    </row>
    <row r="31" spans="1:25" x14ac:dyDescent="0.2">
      <c r="A31" s="10" t="s">
        <v>167</v>
      </c>
      <c r="B31" s="10" t="s">
        <v>152</v>
      </c>
      <c r="C31" s="10" t="str">
        <f>vendas!B106</f>
        <v>Londe e Ribeiro</v>
      </c>
      <c r="D31" s="10" t="str">
        <f>vendas!C106</f>
        <v>046/24</v>
      </c>
      <c r="E31" s="10">
        <f>vendas!D106</f>
        <v>363</v>
      </c>
      <c r="F31" s="10" t="str">
        <f>vendas!E106</f>
        <v>Vários</v>
      </c>
      <c r="G31" s="10" t="str">
        <f>vendas!F106</f>
        <v>Vários</v>
      </c>
      <c r="H31" s="10">
        <f>vendas!G106</f>
        <v>0</v>
      </c>
      <c r="I31" s="11">
        <f>vendas!H106</f>
        <v>1750</v>
      </c>
      <c r="J31" s="11">
        <f>vendas!I106</f>
        <v>875</v>
      </c>
      <c r="K31" s="11">
        <f>vendas!J106</f>
        <v>1750</v>
      </c>
      <c r="L31" s="17">
        <f>vendas!K106</f>
        <v>45684</v>
      </c>
      <c r="M31" s="10" t="str">
        <f>vendas!L106</f>
        <v>CAD</v>
      </c>
      <c r="N31" s="14">
        <f>vendas!M106</f>
        <v>635250</v>
      </c>
      <c r="O31" s="14">
        <f>vendas!N106</f>
        <v>0</v>
      </c>
      <c r="P31" s="14">
        <f>vendas!O106</f>
        <v>0</v>
      </c>
      <c r="Q31" s="14">
        <f>vendas!P106</f>
        <v>0</v>
      </c>
      <c r="R31" s="14">
        <f>vendas!Q106</f>
        <v>0</v>
      </c>
      <c r="S31" s="14">
        <f>vendas!R106</f>
        <v>635250</v>
      </c>
      <c r="T31" s="14">
        <f>vendas!S106</f>
        <v>0</v>
      </c>
      <c r="U31" s="14">
        <f>vendas!T106</f>
        <v>0</v>
      </c>
      <c r="V31" s="14">
        <f>vendas!U106</f>
        <v>0</v>
      </c>
      <c r="W31" s="14">
        <f>vendas!V106</f>
        <v>0</v>
      </c>
      <c r="X31" s="14">
        <f>vendas!W106</f>
        <v>0</v>
      </c>
      <c r="Y31" s="14">
        <f>vendas!X106</f>
        <v>0</v>
      </c>
    </row>
    <row r="32" spans="1:25" x14ac:dyDescent="0.2">
      <c r="A32" s="10" t="s">
        <v>167</v>
      </c>
      <c r="B32" s="10" t="s">
        <v>152</v>
      </c>
      <c r="C32" s="10" t="str">
        <f>vendas!B107</f>
        <v>Londe e Ribeiro</v>
      </c>
      <c r="D32" s="10" t="str">
        <f>vendas!C107</f>
        <v>047/24</v>
      </c>
      <c r="E32" s="10">
        <f>vendas!D107</f>
        <v>44.2</v>
      </c>
      <c r="F32" s="10" t="str">
        <f>vendas!E107</f>
        <v>Vários</v>
      </c>
      <c r="G32" s="10" t="str">
        <f>vendas!F107</f>
        <v>Vários</v>
      </c>
      <c r="H32" s="10">
        <f>vendas!G107</f>
        <v>0</v>
      </c>
      <c r="I32" s="11">
        <f>vendas!H107</f>
        <v>2400</v>
      </c>
      <c r="J32" s="11">
        <f>vendas!I107</f>
        <v>960</v>
      </c>
      <c r="K32" s="11">
        <f>vendas!J107</f>
        <v>2400</v>
      </c>
      <c r="L32" s="17">
        <f>vendas!K107</f>
        <v>45700</v>
      </c>
      <c r="M32" s="10" t="str">
        <f>vendas!L107</f>
        <v>CAD</v>
      </c>
      <c r="N32" s="14">
        <f>vendas!M107</f>
        <v>106080</v>
      </c>
      <c r="O32" s="14">
        <f>vendas!N107</f>
        <v>0</v>
      </c>
      <c r="P32" s="14">
        <f>vendas!O107</f>
        <v>0</v>
      </c>
      <c r="Q32" s="14">
        <f>vendas!P107</f>
        <v>0</v>
      </c>
      <c r="R32" s="14">
        <f>vendas!Q107</f>
        <v>0</v>
      </c>
      <c r="S32" s="14">
        <f>vendas!R107</f>
        <v>0</v>
      </c>
      <c r="T32" s="14">
        <f>vendas!S107</f>
        <v>106080</v>
      </c>
      <c r="U32" s="14">
        <f>vendas!T107</f>
        <v>0</v>
      </c>
      <c r="V32" s="14">
        <f>vendas!U107</f>
        <v>0</v>
      </c>
      <c r="W32" s="14">
        <f>vendas!V107</f>
        <v>0</v>
      </c>
      <c r="X32" s="14">
        <f>vendas!W107</f>
        <v>0</v>
      </c>
      <c r="Y32" s="14">
        <f>vendas!X107</f>
        <v>0</v>
      </c>
    </row>
    <row r="33" spans="14:25" x14ac:dyDescent="0.2"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4:25" x14ac:dyDescent="0.2"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spans="14:25" x14ac:dyDescent="0.2"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</sheetData>
  <phoneticPr fontId="17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DD96-7FFD-4F43-93BD-9B93CAC63CF7}">
  <sheetPr codeName="Sheet2">
    <pageSetUpPr fitToPage="1"/>
  </sheetPr>
  <dimension ref="A1:Z87"/>
  <sheetViews>
    <sheetView zoomScale="80" zoomScaleNormal="80" workbookViewId="0">
      <selection activeCell="T24" sqref="T24"/>
    </sheetView>
  </sheetViews>
  <sheetFormatPr baseColWidth="10" defaultColWidth="8.83203125" defaultRowHeight="15" x14ac:dyDescent="0.2"/>
  <cols>
    <col min="1" max="1" width="8.83203125" style="134"/>
    <col min="2" max="2" width="10.6640625" style="134" bestFit="1" customWidth="1"/>
    <col min="3" max="3" width="44.5" style="134" bestFit="1" customWidth="1"/>
    <col min="4" max="4" width="13.83203125" style="134" bestFit="1" customWidth="1"/>
    <col min="5" max="5" width="45" style="134" hidden="1" customWidth="1"/>
    <col min="6" max="6" width="12.5" style="134" hidden="1" customWidth="1"/>
    <col min="7" max="7" width="10.83203125" style="134" bestFit="1" customWidth="1"/>
    <col min="8" max="8" width="10.33203125" style="134" bestFit="1" customWidth="1"/>
    <col min="9" max="9" width="14.33203125" style="134" bestFit="1" customWidth="1"/>
    <col min="10" max="10" width="11.5" style="134" bestFit="1" customWidth="1"/>
    <col min="11" max="11" width="10.5" style="134" bestFit="1" customWidth="1"/>
    <col min="12" max="12" width="10.5" style="134" customWidth="1"/>
    <col min="13" max="13" width="16" style="134" bestFit="1" customWidth="1"/>
    <col min="14" max="14" width="11.6640625" style="134" hidden="1" customWidth="1"/>
    <col min="15" max="15" width="10.6640625" style="134" hidden="1" customWidth="1"/>
    <col min="16" max="16" width="12.5" style="134" bestFit="1" customWidth="1"/>
    <col min="17" max="17" width="11.6640625" style="134" bestFit="1" customWidth="1"/>
    <col min="18" max="18" width="10.1640625" style="134" bestFit="1" customWidth="1"/>
    <col min="19" max="19" width="10.5" style="135" bestFit="1" customWidth="1"/>
    <col min="20" max="20" width="10.5" style="134" bestFit="1" customWidth="1"/>
    <col min="21" max="16384" width="8.83203125" style="134"/>
  </cols>
  <sheetData>
    <row r="1" spans="1:19" x14ac:dyDescent="0.2">
      <c r="A1" s="133" t="s">
        <v>222</v>
      </c>
    </row>
    <row r="2" spans="1:19" ht="16" thickBot="1" x14ac:dyDescent="0.25"/>
    <row r="3" spans="1:19" x14ac:dyDescent="0.2">
      <c r="A3" s="136" t="s">
        <v>223</v>
      </c>
      <c r="B3" s="137" t="s">
        <v>224</v>
      </c>
      <c r="C3" s="137" t="s">
        <v>225</v>
      </c>
      <c r="D3" s="137" t="s">
        <v>214</v>
      </c>
      <c r="E3" s="137" t="s">
        <v>226</v>
      </c>
      <c r="F3" s="137" t="s">
        <v>227</v>
      </c>
      <c r="G3" s="137" t="s">
        <v>228</v>
      </c>
      <c r="H3" s="137" t="s">
        <v>229</v>
      </c>
      <c r="I3" s="137" t="s">
        <v>230</v>
      </c>
      <c r="J3" s="138" t="s">
        <v>231</v>
      </c>
      <c r="K3" s="138" t="s">
        <v>232</v>
      </c>
      <c r="L3" s="138" t="s">
        <v>233</v>
      </c>
      <c r="M3" s="137" t="s">
        <v>234</v>
      </c>
      <c r="N3" s="334" t="s">
        <v>235</v>
      </c>
      <c r="O3" s="334"/>
      <c r="P3" s="136" t="s">
        <v>236</v>
      </c>
      <c r="Q3" s="139" t="s">
        <v>237</v>
      </c>
      <c r="R3" s="139" t="s">
        <v>238</v>
      </c>
    </row>
    <row r="4" spans="1:19" x14ac:dyDescent="0.2">
      <c r="A4" s="140">
        <v>1</v>
      </c>
      <c r="B4" s="141">
        <v>44958</v>
      </c>
      <c r="C4" s="134" t="s">
        <v>239</v>
      </c>
      <c r="D4" s="142">
        <v>44</v>
      </c>
      <c r="E4" s="134" t="s">
        <v>240</v>
      </c>
      <c r="F4" s="134" t="s">
        <v>241</v>
      </c>
      <c r="G4" s="134">
        <v>31800</v>
      </c>
      <c r="H4" s="143">
        <v>18.6767</v>
      </c>
      <c r="I4" s="143">
        <f t="shared" ref="I4:I22" si="0">+G4*H4</f>
        <v>593919.06000000006</v>
      </c>
      <c r="J4" s="144"/>
      <c r="K4" s="144"/>
      <c r="L4" s="144"/>
      <c r="M4" s="145">
        <f t="shared" ref="M4:M9" si="1">+I4-J4-K4</f>
        <v>593919.06000000006</v>
      </c>
      <c r="N4" s="146"/>
      <c r="O4" s="146"/>
      <c r="P4" s="147">
        <f t="shared" ref="P4:P9" si="2">+M4*0.85</f>
        <v>504831.20100000006</v>
      </c>
      <c r="Q4" s="148">
        <f t="shared" ref="Q4:Q9" si="3">+M4*0.15</f>
        <v>89087.859000000011</v>
      </c>
      <c r="R4" s="149"/>
    </row>
    <row r="5" spans="1:19" x14ac:dyDescent="0.2">
      <c r="A5" s="140">
        <v>2</v>
      </c>
      <c r="B5" s="141">
        <v>44958</v>
      </c>
      <c r="C5" s="134" t="s">
        <v>239</v>
      </c>
      <c r="D5" s="142">
        <v>45</v>
      </c>
      <c r="E5" s="134" t="s">
        <v>240</v>
      </c>
      <c r="F5" s="134" t="s">
        <v>242</v>
      </c>
      <c r="G5" s="134">
        <v>31902</v>
      </c>
      <c r="H5" s="143">
        <v>18.6767</v>
      </c>
      <c r="I5" s="143">
        <f t="shared" si="0"/>
        <v>595824.0834</v>
      </c>
      <c r="J5" s="144"/>
      <c r="K5" s="144"/>
      <c r="L5" s="144"/>
      <c r="M5" s="145">
        <f t="shared" si="1"/>
        <v>595824.0834</v>
      </c>
      <c r="N5" s="146"/>
      <c r="O5" s="146"/>
      <c r="P5" s="147">
        <f t="shared" si="2"/>
        <v>506450.47089</v>
      </c>
      <c r="Q5" s="148">
        <f t="shared" si="3"/>
        <v>89373.612509999992</v>
      </c>
      <c r="R5" s="149"/>
    </row>
    <row r="6" spans="1:19" x14ac:dyDescent="0.2">
      <c r="A6" s="140">
        <v>3</v>
      </c>
      <c r="B6" s="141">
        <v>44958</v>
      </c>
      <c r="C6" s="134" t="s">
        <v>239</v>
      </c>
      <c r="D6" s="142">
        <v>46</v>
      </c>
      <c r="E6" s="134" t="s">
        <v>240</v>
      </c>
      <c r="F6" s="134" t="s">
        <v>243</v>
      </c>
      <c r="G6" s="134">
        <v>24000</v>
      </c>
      <c r="H6" s="143">
        <v>18.6767</v>
      </c>
      <c r="I6" s="143">
        <f t="shared" si="0"/>
        <v>448240.8</v>
      </c>
      <c r="J6" s="144"/>
      <c r="K6" s="144"/>
      <c r="L6" s="144"/>
      <c r="M6" s="145">
        <f t="shared" si="1"/>
        <v>448240.8</v>
      </c>
      <c r="N6" s="146"/>
      <c r="O6" s="146"/>
      <c r="P6" s="147">
        <f t="shared" si="2"/>
        <v>381004.68</v>
      </c>
      <c r="Q6" s="148">
        <f t="shared" si="3"/>
        <v>67236.12</v>
      </c>
      <c r="R6" s="149"/>
    </row>
    <row r="7" spans="1:19" x14ac:dyDescent="0.2">
      <c r="A7" s="140">
        <v>3</v>
      </c>
      <c r="B7" s="141">
        <v>44958</v>
      </c>
      <c r="C7" s="134" t="s">
        <v>239</v>
      </c>
      <c r="D7" s="142">
        <v>48</v>
      </c>
      <c r="E7" s="134" t="s">
        <v>240</v>
      </c>
      <c r="F7" s="134" t="s">
        <v>243</v>
      </c>
      <c r="G7" s="134">
        <v>6222</v>
      </c>
      <c r="H7" s="143">
        <v>17.789000000000001</v>
      </c>
      <c r="I7" s="143">
        <f t="shared" si="0"/>
        <v>110683.15800000001</v>
      </c>
      <c r="J7" s="144"/>
      <c r="K7" s="144"/>
      <c r="L7" s="144"/>
      <c r="M7" s="145">
        <f t="shared" si="1"/>
        <v>110683.15800000001</v>
      </c>
      <c r="N7" s="146"/>
      <c r="O7" s="146"/>
      <c r="P7" s="147">
        <f t="shared" si="2"/>
        <v>94080.684300000008</v>
      </c>
      <c r="Q7" s="148">
        <f t="shared" si="3"/>
        <v>16602.473700000002</v>
      </c>
      <c r="R7" s="149"/>
    </row>
    <row r="8" spans="1:19" x14ac:dyDescent="0.2">
      <c r="A8" s="140">
        <v>4</v>
      </c>
      <c r="B8" s="141">
        <v>44958</v>
      </c>
      <c r="C8" s="134" t="s">
        <v>239</v>
      </c>
      <c r="D8" s="142">
        <v>47</v>
      </c>
      <c r="E8" s="134" t="s">
        <v>240</v>
      </c>
      <c r="F8" s="134" t="s">
        <v>244</v>
      </c>
      <c r="G8" s="134">
        <v>31620</v>
      </c>
      <c r="H8" s="143">
        <v>17.789000000000001</v>
      </c>
      <c r="I8" s="143">
        <f t="shared" si="0"/>
        <v>562488.18000000005</v>
      </c>
      <c r="J8" s="144"/>
      <c r="K8" s="144"/>
      <c r="L8" s="144"/>
      <c r="M8" s="145">
        <f t="shared" si="1"/>
        <v>562488.18000000005</v>
      </c>
      <c r="N8" s="146"/>
      <c r="O8" s="146"/>
      <c r="P8" s="147">
        <f t="shared" si="2"/>
        <v>478114.95300000004</v>
      </c>
      <c r="Q8" s="148">
        <f t="shared" si="3"/>
        <v>84373.226999999999</v>
      </c>
      <c r="R8" s="149"/>
    </row>
    <row r="9" spans="1:19" x14ac:dyDescent="0.2">
      <c r="A9" s="140">
        <v>5</v>
      </c>
      <c r="B9" s="141">
        <v>44958</v>
      </c>
      <c r="C9" s="134" t="s">
        <v>239</v>
      </c>
      <c r="D9" s="142">
        <v>50</v>
      </c>
      <c r="E9" s="134" t="s">
        <v>240</v>
      </c>
      <c r="F9" s="134" t="s">
        <v>245</v>
      </c>
      <c r="G9" s="134">
        <v>31740</v>
      </c>
      <c r="H9" s="143">
        <v>18.6767</v>
      </c>
      <c r="I9" s="143">
        <f t="shared" si="0"/>
        <v>592798.45799999998</v>
      </c>
      <c r="J9" s="144"/>
      <c r="K9" s="144"/>
      <c r="L9" s="144"/>
      <c r="M9" s="145">
        <f t="shared" si="1"/>
        <v>592798.45799999998</v>
      </c>
      <c r="N9" s="146"/>
      <c r="O9" s="146"/>
      <c r="P9" s="147">
        <f t="shared" si="2"/>
        <v>503878.68929999997</v>
      </c>
      <c r="Q9" s="148">
        <f t="shared" si="3"/>
        <v>88919.768700000001</v>
      </c>
      <c r="R9" s="149"/>
    </row>
    <row r="10" spans="1:19" x14ac:dyDescent="0.2">
      <c r="A10" s="140">
        <v>1</v>
      </c>
      <c r="B10" s="135">
        <v>45152</v>
      </c>
      <c r="C10" s="134" t="s">
        <v>246</v>
      </c>
      <c r="D10" s="142">
        <v>57</v>
      </c>
      <c r="E10" s="134" t="s">
        <v>247</v>
      </c>
      <c r="F10" s="134" t="s">
        <v>248</v>
      </c>
      <c r="G10" s="150">
        <v>4800</v>
      </c>
      <c r="H10" s="143">
        <v>17.666699999999999</v>
      </c>
      <c r="I10" s="143">
        <f t="shared" si="0"/>
        <v>84800.159999999989</v>
      </c>
      <c r="J10" s="150">
        <f>+I10*0.015</f>
        <v>1272.0023999999999</v>
      </c>
      <c r="K10" s="150"/>
      <c r="L10" s="150"/>
      <c r="M10" s="151">
        <f>+I10-J10-K10</f>
        <v>83528.157599999991</v>
      </c>
      <c r="N10" s="143"/>
      <c r="O10" s="135"/>
      <c r="P10" s="147">
        <f>+M10*0.85</f>
        <v>70998.933959999995</v>
      </c>
      <c r="Q10" s="152">
        <f>+M10*0.15</f>
        <v>12529.223639999998</v>
      </c>
      <c r="R10" s="148" t="s">
        <v>213</v>
      </c>
      <c r="S10" s="135">
        <v>45195</v>
      </c>
    </row>
    <row r="11" spans="1:19" x14ac:dyDescent="0.2">
      <c r="A11" s="140">
        <v>2</v>
      </c>
      <c r="B11" s="135">
        <v>45154</v>
      </c>
      <c r="C11" s="134" t="s">
        <v>246</v>
      </c>
      <c r="D11" s="142">
        <v>58</v>
      </c>
      <c r="E11" s="134" t="s">
        <v>247</v>
      </c>
      <c r="F11" s="134" t="s">
        <v>248</v>
      </c>
      <c r="G11" s="150">
        <v>30</v>
      </c>
      <c r="H11" s="143">
        <v>17.666699999999999</v>
      </c>
      <c r="I11" s="143">
        <f t="shared" si="0"/>
        <v>530.00099999999998</v>
      </c>
      <c r="J11" s="150">
        <f>+I11*0.015</f>
        <v>7.9500149999999996</v>
      </c>
      <c r="K11" s="150"/>
      <c r="L11" s="150"/>
      <c r="M11" s="151">
        <f t="shared" ref="M11:M16" si="4">+I11-J11-K11</f>
        <v>522.05098499999997</v>
      </c>
      <c r="N11" s="143"/>
      <c r="O11" s="135"/>
      <c r="P11" s="147">
        <f t="shared" ref="P11:P61" si="5">+M11*0.85</f>
        <v>443.74333724999997</v>
      </c>
      <c r="Q11" s="152">
        <f t="shared" ref="Q11:Q20" si="6">+M11*0.15</f>
        <v>78.307647749999987</v>
      </c>
      <c r="R11" s="148" t="s">
        <v>213</v>
      </c>
      <c r="S11" s="135">
        <v>45195</v>
      </c>
    </row>
    <row r="12" spans="1:19" x14ac:dyDescent="0.2">
      <c r="A12" s="140">
        <v>3</v>
      </c>
      <c r="B12" s="135">
        <v>45198</v>
      </c>
      <c r="C12" s="134" t="s">
        <v>249</v>
      </c>
      <c r="D12" s="142"/>
      <c r="G12" s="143">
        <v>120</v>
      </c>
      <c r="H12" s="143">
        <v>25</v>
      </c>
      <c r="I12" s="143">
        <f t="shared" si="0"/>
        <v>3000</v>
      </c>
      <c r="J12" s="150"/>
      <c r="K12" s="150"/>
      <c r="L12" s="150"/>
      <c r="M12" s="151">
        <f t="shared" si="4"/>
        <v>3000</v>
      </c>
      <c r="N12" s="143"/>
      <c r="P12" s="147">
        <f t="shared" si="5"/>
        <v>2550</v>
      </c>
      <c r="Q12" s="152">
        <f t="shared" si="6"/>
        <v>450</v>
      </c>
      <c r="R12" s="148" t="s">
        <v>213</v>
      </c>
      <c r="S12" s="135">
        <v>45209</v>
      </c>
    </row>
    <row r="13" spans="1:19" x14ac:dyDescent="0.2">
      <c r="A13" s="140">
        <v>4</v>
      </c>
      <c r="B13" s="135">
        <v>45267</v>
      </c>
      <c r="C13" s="134" t="s">
        <v>250</v>
      </c>
      <c r="D13" s="142">
        <v>163</v>
      </c>
      <c r="E13" s="134" t="s">
        <v>251</v>
      </c>
      <c r="F13" s="134" t="s">
        <v>252</v>
      </c>
      <c r="G13" s="150">
        <f>240*60</f>
        <v>14400</v>
      </c>
      <c r="H13" s="143">
        <f>954.77387/60</f>
        <v>15.912897833333334</v>
      </c>
      <c r="I13" s="143">
        <f t="shared" si="0"/>
        <v>229145.72880000001</v>
      </c>
      <c r="J13" s="150">
        <f>+I13*0.005</f>
        <v>1145.728644</v>
      </c>
      <c r="K13" s="150"/>
      <c r="L13" s="150"/>
      <c r="M13" s="151">
        <f t="shared" si="4"/>
        <v>228000.00015600002</v>
      </c>
      <c r="N13" s="143"/>
      <c r="P13" s="147">
        <f t="shared" si="5"/>
        <v>193800.00013260002</v>
      </c>
      <c r="Q13" s="152">
        <f t="shared" si="6"/>
        <v>34200.000023400004</v>
      </c>
      <c r="R13" s="148" t="s">
        <v>213</v>
      </c>
      <c r="S13" s="135">
        <v>45302</v>
      </c>
    </row>
    <row r="14" spans="1:19" x14ac:dyDescent="0.2">
      <c r="A14" s="140">
        <v>5</v>
      </c>
      <c r="B14" s="135">
        <v>45267</v>
      </c>
      <c r="C14" s="134" t="s">
        <v>250</v>
      </c>
      <c r="D14" s="142">
        <v>164</v>
      </c>
      <c r="E14" s="134" t="s">
        <v>251</v>
      </c>
      <c r="F14" s="134" t="s">
        <v>253</v>
      </c>
      <c r="G14" s="150">
        <f>543*60</f>
        <v>32580</v>
      </c>
      <c r="H14" s="143">
        <f>954.77387/60</f>
        <v>15.912897833333334</v>
      </c>
      <c r="I14" s="143">
        <f t="shared" si="0"/>
        <v>518442.21141000005</v>
      </c>
      <c r="J14" s="150">
        <f>+I14*0.005</f>
        <v>2592.2110570500004</v>
      </c>
      <c r="K14" s="150"/>
      <c r="L14" s="150"/>
      <c r="M14" s="151">
        <f t="shared" si="4"/>
        <v>515850.00035295007</v>
      </c>
      <c r="N14" s="143"/>
      <c r="P14" s="147">
        <f t="shared" si="5"/>
        <v>438472.50030000752</v>
      </c>
      <c r="Q14" s="152">
        <f t="shared" si="6"/>
        <v>77377.500052942501</v>
      </c>
      <c r="R14" s="148" t="s">
        <v>213</v>
      </c>
      <c r="S14" s="135">
        <v>45302</v>
      </c>
    </row>
    <row r="15" spans="1:19" x14ac:dyDescent="0.2">
      <c r="A15" s="140">
        <v>6</v>
      </c>
      <c r="B15" s="135">
        <v>45300</v>
      </c>
      <c r="C15" s="134" t="s">
        <v>246</v>
      </c>
      <c r="D15" s="142">
        <v>239</v>
      </c>
      <c r="E15" s="134" t="s">
        <v>247</v>
      </c>
      <c r="F15" s="134" t="s">
        <v>254</v>
      </c>
      <c r="G15" s="150">
        <v>30000</v>
      </c>
      <c r="H15" s="143">
        <v>20.75</v>
      </c>
      <c r="I15" s="143">
        <f t="shared" si="0"/>
        <v>622500</v>
      </c>
      <c r="J15" s="150">
        <f>+I15*0.01549251</f>
        <v>9644.0874750000003</v>
      </c>
      <c r="K15" s="150"/>
      <c r="L15" s="150"/>
      <c r="M15" s="151">
        <f t="shared" si="4"/>
        <v>612855.91252500005</v>
      </c>
      <c r="N15" s="143"/>
      <c r="P15" s="147">
        <f t="shared" si="5"/>
        <v>520927.52564625005</v>
      </c>
      <c r="Q15" s="152">
        <f t="shared" si="6"/>
        <v>91928.386878750011</v>
      </c>
      <c r="R15" s="148" t="s">
        <v>213</v>
      </c>
      <c r="S15" s="135">
        <v>45309</v>
      </c>
    </row>
    <row r="16" spans="1:19" x14ac:dyDescent="0.2">
      <c r="A16" s="140">
        <v>7</v>
      </c>
      <c r="B16" s="135">
        <v>45300</v>
      </c>
      <c r="C16" s="134" t="s">
        <v>246</v>
      </c>
      <c r="D16" s="142">
        <v>240</v>
      </c>
      <c r="E16" s="134" t="s">
        <v>247</v>
      </c>
      <c r="F16" s="134" t="s">
        <v>255</v>
      </c>
      <c r="G16" s="150">
        <v>30000</v>
      </c>
      <c r="H16" s="143">
        <v>20.75</v>
      </c>
      <c r="I16" s="143">
        <f t="shared" si="0"/>
        <v>622500</v>
      </c>
      <c r="J16" s="150">
        <f>+I16*0.01549251</f>
        <v>9644.0874750000003</v>
      </c>
      <c r="K16" s="150"/>
      <c r="L16" s="150"/>
      <c r="M16" s="151">
        <f t="shared" si="4"/>
        <v>612855.91252500005</v>
      </c>
      <c r="N16" s="143"/>
      <c r="P16" s="147">
        <f t="shared" si="5"/>
        <v>520927.52564625005</v>
      </c>
      <c r="Q16" s="152">
        <f t="shared" si="6"/>
        <v>91928.386878750011</v>
      </c>
      <c r="R16" s="148" t="s">
        <v>213</v>
      </c>
      <c r="S16" s="135">
        <v>45309</v>
      </c>
    </row>
    <row r="17" spans="1:26" x14ac:dyDescent="0.2">
      <c r="A17" s="140">
        <v>8</v>
      </c>
      <c r="B17" s="135">
        <v>45317</v>
      </c>
      <c r="C17" s="134" t="s">
        <v>256</v>
      </c>
      <c r="D17" s="142">
        <v>254</v>
      </c>
      <c r="E17" s="134" t="s">
        <v>257</v>
      </c>
      <c r="F17" s="134" t="s">
        <v>258</v>
      </c>
      <c r="G17" s="150">
        <v>27520</v>
      </c>
      <c r="H17" s="143">
        <v>17.8217</v>
      </c>
      <c r="I17" s="143">
        <f t="shared" si="0"/>
        <v>490453.18400000001</v>
      </c>
      <c r="J17" s="150">
        <f>+I17*0.015</f>
        <v>7356.7977599999995</v>
      </c>
      <c r="K17" s="150"/>
      <c r="L17" s="150">
        <v>4904.5200000000004</v>
      </c>
      <c r="M17" s="151">
        <f t="shared" ref="M17:M61" si="7">+I17-J17-K17+L17</f>
        <v>488000.90624000004</v>
      </c>
      <c r="N17" s="143"/>
      <c r="P17" s="147">
        <f t="shared" si="5"/>
        <v>414800.77030400001</v>
      </c>
      <c r="Q17" s="152">
        <f t="shared" si="6"/>
        <v>73200.135936000006</v>
      </c>
      <c r="R17" s="148" t="s">
        <v>213</v>
      </c>
      <c r="S17" s="135">
        <v>45320</v>
      </c>
    </row>
    <row r="18" spans="1:26" x14ac:dyDescent="0.2">
      <c r="A18" s="140">
        <v>9</v>
      </c>
      <c r="B18" s="135">
        <v>45327</v>
      </c>
      <c r="C18" s="134" t="s">
        <v>259</v>
      </c>
      <c r="D18" s="142">
        <v>261</v>
      </c>
      <c r="E18" s="134" t="s">
        <v>260</v>
      </c>
      <c r="F18" s="134" t="s">
        <v>261</v>
      </c>
      <c r="G18" s="150">
        <v>21180</v>
      </c>
      <c r="H18" s="143">
        <v>18.8333333</v>
      </c>
      <c r="I18" s="143">
        <f t="shared" si="0"/>
        <v>398889.99929399998</v>
      </c>
      <c r="J18" s="150">
        <f>+I18*0.015</f>
        <v>5983.3499894099996</v>
      </c>
      <c r="K18" s="150"/>
      <c r="L18" s="150"/>
      <c r="M18" s="151">
        <f t="shared" si="7"/>
        <v>392906.64930458996</v>
      </c>
      <c r="N18" s="143"/>
      <c r="P18" s="147">
        <f t="shared" si="5"/>
        <v>333970.65190890146</v>
      </c>
      <c r="Q18" s="152">
        <f t="shared" si="6"/>
        <v>58935.997395688493</v>
      </c>
      <c r="R18" s="148" t="s">
        <v>213</v>
      </c>
      <c r="S18" s="135">
        <v>45327</v>
      </c>
    </row>
    <row r="19" spans="1:26" x14ac:dyDescent="0.2">
      <c r="A19" s="210">
        <v>10</v>
      </c>
      <c r="B19" s="211">
        <v>45328</v>
      </c>
      <c r="C19" s="144" t="s">
        <v>262</v>
      </c>
      <c r="D19" s="157">
        <v>262</v>
      </c>
      <c r="E19" s="144" t="s">
        <v>263</v>
      </c>
      <c r="F19" s="144"/>
      <c r="G19" s="150">
        <v>1320</v>
      </c>
      <c r="H19" s="150">
        <v>20.45</v>
      </c>
      <c r="I19" s="150">
        <f t="shared" si="0"/>
        <v>26994</v>
      </c>
      <c r="J19" s="150"/>
      <c r="K19" s="150"/>
      <c r="L19" s="150"/>
      <c r="M19" s="212">
        <f t="shared" si="7"/>
        <v>26994</v>
      </c>
      <c r="N19" s="150"/>
      <c r="O19" s="144"/>
      <c r="P19" s="213">
        <f t="shared" si="5"/>
        <v>22944.899999999998</v>
      </c>
      <c r="Q19" s="152">
        <f t="shared" si="6"/>
        <v>4049.1</v>
      </c>
      <c r="R19" s="148" t="s">
        <v>221</v>
      </c>
      <c r="S19" s="135" t="s">
        <v>221</v>
      </c>
    </row>
    <row r="20" spans="1:26" x14ac:dyDescent="0.2">
      <c r="A20" s="140"/>
      <c r="B20" s="135">
        <v>45314</v>
      </c>
      <c r="C20" s="134" t="s">
        <v>262</v>
      </c>
      <c r="D20" s="142">
        <v>262</v>
      </c>
      <c r="E20" s="134" t="s">
        <v>263</v>
      </c>
      <c r="G20" s="150">
        <v>120</v>
      </c>
      <c r="H20" s="143">
        <v>20</v>
      </c>
      <c r="I20" s="143">
        <v>2494.25</v>
      </c>
      <c r="J20" s="150"/>
      <c r="K20" s="150"/>
      <c r="L20" s="150"/>
      <c r="M20" s="151">
        <f t="shared" si="7"/>
        <v>2494.25</v>
      </c>
      <c r="N20" s="143"/>
      <c r="P20" s="147">
        <f t="shared" si="5"/>
        <v>2120.1124999999997</v>
      </c>
      <c r="Q20" s="152">
        <f t="shared" si="6"/>
        <v>374.13749999999999</v>
      </c>
      <c r="R20" s="148" t="s">
        <v>213</v>
      </c>
      <c r="S20" s="135">
        <v>45420</v>
      </c>
    </row>
    <row r="21" spans="1:26" x14ac:dyDescent="0.2">
      <c r="A21" s="140">
        <v>11</v>
      </c>
      <c r="B21" s="135">
        <v>45337</v>
      </c>
      <c r="C21" s="134" t="s">
        <v>264</v>
      </c>
      <c r="D21" s="142">
        <v>263</v>
      </c>
      <c r="E21" s="134" t="s">
        <v>265</v>
      </c>
      <c r="F21" s="134" t="s">
        <v>266</v>
      </c>
      <c r="G21" s="150">
        <v>1800</v>
      </c>
      <c r="H21" s="143">
        <f>+I21/G21</f>
        <v>31.482333333333333</v>
      </c>
      <c r="I21" s="143">
        <v>56668.2</v>
      </c>
      <c r="J21" s="150"/>
      <c r="K21" s="150"/>
      <c r="L21" s="150"/>
      <c r="M21" s="154">
        <f t="shared" si="7"/>
        <v>56668.2</v>
      </c>
      <c r="N21" s="143"/>
      <c r="P21" s="147">
        <f t="shared" si="5"/>
        <v>48167.969999999994</v>
      </c>
      <c r="Q21" s="152">
        <f>+M21*0.15</f>
        <v>8500.23</v>
      </c>
      <c r="R21" s="148" t="s">
        <v>213</v>
      </c>
      <c r="S21" s="135">
        <v>45421</v>
      </c>
    </row>
    <row r="22" spans="1:26" x14ac:dyDescent="0.2">
      <c r="A22" s="140">
        <v>12</v>
      </c>
      <c r="B22" s="135">
        <v>45343</v>
      </c>
      <c r="C22" s="134" t="s">
        <v>267</v>
      </c>
      <c r="D22" s="142">
        <v>265</v>
      </c>
      <c r="E22" s="134" t="s">
        <v>268</v>
      </c>
      <c r="F22" s="134" t="s">
        <v>269</v>
      </c>
      <c r="G22" s="150">
        <v>7980</v>
      </c>
      <c r="H22" s="143">
        <v>20.94</v>
      </c>
      <c r="I22" s="143">
        <f t="shared" si="0"/>
        <v>167101.20000000001</v>
      </c>
      <c r="J22" s="150">
        <f>+I22*0.00750629</f>
        <v>1254.3100665480001</v>
      </c>
      <c r="K22" s="150"/>
      <c r="L22" s="150"/>
      <c r="M22" s="151">
        <f t="shared" si="7"/>
        <v>165846.88993345201</v>
      </c>
      <c r="N22" s="143"/>
      <c r="P22" s="147">
        <f t="shared" si="5"/>
        <v>140969.8564434342</v>
      </c>
      <c r="Q22" s="152">
        <f t="shared" ref="Q22:Q61" si="8">+M22*0.15</f>
        <v>24877.033490017802</v>
      </c>
      <c r="R22" s="148" t="s">
        <v>213</v>
      </c>
      <c r="S22" s="135">
        <v>45344</v>
      </c>
    </row>
    <row r="23" spans="1:26" x14ac:dyDescent="0.2">
      <c r="A23" s="140">
        <v>13</v>
      </c>
      <c r="B23" s="135">
        <v>45349</v>
      </c>
      <c r="C23" s="134" t="s">
        <v>262</v>
      </c>
      <c r="D23" s="142">
        <v>266</v>
      </c>
      <c r="E23" s="134" t="s">
        <v>263</v>
      </c>
      <c r="G23" s="150">
        <v>600</v>
      </c>
      <c r="H23" s="143">
        <v>20</v>
      </c>
      <c r="I23" s="143">
        <v>13400</v>
      </c>
      <c r="J23" s="150"/>
      <c r="K23" s="150"/>
      <c r="L23" s="150"/>
      <c r="M23" s="154">
        <f t="shared" si="7"/>
        <v>13400</v>
      </c>
      <c r="N23" s="143"/>
      <c r="P23" s="147">
        <f t="shared" si="5"/>
        <v>11390</v>
      </c>
      <c r="Q23" s="152">
        <f t="shared" si="8"/>
        <v>2010</v>
      </c>
      <c r="R23" s="148" t="s">
        <v>213</v>
      </c>
      <c r="T23" s="134" t="s">
        <v>270</v>
      </c>
      <c r="Z23" s="134" t="s">
        <v>271</v>
      </c>
    </row>
    <row r="24" spans="1:26" x14ac:dyDescent="0.2">
      <c r="A24" s="140">
        <v>14</v>
      </c>
      <c r="B24" s="135">
        <v>45349</v>
      </c>
      <c r="C24" s="134" t="s">
        <v>272</v>
      </c>
      <c r="D24" s="142">
        <v>267</v>
      </c>
      <c r="E24" s="134" t="s">
        <v>263</v>
      </c>
      <c r="G24" s="150">
        <v>96</v>
      </c>
      <c r="H24" s="143">
        <f t="shared" ref="H24:H61" si="9">+I24/G24</f>
        <v>20.833333333333332</v>
      </c>
      <c r="I24" s="143">
        <v>2000</v>
      </c>
      <c r="J24" s="150"/>
      <c r="K24" s="150"/>
      <c r="L24" s="150"/>
      <c r="M24" s="153">
        <f t="shared" si="7"/>
        <v>2000</v>
      </c>
      <c r="N24" s="143"/>
      <c r="P24" s="147">
        <f t="shared" si="5"/>
        <v>1700</v>
      </c>
      <c r="Q24" s="152">
        <f t="shared" si="8"/>
        <v>300</v>
      </c>
      <c r="R24" s="148" t="s">
        <v>213</v>
      </c>
      <c r="S24" s="135">
        <v>45624</v>
      </c>
      <c r="T24" s="135"/>
    </row>
    <row r="25" spans="1:26" x14ac:dyDescent="0.2">
      <c r="A25" s="140">
        <v>14</v>
      </c>
      <c r="B25" s="135">
        <v>45349</v>
      </c>
      <c r="C25" s="134" t="s">
        <v>272</v>
      </c>
      <c r="D25" s="142">
        <v>267</v>
      </c>
      <c r="E25" s="134" t="s">
        <v>263</v>
      </c>
      <c r="G25" s="150">
        <v>96</v>
      </c>
      <c r="H25" s="143">
        <f t="shared" si="9"/>
        <v>20.833333333333332</v>
      </c>
      <c r="I25" s="143">
        <v>2000</v>
      </c>
      <c r="J25" s="150"/>
      <c r="K25" s="150"/>
      <c r="L25" s="150"/>
      <c r="M25" s="153">
        <f t="shared" si="7"/>
        <v>2000</v>
      </c>
      <c r="N25" s="143"/>
      <c r="P25" s="147">
        <f t="shared" si="5"/>
        <v>1700</v>
      </c>
      <c r="Q25" s="152">
        <f t="shared" si="8"/>
        <v>300</v>
      </c>
      <c r="R25" s="148" t="s">
        <v>213</v>
      </c>
      <c r="S25" s="135">
        <v>45653</v>
      </c>
      <c r="T25" s="135"/>
    </row>
    <row r="26" spans="1:26" x14ac:dyDescent="0.2">
      <c r="A26" s="140">
        <v>14</v>
      </c>
      <c r="B26" s="135">
        <v>45349</v>
      </c>
      <c r="C26" s="134" t="s">
        <v>272</v>
      </c>
      <c r="D26" s="142">
        <v>267</v>
      </c>
      <c r="E26" s="134" t="s">
        <v>263</v>
      </c>
      <c r="G26" s="150">
        <v>948</v>
      </c>
      <c r="H26" s="143">
        <f t="shared" si="9"/>
        <v>20.82932489451477</v>
      </c>
      <c r="I26" s="143">
        <v>19746.2</v>
      </c>
      <c r="J26" s="150"/>
      <c r="K26" s="150"/>
      <c r="L26" s="150"/>
      <c r="M26" s="153">
        <f t="shared" si="7"/>
        <v>19746.2</v>
      </c>
      <c r="N26" s="143"/>
      <c r="P26" s="147">
        <f t="shared" si="5"/>
        <v>16784.27</v>
      </c>
      <c r="Q26" s="148">
        <f t="shared" si="8"/>
        <v>2961.93</v>
      </c>
      <c r="R26" s="148"/>
    </row>
    <row r="27" spans="1:26" x14ac:dyDescent="0.2">
      <c r="A27" s="140">
        <v>15</v>
      </c>
      <c r="B27" s="135">
        <v>45350</v>
      </c>
      <c r="C27" s="134" t="s">
        <v>273</v>
      </c>
      <c r="D27" s="142" t="s">
        <v>218</v>
      </c>
      <c r="E27" s="134" t="s">
        <v>274</v>
      </c>
      <c r="F27" s="134" t="s">
        <v>275</v>
      </c>
      <c r="G27" s="143">
        <f>363.38*60</f>
        <v>21802.799999999999</v>
      </c>
      <c r="H27" s="143">
        <f t="shared" si="9"/>
        <v>10.083333333333334</v>
      </c>
      <c r="I27" s="155">
        <v>219844.9</v>
      </c>
      <c r="J27" s="150"/>
      <c r="K27" s="150"/>
      <c r="L27" s="150"/>
      <c r="M27" s="151">
        <f t="shared" si="7"/>
        <v>219844.9</v>
      </c>
      <c r="N27" s="143"/>
      <c r="P27" s="147">
        <f t="shared" si="5"/>
        <v>186868.16499999998</v>
      </c>
      <c r="Q27" s="152">
        <f t="shared" si="8"/>
        <v>32976.735000000001</v>
      </c>
      <c r="R27" s="148" t="s">
        <v>213</v>
      </c>
      <c r="S27" s="135">
        <v>45352</v>
      </c>
    </row>
    <row r="28" spans="1:26" x14ac:dyDescent="0.2">
      <c r="A28" s="140">
        <v>16</v>
      </c>
      <c r="B28" s="135">
        <v>45363</v>
      </c>
      <c r="C28" s="134" t="s">
        <v>276</v>
      </c>
      <c r="D28" s="142" t="s">
        <v>219</v>
      </c>
      <c r="E28" s="134" t="s">
        <v>277</v>
      </c>
      <c r="G28" s="143">
        <f>(276+179)*60</f>
        <v>27300</v>
      </c>
      <c r="H28" s="143">
        <f t="shared" si="9"/>
        <v>16.666666666666668</v>
      </c>
      <c r="I28" s="156">
        <f>434525+20475</f>
        <v>455000</v>
      </c>
      <c r="J28" s="150"/>
      <c r="K28" s="150"/>
      <c r="L28" s="150"/>
      <c r="M28" s="151">
        <f t="shared" si="7"/>
        <v>455000</v>
      </c>
      <c r="N28" s="143"/>
      <c r="P28" s="147">
        <f t="shared" si="5"/>
        <v>386750</v>
      </c>
      <c r="Q28" s="152">
        <f t="shared" si="8"/>
        <v>68250</v>
      </c>
      <c r="R28" s="148" t="s">
        <v>213</v>
      </c>
      <c r="S28" s="135">
        <v>45364</v>
      </c>
    </row>
    <row r="29" spans="1:26" x14ac:dyDescent="0.2">
      <c r="A29" s="140">
        <v>17</v>
      </c>
      <c r="B29" s="135">
        <v>45366</v>
      </c>
      <c r="C29" s="134" t="s">
        <v>273</v>
      </c>
      <c r="D29" s="142">
        <v>271</v>
      </c>
      <c r="E29" s="134" t="s">
        <v>278</v>
      </c>
      <c r="F29" s="134" t="s">
        <v>279</v>
      </c>
      <c r="G29" s="143">
        <f>(168.62+0.8)*60</f>
        <v>10165.200000000001</v>
      </c>
      <c r="H29" s="143">
        <f t="shared" si="9"/>
        <v>10.114419785149332</v>
      </c>
      <c r="I29" s="150">
        <v>102815.1</v>
      </c>
      <c r="J29" s="150"/>
      <c r="K29" s="150"/>
      <c r="L29" s="150"/>
      <c r="M29" s="151">
        <f t="shared" si="7"/>
        <v>102815.1</v>
      </c>
      <c r="N29" s="143"/>
      <c r="P29" s="147">
        <f t="shared" si="5"/>
        <v>87392.835000000006</v>
      </c>
      <c r="Q29" s="152">
        <f t="shared" si="8"/>
        <v>15422.264999999999</v>
      </c>
      <c r="R29" s="148" t="s">
        <v>213</v>
      </c>
      <c r="S29" s="135">
        <v>45366</v>
      </c>
    </row>
    <row r="30" spans="1:26" x14ac:dyDescent="0.2">
      <c r="A30" s="140">
        <v>18</v>
      </c>
      <c r="B30" s="135">
        <v>45373</v>
      </c>
      <c r="C30" s="134" t="s">
        <v>280</v>
      </c>
      <c r="D30" s="142">
        <v>274</v>
      </c>
      <c r="E30" s="134" t="s">
        <v>281</v>
      </c>
      <c r="F30" s="134" t="s">
        <v>282</v>
      </c>
      <c r="G30" s="143">
        <v>19200</v>
      </c>
      <c r="H30" s="143">
        <f t="shared" si="9"/>
        <v>22.507865104166669</v>
      </c>
      <c r="I30" s="143">
        <v>432151.01</v>
      </c>
      <c r="J30" s="150"/>
      <c r="K30" s="150"/>
      <c r="L30" s="150"/>
      <c r="M30" s="151">
        <f t="shared" si="7"/>
        <v>432151.01</v>
      </c>
      <c r="N30" s="143"/>
      <c r="P30" s="147">
        <f t="shared" si="5"/>
        <v>367328.35849999997</v>
      </c>
      <c r="Q30" s="152">
        <f t="shared" si="8"/>
        <v>64822.6515</v>
      </c>
      <c r="R30" s="148" t="s">
        <v>213</v>
      </c>
      <c r="S30" s="135">
        <v>45427</v>
      </c>
      <c r="T30" s="134">
        <v>463</v>
      </c>
      <c r="U30" s="134" t="s">
        <v>428</v>
      </c>
    </row>
    <row r="31" spans="1:26" x14ac:dyDescent="0.2">
      <c r="A31" s="140">
        <v>19</v>
      </c>
      <c r="B31" s="135">
        <v>45373</v>
      </c>
      <c r="C31" s="134" t="s">
        <v>280</v>
      </c>
      <c r="D31" s="157">
        <v>275</v>
      </c>
      <c r="E31" s="134" t="s">
        <v>281</v>
      </c>
      <c r="F31" s="134" t="s">
        <v>283</v>
      </c>
      <c r="G31" s="143">
        <v>19200</v>
      </c>
      <c r="H31" s="143">
        <f t="shared" si="9"/>
        <v>22.818553298611111</v>
      </c>
      <c r="I31" s="143">
        <f>1314348.67*G31/57600</f>
        <v>438116.22333333333</v>
      </c>
      <c r="J31" s="150"/>
      <c r="K31" s="150"/>
      <c r="L31" s="150"/>
      <c r="M31" s="151">
        <f t="shared" si="7"/>
        <v>438116.22333333333</v>
      </c>
      <c r="N31" s="143"/>
      <c r="P31" s="147">
        <f t="shared" si="5"/>
        <v>372398.78983333334</v>
      </c>
      <c r="Q31" s="152">
        <f t="shared" si="8"/>
        <v>65717.433499999999</v>
      </c>
      <c r="R31" s="148" t="s">
        <v>213</v>
      </c>
      <c r="S31" s="135">
        <v>45490</v>
      </c>
    </row>
    <row r="32" spans="1:26" x14ac:dyDescent="0.2">
      <c r="A32" s="140">
        <v>20</v>
      </c>
      <c r="B32" s="135">
        <v>45373</v>
      </c>
      <c r="C32" s="134" t="s">
        <v>280</v>
      </c>
      <c r="D32" s="157">
        <v>276</v>
      </c>
      <c r="E32" s="134" t="s">
        <v>281</v>
      </c>
      <c r="F32" s="134" t="s">
        <v>282</v>
      </c>
      <c r="G32" s="143">
        <v>19200</v>
      </c>
      <c r="H32" s="143">
        <f t="shared" si="9"/>
        <v>22.818553298611111</v>
      </c>
      <c r="I32" s="143">
        <f>1314348.67*G32/57600</f>
        <v>438116.22333333333</v>
      </c>
      <c r="J32" s="150"/>
      <c r="K32" s="150"/>
      <c r="L32" s="150"/>
      <c r="M32" s="151">
        <f t="shared" si="7"/>
        <v>438116.22333333333</v>
      </c>
      <c r="N32" s="143"/>
      <c r="P32" s="147">
        <f t="shared" si="5"/>
        <v>372398.78983333334</v>
      </c>
      <c r="Q32" s="152">
        <f t="shared" si="8"/>
        <v>65717.433499999999</v>
      </c>
      <c r="R32" s="148" t="s">
        <v>213</v>
      </c>
      <c r="S32" s="135">
        <v>45490</v>
      </c>
    </row>
    <row r="33" spans="1:21" x14ac:dyDescent="0.2">
      <c r="A33" s="140">
        <v>21</v>
      </c>
      <c r="B33" s="135">
        <v>45400</v>
      </c>
      <c r="C33" s="134" t="s">
        <v>284</v>
      </c>
      <c r="D33" s="142">
        <v>279</v>
      </c>
      <c r="E33" s="134" t="s">
        <v>281</v>
      </c>
      <c r="F33" s="134" t="s">
        <v>285</v>
      </c>
      <c r="G33" s="143">
        <v>16800</v>
      </c>
      <c r="H33" s="143">
        <f t="shared" si="9"/>
        <v>18.154761904761905</v>
      </c>
      <c r="I33" s="143">
        <v>305000</v>
      </c>
      <c r="J33" s="150"/>
      <c r="K33" s="150"/>
      <c r="L33" s="150"/>
      <c r="M33" s="151">
        <f t="shared" si="7"/>
        <v>305000</v>
      </c>
      <c r="N33" s="143"/>
      <c r="P33" s="147">
        <f t="shared" si="5"/>
        <v>259250</v>
      </c>
      <c r="Q33" s="152">
        <f t="shared" si="8"/>
        <v>45750</v>
      </c>
      <c r="R33" s="148" t="s">
        <v>213</v>
      </c>
      <c r="S33" s="135">
        <v>45547</v>
      </c>
      <c r="U33" s="134" t="s">
        <v>323</v>
      </c>
    </row>
    <row r="34" spans="1:21" x14ac:dyDescent="0.2">
      <c r="A34" s="140">
        <v>21</v>
      </c>
      <c r="B34" s="135">
        <v>45400</v>
      </c>
      <c r="C34" s="134" t="s">
        <v>284</v>
      </c>
      <c r="D34" s="142">
        <v>279</v>
      </c>
      <c r="E34" s="134" t="s">
        <v>281</v>
      </c>
      <c r="F34" s="134" t="s">
        <v>285</v>
      </c>
      <c r="G34" s="143"/>
      <c r="H34" s="143">
        <f>+I34/G33</f>
        <v>10.369371428571428</v>
      </c>
      <c r="I34" s="143">
        <v>174205.44</v>
      </c>
      <c r="J34" s="150"/>
      <c r="K34" s="150"/>
      <c r="L34" s="150"/>
      <c r="M34" s="151">
        <f t="shared" si="7"/>
        <v>174205.44</v>
      </c>
      <c r="N34" s="143"/>
      <c r="P34" s="147">
        <f t="shared" si="5"/>
        <v>148074.62400000001</v>
      </c>
      <c r="Q34" s="152">
        <f t="shared" si="8"/>
        <v>26130.815999999999</v>
      </c>
      <c r="R34" s="148" t="s">
        <v>213</v>
      </c>
      <c r="S34" s="135">
        <v>45610</v>
      </c>
      <c r="U34" s="134" t="s">
        <v>324</v>
      </c>
    </row>
    <row r="35" spans="1:21" x14ac:dyDescent="0.2">
      <c r="A35" s="140">
        <v>22</v>
      </c>
      <c r="B35" s="135">
        <v>45421</v>
      </c>
      <c r="C35" s="134" t="s">
        <v>280</v>
      </c>
      <c r="D35" s="157">
        <v>283</v>
      </c>
      <c r="E35" s="134" t="s">
        <v>281</v>
      </c>
      <c r="F35" s="134" t="s">
        <v>286</v>
      </c>
      <c r="G35" s="143">
        <v>19200</v>
      </c>
      <c r="H35" s="143">
        <f t="shared" si="9"/>
        <v>22.818553298611111</v>
      </c>
      <c r="I35" s="143">
        <f>1314348.67*G35/57600</f>
        <v>438116.22333333333</v>
      </c>
      <c r="J35" s="150"/>
      <c r="K35" s="150"/>
      <c r="L35" s="150"/>
      <c r="M35" s="151">
        <f t="shared" si="7"/>
        <v>438116.22333333333</v>
      </c>
      <c r="N35" s="143"/>
      <c r="P35" s="147">
        <f t="shared" si="5"/>
        <v>372398.78983333334</v>
      </c>
      <c r="Q35" s="152">
        <f t="shared" si="8"/>
        <v>65717.433499999999</v>
      </c>
      <c r="R35" s="148" t="s">
        <v>213</v>
      </c>
      <c r="S35" s="135">
        <v>45490</v>
      </c>
    </row>
    <row r="36" spans="1:21" x14ac:dyDescent="0.2">
      <c r="A36" s="140">
        <v>23</v>
      </c>
      <c r="B36" s="135">
        <v>45432</v>
      </c>
      <c r="C36" s="134" t="s">
        <v>284</v>
      </c>
      <c r="D36" s="142">
        <v>286</v>
      </c>
      <c r="E36" s="134" t="s">
        <v>281</v>
      </c>
      <c r="F36" s="134" t="s">
        <v>287</v>
      </c>
      <c r="G36" s="143">
        <f>16800+2400</f>
        <v>19200</v>
      </c>
      <c r="H36" s="143">
        <f t="shared" si="9"/>
        <v>27.860240104166667</v>
      </c>
      <c r="I36" s="143">
        <v>534916.61</v>
      </c>
      <c r="J36" s="150"/>
      <c r="K36" s="150"/>
      <c r="L36" s="150"/>
      <c r="M36" s="143">
        <f t="shared" si="7"/>
        <v>534916.61</v>
      </c>
      <c r="N36" s="143"/>
      <c r="P36" s="147">
        <f t="shared" si="5"/>
        <v>454679.11849999998</v>
      </c>
      <c r="Q36" s="148">
        <f t="shared" si="8"/>
        <v>80237.491499999989</v>
      </c>
      <c r="R36" s="148"/>
    </row>
    <row r="37" spans="1:21" x14ac:dyDescent="0.2">
      <c r="A37" s="140">
        <v>24</v>
      </c>
      <c r="B37" s="135">
        <v>45456</v>
      </c>
      <c r="C37" s="134" t="s">
        <v>280</v>
      </c>
      <c r="D37" s="142">
        <v>288</v>
      </c>
      <c r="E37" s="134" t="s">
        <v>281</v>
      </c>
      <c r="F37" s="134" t="s">
        <v>288</v>
      </c>
      <c r="G37" s="143">
        <v>19200</v>
      </c>
      <c r="H37" s="143">
        <f t="shared" si="9"/>
        <v>29.833108333333335</v>
      </c>
      <c r="I37" s="143">
        <v>572795.68000000005</v>
      </c>
      <c r="J37" s="150"/>
      <c r="K37" s="150"/>
      <c r="L37" s="150"/>
      <c r="M37" s="151">
        <f t="shared" si="7"/>
        <v>572795.68000000005</v>
      </c>
      <c r="N37" s="143"/>
      <c r="P37" s="147">
        <f t="shared" si="5"/>
        <v>486876.32800000004</v>
      </c>
      <c r="Q37" s="152">
        <f t="shared" si="8"/>
        <v>85919.351999999999</v>
      </c>
      <c r="R37" s="148" t="s">
        <v>213</v>
      </c>
      <c r="S37" s="135">
        <v>45603</v>
      </c>
    </row>
    <row r="38" spans="1:21" x14ac:dyDescent="0.2">
      <c r="A38" s="140">
        <v>25</v>
      </c>
      <c r="B38" s="135">
        <v>45470</v>
      </c>
      <c r="C38" s="134" t="s">
        <v>289</v>
      </c>
      <c r="D38" s="142">
        <v>306</v>
      </c>
      <c r="E38" s="134" t="s">
        <v>290</v>
      </c>
      <c r="F38" s="134" t="s">
        <v>291</v>
      </c>
      <c r="G38" s="143">
        <v>3000</v>
      </c>
      <c r="H38" s="143">
        <f t="shared" si="9"/>
        <v>27.570666666666668</v>
      </c>
      <c r="I38" s="143">
        <v>82712</v>
      </c>
      <c r="J38" s="150">
        <f>+I38*0.015</f>
        <v>1240.68</v>
      </c>
      <c r="K38" s="150"/>
      <c r="L38" s="150"/>
      <c r="M38" s="151">
        <f t="shared" si="7"/>
        <v>81471.320000000007</v>
      </c>
      <c r="N38" s="143"/>
      <c r="P38" s="147">
        <f t="shared" si="5"/>
        <v>69250.622000000003</v>
      </c>
      <c r="Q38" s="152">
        <f t="shared" si="8"/>
        <v>12220.698</v>
      </c>
      <c r="R38" s="148" t="s">
        <v>213</v>
      </c>
      <c r="S38" s="135">
        <v>45471</v>
      </c>
      <c r="U38" s="143"/>
    </row>
    <row r="39" spans="1:21" x14ac:dyDescent="0.2">
      <c r="A39" s="140">
        <v>26</v>
      </c>
      <c r="B39" s="135">
        <v>45483</v>
      </c>
      <c r="C39" s="134" t="s">
        <v>280</v>
      </c>
      <c r="D39" s="142">
        <v>322</v>
      </c>
      <c r="E39" s="134" t="s">
        <v>281</v>
      </c>
      <c r="F39" s="134" t="s">
        <v>292</v>
      </c>
      <c r="G39" s="143">
        <v>19200</v>
      </c>
      <c r="H39" s="143">
        <f t="shared" si="9"/>
        <v>30.166121875000002</v>
      </c>
      <c r="I39" s="143">
        <v>579189.54</v>
      </c>
      <c r="J39" s="150"/>
      <c r="K39" s="150"/>
      <c r="L39" s="150"/>
      <c r="M39" s="151">
        <f t="shared" si="7"/>
        <v>579189.54</v>
      </c>
      <c r="N39" s="143"/>
      <c r="P39" s="147">
        <f t="shared" si="5"/>
        <v>492311.109</v>
      </c>
      <c r="Q39" s="152">
        <f t="shared" si="8"/>
        <v>86878.430999999997</v>
      </c>
      <c r="R39" s="148" t="s">
        <v>213</v>
      </c>
      <c r="S39" s="135">
        <v>45603</v>
      </c>
    </row>
    <row r="40" spans="1:21" x14ac:dyDescent="0.2">
      <c r="A40" s="140">
        <v>27</v>
      </c>
      <c r="B40" s="135">
        <v>45485</v>
      </c>
      <c r="C40" s="134" t="s">
        <v>293</v>
      </c>
      <c r="D40" s="142" t="s">
        <v>220</v>
      </c>
      <c r="E40" s="134" t="s">
        <v>294</v>
      </c>
      <c r="F40" s="134" t="s">
        <v>295</v>
      </c>
      <c r="G40" s="143">
        <f>8280+10</f>
        <v>8290</v>
      </c>
      <c r="H40" s="143">
        <f t="shared" si="9"/>
        <v>25.460667068757537</v>
      </c>
      <c r="I40" s="143">
        <f>210814.32+254.61</f>
        <v>211068.93</v>
      </c>
      <c r="J40" s="150">
        <f>+I40*0.006200249</f>
        <v>1308.6799221635699</v>
      </c>
      <c r="K40" s="150"/>
      <c r="L40" s="150"/>
      <c r="M40" s="151">
        <f t="shared" si="7"/>
        <v>209760.25007783642</v>
      </c>
      <c r="N40" s="143"/>
      <c r="P40" s="147">
        <f t="shared" si="5"/>
        <v>178296.21256616095</v>
      </c>
      <c r="Q40" s="152">
        <f t="shared" si="8"/>
        <v>31464.037511675462</v>
      </c>
      <c r="R40" s="148" t="s">
        <v>213</v>
      </c>
      <c r="S40" s="135">
        <v>45485</v>
      </c>
      <c r="T40" s="158"/>
      <c r="U40" s="158"/>
    </row>
    <row r="41" spans="1:21" x14ac:dyDescent="0.2">
      <c r="A41" s="140">
        <v>28</v>
      </c>
      <c r="B41" s="135">
        <v>45555</v>
      </c>
      <c r="C41" s="134" t="s">
        <v>280</v>
      </c>
      <c r="D41" s="142">
        <v>424</v>
      </c>
      <c r="E41" s="134" t="s">
        <v>281</v>
      </c>
      <c r="F41" s="134" t="s">
        <v>286</v>
      </c>
      <c r="G41" s="143">
        <v>19200</v>
      </c>
      <c r="H41" s="143">
        <f t="shared" si="9"/>
        <v>35.923940972222219</v>
      </c>
      <c r="I41" s="143">
        <f>2069219/3</f>
        <v>689739.66666666663</v>
      </c>
      <c r="J41" s="143"/>
      <c r="K41" s="143"/>
      <c r="L41" s="143"/>
      <c r="M41" s="143">
        <f t="shared" si="7"/>
        <v>689739.66666666663</v>
      </c>
      <c r="N41" s="143"/>
      <c r="P41" s="147">
        <f t="shared" si="5"/>
        <v>586278.71666666667</v>
      </c>
      <c r="Q41" s="152">
        <f t="shared" si="8"/>
        <v>103460.95</v>
      </c>
      <c r="R41" s="148" t="s">
        <v>213</v>
      </c>
      <c r="S41" s="135">
        <v>45636</v>
      </c>
    </row>
    <row r="42" spans="1:21" x14ac:dyDescent="0.2">
      <c r="A42" s="140">
        <v>29</v>
      </c>
      <c r="B42" s="135">
        <v>45555</v>
      </c>
      <c r="C42" s="134" t="s">
        <v>280</v>
      </c>
      <c r="D42" s="142">
        <v>425</v>
      </c>
      <c r="E42" s="134" t="s">
        <v>281</v>
      </c>
      <c r="F42" s="134" t="s">
        <v>296</v>
      </c>
      <c r="G42" s="143">
        <v>19200</v>
      </c>
      <c r="H42" s="143">
        <f t="shared" si="9"/>
        <v>35.923940972222219</v>
      </c>
      <c r="I42" s="143">
        <f>2069219/3</f>
        <v>689739.66666666663</v>
      </c>
      <c r="J42" s="143"/>
      <c r="K42" s="143"/>
      <c r="L42" s="143"/>
      <c r="M42" s="143">
        <f t="shared" si="7"/>
        <v>689739.66666666663</v>
      </c>
      <c r="N42" s="143"/>
      <c r="P42" s="147">
        <f t="shared" si="5"/>
        <v>586278.71666666667</v>
      </c>
      <c r="Q42" s="152">
        <f t="shared" si="8"/>
        <v>103460.95</v>
      </c>
      <c r="R42" s="148" t="s">
        <v>213</v>
      </c>
      <c r="S42" s="135">
        <v>45636</v>
      </c>
    </row>
    <row r="43" spans="1:21" x14ac:dyDescent="0.2">
      <c r="A43" s="140">
        <v>30</v>
      </c>
      <c r="B43" s="135">
        <v>45555</v>
      </c>
      <c r="C43" s="134" t="s">
        <v>280</v>
      </c>
      <c r="D43" s="142">
        <v>426</v>
      </c>
      <c r="E43" s="134" t="s">
        <v>281</v>
      </c>
      <c r="F43" s="134" t="s">
        <v>296</v>
      </c>
      <c r="G43" s="143">
        <v>19200</v>
      </c>
      <c r="H43" s="143">
        <f t="shared" si="9"/>
        <v>35.923940972222219</v>
      </c>
      <c r="I43" s="143">
        <f>2069219/3</f>
        <v>689739.66666666663</v>
      </c>
      <c r="J43" s="143"/>
      <c r="K43" s="143"/>
      <c r="L43" s="143"/>
      <c r="M43" s="143">
        <f t="shared" si="7"/>
        <v>689739.66666666663</v>
      </c>
      <c r="N43" s="143"/>
      <c r="P43" s="147">
        <f t="shared" si="5"/>
        <v>586278.71666666667</v>
      </c>
      <c r="Q43" s="152">
        <f t="shared" si="8"/>
        <v>103460.95</v>
      </c>
      <c r="R43" s="148" t="s">
        <v>213</v>
      </c>
      <c r="S43" s="135">
        <v>45636</v>
      </c>
    </row>
    <row r="44" spans="1:21" x14ac:dyDescent="0.2">
      <c r="A44" s="140">
        <v>31</v>
      </c>
      <c r="B44" s="135">
        <v>45589</v>
      </c>
      <c r="C44" s="134" t="s">
        <v>280</v>
      </c>
      <c r="D44" s="142">
        <v>470</v>
      </c>
      <c r="G44" s="143">
        <v>19200</v>
      </c>
      <c r="H44" s="143">
        <f t="shared" si="9"/>
        <v>31.1677</v>
      </c>
      <c r="I44" s="143">
        <v>598419.84</v>
      </c>
      <c r="J44" s="143"/>
      <c r="K44" s="143"/>
      <c r="L44" s="143"/>
      <c r="M44" s="143">
        <f t="shared" si="7"/>
        <v>598419.84</v>
      </c>
      <c r="N44" s="143"/>
      <c r="P44" s="147">
        <f t="shared" si="5"/>
        <v>508656.86399999994</v>
      </c>
      <c r="Q44" s="148">
        <f t="shared" si="8"/>
        <v>89762.975999999995</v>
      </c>
      <c r="R44" s="148"/>
    </row>
    <row r="45" spans="1:21" x14ac:dyDescent="0.2">
      <c r="A45" s="140">
        <v>32</v>
      </c>
      <c r="B45" s="135">
        <v>45610</v>
      </c>
      <c r="C45" s="134" t="s">
        <v>280</v>
      </c>
      <c r="D45" s="142">
        <v>504</v>
      </c>
      <c r="G45" s="143">
        <v>19200</v>
      </c>
      <c r="H45" s="143">
        <f t="shared" si="9"/>
        <v>23.221690104166669</v>
      </c>
      <c r="I45" s="143">
        <v>445856.45</v>
      </c>
      <c r="J45" s="143"/>
      <c r="K45" s="143"/>
      <c r="L45" s="143"/>
      <c r="M45" s="143">
        <f t="shared" si="7"/>
        <v>445856.45</v>
      </c>
      <c r="N45" s="143"/>
      <c r="P45" s="147">
        <f t="shared" si="5"/>
        <v>378977.98249999998</v>
      </c>
      <c r="Q45" s="148">
        <f t="shared" si="8"/>
        <v>66878.467499999999</v>
      </c>
      <c r="R45" s="148"/>
    </row>
    <row r="46" spans="1:21" x14ac:dyDescent="0.2">
      <c r="A46" s="140">
        <v>33</v>
      </c>
      <c r="B46" s="135">
        <v>45610</v>
      </c>
      <c r="C46" s="134" t="s">
        <v>280</v>
      </c>
      <c r="D46" s="142">
        <v>506</v>
      </c>
      <c r="G46" s="143">
        <v>19200</v>
      </c>
      <c r="H46" s="143">
        <f t="shared" si="9"/>
        <v>23.221690104166669</v>
      </c>
      <c r="I46" s="143">
        <v>445856.45</v>
      </c>
      <c r="J46" s="143"/>
      <c r="K46" s="143"/>
      <c r="L46" s="143"/>
      <c r="M46" s="143">
        <f t="shared" si="7"/>
        <v>445856.45</v>
      </c>
      <c r="N46" s="143"/>
      <c r="P46" s="147">
        <f t="shared" si="5"/>
        <v>378977.98249999998</v>
      </c>
      <c r="Q46" s="148">
        <f t="shared" si="8"/>
        <v>66878.467499999999</v>
      </c>
      <c r="R46" s="148"/>
    </row>
    <row r="47" spans="1:21" x14ac:dyDescent="0.2">
      <c r="A47" s="140">
        <v>34</v>
      </c>
      <c r="B47" s="135">
        <v>45610</v>
      </c>
      <c r="C47" s="134" t="s">
        <v>280</v>
      </c>
      <c r="D47" s="142">
        <v>507</v>
      </c>
      <c r="G47" s="143">
        <v>19200</v>
      </c>
      <c r="H47" s="143">
        <f t="shared" si="9"/>
        <v>23.221690104166669</v>
      </c>
      <c r="I47" s="143">
        <v>445856.45</v>
      </c>
      <c r="J47" s="143"/>
      <c r="K47" s="143"/>
      <c r="L47" s="143"/>
      <c r="M47" s="143">
        <f t="shared" si="7"/>
        <v>445856.45</v>
      </c>
      <c r="N47" s="143"/>
      <c r="P47" s="147">
        <f t="shared" si="5"/>
        <v>378977.98249999998</v>
      </c>
      <c r="Q47" s="148">
        <f t="shared" si="8"/>
        <v>66878.467499999999</v>
      </c>
      <c r="R47" s="148"/>
    </row>
    <row r="48" spans="1:21" x14ac:dyDescent="0.2">
      <c r="A48" s="140">
        <v>35</v>
      </c>
      <c r="B48" s="135">
        <v>45625</v>
      </c>
      <c r="C48" s="134" t="s">
        <v>297</v>
      </c>
      <c r="D48" s="142">
        <v>517</v>
      </c>
      <c r="G48" s="143">
        <v>19200</v>
      </c>
      <c r="H48" s="143">
        <f t="shared" si="9"/>
        <v>19.456130208333335</v>
      </c>
      <c r="I48" s="143">
        <v>373557.7</v>
      </c>
      <c r="J48" s="143"/>
      <c r="K48" s="143"/>
      <c r="L48" s="143"/>
      <c r="M48" s="143">
        <f t="shared" si="7"/>
        <v>373557.7</v>
      </c>
      <c r="N48" s="143"/>
      <c r="P48" s="147">
        <f t="shared" si="5"/>
        <v>317524.04499999998</v>
      </c>
      <c r="Q48" s="148">
        <f t="shared" si="8"/>
        <v>56033.654999999999</v>
      </c>
      <c r="R48" s="148"/>
    </row>
    <row r="49" spans="1:19" x14ac:dyDescent="0.2">
      <c r="A49" s="140">
        <v>36</v>
      </c>
      <c r="B49" s="135">
        <v>45629</v>
      </c>
      <c r="C49" s="134" t="s">
        <v>298</v>
      </c>
      <c r="D49" s="142">
        <v>523</v>
      </c>
      <c r="G49" s="143">
        <v>600</v>
      </c>
      <c r="H49" s="143">
        <f t="shared" si="9"/>
        <v>36.666666666666664</v>
      </c>
      <c r="I49" s="143">
        <v>22000</v>
      </c>
      <c r="J49" s="143"/>
      <c r="K49" s="143"/>
      <c r="L49" s="143"/>
      <c r="M49" s="143">
        <f t="shared" si="7"/>
        <v>22000</v>
      </c>
      <c r="N49" s="143"/>
      <c r="P49" s="147">
        <f t="shared" si="5"/>
        <v>18700</v>
      </c>
      <c r="Q49" s="152">
        <f t="shared" si="8"/>
        <v>3300</v>
      </c>
      <c r="R49" s="148" t="s">
        <v>213</v>
      </c>
      <c r="S49" s="135">
        <v>45632</v>
      </c>
    </row>
    <row r="50" spans="1:19" x14ac:dyDescent="0.2">
      <c r="A50" s="140">
        <v>36</v>
      </c>
      <c r="B50" s="135">
        <v>45629</v>
      </c>
      <c r="C50" s="134" t="s">
        <v>298</v>
      </c>
      <c r="D50" s="142">
        <v>523</v>
      </c>
      <c r="G50" s="143">
        <v>150</v>
      </c>
      <c r="H50" s="143">
        <f t="shared" si="9"/>
        <v>36.666666666666664</v>
      </c>
      <c r="I50" s="143">
        <v>5500</v>
      </c>
      <c r="J50" s="143"/>
      <c r="K50" s="143"/>
      <c r="L50" s="143"/>
      <c r="M50" s="143">
        <f t="shared" si="7"/>
        <v>5500</v>
      </c>
      <c r="N50" s="143"/>
      <c r="P50" s="147">
        <f t="shared" si="5"/>
        <v>4675</v>
      </c>
      <c r="Q50" s="152">
        <f t="shared" si="8"/>
        <v>825</v>
      </c>
      <c r="R50" s="148" t="s">
        <v>213</v>
      </c>
      <c r="S50" s="135" t="s">
        <v>325</v>
      </c>
    </row>
    <row r="51" spans="1:19" x14ac:dyDescent="0.2">
      <c r="A51" s="140">
        <v>36</v>
      </c>
      <c r="B51" s="135">
        <v>45629</v>
      </c>
      <c r="C51" s="134" t="s">
        <v>298</v>
      </c>
      <c r="D51" s="142">
        <v>523</v>
      </c>
      <c r="G51" s="143">
        <v>450</v>
      </c>
      <c r="H51" s="143">
        <f t="shared" si="9"/>
        <v>36.666666666666664</v>
      </c>
      <c r="I51" s="143">
        <v>16500</v>
      </c>
      <c r="J51" s="143"/>
      <c r="K51" s="143"/>
      <c r="L51" s="143"/>
      <c r="M51" s="143">
        <f t="shared" si="7"/>
        <v>16500</v>
      </c>
      <c r="N51" s="143"/>
      <c r="P51" s="147">
        <f t="shared" si="5"/>
        <v>14025</v>
      </c>
      <c r="Q51" s="148">
        <f t="shared" si="8"/>
        <v>2475</v>
      </c>
      <c r="R51" s="148"/>
    </row>
    <row r="52" spans="1:19" x14ac:dyDescent="0.2">
      <c r="A52" s="140">
        <v>37</v>
      </c>
      <c r="B52" s="135">
        <v>45631</v>
      </c>
      <c r="C52" s="134" t="s">
        <v>259</v>
      </c>
      <c r="D52" s="142">
        <v>524</v>
      </c>
      <c r="G52" s="143">
        <v>30000</v>
      </c>
      <c r="H52" s="143">
        <f t="shared" si="9"/>
        <v>35.083333333333336</v>
      </c>
      <c r="I52" s="143">
        <v>1052500</v>
      </c>
      <c r="J52" s="143">
        <f>+I52*0.015</f>
        <v>15787.5</v>
      </c>
      <c r="K52" s="143"/>
      <c r="L52" s="143"/>
      <c r="M52" s="143">
        <f t="shared" si="7"/>
        <v>1036712.5</v>
      </c>
      <c r="N52" s="143"/>
      <c r="P52" s="147">
        <f t="shared" si="5"/>
        <v>881205.625</v>
      </c>
      <c r="Q52" s="152">
        <f t="shared" si="8"/>
        <v>155506.875</v>
      </c>
      <c r="R52" s="148" t="s">
        <v>213</v>
      </c>
      <c r="S52" s="135" t="s">
        <v>299</v>
      </c>
    </row>
    <row r="53" spans="1:19" x14ac:dyDescent="0.2">
      <c r="A53" s="214">
        <v>38</v>
      </c>
      <c r="B53" s="215">
        <v>45635</v>
      </c>
      <c r="C53" s="216" t="s">
        <v>300</v>
      </c>
      <c r="D53" s="217">
        <v>528</v>
      </c>
      <c r="E53" s="216"/>
      <c r="F53" s="216"/>
      <c r="G53" s="218">
        <v>30000</v>
      </c>
      <c r="H53" s="218">
        <f t="shared" si="9"/>
        <v>37.878700000000002</v>
      </c>
      <c r="I53" s="218">
        <v>1136361</v>
      </c>
      <c r="J53" s="218"/>
      <c r="K53" s="218"/>
      <c r="L53" s="218"/>
      <c r="M53" s="218">
        <f t="shared" si="7"/>
        <v>1136361</v>
      </c>
      <c r="N53" s="218"/>
      <c r="O53" s="216"/>
      <c r="P53" s="219">
        <f t="shared" si="5"/>
        <v>965906.85</v>
      </c>
      <c r="Q53" s="220">
        <f t="shared" si="8"/>
        <v>170454.15</v>
      </c>
      <c r="R53" s="220" t="s">
        <v>221</v>
      </c>
    </row>
    <row r="54" spans="1:19" x14ac:dyDescent="0.2">
      <c r="A54" s="140">
        <v>39</v>
      </c>
      <c r="B54" s="135">
        <v>45637</v>
      </c>
      <c r="C54" s="134" t="s">
        <v>326</v>
      </c>
      <c r="D54" s="142">
        <v>531</v>
      </c>
      <c r="G54" s="143">
        <v>120</v>
      </c>
      <c r="H54" s="143">
        <f t="shared" si="9"/>
        <v>41.550166666666669</v>
      </c>
      <c r="I54" s="143">
        <v>4986.0200000000004</v>
      </c>
      <c r="J54" s="143"/>
      <c r="K54" s="143"/>
      <c r="L54" s="143"/>
      <c r="M54" s="143">
        <f t="shared" si="7"/>
        <v>4986.0200000000004</v>
      </c>
      <c r="N54" s="143"/>
      <c r="P54" s="147">
        <f t="shared" si="5"/>
        <v>4238.1170000000002</v>
      </c>
      <c r="Q54" s="152">
        <f t="shared" si="8"/>
        <v>747.90300000000002</v>
      </c>
      <c r="R54" s="148" t="s">
        <v>213</v>
      </c>
      <c r="S54" s="135" t="s">
        <v>327</v>
      </c>
    </row>
    <row r="55" spans="1:19" x14ac:dyDescent="0.2">
      <c r="A55" s="140">
        <v>39</v>
      </c>
      <c r="B55" s="135">
        <v>45637</v>
      </c>
      <c r="C55" s="134" t="s">
        <v>326</v>
      </c>
      <c r="D55" s="142">
        <v>531</v>
      </c>
      <c r="G55" s="143">
        <v>120</v>
      </c>
      <c r="H55" s="143">
        <f t="shared" si="9"/>
        <v>41.550166666666669</v>
      </c>
      <c r="I55" s="143">
        <v>4986.0200000000004</v>
      </c>
      <c r="J55" s="143"/>
      <c r="K55" s="143"/>
      <c r="L55" s="143"/>
      <c r="M55" s="143">
        <f t="shared" si="7"/>
        <v>4986.0200000000004</v>
      </c>
      <c r="N55" s="143"/>
      <c r="P55" s="147">
        <f t="shared" si="5"/>
        <v>4238.1170000000002</v>
      </c>
      <c r="Q55" s="152">
        <f t="shared" si="8"/>
        <v>747.90300000000002</v>
      </c>
      <c r="R55" s="148" t="s">
        <v>213</v>
      </c>
      <c r="S55" s="135" t="s">
        <v>328</v>
      </c>
    </row>
    <row r="56" spans="1:19" x14ac:dyDescent="0.2">
      <c r="A56" s="140">
        <v>39</v>
      </c>
      <c r="B56" s="135">
        <v>45637</v>
      </c>
      <c r="C56" s="134" t="s">
        <v>326</v>
      </c>
      <c r="D56" s="142">
        <v>531</v>
      </c>
      <c r="G56" s="143">
        <v>240</v>
      </c>
      <c r="H56" s="143">
        <f t="shared" si="9"/>
        <v>41.550249999999998</v>
      </c>
      <c r="I56" s="143">
        <v>9972.06</v>
      </c>
      <c r="J56" s="143"/>
      <c r="K56" s="143"/>
      <c r="L56" s="143"/>
      <c r="M56" s="143">
        <f t="shared" si="7"/>
        <v>9972.06</v>
      </c>
      <c r="N56" s="143"/>
      <c r="P56" s="147">
        <f t="shared" si="5"/>
        <v>8476.2510000000002</v>
      </c>
      <c r="Q56" s="148">
        <f t="shared" si="8"/>
        <v>1495.809</v>
      </c>
      <c r="R56" s="148"/>
    </row>
    <row r="57" spans="1:19" x14ac:dyDescent="0.2">
      <c r="A57" s="140">
        <v>40</v>
      </c>
      <c r="B57" s="135">
        <v>45653</v>
      </c>
      <c r="C57" s="134" t="s">
        <v>329</v>
      </c>
      <c r="D57" s="142">
        <v>533</v>
      </c>
      <c r="G57" s="143">
        <v>19200</v>
      </c>
      <c r="H57" s="143">
        <f t="shared" si="9"/>
        <v>33.680409895833336</v>
      </c>
      <c r="I57" s="143">
        <v>646663.87</v>
      </c>
      <c r="J57" s="143"/>
      <c r="K57" s="143"/>
      <c r="L57" s="143"/>
      <c r="M57" s="143">
        <f t="shared" si="7"/>
        <v>646663.87</v>
      </c>
      <c r="N57" s="143"/>
      <c r="P57" s="147">
        <f t="shared" si="5"/>
        <v>549664.28949999996</v>
      </c>
      <c r="Q57" s="148">
        <f t="shared" si="8"/>
        <v>96999.580499999996</v>
      </c>
      <c r="R57" s="148"/>
    </row>
    <row r="58" spans="1:19" x14ac:dyDescent="0.2">
      <c r="A58" s="140">
        <v>41</v>
      </c>
      <c r="B58" s="135">
        <v>45671</v>
      </c>
      <c r="C58" s="134" t="s">
        <v>297</v>
      </c>
      <c r="D58" s="142">
        <v>537</v>
      </c>
      <c r="G58" s="143">
        <v>19200</v>
      </c>
      <c r="H58" s="143">
        <f t="shared" si="9"/>
        <v>23.156859895833335</v>
      </c>
      <c r="I58" s="143">
        <v>444611.71</v>
      </c>
      <c r="J58" s="143"/>
      <c r="K58" s="143"/>
      <c r="L58" s="143"/>
      <c r="M58" s="143">
        <f t="shared" si="7"/>
        <v>444611.71</v>
      </c>
      <c r="N58" s="143"/>
      <c r="P58" s="147">
        <f t="shared" si="5"/>
        <v>377919.9535</v>
      </c>
      <c r="Q58" s="148">
        <f t="shared" si="8"/>
        <v>66691.756500000003</v>
      </c>
      <c r="R58" s="148"/>
    </row>
    <row r="59" spans="1:19" x14ac:dyDescent="0.2">
      <c r="A59" s="140">
        <v>42</v>
      </c>
      <c r="B59" s="135">
        <v>45672</v>
      </c>
      <c r="C59" s="134" t="s">
        <v>280</v>
      </c>
      <c r="D59" s="142">
        <v>538</v>
      </c>
      <c r="G59" s="143">
        <v>19200</v>
      </c>
      <c r="H59" s="143">
        <f t="shared" si="9"/>
        <v>25</v>
      </c>
      <c r="I59" s="143">
        <v>480000</v>
      </c>
      <c r="J59" s="143"/>
      <c r="K59" s="143"/>
      <c r="L59" s="143"/>
      <c r="M59" s="143">
        <f t="shared" si="7"/>
        <v>480000</v>
      </c>
      <c r="N59" s="143"/>
      <c r="P59" s="147">
        <f t="shared" si="5"/>
        <v>408000</v>
      </c>
      <c r="Q59" s="148">
        <f t="shared" si="8"/>
        <v>72000</v>
      </c>
      <c r="R59" s="148"/>
    </row>
    <row r="60" spans="1:19" x14ac:dyDescent="0.2">
      <c r="A60" s="140">
        <v>43</v>
      </c>
      <c r="B60" s="135">
        <v>45672</v>
      </c>
      <c r="C60" s="134" t="s">
        <v>280</v>
      </c>
      <c r="D60" s="142">
        <v>539</v>
      </c>
      <c r="G60" s="143">
        <v>19200</v>
      </c>
      <c r="H60" s="143">
        <f t="shared" si="9"/>
        <v>25</v>
      </c>
      <c r="I60" s="143">
        <v>480000</v>
      </c>
      <c r="J60" s="143"/>
      <c r="K60" s="143"/>
      <c r="L60" s="143"/>
      <c r="M60" s="143">
        <f t="shared" si="7"/>
        <v>480000</v>
      </c>
      <c r="N60" s="143"/>
      <c r="P60" s="147">
        <f t="shared" si="5"/>
        <v>408000</v>
      </c>
      <c r="Q60" s="148">
        <f t="shared" si="8"/>
        <v>72000</v>
      </c>
      <c r="R60" s="148"/>
    </row>
    <row r="61" spans="1:19" x14ac:dyDescent="0.2">
      <c r="A61" s="140">
        <v>44</v>
      </c>
      <c r="B61" s="135">
        <v>45677</v>
      </c>
      <c r="C61" s="134" t="s">
        <v>300</v>
      </c>
      <c r="D61" s="142">
        <v>540</v>
      </c>
      <c r="G61" s="143">
        <v>30000</v>
      </c>
      <c r="H61" s="143">
        <f t="shared" si="9"/>
        <v>37.878700000000002</v>
      </c>
      <c r="I61" s="143">
        <v>1136361</v>
      </c>
      <c r="J61" s="143"/>
      <c r="K61" s="143"/>
      <c r="L61" s="143"/>
      <c r="M61" s="143">
        <f t="shared" si="7"/>
        <v>1136361</v>
      </c>
      <c r="N61" s="143"/>
      <c r="P61" s="147">
        <f t="shared" si="5"/>
        <v>965906.85</v>
      </c>
      <c r="Q61" s="148">
        <f t="shared" si="8"/>
        <v>170454.15</v>
      </c>
      <c r="R61" s="148"/>
    </row>
    <row r="62" spans="1:19" x14ac:dyDescent="0.2">
      <c r="A62" s="140"/>
      <c r="B62" s="135"/>
      <c r="D62" s="142"/>
      <c r="G62" s="143"/>
      <c r="H62" s="143"/>
      <c r="I62" s="143"/>
      <c r="J62" s="143"/>
      <c r="K62" s="143"/>
      <c r="L62" s="143"/>
      <c r="M62" s="143"/>
      <c r="N62" s="143"/>
      <c r="P62" s="147"/>
      <c r="Q62" s="148"/>
      <c r="R62" s="148"/>
    </row>
    <row r="63" spans="1:19" x14ac:dyDescent="0.2">
      <c r="A63" s="140"/>
      <c r="B63" s="135"/>
      <c r="D63" s="142"/>
      <c r="G63" s="143"/>
      <c r="H63" s="143"/>
      <c r="I63" s="143"/>
      <c r="J63" s="143"/>
      <c r="K63" s="143"/>
      <c r="L63" s="143"/>
      <c r="M63" s="143"/>
      <c r="N63" s="143"/>
      <c r="P63" s="147"/>
      <c r="Q63" s="148"/>
      <c r="R63" s="148"/>
    </row>
    <row r="64" spans="1:19" x14ac:dyDescent="0.2">
      <c r="A64" s="140"/>
      <c r="B64" s="135"/>
      <c r="D64" s="142"/>
      <c r="G64" s="143"/>
      <c r="H64" s="143"/>
      <c r="I64" s="143"/>
      <c r="J64" s="143"/>
      <c r="K64" s="143"/>
      <c r="L64" s="143"/>
      <c r="M64" s="143"/>
      <c r="N64" s="143"/>
      <c r="P64" s="147"/>
      <c r="Q64" s="148"/>
      <c r="R64" s="148"/>
    </row>
    <row r="65" spans="1:18" x14ac:dyDescent="0.2">
      <c r="A65" s="140"/>
      <c r="B65" s="135"/>
      <c r="D65" s="142"/>
      <c r="G65" s="143"/>
      <c r="H65" s="143"/>
      <c r="I65" s="143"/>
      <c r="J65" s="143"/>
      <c r="K65" s="143"/>
      <c r="L65" s="143"/>
      <c r="M65" s="143"/>
      <c r="N65" s="143"/>
      <c r="P65" s="147"/>
      <c r="Q65" s="148"/>
      <c r="R65" s="148"/>
    </row>
    <row r="66" spans="1:18" x14ac:dyDescent="0.2">
      <c r="A66" s="140"/>
      <c r="B66" s="135"/>
      <c r="D66" s="142"/>
      <c r="G66" s="143"/>
      <c r="H66" s="143"/>
      <c r="I66" s="143"/>
      <c r="J66" s="143"/>
      <c r="K66" s="143"/>
      <c r="L66" s="143"/>
      <c r="M66" s="143"/>
      <c r="N66" s="143"/>
      <c r="P66" s="147"/>
      <c r="Q66" s="148"/>
      <c r="R66" s="148"/>
    </row>
    <row r="67" spans="1:18" x14ac:dyDescent="0.2">
      <c r="A67" s="140"/>
      <c r="B67" s="135"/>
      <c r="D67" s="142"/>
      <c r="G67" s="143"/>
      <c r="H67" s="143"/>
      <c r="I67" s="143"/>
      <c r="J67" s="143"/>
      <c r="K67" s="143"/>
      <c r="L67" s="143"/>
      <c r="M67" s="143"/>
      <c r="N67" s="143"/>
      <c r="P67" s="147"/>
      <c r="Q67" s="148"/>
      <c r="R67" s="148"/>
    </row>
    <row r="68" spans="1:18" x14ac:dyDescent="0.2">
      <c r="A68" s="140"/>
      <c r="B68" s="135"/>
      <c r="D68" s="142"/>
      <c r="G68" s="143"/>
      <c r="H68" s="143"/>
      <c r="I68" s="143"/>
      <c r="J68" s="143"/>
      <c r="K68" s="143"/>
      <c r="L68" s="143"/>
      <c r="M68" s="143"/>
      <c r="N68" s="143"/>
      <c r="P68" s="147"/>
      <c r="Q68" s="148"/>
      <c r="R68" s="148"/>
    </row>
    <row r="69" spans="1:18" ht="16" thickBot="1" x14ac:dyDescent="0.25">
      <c r="A69" s="159"/>
      <c r="B69" s="160"/>
      <c r="C69" s="160"/>
      <c r="D69" s="160"/>
      <c r="E69" s="160"/>
      <c r="F69" s="160"/>
      <c r="G69" s="161">
        <f>SUM(G10:G68)</f>
        <v>717428</v>
      </c>
      <c r="H69" s="161">
        <f>+I69/G69</f>
        <v>25.1787225819232</v>
      </c>
      <c r="I69" s="161">
        <f t="shared" ref="I69:P69" si="10">SUM(I10:I68)</f>
        <v>18063920.584503997</v>
      </c>
      <c r="J69" s="161">
        <f t="shared" si="10"/>
        <v>57237.384804171568</v>
      </c>
      <c r="K69" s="161">
        <f t="shared" si="10"/>
        <v>0</v>
      </c>
      <c r="L69" s="161">
        <f t="shared" si="10"/>
        <v>4904.5200000000004</v>
      </c>
      <c r="M69" s="161">
        <f t="shared" si="10"/>
        <v>18011587.719699826</v>
      </c>
      <c r="N69" s="161">
        <f t="shared" si="10"/>
        <v>0</v>
      </c>
      <c r="O69" s="160">
        <f t="shared" si="10"/>
        <v>0</v>
      </c>
      <c r="P69" s="162">
        <f t="shared" si="10"/>
        <v>15309849.561744854</v>
      </c>
      <c r="Q69" s="163">
        <f>SUM(Q10:Q68)</f>
        <v>2701738.1579549746</v>
      </c>
      <c r="R69" s="163"/>
    </row>
    <row r="70" spans="1:18" x14ac:dyDescent="0.2">
      <c r="G70" s="143"/>
      <c r="H70" s="143"/>
      <c r="I70" s="143"/>
    </row>
    <row r="71" spans="1:18" x14ac:dyDescent="0.2">
      <c r="G71" s="143">
        <f>+G69/60</f>
        <v>11957.133333333333</v>
      </c>
      <c r="H71" s="143"/>
      <c r="I71" s="143"/>
    </row>
    <row r="72" spans="1:18" x14ac:dyDescent="0.2">
      <c r="A72" s="133" t="s">
        <v>301</v>
      </c>
    </row>
    <row r="73" spans="1:18" ht="16" thickBot="1" x14ac:dyDescent="0.25"/>
    <row r="74" spans="1:18" x14ac:dyDescent="0.2">
      <c r="A74" s="136" t="s">
        <v>223</v>
      </c>
      <c r="B74" s="137" t="s">
        <v>224</v>
      </c>
      <c r="C74" s="137" t="s">
        <v>225</v>
      </c>
      <c r="D74" s="137" t="s">
        <v>214</v>
      </c>
      <c r="E74" s="137" t="s">
        <v>226</v>
      </c>
      <c r="F74" s="137" t="s">
        <v>227</v>
      </c>
      <c r="G74" s="139" t="s">
        <v>228</v>
      </c>
      <c r="H74" s="164"/>
      <c r="I74" s="164"/>
      <c r="J74" s="164"/>
      <c r="K74" s="164"/>
      <c r="L74" s="164"/>
      <c r="M74" s="164"/>
      <c r="N74" s="335"/>
      <c r="O74" s="335"/>
      <c r="P74" s="164"/>
      <c r="Q74" s="164"/>
      <c r="R74" s="164"/>
    </row>
    <row r="75" spans="1:18" x14ac:dyDescent="0.2">
      <c r="A75" s="140">
        <v>1</v>
      </c>
      <c r="B75" s="135">
        <v>45071</v>
      </c>
      <c r="C75" s="134" t="s">
        <v>302</v>
      </c>
      <c r="D75" s="142"/>
      <c r="G75" s="148">
        <v>130</v>
      </c>
      <c r="H75" s="165"/>
      <c r="I75" s="165"/>
      <c r="J75" s="165"/>
      <c r="K75" s="165"/>
      <c r="L75" s="165"/>
      <c r="M75" s="165"/>
      <c r="N75" s="165"/>
      <c r="O75" s="166"/>
      <c r="P75" s="165"/>
      <c r="Q75" s="165"/>
      <c r="R75" s="165"/>
    </row>
    <row r="76" spans="1:18" x14ac:dyDescent="0.2">
      <c r="A76" s="140">
        <v>2</v>
      </c>
      <c r="B76" s="135">
        <v>45260</v>
      </c>
      <c r="C76" s="134" t="s">
        <v>303</v>
      </c>
      <c r="D76" s="142"/>
      <c r="G76" s="148">
        <v>13870</v>
      </c>
      <c r="H76" s="165"/>
      <c r="I76" s="165"/>
      <c r="J76" s="165"/>
      <c r="K76" s="165"/>
      <c r="L76" s="165"/>
      <c r="M76" s="165"/>
      <c r="N76" s="165"/>
      <c r="O76" s="166"/>
      <c r="P76" s="165"/>
      <c r="Q76" s="165"/>
      <c r="R76" s="165"/>
    </row>
    <row r="77" spans="1:18" x14ac:dyDescent="0.2">
      <c r="A77" s="140">
        <v>3</v>
      </c>
      <c r="B77" s="135">
        <v>45260</v>
      </c>
      <c r="C77" s="134" t="s">
        <v>303</v>
      </c>
      <c r="D77" s="142"/>
      <c r="G77" s="148">
        <v>4130</v>
      </c>
      <c r="H77" s="165"/>
      <c r="I77" s="165"/>
      <c r="J77" s="165"/>
      <c r="K77" s="165"/>
      <c r="L77" s="165"/>
      <c r="M77" s="165"/>
      <c r="N77" s="165"/>
      <c r="O77" s="164"/>
      <c r="P77" s="165"/>
      <c r="Q77" s="165"/>
      <c r="R77" s="165"/>
    </row>
    <row r="78" spans="1:18" x14ac:dyDescent="0.2">
      <c r="A78" s="140"/>
      <c r="B78" s="135"/>
      <c r="D78" s="142"/>
      <c r="G78" s="148"/>
      <c r="H78" s="165"/>
      <c r="I78" s="165"/>
      <c r="J78" s="165"/>
      <c r="K78" s="165"/>
      <c r="L78" s="165"/>
      <c r="M78" s="165"/>
      <c r="N78" s="165"/>
      <c r="O78" s="164"/>
      <c r="P78" s="165"/>
      <c r="Q78" s="165"/>
      <c r="R78" s="165"/>
    </row>
    <row r="79" spans="1:18" x14ac:dyDescent="0.2">
      <c r="A79" s="140"/>
      <c r="B79" s="135"/>
      <c r="D79" s="142"/>
      <c r="G79" s="148"/>
      <c r="H79" s="165"/>
      <c r="I79" s="165"/>
      <c r="J79" s="165"/>
      <c r="K79" s="165"/>
      <c r="L79" s="165"/>
      <c r="M79" s="165"/>
      <c r="N79" s="165"/>
      <c r="O79" s="164"/>
      <c r="P79" s="165"/>
      <c r="Q79" s="165"/>
      <c r="R79" s="165"/>
    </row>
    <row r="80" spans="1:18" x14ac:dyDescent="0.2">
      <c r="A80" s="140"/>
      <c r="B80" s="135"/>
      <c r="D80" s="142"/>
      <c r="G80" s="148"/>
      <c r="H80" s="165"/>
      <c r="I80" s="165"/>
      <c r="J80" s="165"/>
      <c r="K80" s="165"/>
      <c r="L80" s="165"/>
      <c r="M80" s="165"/>
      <c r="N80" s="165"/>
      <c r="O80" s="164"/>
      <c r="P80" s="165"/>
      <c r="Q80" s="165"/>
      <c r="R80" s="165"/>
    </row>
    <row r="81" spans="1:18" ht="16" thickBot="1" x14ac:dyDescent="0.25">
      <c r="A81" s="159"/>
      <c r="B81" s="160"/>
      <c r="C81" s="160"/>
      <c r="D81" s="160"/>
      <c r="E81" s="160"/>
      <c r="F81" s="160"/>
      <c r="G81" s="163">
        <f>SUM(G75:G80)</f>
        <v>18130</v>
      </c>
      <c r="H81" s="165"/>
      <c r="I81" s="165"/>
      <c r="J81" s="165"/>
      <c r="K81" s="165"/>
      <c r="L81" s="165"/>
      <c r="M81" s="165"/>
      <c r="N81" s="165"/>
      <c r="O81" s="164"/>
      <c r="P81" s="165"/>
      <c r="Q81" s="165"/>
      <c r="R81" s="165"/>
    </row>
    <row r="82" spans="1:18" x14ac:dyDescent="0.2">
      <c r="G82" s="143"/>
      <c r="H82" s="165"/>
      <c r="I82" s="165"/>
      <c r="J82" s="164"/>
      <c r="K82" s="164"/>
      <c r="L82" s="164"/>
      <c r="M82" s="164"/>
      <c r="N82" s="164"/>
      <c r="O82" s="164"/>
      <c r="P82" s="164"/>
      <c r="Q82" s="164"/>
      <c r="R82" s="164"/>
    </row>
    <row r="83" spans="1:18" x14ac:dyDescent="0.2">
      <c r="G83" s="143">
        <f>+G69+G81</f>
        <v>735558</v>
      </c>
      <c r="H83" s="143"/>
      <c r="I83" s="143"/>
    </row>
    <row r="84" spans="1:18" x14ac:dyDescent="0.2">
      <c r="G84" s="143"/>
      <c r="H84" s="143"/>
      <c r="I84" s="143"/>
    </row>
    <row r="85" spans="1:18" x14ac:dyDescent="0.2">
      <c r="G85" s="143"/>
      <c r="H85" s="143"/>
      <c r="I85" s="143"/>
    </row>
    <row r="86" spans="1:18" x14ac:dyDescent="0.2">
      <c r="G86" s="143"/>
      <c r="H86" s="143"/>
      <c r="I86" s="143"/>
    </row>
    <row r="87" spans="1:18" x14ac:dyDescent="0.2">
      <c r="G87" s="143"/>
      <c r="H87" s="143"/>
      <c r="I87" s="143"/>
    </row>
  </sheetData>
  <autoFilter ref="A3:Z61" xr:uid="{00000000-0009-0000-0000-000001000000}">
    <filterColumn colId="13" showButton="0"/>
  </autoFilter>
  <mergeCells count="2">
    <mergeCell ref="N3:O3"/>
    <mergeCell ref="N74:O74"/>
  </mergeCells>
  <pageMargins left="0" right="0" top="0.78740157480314965" bottom="0.78740157480314965" header="0.31496062992125984" footer="0.31496062992125984"/>
  <pageSetup paperSize="9" scale="5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2D4A3-199D-D147-B22F-B612BB29F5B3}">
  <sheetPr codeName="Sheet3"/>
  <dimension ref="B2:V44"/>
  <sheetViews>
    <sheetView zoomScale="80" zoomScaleNormal="80" workbookViewId="0">
      <selection activeCell="B9" sqref="B9:B11"/>
    </sheetView>
  </sheetViews>
  <sheetFormatPr baseColWidth="10" defaultRowHeight="16" x14ac:dyDescent="0.2"/>
  <cols>
    <col min="3" max="3" width="13.33203125" style="97" customWidth="1"/>
    <col min="4" max="4" width="17.5" style="97" customWidth="1"/>
    <col min="5" max="5" width="17.1640625" style="97" customWidth="1"/>
    <col min="6" max="6" width="18" customWidth="1"/>
    <col min="7" max="7" width="15" style="225" customWidth="1"/>
    <col min="8" max="8" width="14.5" style="221" customWidth="1"/>
    <col min="9" max="9" width="23.5" customWidth="1"/>
    <col min="10" max="10" width="24.33203125" customWidth="1"/>
    <col min="11" max="11" width="26" customWidth="1"/>
    <col min="12" max="12" width="19.33203125" customWidth="1"/>
    <col min="13" max="13" width="17.83203125" style="97" customWidth="1"/>
    <col min="14" max="14" width="19.33203125" customWidth="1"/>
    <col min="17" max="17" width="21.83203125" customWidth="1"/>
  </cols>
  <sheetData>
    <row r="2" spans="2:17" x14ac:dyDescent="0.2">
      <c r="B2" s="226" t="s">
        <v>318</v>
      </c>
      <c r="C2" s="227" t="s">
        <v>16</v>
      </c>
      <c r="D2" s="227" t="s">
        <v>332</v>
      </c>
      <c r="E2" s="230" t="s">
        <v>337</v>
      </c>
      <c r="F2" s="227" t="s">
        <v>334</v>
      </c>
      <c r="G2" s="228" t="s">
        <v>335</v>
      </c>
      <c r="H2" s="229" t="s">
        <v>333</v>
      </c>
      <c r="I2" s="230" t="s">
        <v>336</v>
      </c>
      <c r="J2" s="230" t="s">
        <v>338</v>
      </c>
      <c r="K2" s="232" t="s">
        <v>345</v>
      </c>
      <c r="L2" s="232" t="s">
        <v>344</v>
      </c>
      <c r="M2" s="232" t="s">
        <v>342</v>
      </c>
      <c r="N2" s="232" t="s">
        <v>343</v>
      </c>
      <c r="O2" s="232" t="s">
        <v>346</v>
      </c>
      <c r="P2" s="232" t="s">
        <v>347</v>
      </c>
      <c r="Q2" s="233" t="s">
        <v>348</v>
      </c>
    </row>
    <row r="3" spans="2:17" x14ac:dyDescent="0.2">
      <c r="B3" t="s">
        <v>27</v>
      </c>
      <c r="C3" s="97" t="s">
        <v>203</v>
      </c>
      <c r="D3" s="223">
        <v>149846.78</v>
      </c>
      <c r="E3" s="223">
        <f t="shared" ref="E3:E12" si="0">F3/H3</f>
        <v>104892.7607461476</v>
      </c>
      <c r="F3" s="223">
        <v>646663.87</v>
      </c>
      <c r="G3" s="224">
        <v>533</v>
      </c>
      <c r="H3" s="222">
        <v>6.165</v>
      </c>
      <c r="I3" s="223">
        <f t="shared" ref="I3:I11" si="1">D3-E3</f>
        <v>44954.019253852399</v>
      </c>
      <c r="J3" s="223">
        <f t="shared" ref="J3:J12" si="2">I3*H3</f>
        <v>277141.52870000002</v>
      </c>
      <c r="K3" s="224">
        <v>551</v>
      </c>
      <c r="L3" s="97">
        <v>149838.78</v>
      </c>
      <c r="M3" s="97">
        <v>5.8236999999999997</v>
      </c>
      <c r="N3" s="97">
        <f>L3*M3</f>
        <v>872616.10308599996</v>
      </c>
      <c r="O3" s="223">
        <f>D3-L3</f>
        <v>8</v>
      </c>
      <c r="Q3" s="223">
        <f>N3-(J3+F3)</f>
        <v>-51189.295614000061</v>
      </c>
    </row>
    <row r="4" spans="2:17" x14ac:dyDescent="0.2">
      <c r="B4" t="s">
        <v>6</v>
      </c>
      <c r="C4" s="97" t="s">
        <v>1</v>
      </c>
      <c r="D4" s="223">
        <v>149000.19</v>
      </c>
      <c r="E4" s="223">
        <f t="shared" si="0"/>
        <v>79123.052831121735</v>
      </c>
      <c r="F4" s="223">
        <v>480000</v>
      </c>
      <c r="G4" s="224">
        <v>539</v>
      </c>
      <c r="H4" s="222">
        <v>6.0664999999999996</v>
      </c>
      <c r="I4" s="223">
        <f t="shared" si="1"/>
        <v>69877.137168878267</v>
      </c>
      <c r="J4" s="223">
        <f t="shared" si="2"/>
        <v>423909.65263500001</v>
      </c>
      <c r="K4" s="224">
        <v>552</v>
      </c>
    </row>
    <row r="5" spans="2:17" x14ac:dyDescent="0.2">
      <c r="B5" t="s">
        <v>3</v>
      </c>
      <c r="C5" s="97" t="s">
        <v>1</v>
      </c>
      <c r="D5" s="223">
        <v>149000.19</v>
      </c>
      <c r="E5" s="223">
        <f t="shared" si="0"/>
        <v>79123.052831121735</v>
      </c>
      <c r="F5" s="223">
        <v>480000</v>
      </c>
      <c r="G5" s="224">
        <v>538</v>
      </c>
      <c r="H5" s="222">
        <v>6.0664999999999996</v>
      </c>
      <c r="I5" s="223">
        <f t="shared" si="1"/>
        <v>69877.137168878267</v>
      </c>
      <c r="J5" s="223">
        <f t="shared" si="2"/>
        <v>423909.65263500001</v>
      </c>
      <c r="K5" s="224">
        <v>553</v>
      </c>
    </row>
    <row r="6" spans="2:17" x14ac:dyDescent="0.2">
      <c r="B6" t="s">
        <v>24</v>
      </c>
      <c r="C6" s="97" t="s">
        <v>23</v>
      </c>
      <c r="D6" s="223">
        <v>104000</v>
      </c>
      <c r="E6" s="223">
        <f t="shared" si="0"/>
        <v>72800.044209388769</v>
      </c>
      <c r="F6" s="223">
        <v>444611.71</v>
      </c>
      <c r="G6" s="224">
        <v>537</v>
      </c>
      <c r="H6" s="222">
        <v>6.1073000000000004</v>
      </c>
      <c r="I6" s="223">
        <f t="shared" si="1"/>
        <v>31199.955790611231</v>
      </c>
      <c r="J6" s="223">
        <f t="shared" si="2"/>
        <v>190547.49</v>
      </c>
      <c r="K6" s="224">
        <v>554</v>
      </c>
      <c r="L6" s="97">
        <f>25970</f>
        <v>25970</v>
      </c>
      <c r="M6" s="97">
        <v>5.8236999999999997</v>
      </c>
      <c r="N6" s="97">
        <f>L6*M6</f>
        <v>151241.489</v>
      </c>
      <c r="O6" s="223">
        <f>(D6/4-L6)</f>
        <v>30</v>
      </c>
      <c r="P6" s="223">
        <f>D6-L6-O6</f>
        <v>78000</v>
      </c>
      <c r="Q6" s="223">
        <f>N6-(J6+F6)/4</f>
        <v>-7548.310999999987</v>
      </c>
    </row>
    <row r="7" spans="2:17" x14ac:dyDescent="0.2">
      <c r="B7" t="s">
        <v>25</v>
      </c>
      <c r="C7" s="97" t="s">
        <v>23</v>
      </c>
      <c r="D7" s="223">
        <v>104000</v>
      </c>
      <c r="E7" s="223">
        <f t="shared" si="0"/>
        <v>62400.016704251233</v>
      </c>
      <c r="F7" s="223">
        <v>373557.7</v>
      </c>
      <c r="G7" s="224">
        <v>517</v>
      </c>
      <c r="H7" s="222">
        <v>5.9865000000000004</v>
      </c>
      <c r="I7" s="223">
        <f t="shared" si="1"/>
        <v>41599.983295748767</v>
      </c>
      <c r="J7" s="223">
        <f t="shared" si="2"/>
        <v>249038.30000000002</v>
      </c>
      <c r="K7" s="224">
        <v>555</v>
      </c>
    </row>
    <row r="8" spans="2:17" ht="17" customHeight="1" x14ac:dyDescent="0.2">
      <c r="B8" t="s">
        <v>339</v>
      </c>
      <c r="C8" s="97" t="s">
        <v>340</v>
      </c>
      <c r="D8" s="223">
        <v>88706.97</v>
      </c>
      <c r="E8" s="223">
        <f t="shared" si="0"/>
        <v>67059.996569010545</v>
      </c>
      <c r="F8" s="223">
        <v>351816.86</v>
      </c>
      <c r="G8" s="224">
        <v>279</v>
      </c>
      <c r="H8" s="222">
        <v>5.2462999999999997</v>
      </c>
      <c r="I8" s="223">
        <f t="shared" si="1"/>
        <v>21646.973430989456</v>
      </c>
      <c r="J8" s="223">
        <f t="shared" si="2"/>
        <v>113566.51671099997</v>
      </c>
      <c r="K8" s="224">
        <v>556</v>
      </c>
      <c r="L8" s="97">
        <v>30244</v>
      </c>
      <c r="M8" s="97">
        <v>5.76</v>
      </c>
      <c r="N8" s="97">
        <f>L8*M8</f>
        <v>174205.44</v>
      </c>
      <c r="O8" s="223">
        <f>30300-L8</f>
        <v>56</v>
      </c>
      <c r="P8" s="223">
        <f>D8-L8-O8</f>
        <v>58406.97</v>
      </c>
      <c r="Q8" s="223">
        <f>N8-(30300*H8)</f>
        <v>15242.550000000017</v>
      </c>
    </row>
    <row r="9" spans="2:17" x14ac:dyDescent="0.2">
      <c r="B9" t="s">
        <v>9</v>
      </c>
      <c r="C9" s="97" t="s">
        <v>1</v>
      </c>
      <c r="D9" s="223">
        <v>157995.23000000001</v>
      </c>
      <c r="E9" s="223">
        <f t="shared" si="0"/>
        <v>77262.108583014196</v>
      </c>
      <c r="F9" s="223">
        <v>445856.45</v>
      </c>
      <c r="G9" s="224">
        <v>504</v>
      </c>
      <c r="H9" s="222">
        <v>5.7706999999999997</v>
      </c>
      <c r="I9" s="223">
        <f t="shared" si="1"/>
        <v>80733.121416985814</v>
      </c>
      <c r="J9" s="223">
        <f t="shared" si="2"/>
        <v>465886.623761</v>
      </c>
      <c r="K9" s="224">
        <v>557</v>
      </c>
    </row>
    <row r="10" spans="2:17" x14ac:dyDescent="0.2">
      <c r="B10" t="s">
        <v>8</v>
      </c>
      <c r="C10" s="97" t="s">
        <v>1</v>
      </c>
      <c r="D10" s="223">
        <v>141063.39000000001</v>
      </c>
      <c r="E10" s="223">
        <f t="shared" si="0"/>
        <v>77262.108583014196</v>
      </c>
      <c r="F10" s="223">
        <v>445856.45</v>
      </c>
      <c r="G10" s="224">
        <v>506</v>
      </c>
      <c r="H10" s="222">
        <v>5.7706999999999997</v>
      </c>
      <c r="I10" s="223">
        <f t="shared" si="1"/>
        <v>63801.281416985817</v>
      </c>
      <c r="J10" s="223">
        <f t="shared" si="2"/>
        <v>368178.05467300006</v>
      </c>
      <c r="K10" s="224">
        <v>558</v>
      </c>
    </row>
    <row r="11" spans="2:17" x14ac:dyDescent="0.2">
      <c r="B11" t="s">
        <v>7</v>
      </c>
      <c r="C11" s="97" t="s">
        <v>1</v>
      </c>
      <c r="D11" s="223">
        <v>133444.06</v>
      </c>
      <c r="E11" s="223">
        <f t="shared" si="0"/>
        <v>77262.108583014196</v>
      </c>
      <c r="F11" s="223">
        <v>445856.45</v>
      </c>
      <c r="G11" s="224">
        <v>507</v>
      </c>
      <c r="H11" s="222">
        <v>5.7706999999999997</v>
      </c>
      <c r="I11" s="223">
        <f t="shared" si="1"/>
        <v>56181.951416985801</v>
      </c>
      <c r="J11" s="223">
        <f t="shared" si="2"/>
        <v>324209.18704199995</v>
      </c>
      <c r="K11" s="224">
        <v>559</v>
      </c>
    </row>
    <row r="12" spans="2:17" x14ac:dyDescent="0.2">
      <c r="B12" t="s">
        <v>341</v>
      </c>
      <c r="C12" s="97" t="s">
        <v>1</v>
      </c>
      <c r="D12" s="223">
        <v>122438.37</v>
      </c>
      <c r="E12" s="223">
        <f t="shared" si="0"/>
        <v>104723.03519241202</v>
      </c>
      <c r="F12" s="223">
        <v>598418.84</v>
      </c>
      <c r="G12" s="224">
        <v>470</v>
      </c>
      <c r="H12" s="222">
        <v>5.7142999999999997</v>
      </c>
      <c r="I12" s="231">
        <f>D12-E12-11365.47</f>
        <v>6349.8648075879773</v>
      </c>
      <c r="J12" s="223">
        <f t="shared" si="2"/>
        <v>36285.032469999976</v>
      </c>
      <c r="K12" s="224">
        <v>560</v>
      </c>
      <c r="L12">
        <f>638669/E12</f>
        <v>6.0986486767361807</v>
      </c>
      <c r="O12" s="97"/>
    </row>
    <row r="13" spans="2:17" x14ac:dyDescent="0.2">
      <c r="D13" s="223"/>
      <c r="E13" s="223"/>
      <c r="F13" s="223"/>
      <c r="G13" s="224"/>
      <c r="H13" s="222"/>
      <c r="I13" s="223"/>
      <c r="J13" s="223"/>
    </row>
    <row r="14" spans="2:17" x14ac:dyDescent="0.2">
      <c r="D14" s="223"/>
      <c r="E14" s="223"/>
      <c r="F14" s="223"/>
      <c r="G14" s="224"/>
      <c r="H14" s="222"/>
      <c r="I14" s="223"/>
      <c r="J14" s="223"/>
    </row>
    <row r="15" spans="2:17" x14ac:dyDescent="0.2">
      <c r="D15" s="223"/>
      <c r="E15" s="223"/>
      <c r="F15" s="223"/>
      <c r="G15" s="224"/>
      <c r="H15" s="222"/>
      <c r="I15" s="223"/>
      <c r="J15" s="223"/>
    </row>
    <row r="16" spans="2:17" x14ac:dyDescent="0.2">
      <c r="D16" s="223"/>
      <c r="E16" s="223"/>
      <c r="F16" s="223"/>
      <c r="G16" s="224"/>
      <c r="H16" s="222"/>
      <c r="I16" s="223"/>
      <c r="J16" s="223"/>
    </row>
    <row r="17" spans="2:22" x14ac:dyDescent="0.2">
      <c r="D17" s="223"/>
      <c r="E17" s="223"/>
      <c r="F17" s="223"/>
      <c r="G17" s="224"/>
      <c r="H17" s="222"/>
      <c r="I17" s="223"/>
      <c r="J17" s="223"/>
    </row>
    <row r="18" spans="2:22" x14ac:dyDescent="0.2">
      <c r="D18" s="223"/>
      <c r="E18" s="223"/>
      <c r="F18" s="223"/>
      <c r="G18" s="224"/>
      <c r="H18" s="222"/>
      <c r="I18" s="223"/>
      <c r="J18" s="223"/>
    </row>
    <row r="19" spans="2:22" x14ac:dyDescent="0.2">
      <c r="D19" s="223"/>
      <c r="E19" s="223"/>
      <c r="F19" s="223"/>
      <c r="G19" s="224"/>
      <c r="H19" s="222"/>
      <c r="I19" s="223"/>
      <c r="J19" s="223"/>
    </row>
    <row r="20" spans="2:22" ht="16" customHeight="1" x14ac:dyDescent="0.2">
      <c r="B20" s="234" t="s">
        <v>349</v>
      </c>
      <c r="C20" s="235" t="s">
        <v>350</v>
      </c>
      <c r="D20" s="234" t="s">
        <v>366</v>
      </c>
      <c r="E20" s="234" t="s">
        <v>351</v>
      </c>
      <c r="F20" s="234" t="s">
        <v>352</v>
      </c>
      <c r="G20" s="234" t="s">
        <v>353</v>
      </c>
      <c r="H20" s="234" t="s">
        <v>354</v>
      </c>
      <c r="I20" s="234" t="s">
        <v>355</v>
      </c>
      <c r="J20" s="236" t="s">
        <v>40</v>
      </c>
      <c r="K20" s="237" t="s">
        <v>214</v>
      </c>
      <c r="L20" s="237" t="s">
        <v>356</v>
      </c>
      <c r="M20" s="237" t="s">
        <v>357</v>
      </c>
      <c r="N20" s="275" t="s">
        <v>358</v>
      </c>
    </row>
    <row r="21" spans="2:22" ht="16" customHeight="1" x14ac:dyDescent="0.2">
      <c r="B21" s="238">
        <v>2024</v>
      </c>
      <c r="C21" s="247">
        <v>3320241350600</v>
      </c>
      <c r="D21" s="239">
        <v>45636.455324074072</v>
      </c>
      <c r="E21" s="240">
        <v>342869.76000000001</v>
      </c>
      <c r="F21" s="248">
        <v>6.0350000000000001</v>
      </c>
      <c r="G21" s="249">
        <v>2069219</v>
      </c>
      <c r="H21" s="250">
        <v>45636</v>
      </c>
      <c r="I21" s="250">
        <v>45636</v>
      </c>
      <c r="J21" s="245" t="s">
        <v>359</v>
      </c>
      <c r="K21" s="242" t="s">
        <v>360</v>
      </c>
      <c r="L21" s="243">
        <f>619257.02*3</f>
        <v>1857771.06</v>
      </c>
      <c r="M21" s="242">
        <f>5.4183</f>
        <v>5.4183000000000003</v>
      </c>
      <c r="N21" s="243">
        <f>G21-L21</f>
        <v>211447.93999999994</v>
      </c>
    </row>
    <row r="22" spans="2:22" ht="16" customHeight="1" x14ac:dyDescent="0.2">
      <c r="B22" s="238">
        <v>2024</v>
      </c>
      <c r="C22" s="247">
        <v>3320241239879</v>
      </c>
      <c r="D22" s="239">
        <v>45608.536122685182</v>
      </c>
      <c r="E22" s="240">
        <v>30244</v>
      </c>
      <c r="F22" s="248">
        <v>5.76</v>
      </c>
      <c r="G22" s="249">
        <v>174205.44</v>
      </c>
      <c r="H22" s="250">
        <v>45610</v>
      </c>
      <c r="I22" s="250">
        <v>45610</v>
      </c>
      <c r="J22" s="245" t="s">
        <v>361</v>
      </c>
      <c r="K22" s="242">
        <v>279</v>
      </c>
      <c r="L22" s="243">
        <v>351816.86</v>
      </c>
      <c r="M22" s="242">
        <v>5.2462999999999997</v>
      </c>
      <c r="N22" s="243">
        <f>G22-L22*(30300/88706.97)</f>
        <v>54033.926329766429</v>
      </c>
    </row>
    <row r="23" spans="2:22" ht="16" customHeight="1" x14ac:dyDescent="0.2">
      <c r="B23" s="238">
        <v>2024</v>
      </c>
      <c r="C23" s="247">
        <v>3320241216036</v>
      </c>
      <c r="D23" s="239">
        <v>45602.551307870373</v>
      </c>
      <c r="E23" s="240">
        <v>101612.2</v>
      </c>
      <c r="F23" s="248">
        <v>5.7</v>
      </c>
      <c r="G23" s="249">
        <v>579189.54</v>
      </c>
      <c r="H23" s="250">
        <v>45602</v>
      </c>
      <c r="I23" s="250">
        <v>45602</v>
      </c>
      <c r="J23" s="245" t="s">
        <v>362</v>
      </c>
      <c r="K23" s="242">
        <v>322</v>
      </c>
      <c r="L23" s="243">
        <v>552577.31000000006</v>
      </c>
      <c r="M23" s="242">
        <v>5.4381000000000004</v>
      </c>
      <c r="N23" s="243">
        <f>G23-L23</f>
        <v>26612.229999999981</v>
      </c>
    </row>
    <row r="24" spans="2:22" ht="16" customHeight="1" x14ac:dyDescent="0.2">
      <c r="B24" s="238">
        <v>2024</v>
      </c>
      <c r="C24" s="247">
        <v>3320241215986</v>
      </c>
      <c r="D24" s="239">
        <v>45602.551307870373</v>
      </c>
      <c r="E24" s="240">
        <v>100490.47</v>
      </c>
      <c r="F24" s="248">
        <v>5.7</v>
      </c>
      <c r="G24" s="249">
        <v>572795.68000000005</v>
      </c>
      <c r="H24" s="250">
        <v>45602</v>
      </c>
      <c r="I24" s="250">
        <v>45602</v>
      </c>
      <c r="J24" s="245" t="s">
        <v>1</v>
      </c>
      <c r="K24" s="242">
        <v>288</v>
      </c>
      <c r="L24" s="243">
        <v>541488.21</v>
      </c>
      <c r="M24" s="242">
        <v>5.3884999999999996</v>
      </c>
      <c r="N24" s="243">
        <f>G24-L24</f>
        <v>31307.470000000088</v>
      </c>
    </row>
    <row r="25" spans="2:22" ht="16" customHeight="1" x14ac:dyDescent="0.2">
      <c r="B25" s="238">
        <v>2024</v>
      </c>
      <c r="C25" s="247">
        <v>332024757713</v>
      </c>
      <c r="D25" s="239">
        <v>45490.524618055555</v>
      </c>
      <c r="E25" s="240">
        <v>240723.20000000001</v>
      </c>
      <c r="F25" s="248">
        <v>5.46</v>
      </c>
      <c r="G25" s="249">
        <v>1314348.67</v>
      </c>
      <c r="H25" s="250">
        <v>45490</v>
      </c>
      <c r="I25" s="250">
        <v>45490</v>
      </c>
      <c r="J25" s="245" t="s">
        <v>1</v>
      </c>
      <c r="K25" s="242" t="s">
        <v>363</v>
      </c>
      <c r="L25" s="243">
        <f>L34+L35+L36</f>
        <v>1252954.3299999998</v>
      </c>
      <c r="M25" s="242">
        <v>5.0880999999999998</v>
      </c>
      <c r="N25" s="243">
        <f>G25-L25</f>
        <v>61394.340000000084</v>
      </c>
    </row>
    <row r="26" spans="2:22" ht="16" customHeight="1" x14ac:dyDescent="0.2">
      <c r="B26" s="238">
        <v>2024</v>
      </c>
      <c r="C26" s="247">
        <v>332024500052</v>
      </c>
      <c r="D26" s="239">
        <v>45425.706458333334</v>
      </c>
      <c r="E26" s="240">
        <v>84108.800000000003</v>
      </c>
      <c r="F26" s="248">
        <v>5.1379999999999999</v>
      </c>
      <c r="G26" s="249">
        <v>432151.01</v>
      </c>
      <c r="H26" s="250">
        <v>45427</v>
      </c>
      <c r="I26" s="250">
        <v>45427</v>
      </c>
      <c r="J26" s="245" t="s">
        <v>1</v>
      </c>
      <c r="K26" s="242">
        <v>274</v>
      </c>
      <c r="L26" s="243">
        <v>389977.69</v>
      </c>
      <c r="M26" s="242">
        <v>4.9801000000000002</v>
      </c>
      <c r="N26" s="243">
        <f>G26-L26</f>
        <v>42173.320000000007</v>
      </c>
    </row>
    <row r="27" spans="2:22" ht="16" customHeight="1" x14ac:dyDescent="0.2">
      <c r="B27" s="238">
        <v>2024</v>
      </c>
      <c r="C27" s="247">
        <v>332024154765</v>
      </c>
      <c r="D27" s="239">
        <v>45336.542430555557</v>
      </c>
      <c r="E27" s="244">
        <v>-1500</v>
      </c>
      <c r="F27" s="248">
        <v>5.0641999999999996</v>
      </c>
      <c r="G27" s="251">
        <v>-7596.3</v>
      </c>
      <c r="H27" s="250">
        <v>45336</v>
      </c>
      <c r="I27" s="250">
        <v>45336</v>
      </c>
      <c r="J27" s="245"/>
      <c r="K27" s="242"/>
      <c r="L27" s="243"/>
      <c r="M27" s="242"/>
      <c r="N27" s="242"/>
    </row>
    <row r="28" spans="2:22" ht="16" customHeight="1" x14ac:dyDescent="0.2">
      <c r="B28" s="238">
        <v>2025</v>
      </c>
      <c r="C28" s="247">
        <v>332025127966</v>
      </c>
      <c r="D28" s="239">
        <v>45688.625474537039</v>
      </c>
      <c r="E28" s="240">
        <v>25970</v>
      </c>
      <c r="F28" s="248">
        <v>5.8236999999999997</v>
      </c>
      <c r="G28" s="249">
        <v>151241.49</v>
      </c>
      <c r="H28" s="250">
        <v>45688</v>
      </c>
      <c r="I28" s="250">
        <v>45688</v>
      </c>
      <c r="J28" s="245" t="s">
        <v>364</v>
      </c>
      <c r="K28" s="242">
        <v>537</v>
      </c>
      <c r="L28" s="243">
        <v>444611.71</v>
      </c>
      <c r="M28" s="242">
        <v>6.1073000000000004</v>
      </c>
      <c r="N28" s="243">
        <f>G28-L28/4</f>
        <v>40088.562499999985</v>
      </c>
    </row>
    <row r="29" spans="2:22" ht="16" customHeight="1" x14ac:dyDescent="0.2">
      <c r="B29" s="238">
        <v>2025</v>
      </c>
      <c r="C29" s="247">
        <v>332025128264</v>
      </c>
      <c r="D29" s="239">
        <v>45688.625474537039</v>
      </c>
      <c r="E29" s="240">
        <v>149838.78</v>
      </c>
      <c r="F29" s="248">
        <v>5.8236999999999997</v>
      </c>
      <c r="G29" s="249">
        <v>872616.1</v>
      </c>
      <c r="H29" s="250">
        <v>45688</v>
      </c>
      <c r="I29" s="250">
        <v>45688</v>
      </c>
      <c r="J29" s="245" t="s">
        <v>365</v>
      </c>
      <c r="K29" s="242">
        <v>533</v>
      </c>
      <c r="L29" s="243">
        <v>646663.87</v>
      </c>
      <c r="M29" s="242">
        <v>6.165</v>
      </c>
      <c r="N29" s="243">
        <f>G29-L29</f>
        <v>225952.22999999998</v>
      </c>
    </row>
    <row r="30" spans="2:22" x14ac:dyDescent="0.2">
      <c r="B30" s="241"/>
      <c r="C30" s="241"/>
      <c r="D30" s="241"/>
      <c r="E30" s="246"/>
      <c r="F30" s="241"/>
      <c r="G30" s="241"/>
      <c r="H30" s="241"/>
      <c r="I30" s="241"/>
      <c r="J30" s="241"/>
      <c r="K30" s="241"/>
      <c r="L30" s="241"/>
      <c r="M30" s="242"/>
      <c r="N30" s="241"/>
      <c r="O30" s="241"/>
      <c r="P30" s="241"/>
      <c r="Q30" s="241"/>
      <c r="R30" s="241"/>
      <c r="S30" s="241"/>
      <c r="T30" s="241"/>
      <c r="U30" s="241"/>
      <c r="V30" s="241"/>
    </row>
    <row r="31" spans="2:22" x14ac:dyDescent="0.2">
      <c r="B31" s="241"/>
      <c r="C31" s="241"/>
      <c r="D31" s="241"/>
      <c r="E31" s="246"/>
      <c r="F31" s="241"/>
      <c r="G31" s="241"/>
      <c r="H31" s="241"/>
      <c r="I31" s="241"/>
      <c r="J31" s="241"/>
      <c r="K31" s="241"/>
      <c r="L31" s="241"/>
      <c r="M31" s="242"/>
      <c r="N31" s="241"/>
      <c r="O31" s="241"/>
      <c r="P31" s="241"/>
      <c r="Q31" s="241"/>
      <c r="R31" s="241"/>
      <c r="S31" s="241"/>
      <c r="T31" s="241"/>
      <c r="U31" s="241"/>
      <c r="V31" s="241"/>
    </row>
    <row r="32" spans="2:22" x14ac:dyDescent="0.2">
      <c r="B32" s="241"/>
      <c r="C32" s="241"/>
      <c r="D32" s="241"/>
      <c r="E32" s="246"/>
      <c r="F32" s="241"/>
      <c r="G32" s="241"/>
      <c r="H32" s="241"/>
      <c r="I32" s="241"/>
      <c r="J32" s="241"/>
      <c r="K32" s="241"/>
      <c r="L32" s="241"/>
      <c r="M32" s="242"/>
      <c r="N32" s="241"/>
      <c r="O32" s="241"/>
      <c r="P32" s="241"/>
      <c r="Q32" s="241"/>
      <c r="R32" s="241"/>
      <c r="S32" s="241"/>
      <c r="T32" s="241"/>
      <c r="U32" s="241"/>
      <c r="V32" s="241"/>
    </row>
    <row r="33" spans="2:18" x14ac:dyDescent="0.2">
      <c r="B33" s="241"/>
      <c r="C33" s="241"/>
      <c r="D33" s="241"/>
      <c r="E33" s="246"/>
      <c r="F33" s="241"/>
      <c r="G33" s="241"/>
      <c r="H33" s="241"/>
      <c r="I33" s="241"/>
      <c r="J33" s="241"/>
      <c r="K33" s="241"/>
      <c r="L33" s="241"/>
      <c r="M33" s="242"/>
      <c r="N33" s="241"/>
      <c r="O33" s="241"/>
      <c r="Q33" s="241"/>
      <c r="R33" s="241"/>
    </row>
    <row r="34" spans="2:18" x14ac:dyDescent="0.2">
      <c r="B34" s="241"/>
      <c r="C34" s="241"/>
      <c r="D34" s="241"/>
      <c r="E34" s="246"/>
      <c r="F34" s="241"/>
      <c r="G34" s="241"/>
      <c r="H34" s="241"/>
      <c r="I34" s="241"/>
      <c r="J34" s="241"/>
      <c r="K34" s="242">
        <v>283</v>
      </c>
      <c r="L34" s="242">
        <v>444105.6</v>
      </c>
      <c r="M34" s="242">
        <v>5.0880999999999998</v>
      </c>
      <c r="N34" s="243">
        <f>SUM(N21:N29)</f>
        <v>693010.01882976643</v>
      </c>
      <c r="O34" s="241"/>
      <c r="P34" s="241"/>
      <c r="Q34" s="241"/>
      <c r="R34" s="241"/>
    </row>
    <row r="35" spans="2:18" x14ac:dyDescent="0.2">
      <c r="B35" s="241"/>
      <c r="C35" s="241"/>
      <c r="D35" s="241"/>
      <c r="E35" s="246"/>
      <c r="F35" s="241"/>
      <c r="G35" s="241"/>
      <c r="H35" s="241"/>
      <c r="I35" s="241"/>
      <c r="J35" s="241"/>
      <c r="K35" s="242">
        <v>276</v>
      </c>
      <c r="L35" s="242">
        <v>418871.03999999998</v>
      </c>
      <c r="M35" s="242">
        <v>4.9801000000000002</v>
      </c>
      <c r="P35" s="241"/>
      <c r="Q35" s="241"/>
      <c r="R35" s="241"/>
    </row>
    <row r="36" spans="2:18" x14ac:dyDescent="0.2">
      <c r="B36" s="241"/>
      <c r="C36" s="241"/>
      <c r="D36" s="241"/>
      <c r="E36" s="246"/>
      <c r="F36" s="241"/>
      <c r="G36" s="241"/>
      <c r="H36" s="241"/>
      <c r="I36" s="241"/>
      <c r="J36" s="241"/>
      <c r="K36" s="242">
        <v>275</v>
      </c>
      <c r="L36" s="242">
        <v>389977.69</v>
      </c>
      <c r="M36" s="242">
        <v>4.9801000000000002</v>
      </c>
      <c r="P36" s="241"/>
      <c r="Q36" s="241"/>
      <c r="R36" s="241"/>
    </row>
    <row r="37" spans="2:18" x14ac:dyDescent="0.2">
      <c r="B37" s="241"/>
      <c r="C37" s="241"/>
      <c r="D37" s="241"/>
      <c r="E37" s="246"/>
      <c r="F37" s="241"/>
      <c r="G37" s="241"/>
      <c r="H37" s="241"/>
      <c r="I37" s="241"/>
      <c r="J37" s="241"/>
      <c r="K37" s="242">
        <v>274</v>
      </c>
      <c r="L37" s="242">
        <v>389977.69</v>
      </c>
      <c r="M37" s="242">
        <v>4.9801000000000002</v>
      </c>
      <c r="P37" s="241"/>
      <c r="Q37" s="241"/>
      <c r="R37" s="241"/>
    </row>
    <row r="38" spans="2:18" x14ac:dyDescent="0.2">
      <c r="B38" s="241"/>
      <c r="C38" s="241"/>
      <c r="D38" s="241"/>
      <c r="E38" s="246"/>
      <c r="F38" s="241"/>
      <c r="G38" s="241"/>
      <c r="H38" s="241"/>
      <c r="I38" s="241"/>
      <c r="J38" s="241"/>
      <c r="K38" s="241"/>
      <c r="L38" s="241"/>
      <c r="P38" s="241"/>
      <c r="Q38" s="241"/>
      <c r="R38" s="241"/>
    </row>
    <row r="39" spans="2:18" x14ac:dyDescent="0.2">
      <c r="D39" s="223"/>
      <c r="E39" s="223"/>
      <c r="F39" s="223"/>
      <c r="G39" s="224"/>
      <c r="H39" s="222"/>
      <c r="I39" s="223"/>
      <c r="J39" s="223"/>
    </row>
    <row r="40" spans="2:18" x14ac:dyDescent="0.2">
      <c r="D40" s="223"/>
      <c r="E40" s="223"/>
      <c r="F40" s="223"/>
      <c r="G40" s="224"/>
      <c r="H40" s="222"/>
      <c r="I40" s="223"/>
      <c r="J40" s="223"/>
    </row>
    <row r="41" spans="2:18" x14ac:dyDescent="0.2">
      <c r="D41" s="223"/>
      <c r="E41" s="223"/>
      <c r="F41" s="223"/>
      <c r="G41" s="224"/>
      <c r="H41" s="222"/>
      <c r="I41" s="223"/>
      <c r="J41" s="223"/>
    </row>
    <row r="42" spans="2:18" x14ac:dyDescent="0.2">
      <c r="D42" s="223"/>
      <c r="E42" s="223"/>
      <c r="F42" s="223"/>
      <c r="G42" s="224"/>
      <c r="H42" s="222"/>
      <c r="I42" s="223"/>
      <c r="J42" s="223"/>
    </row>
    <row r="43" spans="2:18" x14ac:dyDescent="0.2">
      <c r="D43" s="223"/>
      <c r="E43" s="223"/>
      <c r="F43" s="223"/>
      <c r="G43" s="224"/>
      <c r="H43" s="222"/>
      <c r="I43" s="223"/>
      <c r="J43" s="223"/>
    </row>
    <row r="44" spans="2:18" x14ac:dyDescent="0.2">
      <c r="D44" s="223"/>
      <c r="E44" s="223"/>
      <c r="F44" s="223"/>
      <c r="G44" s="224"/>
      <c r="H44" s="222"/>
      <c r="I44" s="223"/>
      <c r="J44" s="223"/>
    </row>
  </sheetData>
  <pageMargins left="0.7" right="0.7" top="0.75" bottom="0.75" header="0.3" footer="0.3"/>
  <pageSetup paperSize="9" orientation="portrait" horizontalDpi="0" verticalDpi="0"/>
  <ignoredErrors>
    <ignoredError sqref="N22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6C3DD-8F81-F646-820C-FF3C9AF16666}">
  <sheetPr codeName="Sheet4">
    <pageSetUpPr fitToPage="1"/>
  </sheetPr>
  <dimension ref="A2:AD189"/>
  <sheetViews>
    <sheetView zoomScale="71" zoomScaleNormal="70" workbookViewId="0">
      <selection activeCell="B41" sqref="B41"/>
    </sheetView>
  </sheetViews>
  <sheetFormatPr baseColWidth="10" defaultRowHeight="14" x14ac:dyDescent="0.2"/>
  <cols>
    <col min="1" max="1" width="10.83203125" style="9"/>
    <col min="2" max="2" width="18.1640625" style="9" customWidth="1"/>
    <col min="3" max="3" width="12.1640625" style="10" customWidth="1"/>
    <col min="4" max="4" width="15.6640625" style="9" customWidth="1"/>
    <col min="5" max="5" width="12.6640625" style="9" customWidth="1"/>
    <col min="6" max="6" width="15.33203125" style="9" customWidth="1"/>
    <col min="7" max="7" width="14.1640625" style="9" customWidth="1"/>
    <col min="8" max="8" width="11.5" style="9" customWidth="1"/>
    <col min="9" max="9" width="20" style="9" customWidth="1"/>
    <col min="10" max="10" width="14.5" style="9" customWidth="1"/>
    <col min="11" max="11" width="11.5" style="9" customWidth="1"/>
    <col min="12" max="12" width="19.1640625" style="9" customWidth="1"/>
    <col min="13" max="13" width="15" style="9" customWidth="1"/>
    <col min="14" max="16" width="11.5" style="9" customWidth="1"/>
    <col min="17" max="17" width="10.83203125" style="9" customWidth="1"/>
    <col min="18" max="27" width="10.83203125" style="9"/>
    <col min="28" max="28" width="13.83203125" style="9" customWidth="1"/>
    <col min="29" max="29" width="10.83203125" style="9"/>
    <col min="30" max="30" width="23.5" style="9" customWidth="1"/>
    <col min="31" max="16384" width="10.83203125" style="9"/>
  </cols>
  <sheetData>
    <row r="2" spans="2:30" x14ac:dyDescent="0.2">
      <c r="J2" s="6"/>
      <c r="K2" s="6"/>
      <c r="L2" s="6"/>
    </row>
    <row r="3" spans="2:30" x14ac:dyDescent="0.2">
      <c r="L3" s="291" t="s">
        <v>97</v>
      </c>
      <c r="M3" s="172"/>
      <c r="N3" s="172"/>
      <c r="O3" s="172"/>
      <c r="P3" s="292" t="s">
        <v>36</v>
      </c>
      <c r="Q3" s="119">
        <v>5.9</v>
      </c>
      <c r="R3" s="172"/>
      <c r="S3" s="172"/>
      <c r="T3" s="172"/>
      <c r="U3" s="172"/>
      <c r="V3" s="172"/>
      <c r="W3" s="172"/>
      <c r="X3" s="172"/>
      <c r="Y3" s="172"/>
      <c r="Z3" s="172"/>
      <c r="AA3" s="172"/>
      <c r="AB3" s="172"/>
      <c r="AC3" s="293" t="s">
        <v>96</v>
      </c>
      <c r="AD3" s="294">
        <v>45713</v>
      </c>
    </row>
    <row r="4" spans="2:30" x14ac:dyDescent="0.2">
      <c r="H4" s="103"/>
      <c r="L4" s="172"/>
      <c r="M4" s="172"/>
      <c r="N4" s="172"/>
      <c r="O4" s="172"/>
      <c r="P4" s="172"/>
      <c r="Q4" s="172"/>
      <c r="R4" s="172"/>
      <c r="S4" s="172"/>
      <c r="T4" s="172"/>
      <c r="U4" s="172"/>
      <c r="V4" s="295"/>
      <c r="W4" s="295"/>
      <c r="X4" s="172"/>
      <c r="Y4" s="172"/>
      <c r="Z4" s="172"/>
      <c r="AA4" s="172"/>
      <c r="AB4" s="172"/>
      <c r="AC4" s="172"/>
      <c r="AD4" s="172"/>
    </row>
    <row r="5" spans="2:30" x14ac:dyDescent="0.2">
      <c r="H5" s="100"/>
      <c r="L5" s="296" t="s">
        <v>30</v>
      </c>
      <c r="M5" s="297">
        <v>45717</v>
      </c>
      <c r="N5" s="297">
        <v>45778</v>
      </c>
      <c r="O5" s="297">
        <v>45839</v>
      </c>
      <c r="P5" s="297">
        <v>45901</v>
      </c>
      <c r="Q5" s="297">
        <v>45992</v>
      </c>
      <c r="R5" s="298"/>
      <c r="S5" s="295"/>
      <c r="T5" s="172"/>
      <c r="U5" s="172"/>
      <c r="V5" s="172"/>
      <c r="W5" s="172"/>
      <c r="X5" s="172"/>
      <c r="Y5" s="172"/>
      <c r="Z5" s="172"/>
      <c r="AA5" s="172"/>
      <c r="AB5" s="172"/>
      <c r="AC5" s="172"/>
      <c r="AD5" s="172"/>
    </row>
    <row r="6" spans="2:30" x14ac:dyDescent="0.2">
      <c r="H6" s="11"/>
      <c r="L6" s="298" t="s">
        <v>37</v>
      </c>
      <c r="M6" s="299">
        <v>392.7</v>
      </c>
      <c r="N6" s="299">
        <v>386.65</v>
      </c>
      <c r="O6" s="299">
        <v>378.2</v>
      </c>
      <c r="P6" s="299">
        <v>369.4</v>
      </c>
      <c r="Q6" s="299">
        <v>357.75</v>
      </c>
      <c r="R6" s="101"/>
      <c r="S6" s="299"/>
      <c r="T6" s="300"/>
      <c r="U6" s="172"/>
      <c r="V6" s="172"/>
      <c r="W6" s="172"/>
      <c r="X6" s="172"/>
      <c r="Y6" s="172"/>
      <c r="Z6" s="172"/>
      <c r="AA6" s="172"/>
      <c r="AB6" s="172"/>
      <c r="AC6" s="172"/>
      <c r="AD6" s="172"/>
    </row>
    <row r="7" spans="2:30" x14ac:dyDescent="0.2">
      <c r="L7" s="301" t="s">
        <v>91</v>
      </c>
      <c r="M7" s="302">
        <f>M6*$J$51</f>
        <v>519.46356000000003</v>
      </c>
      <c r="N7" s="302">
        <f>N6*$J$51</f>
        <v>511.46061999999995</v>
      </c>
      <c r="O7" s="302">
        <f>O6*$J$51</f>
        <v>500.28296</v>
      </c>
      <c r="P7" s="302">
        <f>P6*$J$51</f>
        <v>488.64231999999998</v>
      </c>
      <c r="Q7" s="302">
        <f>Q6*$J$51</f>
        <v>473.23169999999999</v>
      </c>
      <c r="R7" s="101"/>
      <c r="S7" s="303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</row>
    <row r="8" spans="2:30" x14ac:dyDescent="0.2">
      <c r="L8" s="304">
        <v>45677</v>
      </c>
      <c r="M8" s="305">
        <v>319.14</v>
      </c>
      <c r="N8" s="305">
        <v>316.05</v>
      </c>
      <c r="O8" s="305">
        <v>310.64999999999998</v>
      </c>
      <c r="P8" s="305">
        <v>304.2</v>
      </c>
      <c r="Q8" s="305">
        <v>290.25</v>
      </c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</row>
    <row r="9" spans="2:30" x14ac:dyDescent="0.2">
      <c r="D9" s="10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</row>
    <row r="10" spans="2:30" x14ac:dyDescent="0.2">
      <c r="C10" s="35"/>
      <c r="D10" s="35"/>
      <c r="K10" s="49"/>
      <c r="L10" s="306"/>
      <c r="M10" s="306"/>
      <c r="N10" s="306"/>
      <c r="O10" s="306"/>
      <c r="P10" s="306"/>
      <c r="Q10" s="306"/>
      <c r="R10" s="306"/>
      <c r="S10" s="306"/>
      <c r="T10" s="306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</row>
    <row r="11" spans="2:30" ht="21" customHeight="1" x14ac:dyDescent="0.2">
      <c r="B11" s="12" t="s">
        <v>88</v>
      </c>
      <c r="C11" s="8" t="s">
        <v>14</v>
      </c>
      <c r="D11" s="8" t="s">
        <v>137</v>
      </c>
      <c r="E11" s="8" t="s">
        <v>47</v>
      </c>
      <c r="F11" s="8" t="s">
        <v>138</v>
      </c>
      <c r="G11" s="8" t="s">
        <v>47</v>
      </c>
      <c r="L11" s="307" t="s">
        <v>88</v>
      </c>
      <c r="M11" s="307" t="str">
        <f>D11</f>
        <v>Receita Bruta (U$)</v>
      </c>
      <c r="N11" s="308">
        <v>45536</v>
      </c>
      <c r="O11" s="308">
        <v>45566</v>
      </c>
      <c r="P11" s="308">
        <v>45597</v>
      </c>
      <c r="Q11" s="308">
        <v>45627</v>
      </c>
      <c r="R11" s="308">
        <v>45658</v>
      </c>
      <c r="S11" s="308">
        <v>45689</v>
      </c>
      <c r="T11" s="308">
        <v>45717</v>
      </c>
      <c r="U11" s="308">
        <v>45748</v>
      </c>
      <c r="V11" s="308">
        <v>45778</v>
      </c>
      <c r="W11" s="308">
        <v>45809</v>
      </c>
      <c r="X11" s="308" t="s">
        <v>29</v>
      </c>
      <c r="Y11" s="172"/>
      <c r="Z11" s="336" t="s">
        <v>427</v>
      </c>
      <c r="AA11" s="336"/>
      <c r="AB11" s="336"/>
      <c r="AC11" s="336"/>
      <c r="AD11" s="336"/>
    </row>
    <row r="12" spans="2:30" ht="21" customHeight="1" x14ac:dyDescent="0.2">
      <c r="B12" s="106" t="s">
        <v>81</v>
      </c>
      <c r="C12" s="107"/>
      <c r="D12" s="107"/>
      <c r="E12" s="107"/>
      <c r="F12" s="107"/>
      <c r="G12" s="107"/>
      <c r="L12" s="309" t="s">
        <v>81</v>
      </c>
      <c r="M12" s="310"/>
      <c r="N12" s="310"/>
      <c r="O12" s="310"/>
      <c r="P12" s="310"/>
      <c r="Q12" s="310"/>
      <c r="R12" s="311"/>
      <c r="S12" s="312"/>
      <c r="T12" s="311"/>
      <c r="U12" s="313"/>
      <c r="V12" s="313"/>
      <c r="W12" s="313"/>
      <c r="X12" s="311"/>
      <c r="Y12" s="172"/>
      <c r="Z12" s="172"/>
      <c r="AA12" s="172"/>
      <c r="AB12" s="172"/>
      <c r="AC12" s="172"/>
      <c r="AD12" s="172"/>
    </row>
    <row r="13" spans="2:30" ht="21" customHeight="1" x14ac:dyDescent="0.2">
      <c r="B13" s="9" t="s">
        <v>1</v>
      </c>
      <c r="C13" s="14">
        <f>SUMIFS(D$52:D$114,$B$52:$B$114,B13)</f>
        <v>3840</v>
      </c>
      <c r="D13" s="14">
        <f>SUM(N13:X13)</f>
        <v>1639128.5296</v>
      </c>
      <c r="E13" s="14">
        <f>D13/C13</f>
        <v>426.85638791666668</v>
      </c>
      <c r="F13" s="14">
        <f>AB67</f>
        <v>1277172.9241599997</v>
      </c>
      <c r="G13" s="14">
        <f>F13/C13</f>
        <v>332.59711566666658</v>
      </c>
      <c r="L13" s="172" t="str">
        <f>B13</f>
        <v>Unroasted</v>
      </c>
      <c r="M13" s="174">
        <f>SUM(N13:X13)</f>
        <v>1639128.5296</v>
      </c>
      <c r="N13" s="174">
        <f>N67</f>
        <v>0</v>
      </c>
      <c r="O13" s="174">
        <f>O67</f>
        <v>0</v>
      </c>
      <c r="P13" s="174">
        <f>P67</f>
        <v>0</v>
      </c>
      <c r="Q13" s="174">
        <f>342869.76</f>
        <v>342869.76000000001</v>
      </c>
      <c r="R13" s="174">
        <f>R67-11365</f>
        <v>111073.368</v>
      </c>
      <c r="S13" s="174">
        <f>S67</f>
        <v>432502.68799999997</v>
      </c>
      <c r="T13" s="174">
        <f t="shared" ref="T13:X13" si="0">T67</f>
        <v>298000.38399999996</v>
      </c>
      <c r="U13" s="174">
        <v>58478</v>
      </c>
      <c r="V13" s="174">
        <f>V67-V61+65462</f>
        <v>396204.32960000006</v>
      </c>
      <c r="W13" s="174">
        <f t="shared" si="0"/>
        <v>0</v>
      </c>
      <c r="X13" s="174">
        <f t="shared" si="0"/>
        <v>0</v>
      </c>
      <c r="Y13" s="172"/>
      <c r="Z13" s="172" t="s">
        <v>435</v>
      </c>
      <c r="AA13" s="172"/>
      <c r="AB13" s="172"/>
      <c r="AC13" s="172"/>
      <c r="AD13" s="172"/>
    </row>
    <row r="14" spans="2:30" ht="21" customHeight="1" x14ac:dyDescent="0.2">
      <c r="B14" s="15" t="s">
        <v>23</v>
      </c>
      <c r="C14" s="16">
        <f>SUMIFS(D$52:D$114,$B$52:$B$114,B14)</f>
        <v>640</v>
      </c>
      <c r="D14" s="16">
        <f>SUM(N14:X14)</f>
        <v>208000</v>
      </c>
      <c r="E14" s="16">
        <f>D14/C14</f>
        <v>325</v>
      </c>
      <c r="F14" s="16">
        <f>AB71</f>
        <v>208000</v>
      </c>
      <c r="G14" s="16">
        <f>F14/C14</f>
        <v>325</v>
      </c>
      <c r="L14" s="176" t="str">
        <f>B14</f>
        <v>Southland</v>
      </c>
      <c r="M14" s="177">
        <f>SUM(N14:X14)</f>
        <v>208000</v>
      </c>
      <c r="N14" s="177">
        <f t="shared" ref="N14:X14" si="1">N71</f>
        <v>0</v>
      </c>
      <c r="O14" s="177">
        <f t="shared" si="1"/>
        <v>0</v>
      </c>
      <c r="P14" s="177">
        <f t="shared" si="1"/>
        <v>0</v>
      </c>
      <c r="Q14" s="177">
        <f t="shared" si="1"/>
        <v>0</v>
      </c>
      <c r="R14" s="177">
        <f t="shared" si="1"/>
        <v>26000</v>
      </c>
      <c r="S14" s="177">
        <f t="shared" si="1"/>
        <v>52000</v>
      </c>
      <c r="T14" s="177">
        <f t="shared" si="1"/>
        <v>52000</v>
      </c>
      <c r="U14" s="177">
        <f t="shared" si="1"/>
        <v>52000</v>
      </c>
      <c r="V14" s="177">
        <f t="shared" si="1"/>
        <v>26000</v>
      </c>
      <c r="W14" s="177">
        <f t="shared" si="1"/>
        <v>0</v>
      </c>
      <c r="X14" s="177">
        <f t="shared" si="1"/>
        <v>0</v>
      </c>
      <c r="Y14" s="172"/>
      <c r="Z14" s="172"/>
      <c r="AA14" s="172"/>
      <c r="AB14" s="172"/>
      <c r="AC14" s="172"/>
      <c r="AD14" s="172"/>
    </row>
    <row r="15" spans="2:30" ht="21" customHeight="1" x14ac:dyDescent="0.2">
      <c r="B15" s="9" t="s">
        <v>203</v>
      </c>
      <c r="C15" s="14">
        <f>SUMIFS(D$52:D$114,$B$52:$B$114,B15)</f>
        <v>320</v>
      </c>
      <c r="D15" s="14">
        <f>SUM(N15:X15)</f>
        <v>149846.78399999999</v>
      </c>
      <c r="E15" s="14">
        <f>D15/C15</f>
        <v>468.27119999999996</v>
      </c>
      <c r="F15" s="14">
        <f>AB74</f>
        <v>134862.10560000001</v>
      </c>
      <c r="G15" s="14">
        <f>F15/C15</f>
        <v>421.44408000000004</v>
      </c>
      <c r="L15" s="172" t="str">
        <f>B15</f>
        <v>Xorxios</v>
      </c>
      <c r="M15" s="174">
        <f>SUM(N15:X15)</f>
        <v>149846.78399999999</v>
      </c>
      <c r="N15" s="174">
        <f t="shared" ref="N15:X15" si="2">N74</f>
        <v>0</v>
      </c>
      <c r="O15" s="174">
        <f t="shared" si="2"/>
        <v>0</v>
      </c>
      <c r="P15" s="174">
        <f t="shared" si="2"/>
        <v>0</v>
      </c>
      <c r="Q15" s="174">
        <f t="shared" si="2"/>
        <v>0</v>
      </c>
      <c r="R15" s="174">
        <f t="shared" si="2"/>
        <v>149846.78399999999</v>
      </c>
      <c r="S15" s="174">
        <f t="shared" si="2"/>
        <v>0</v>
      </c>
      <c r="T15" s="174">
        <f t="shared" si="2"/>
        <v>0</v>
      </c>
      <c r="U15" s="174">
        <f t="shared" si="2"/>
        <v>0</v>
      </c>
      <c r="V15" s="174">
        <f t="shared" si="2"/>
        <v>0</v>
      </c>
      <c r="W15" s="174">
        <f t="shared" si="2"/>
        <v>0</v>
      </c>
      <c r="X15" s="174">
        <f t="shared" si="2"/>
        <v>0</v>
      </c>
      <c r="Y15" s="172"/>
      <c r="Z15" s="172"/>
      <c r="AA15" s="172"/>
      <c r="AB15" s="172"/>
      <c r="AC15" s="172"/>
      <c r="AD15" s="172"/>
    </row>
    <row r="16" spans="2:30" ht="21" customHeight="1" x14ac:dyDescent="0.2">
      <c r="B16" s="15" t="s">
        <v>89</v>
      </c>
      <c r="C16" s="16">
        <f>SUMIFS(D$52:D$114,$B$52:$B$114,B16)</f>
        <v>1463</v>
      </c>
      <c r="D16" s="16">
        <f>SUM(N16:X16)</f>
        <v>555545.23</v>
      </c>
      <c r="E16" s="16">
        <f>D16/C16</f>
        <v>379.73016404647984</v>
      </c>
      <c r="F16" s="16">
        <f>AB81</f>
        <v>560728.02</v>
      </c>
      <c r="G16" s="16">
        <f>F16/C16</f>
        <v>383.27274094326725</v>
      </c>
      <c r="L16" s="176" t="str">
        <f>B16</f>
        <v>Emporia GMBH</v>
      </c>
      <c r="M16" s="177">
        <f>SUM(N16:X16)</f>
        <v>555545.23</v>
      </c>
      <c r="N16" s="177">
        <f>N81</f>
        <v>53224.18</v>
      </c>
      <c r="O16" s="177">
        <f t="shared" ref="O16:X16" si="3">O81</f>
        <v>0</v>
      </c>
      <c r="P16" s="177">
        <f t="shared" si="3"/>
        <v>30300</v>
      </c>
      <c r="Q16" s="177">
        <f t="shared" si="3"/>
        <v>0</v>
      </c>
      <c r="R16" s="177">
        <f t="shared" si="3"/>
        <v>0</v>
      </c>
      <c r="S16" s="177">
        <f t="shared" si="3"/>
        <v>50000</v>
      </c>
      <c r="T16" s="177">
        <f t="shared" si="3"/>
        <v>54576</v>
      </c>
      <c r="U16" s="177">
        <f t="shared" si="3"/>
        <v>0</v>
      </c>
      <c r="V16" s="177">
        <f t="shared" si="3"/>
        <v>367445.05</v>
      </c>
      <c r="W16" s="177">
        <f t="shared" si="3"/>
        <v>0</v>
      </c>
      <c r="X16" s="177">
        <f t="shared" si="3"/>
        <v>0</v>
      </c>
      <c r="Y16" s="172"/>
      <c r="Z16" s="172" t="s">
        <v>426</v>
      </c>
      <c r="AA16" s="172"/>
      <c r="AB16" s="172"/>
      <c r="AC16" s="172"/>
      <c r="AD16" s="172"/>
    </row>
    <row r="17" spans="2:30" ht="21" customHeight="1" x14ac:dyDescent="0.2">
      <c r="B17" s="3" t="s">
        <v>31</v>
      </c>
      <c r="C17" s="7">
        <f>SUM(C13:C16)</f>
        <v>6263</v>
      </c>
      <c r="D17" s="7">
        <f>SUM(D13:D16)</f>
        <v>2552520.5436</v>
      </c>
      <c r="E17" s="7">
        <f>D17/C17</f>
        <v>407.55557138751396</v>
      </c>
      <c r="F17" s="7">
        <f>SUM(F13:F16)</f>
        <v>2180763.0497599998</v>
      </c>
      <c r="G17" s="7">
        <f>F17/C17</f>
        <v>348.19783646175949</v>
      </c>
      <c r="L17" s="314" t="s">
        <v>31</v>
      </c>
      <c r="M17" s="315">
        <f>SUM(N17:X17)</f>
        <v>2552520.5436</v>
      </c>
      <c r="N17" s="315">
        <f>SUM(N13:N16)</f>
        <v>53224.18</v>
      </c>
      <c r="O17" s="315">
        <f>SUM(O13:O16)</f>
        <v>0</v>
      </c>
      <c r="P17" s="315">
        <f>SUM(P13:P16)</f>
        <v>30300</v>
      </c>
      <c r="Q17" s="315">
        <f t="shared" ref="Q17:X17" si="4">SUM(Q13:Q16)</f>
        <v>342869.76000000001</v>
      </c>
      <c r="R17" s="315">
        <f t="shared" si="4"/>
        <v>286920.152</v>
      </c>
      <c r="S17" s="315">
        <f t="shared" si="4"/>
        <v>534502.68799999997</v>
      </c>
      <c r="T17" s="315">
        <f t="shared" si="4"/>
        <v>404576.38399999996</v>
      </c>
      <c r="U17" s="315">
        <f t="shared" si="4"/>
        <v>110478</v>
      </c>
      <c r="V17" s="315">
        <f t="shared" si="4"/>
        <v>789649.3796000001</v>
      </c>
      <c r="W17" s="315">
        <f t="shared" si="4"/>
        <v>0</v>
      </c>
      <c r="X17" s="315">
        <f t="shared" si="4"/>
        <v>0</v>
      </c>
      <c r="Y17" s="172"/>
      <c r="Z17" s="172"/>
      <c r="AA17" s="172"/>
      <c r="AB17" s="172"/>
      <c r="AC17" s="172"/>
      <c r="AD17" s="172"/>
    </row>
    <row r="18" spans="2:30" ht="21" customHeight="1" x14ac:dyDescent="0.2">
      <c r="B18" s="118" t="s">
        <v>312</v>
      </c>
      <c r="C18" s="14"/>
      <c r="D18" s="14"/>
      <c r="E18" s="14"/>
      <c r="F18" s="31"/>
      <c r="G18" s="14"/>
      <c r="L18" s="172"/>
      <c r="M18" s="174"/>
      <c r="N18" s="174"/>
      <c r="O18" s="174"/>
      <c r="P18" s="174"/>
      <c r="Q18" s="174"/>
      <c r="R18" s="201"/>
      <c r="S18" s="316"/>
      <c r="T18" s="174"/>
      <c r="U18" s="174"/>
      <c r="V18" s="174"/>
      <c r="W18" s="174"/>
      <c r="X18" s="174"/>
      <c r="Y18" s="172"/>
      <c r="Z18" s="172"/>
      <c r="AA18" s="172"/>
      <c r="AB18" s="172"/>
      <c r="AC18" s="172"/>
      <c r="AD18" s="172"/>
    </row>
    <row r="19" spans="2:30" ht="21" customHeight="1" x14ac:dyDescent="0.2">
      <c r="C19" s="14"/>
      <c r="D19" s="14"/>
      <c r="E19" s="14"/>
      <c r="F19" s="14"/>
      <c r="G19" s="14"/>
      <c r="L19" s="172"/>
      <c r="M19" s="174"/>
      <c r="N19" s="174"/>
      <c r="O19" s="174"/>
      <c r="P19" s="174"/>
      <c r="Q19" s="174"/>
      <c r="R19" s="174"/>
      <c r="S19" s="201"/>
      <c r="T19" s="174"/>
      <c r="U19" s="174"/>
      <c r="V19" s="174"/>
      <c r="W19" s="174"/>
      <c r="X19" s="174"/>
      <c r="Y19" s="172"/>
      <c r="Z19" s="172"/>
      <c r="AA19" s="172"/>
      <c r="AB19" s="172"/>
      <c r="AC19" s="172"/>
      <c r="AD19" s="172"/>
    </row>
    <row r="20" spans="2:30" ht="21" customHeight="1" x14ac:dyDescent="0.2">
      <c r="B20" s="108" t="s">
        <v>88</v>
      </c>
      <c r="C20" s="109" t="s">
        <v>14</v>
      </c>
      <c r="D20" s="109" t="s">
        <v>153</v>
      </c>
      <c r="E20" s="109" t="s">
        <v>154</v>
      </c>
      <c r="F20" s="109" t="s">
        <v>155</v>
      </c>
      <c r="G20" s="109" t="s">
        <v>154</v>
      </c>
      <c r="L20" s="317" t="s">
        <v>88</v>
      </c>
      <c r="M20" s="317" t="str">
        <f>D20</f>
        <v>Receita Bruta (R$)</v>
      </c>
      <c r="N20" s="318">
        <f>N11</f>
        <v>45536</v>
      </c>
      <c r="O20" s="318">
        <f t="shared" ref="O20:W20" si="5">O11</f>
        <v>45566</v>
      </c>
      <c r="P20" s="318">
        <f t="shared" si="5"/>
        <v>45597</v>
      </c>
      <c r="Q20" s="318">
        <f t="shared" si="5"/>
        <v>45627</v>
      </c>
      <c r="R20" s="318">
        <f t="shared" si="5"/>
        <v>45658</v>
      </c>
      <c r="S20" s="318">
        <f t="shared" si="5"/>
        <v>45689</v>
      </c>
      <c r="T20" s="318">
        <f t="shared" si="5"/>
        <v>45717</v>
      </c>
      <c r="U20" s="318">
        <f t="shared" si="5"/>
        <v>45748</v>
      </c>
      <c r="V20" s="318">
        <f t="shared" si="5"/>
        <v>45778</v>
      </c>
      <c r="W20" s="318">
        <f t="shared" si="5"/>
        <v>45809</v>
      </c>
      <c r="X20" s="318" t="s">
        <v>29</v>
      </c>
      <c r="Y20" s="172"/>
      <c r="Z20" s="337" t="str">
        <f>Z11</f>
        <v>Mudanças na semana</v>
      </c>
      <c r="AA20" s="337"/>
      <c r="AB20" s="337"/>
      <c r="AC20" s="337"/>
      <c r="AD20" s="337"/>
    </row>
    <row r="21" spans="2:30" ht="21" customHeight="1" x14ac:dyDescent="0.2">
      <c r="B21" s="106" t="s">
        <v>152</v>
      </c>
      <c r="C21" s="107"/>
      <c r="D21" s="107"/>
      <c r="E21" s="107"/>
      <c r="F21" s="107"/>
      <c r="G21" s="107"/>
      <c r="L21" s="309" t="str">
        <f t="shared" ref="L21:L26" si="6">B21</f>
        <v>Mercado Interno</v>
      </c>
      <c r="M21" s="310"/>
      <c r="N21" s="310"/>
      <c r="O21" s="310"/>
      <c r="P21" s="310"/>
      <c r="Q21" s="310"/>
      <c r="R21" s="311"/>
      <c r="S21" s="311"/>
      <c r="T21" s="311"/>
      <c r="U21" s="311"/>
      <c r="V21" s="311"/>
      <c r="W21" s="311"/>
      <c r="X21" s="311"/>
      <c r="Y21" s="172"/>
      <c r="Z21" s="172"/>
      <c r="AA21" s="172"/>
      <c r="AB21" s="172"/>
      <c r="AC21" s="172"/>
      <c r="AD21" s="172"/>
    </row>
    <row r="22" spans="2:30" ht="21" customHeight="1" x14ac:dyDescent="0.2">
      <c r="B22" s="15" t="s">
        <v>52</v>
      </c>
      <c r="C22" s="16">
        <f t="shared" ref="C22:C27" si="7">SUMIFS(D$52:D$114,$B$52:$B$114,B22)</f>
        <v>8</v>
      </c>
      <c r="D22" s="16">
        <f t="shared" ref="D22:D27" si="8">SUM(N22:X22)</f>
        <v>18548</v>
      </c>
      <c r="E22" s="16">
        <f t="shared" ref="E22:E34" si="9">D22/C22</f>
        <v>2318.5</v>
      </c>
      <c r="F22" s="16">
        <f>AB88</f>
        <v>18269.78</v>
      </c>
      <c r="G22" s="16">
        <f t="shared" ref="G22:G28" si="10">F22/C22</f>
        <v>2283.7224999999999</v>
      </c>
      <c r="L22" s="176" t="str">
        <f t="shared" si="6"/>
        <v>Los Baristas</v>
      </c>
      <c r="M22" s="177">
        <f t="shared" ref="M22:M28" si="11">SUM(N22:X22)</f>
        <v>18548</v>
      </c>
      <c r="N22" s="177">
        <f t="shared" ref="N22:Q22" si="12">N88</f>
        <v>0</v>
      </c>
      <c r="O22" s="177">
        <f t="shared" si="12"/>
        <v>0</v>
      </c>
      <c r="P22" s="177">
        <f t="shared" si="12"/>
        <v>0</v>
      </c>
      <c r="Q22" s="177">
        <f t="shared" si="12"/>
        <v>4637</v>
      </c>
      <c r="R22" s="177">
        <f t="shared" ref="R22:X22" si="13">R88</f>
        <v>4637</v>
      </c>
      <c r="S22" s="177">
        <f t="shared" si="13"/>
        <v>4637</v>
      </c>
      <c r="T22" s="177">
        <f t="shared" si="13"/>
        <v>4637</v>
      </c>
      <c r="U22" s="177">
        <f t="shared" si="13"/>
        <v>0</v>
      </c>
      <c r="V22" s="177">
        <f t="shared" si="13"/>
        <v>0</v>
      </c>
      <c r="W22" s="177">
        <f t="shared" si="13"/>
        <v>0</v>
      </c>
      <c r="X22" s="177">
        <f t="shared" si="13"/>
        <v>0</v>
      </c>
      <c r="Y22" s="172"/>
      <c r="Z22" s="172"/>
      <c r="AA22" s="172"/>
      <c r="AB22" s="172"/>
      <c r="AC22" s="172"/>
      <c r="AD22" s="172"/>
    </row>
    <row r="23" spans="2:30" ht="21" customHeight="1" x14ac:dyDescent="0.2">
      <c r="B23" s="9" t="s">
        <v>66</v>
      </c>
      <c r="C23" s="14">
        <f t="shared" si="7"/>
        <v>500</v>
      </c>
      <c r="D23" s="14">
        <f t="shared" si="8"/>
        <v>1052500</v>
      </c>
      <c r="E23" s="14">
        <f t="shared" si="9"/>
        <v>2105</v>
      </c>
      <c r="F23" s="14">
        <f>AB91</f>
        <v>1036712.5</v>
      </c>
      <c r="G23" s="14">
        <f t="shared" si="10"/>
        <v>2073.4250000000002</v>
      </c>
      <c r="L23" s="172" t="str">
        <f t="shared" si="6"/>
        <v>Louis Dreyfus</v>
      </c>
      <c r="M23" s="174">
        <f t="shared" si="11"/>
        <v>1052500</v>
      </c>
      <c r="N23" s="174">
        <f t="shared" ref="N23:Q23" si="14">N91</f>
        <v>0</v>
      </c>
      <c r="O23" s="174">
        <f t="shared" si="14"/>
        <v>0</v>
      </c>
      <c r="P23" s="174">
        <f t="shared" si="14"/>
        <v>0</v>
      </c>
      <c r="Q23" s="174">
        <f t="shared" si="14"/>
        <v>1052500</v>
      </c>
      <c r="R23" s="174">
        <f t="shared" ref="R23:X23" si="15">R91</f>
        <v>0</v>
      </c>
      <c r="S23" s="174">
        <f t="shared" si="15"/>
        <v>0</v>
      </c>
      <c r="T23" s="174">
        <f t="shared" si="15"/>
        <v>0</v>
      </c>
      <c r="U23" s="174">
        <f t="shared" si="15"/>
        <v>0</v>
      </c>
      <c r="V23" s="174">
        <f t="shared" si="15"/>
        <v>0</v>
      </c>
      <c r="W23" s="174">
        <f t="shared" si="15"/>
        <v>0</v>
      </c>
      <c r="X23" s="174">
        <f t="shared" si="15"/>
        <v>0</v>
      </c>
      <c r="Y23" s="172"/>
      <c r="Z23" s="172"/>
      <c r="AA23" s="172"/>
      <c r="AB23" s="172"/>
      <c r="AC23" s="172"/>
      <c r="AD23" s="172"/>
    </row>
    <row r="24" spans="2:30" ht="21" customHeight="1" x14ac:dyDescent="0.2">
      <c r="B24" s="15" t="s">
        <v>82</v>
      </c>
      <c r="C24" s="16">
        <f t="shared" si="7"/>
        <v>20</v>
      </c>
      <c r="D24" s="16">
        <f t="shared" si="8"/>
        <v>44000</v>
      </c>
      <c r="E24" s="16">
        <f t="shared" si="9"/>
        <v>2200</v>
      </c>
      <c r="F24" s="16">
        <f>AB94</f>
        <v>43340</v>
      </c>
      <c r="G24" s="16">
        <f t="shared" si="10"/>
        <v>2167</v>
      </c>
      <c r="L24" s="176" t="str">
        <f t="shared" si="6"/>
        <v>Mundo Novo Café</v>
      </c>
      <c r="M24" s="177">
        <f t="shared" si="11"/>
        <v>44000</v>
      </c>
      <c r="N24" s="177">
        <f t="shared" ref="N24:Q24" si="16">N93</f>
        <v>0</v>
      </c>
      <c r="O24" s="177">
        <f t="shared" si="16"/>
        <v>0</v>
      </c>
      <c r="P24" s="177">
        <f t="shared" si="16"/>
        <v>0</v>
      </c>
      <c r="Q24" s="177">
        <f t="shared" si="16"/>
        <v>22000</v>
      </c>
      <c r="R24" s="177">
        <f t="shared" ref="R24:X24" si="17">R93</f>
        <v>5500</v>
      </c>
      <c r="S24" s="177">
        <f t="shared" si="17"/>
        <v>5500</v>
      </c>
      <c r="T24" s="177">
        <f t="shared" si="17"/>
        <v>5500</v>
      </c>
      <c r="U24" s="177">
        <f t="shared" si="17"/>
        <v>5500</v>
      </c>
      <c r="V24" s="177">
        <f t="shared" si="17"/>
        <v>0</v>
      </c>
      <c r="W24" s="177">
        <f t="shared" si="17"/>
        <v>0</v>
      </c>
      <c r="X24" s="177">
        <f t="shared" si="17"/>
        <v>0</v>
      </c>
      <c r="Y24" s="172"/>
      <c r="Z24" s="172"/>
      <c r="AA24" s="172"/>
      <c r="AB24" s="172"/>
      <c r="AC24" s="172"/>
      <c r="AD24" s="172"/>
    </row>
    <row r="25" spans="2:30" ht="21" customHeight="1" x14ac:dyDescent="0.2">
      <c r="B25" s="9" t="s">
        <v>85</v>
      </c>
      <c r="C25" s="14">
        <f t="shared" si="7"/>
        <v>500</v>
      </c>
      <c r="D25" s="14">
        <f t="shared" si="8"/>
        <v>1000000</v>
      </c>
      <c r="E25" s="14">
        <f t="shared" si="9"/>
        <v>2000</v>
      </c>
      <c r="F25" s="14">
        <f>AB97</f>
        <v>985000</v>
      </c>
      <c r="G25" s="14">
        <f t="shared" si="10"/>
        <v>1970</v>
      </c>
      <c r="L25" s="172" t="str">
        <f t="shared" si="6"/>
        <v>Melitta</v>
      </c>
      <c r="M25" s="174">
        <f t="shared" si="11"/>
        <v>1000000</v>
      </c>
      <c r="N25" s="174">
        <f t="shared" ref="N25:Q25" si="18">N96</f>
        <v>0</v>
      </c>
      <c r="O25" s="174">
        <f t="shared" si="18"/>
        <v>0</v>
      </c>
      <c r="P25" s="174">
        <f t="shared" si="18"/>
        <v>0</v>
      </c>
      <c r="Q25" s="174">
        <f t="shared" si="18"/>
        <v>0</v>
      </c>
      <c r="R25" s="174">
        <f t="shared" ref="R25:X25" si="19">R96</f>
        <v>0</v>
      </c>
      <c r="S25" s="174">
        <f t="shared" si="19"/>
        <v>0</v>
      </c>
      <c r="T25" s="174">
        <f t="shared" si="19"/>
        <v>1000000</v>
      </c>
      <c r="U25" s="174">
        <f t="shared" si="19"/>
        <v>0</v>
      </c>
      <c r="V25" s="174">
        <f t="shared" si="19"/>
        <v>0</v>
      </c>
      <c r="W25" s="174">
        <f t="shared" si="19"/>
        <v>0</v>
      </c>
      <c r="X25" s="174">
        <f t="shared" si="19"/>
        <v>0</v>
      </c>
      <c r="Y25" s="172"/>
      <c r="Z25" s="172" t="s">
        <v>430</v>
      </c>
      <c r="AA25" s="172"/>
      <c r="AB25" s="172"/>
      <c r="AC25" s="172"/>
      <c r="AD25" s="172"/>
    </row>
    <row r="26" spans="2:30" ht="21" customHeight="1" x14ac:dyDescent="0.2">
      <c r="B26" s="15" t="s">
        <v>147</v>
      </c>
      <c r="C26" s="16">
        <f t="shared" si="7"/>
        <v>7.5</v>
      </c>
      <c r="D26" s="16">
        <f t="shared" si="8"/>
        <v>19462.934999999998</v>
      </c>
      <c r="E26" s="16">
        <f>D26/C26</f>
        <v>2595.0579999999995</v>
      </c>
      <c r="F26" s="16">
        <f>AB101</f>
        <v>19170.990975000001</v>
      </c>
      <c r="G26" s="16">
        <f t="shared" si="10"/>
        <v>2556.13213</v>
      </c>
      <c r="L26" s="176" t="str">
        <f t="shared" si="6"/>
        <v>55 Coffee</v>
      </c>
      <c r="M26" s="177">
        <f t="shared" si="11"/>
        <v>19462.934999999998</v>
      </c>
      <c r="N26" s="177">
        <f t="shared" ref="N26:Q26" si="20">N101</f>
        <v>0</v>
      </c>
      <c r="O26" s="177">
        <f t="shared" si="20"/>
        <v>0</v>
      </c>
      <c r="P26" s="177">
        <f t="shared" si="20"/>
        <v>0</v>
      </c>
      <c r="Q26" s="177">
        <f t="shared" si="20"/>
        <v>0</v>
      </c>
      <c r="R26" s="177">
        <f t="shared" ref="R26:X26" si="21">R101</f>
        <v>0</v>
      </c>
      <c r="S26" s="177">
        <f t="shared" si="21"/>
        <v>3243.8224999999998</v>
      </c>
      <c r="T26" s="177">
        <f t="shared" si="21"/>
        <v>3243.8224999999998</v>
      </c>
      <c r="U26" s="177">
        <f t="shared" si="21"/>
        <v>3243.8224999999998</v>
      </c>
      <c r="V26" s="177">
        <f t="shared" si="21"/>
        <v>3243.8224999999998</v>
      </c>
      <c r="W26" s="177">
        <f t="shared" si="21"/>
        <v>3243.8224999999998</v>
      </c>
      <c r="X26" s="177">
        <f t="shared" si="21"/>
        <v>3243.8224999999998</v>
      </c>
      <c r="Y26" s="172"/>
      <c r="Z26" s="172"/>
      <c r="AA26" s="172"/>
      <c r="AB26" s="172"/>
      <c r="AC26" s="172"/>
      <c r="AD26" s="172"/>
    </row>
    <row r="27" spans="2:30" ht="21" customHeight="1" x14ac:dyDescent="0.2">
      <c r="B27" s="9" t="s">
        <v>217</v>
      </c>
      <c r="C27" s="14">
        <f t="shared" si="7"/>
        <v>1525.7</v>
      </c>
      <c r="D27" s="14">
        <f t="shared" si="8"/>
        <v>2538717</v>
      </c>
      <c r="E27" s="14">
        <f>D27/C27</f>
        <v>1663.968670118634</v>
      </c>
      <c r="F27" s="14">
        <f>AB108</f>
        <v>2500636.2450000001</v>
      </c>
      <c r="G27" s="14">
        <f t="shared" si="10"/>
        <v>1639.0091400668546</v>
      </c>
      <c r="L27" s="172" t="str">
        <f>B27</f>
        <v>Londe e Ribeiro</v>
      </c>
      <c r="M27" s="174">
        <f t="shared" si="11"/>
        <v>2538717</v>
      </c>
      <c r="N27" s="174">
        <f t="shared" ref="N27:Q27" si="22">N108</f>
        <v>0</v>
      </c>
      <c r="O27" s="174">
        <f t="shared" si="22"/>
        <v>0</v>
      </c>
      <c r="P27" s="174">
        <f t="shared" si="22"/>
        <v>0</v>
      </c>
      <c r="Q27" s="174">
        <f t="shared" si="22"/>
        <v>0</v>
      </c>
      <c r="R27" s="174">
        <f t="shared" ref="R27:X27" si="23">R108</f>
        <v>1029153</v>
      </c>
      <c r="S27" s="174">
        <f t="shared" si="23"/>
        <v>1509564</v>
      </c>
      <c r="T27" s="174">
        <f t="shared" si="23"/>
        <v>0</v>
      </c>
      <c r="U27" s="174">
        <f t="shared" si="23"/>
        <v>0</v>
      </c>
      <c r="V27" s="174">
        <f t="shared" si="23"/>
        <v>0</v>
      </c>
      <c r="W27" s="174">
        <f t="shared" si="23"/>
        <v>0</v>
      </c>
      <c r="X27" s="174">
        <f t="shared" si="23"/>
        <v>0</v>
      </c>
      <c r="Y27" s="172"/>
      <c r="Z27" s="172"/>
      <c r="AA27" s="172"/>
      <c r="AB27" s="172"/>
      <c r="AC27" s="172"/>
      <c r="AD27" s="172"/>
    </row>
    <row r="28" spans="2:30" ht="21" customHeight="1" x14ac:dyDescent="0.2">
      <c r="B28" s="112" t="s">
        <v>31</v>
      </c>
      <c r="C28" s="115">
        <f>SUM(C22:C27)</f>
        <v>2561.1999999999998</v>
      </c>
      <c r="D28" s="115">
        <f>SUM(D22:D27)</f>
        <v>4673227.9350000005</v>
      </c>
      <c r="E28" s="115">
        <f>D28/C28</f>
        <v>1824.6243694362022</v>
      </c>
      <c r="F28" s="115">
        <f>SUM(F22:F27)</f>
        <v>4603129.5159750003</v>
      </c>
      <c r="G28" s="115">
        <f t="shared" si="10"/>
        <v>1797.255003894659</v>
      </c>
      <c r="L28" s="180" t="s">
        <v>31</v>
      </c>
      <c r="M28" s="181">
        <f t="shared" si="11"/>
        <v>4673227.9349999987</v>
      </c>
      <c r="N28" s="181">
        <f t="shared" ref="N28:P28" si="24">SUM(N22:N27)</f>
        <v>0</v>
      </c>
      <c r="O28" s="181">
        <f t="shared" si="24"/>
        <v>0</v>
      </c>
      <c r="P28" s="181">
        <f t="shared" si="24"/>
        <v>0</v>
      </c>
      <c r="Q28" s="181">
        <f>SUM(Q22:Q27)</f>
        <v>1079137</v>
      </c>
      <c r="R28" s="181">
        <f t="shared" ref="R28:X28" si="25">SUM(R22:R27)</f>
        <v>1039290</v>
      </c>
      <c r="S28" s="181">
        <f t="shared" si="25"/>
        <v>1522944.8225</v>
      </c>
      <c r="T28" s="181">
        <f t="shared" si="25"/>
        <v>1013380.8225</v>
      </c>
      <c r="U28" s="181">
        <f t="shared" si="25"/>
        <v>8743.8225000000002</v>
      </c>
      <c r="V28" s="181">
        <f t="shared" si="25"/>
        <v>3243.8224999999998</v>
      </c>
      <c r="W28" s="181">
        <f t="shared" si="25"/>
        <v>3243.8224999999998</v>
      </c>
      <c r="X28" s="181">
        <f t="shared" si="25"/>
        <v>3243.8224999999998</v>
      </c>
      <c r="Y28" s="172"/>
      <c r="Z28" s="172"/>
      <c r="AA28" s="172"/>
      <c r="AB28" s="172"/>
      <c r="AC28" s="172"/>
      <c r="AD28" s="172"/>
    </row>
    <row r="29" spans="2:30" ht="21" customHeight="1" x14ac:dyDescent="0.2">
      <c r="B29" s="118" t="s">
        <v>164</v>
      </c>
      <c r="C29" s="25"/>
      <c r="D29" s="25"/>
      <c r="E29" s="25"/>
      <c r="G29" s="25"/>
      <c r="L29" s="182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72"/>
      <c r="Z29" s="172"/>
      <c r="AA29" s="172"/>
      <c r="AB29" s="172"/>
      <c r="AC29" s="172"/>
      <c r="AD29" s="172"/>
    </row>
    <row r="30" spans="2:30" ht="21" customHeight="1" x14ac:dyDescent="0.2">
      <c r="B30" s="48"/>
      <c r="C30" s="102"/>
      <c r="D30" s="14"/>
      <c r="E30" s="14"/>
      <c r="F30" s="14"/>
      <c r="G30" s="14"/>
      <c r="L30" s="172"/>
      <c r="M30" s="174"/>
      <c r="N30" s="174"/>
      <c r="O30" s="174"/>
      <c r="P30" s="174"/>
      <c r="Q30" s="174"/>
      <c r="R30" s="174"/>
      <c r="S30" s="174"/>
      <c r="T30" s="174"/>
      <c r="U30" s="174"/>
      <c r="V30" s="174"/>
      <c r="W30" s="174"/>
      <c r="X30" s="174"/>
      <c r="Y30" s="172"/>
      <c r="Z30" s="172"/>
      <c r="AA30" s="172"/>
      <c r="AB30" s="172"/>
      <c r="AC30" s="172"/>
      <c r="AD30" s="172"/>
    </row>
    <row r="31" spans="2:30" ht="21" customHeight="1" x14ac:dyDescent="0.2">
      <c r="B31" s="169" t="s">
        <v>88</v>
      </c>
      <c r="C31" s="170" t="s">
        <v>14</v>
      </c>
      <c r="D31" s="170" t="s">
        <v>137</v>
      </c>
      <c r="E31" s="171" t="s">
        <v>47</v>
      </c>
      <c r="F31" s="170" t="s">
        <v>138</v>
      </c>
      <c r="G31" s="171" t="s">
        <v>47</v>
      </c>
      <c r="H31" s="172"/>
      <c r="L31" s="169" t="s">
        <v>317</v>
      </c>
      <c r="M31" s="169" t="str">
        <f>D31</f>
        <v>Receita Bruta (U$)</v>
      </c>
      <c r="N31" s="173">
        <f>N20</f>
        <v>45536</v>
      </c>
      <c r="O31" s="173">
        <f t="shared" ref="O31:W31" si="26">O20</f>
        <v>45566</v>
      </c>
      <c r="P31" s="173">
        <f t="shared" si="26"/>
        <v>45597</v>
      </c>
      <c r="Q31" s="173">
        <f t="shared" si="26"/>
        <v>45627</v>
      </c>
      <c r="R31" s="173">
        <f t="shared" si="26"/>
        <v>45658</v>
      </c>
      <c r="S31" s="173">
        <f t="shared" si="26"/>
        <v>45689</v>
      </c>
      <c r="T31" s="173">
        <f t="shared" si="26"/>
        <v>45717</v>
      </c>
      <c r="U31" s="173">
        <f t="shared" si="26"/>
        <v>45748</v>
      </c>
      <c r="V31" s="173">
        <f t="shared" si="26"/>
        <v>45778</v>
      </c>
      <c r="W31" s="173">
        <f t="shared" si="26"/>
        <v>45809</v>
      </c>
      <c r="X31" s="173" t="s">
        <v>29</v>
      </c>
      <c r="Y31" s="172"/>
      <c r="Z31" s="338" t="str">
        <f>Z20</f>
        <v>Mudanças na semana</v>
      </c>
      <c r="AA31" s="338"/>
      <c r="AB31" s="338"/>
      <c r="AC31" s="338"/>
      <c r="AD31" s="338"/>
    </row>
    <row r="32" spans="2:30" ht="21" customHeight="1" x14ac:dyDescent="0.2">
      <c r="B32" s="172" t="s">
        <v>163</v>
      </c>
      <c r="C32" s="174">
        <f>C17+C28</f>
        <v>8824.2000000000007</v>
      </c>
      <c r="D32" s="174">
        <f>D17+D28/$Q$3</f>
        <v>3344593.0749559323</v>
      </c>
      <c r="E32" s="175">
        <f>D32/C32</f>
        <v>379.02507592256887</v>
      </c>
      <c r="F32" s="174">
        <f>F17+F28/$Q$3</f>
        <v>2960954.493145593</v>
      </c>
      <c r="G32" s="175">
        <f>F32/C32</f>
        <v>335.54934080659922</v>
      </c>
      <c r="H32" s="172"/>
      <c r="L32" s="172" t="s">
        <v>163</v>
      </c>
      <c r="M32" s="174">
        <f t="shared" ref="M32:X32" si="27">M17+M28/$Q$3</f>
        <v>3344593.0749559319</v>
      </c>
      <c r="N32" s="174">
        <f t="shared" si="27"/>
        <v>53224.18</v>
      </c>
      <c r="O32" s="174">
        <f t="shared" si="27"/>
        <v>0</v>
      </c>
      <c r="P32" s="174">
        <f t="shared" si="27"/>
        <v>30300</v>
      </c>
      <c r="Q32" s="174">
        <f t="shared" si="27"/>
        <v>525774.33627118648</v>
      </c>
      <c r="R32" s="174">
        <f t="shared" si="27"/>
        <v>463070.99945762707</v>
      </c>
      <c r="S32" s="174">
        <f t="shared" si="27"/>
        <v>792628.92910169484</v>
      </c>
      <c r="T32" s="174">
        <f t="shared" si="27"/>
        <v>576335.84544067795</v>
      </c>
      <c r="U32" s="174">
        <f t="shared" si="27"/>
        <v>111960.00381355932</v>
      </c>
      <c r="V32" s="174">
        <f t="shared" si="27"/>
        <v>790199.18002372887</v>
      </c>
      <c r="W32" s="174">
        <f t="shared" si="27"/>
        <v>549.80042372881348</v>
      </c>
      <c r="X32" s="174">
        <f t="shared" si="27"/>
        <v>549.80042372881348</v>
      </c>
      <c r="Y32" s="172"/>
      <c r="Z32" s="172" t="s">
        <v>434</v>
      </c>
      <c r="AA32" s="172"/>
      <c r="AB32" s="172"/>
      <c r="AC32" s="172"/>
      <c r="AD32" s="172"/>
    </row>
    <row r="33" spans="2:30" ht="21" hidden="1" customHeight="1" x14ac:dyDescent="0.2">
      <c r="B33" s="176" t="s">
        <v>28</v>
      </c>
      <c r="C33" s="177">
        <f>SUMIFS(D$52:D$114,$B$52:$B$114,B33)</f>
        <v>0</v>
      </c>
      <c r="D33" s="177">
        <f>SUM(N33:X33)</f>
        <v>0</v>
      </c>
      <c r="E33" s="177" t="e">
        <f t="shared" si="9"/>
        <v>#DIV/0!</v>
      </c>
      <c r="F33" s="177">
        <f>D33</f>
        <v>0</v>
      </c>
      <c r="G33" s="177" t="e">
        <f>F33/C33</f>
        <v>#DIV/0!</v>
      </c>
      <c r="H33" s="172"/>
      <c r="L33" s="176" t="s">
        <v>28</v>
      </c>
      <c r="M33" s="177">
        <f>SUM(N33:X33)</f>
        <v>0</v>
      </c>
      <c r="N33" s="177">
        <f t="shared" ref="N33:X33" si="28">N115</f>
        <v>0</v>
      </c>
      <c r="O33" s="177">
        <f t="shared" si="28"/>
        <v>0</v>
      </c>
      <c r="P33" s="177">
        <f t="shared" si="28"/>
        <v>0</v>
      </c>
      <c r="Q33" s="177">
        <f t="shared" si="28"/>
        <v>0</v>
      </c>
      <c r="R33" s="177">
        <f t="shared" si="28"/>
        <v>0</v>
      </c>
      <c r="S33" s="177">
        <f t="shared" si="28"/>
        <v>0</v>
      </c>
      <c r="T33" s="177">
        <f t="shared" si="28"/>
        <v>0</v>
      </c>
      <c r="U33" s="177">
        <f t="shared" si="28"/>
        <v>0</v>
      </c>
      <c r="V33" s="177">
        <f t="shared" si="28"/>
        <v>0</v>
      </c>
      <c r="W33" s="177">
        <f t="shared" si="28"/>
        <v>0</v>
      </c>
      <c r="X33" s="177">
        <f t="shared" si="28"/>
        <v>0</v>
      </c>
      <c r="Y33" s="172"/>
      <c r="Z33" s="172"/>
      <c r="AA33" s="172"/>
      <c r="AB33" s="172"/>
      <c r="AC33" s="172"/>
      <c r="AD33" s="172"/>
    </row>
    <row r="34" spans="2:30" ht="21" customHeight="1" x14ac:dyDescent="0.2">
      <c r="B34" s="178" t="s">
        <v>162</v>
      </c>
      <c r="C34" s="179">
        <f>C32+C33</f>
        <v>8824.2000000000007</v>
      </c>
      <c r="D34" s="179">
        <f>M34</f>
        <v>3344593.0749559319</v>
      </c>
      <c r="E34" s="179">
        <f t="shared" si="9"/>
        <v>379.02507592256882</v>
      </c>
      <c r="F34" s="179">
        <f>F32+F33</f>
        <v>2960954.493145593</v>
      </c>
      <c r="G34" s="179">
        <f>F34/C34</f>
        <v>335.54934080659922</v>
      </c>
      <c r="H34" s="172"/>
      <c r="L34" s="178" t="s">
        <v>162</v>
      </c>
      <c r="M34" s="179">
        <f>SUM(N34:X34)</f>
        <v>3344593.0749559319</v>
      </c>
      <c r="N34" s="179">
        <f t="shared" ref="N34:X34" si="29">N32+N33</f>
        <v>53224.18</v>
      </c>
      <c r="O34" s="179">
        <f t="shared" si="29"/>
        <v>0</v>
      </c>
      <c r="P34" s="179">
        <f t="shared" si="29"/>
        <v>30300</v>
      </c>
      <c r="Q34" s="179">
        <f t="shared" si="29"/>
        <v>525774.33627118648</v>
      </c>
      <c r="R34" s="179">
        <f t="shared" si="29"/>
        <v>463070.99945762707</v>
      </c>
      <c r="S34" s="179">
        <f t="shared" si="29"/>
        <v>792628.92910169484</v>
      </c>
      <c r="T34" s="179">
        <f t="shared" si="29"/>
        <v>576335.84544067795</v>
      </c>
      <c r="U34" s="179">
        <f t="shared" si="29"/>
        <v>111960.00381355932</v>
      </c>
      <c r="V34" s="179">
        <f t="shared" si="29"/>
        <v>790199.18002372887</v>
      </c>
      <c r="W34" s="179">
        <f t="shared" si="29"/>
        <v>549.80042372881348</v>
      </c>
      <c r="X34" s="179">
        <f t="shared" si="29"/>
        <v>549.80042372881348</v>
      </c>
      <c r="Y34" s="172"/>
      <c r="Z34" s="172"/>
      <c r="AA34" s="172"/>
      <c r="AB34" s="172"/>
      <c r="AC34" s="172"/>
      <c r="AD34" s="172"/>
    </row>
    <row r="35" spans="2:30" ht="21" customHeight="1" x14ac:dyDescent="0.2">
      <c r="B35" s="180" t="s">
        <v>166</v>
      </c>
      <c r="C35" s="181">
        <f>C34</f>
        <v>8824.2000000000007</v>
      </c>
      <c r="D35" s="181">
        <f>M35</f>
        <v>19719511.920240004</v>
      </c>
      <c r="E35" s="181">
        <f>D35/C35</f>
        <v>2234.7081798055351</v>
      </c>
      <c r="F35" s="181">
        <f>F34*$Q$3</f>
        <v>17469631.509558998</v>
      </c>
      <c r="G35" s="181">
        <f>F35/C35</f>
        <v>1979.7411107589353</v>
      </c>
      <c r="H35" s="172"/>
      <c r="L35" s="180" t="s">
        <v>166</v>
      </c>
      <c r="M35" s="181">
        <f>SUM(N35:X35)</f>
        <v>19719511.920240004</v>
      </c>
      <c r="N35" s="181">
        <f>N36</f>
        <v>305000</v>
      </c>
      <c r="O35" s="181">
        <f>O34*$Q$3</f>
        <v>0</v>
      </c>
      <c r="P35" s="181">
        <f>174205.44</f>
        <v>174205.44</v>
      </c>
      <c r="Q35" s="181">
        <f t="shared" ref="Q35:X35" si="30">Q34*$Q$3</f>
        <v>3102068.5840000003</v>
      </c>
      <c r="R35" s="181">
        <f t="shared" si="30"/>
        <v>2732118.8967999998</v>
      </c>
      <c r="S35" s="181">
        <f t="shared" si="30"/>
        <v>4676510.6816999996</v>
      </c>
      <c r="T35" s="181">
        <f t="shared" si="30"/>
        <v>3400381.4881000002</v>
      </c>
      <c r="U35" s="181">
        <f t="shared" si="30"/>
        <v>660564.02250000008</v>
      </c>
      <c r="V35" s="181">
        <f t="shared" si="30"/>
        <v>4662175.1621400006</v>
      </c>
      <c r="W35" s="181">
        <f t="shared" si="30"/>
        <v>3243.8224999999998</v>
      </c>
      <c r="X35" s="181">
        <f t="shared" si="30"/>
        <v>3243.8224999999998</v>
      </c>
      <c r="Y35" s="172"/>
      <c r="Z35" s="172" t="s">
        <v>432</v>
      </c>
      <c r="AA35" s="172"/>
      <c r="AB35" s="172"/>
      <c r="AC35" s="172"/>
      <c r="AD35" s="172"/>
    </row>
    <row r="36" spans="2:30" ht="21" customHeight="1" x14ac:dyDescent="0.2">
      <c r="B36" s="118" t="s">
        <v>315</v>
      </c>
      <c r="C36" s="183"/>
      <c r="D36" s="183"/>
      <c r="E36" s="183"/>
      <c r="F36" s="183"/>
      <c r="G36" s="183"/>
      <c r="H36" s="172"/>
      <c r="L36" s="323" t="s">
        <v>166</v>
      </c>
      <c r="M36" s="194">
        <v>19246707</v>
      </c>
      <c r="N36" s="194">
        <v>305000</v>
      </c>
      <c r="O36" s="194">
        <v>0</v>
      </c>
      <c r="P36" s="194">
        <v>174205.44</v>
      </c>
      <c r="Q36" s="194">
        <v>3067781.6079999995</v>
      </c>
      <c r="R36" s="194">
        <v>2706670.7041000002</v>
      </c>
      <c r="S36" s="194">
        <v>4019232</v>
      </c>
      <c r="T36" s="194">
        <v>4050272</v>
      </c>
      <c r="U36" s="194">
        <v>1165507.4224999999</v>
      </c>
      <c r="V36" s="194">
        <v>3754794.3125</v>
      </c>
      <c r="W36" s="194">
        <v>3244</v>
      </c>
      <c r="X36" s="194">
        <v>0</v>
      </c>
      <c r="Y36" s="172"/>
      <c r="Z36" s="172"/>
      <c r="AA36" s="172"/>
      <c r="AB36" s="172"/>
      <c r="AC36" s="172"/>
      <c r="AD36" s="172"/>
    </row>
    <row r="37" spans="2:30" ht="21" customHeight="1" x14ac:dyDescent="0.2">
      <c r="B37" s="182"/>
      <c r="C37" s="183"/>
      <c r="D37" s="183"/>
      <c r="E37" s="183"/>
      <c r="F37" s="183"/>
      <c r="G37" s="183"/>
      <c r="H37" s="172"/>
      <c r="L37" s="182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72"/>
      <c r="Z37" s="172"/>
      <c r="AA37" s="172"/>
      <c r="AB37" s="172"/>
      <c r="AC37" s="172"/>
      <c r="AD37" s="172"/>
    </row>
    <row r="38" spans="2:30" ht="21" customHeight="1" x14ac:dyDescent="0.2">
      <c r="B38" s="184"/>
      <c r="C38" s="185"/>
      <c r="D38" s="186"/>
      <c r="E38" s="187"/>
      <c r="F38" s="174"/>
      <c r="G38" s="172"/>
      <c r="H38" s="172"/>
      <c r="L38" s="309" t="s">
        <v>316</v>
      </c>
      <c r="M38" s="310"/>
      <c r="N38" s="310"/>
      <c r="O38" s="310"/>
      <c r="P38" s="310"/>
      <c r="Q38" s="310"/>
      <c r="R38" s="311"/>
      <c r="S38" s="288"/>
      <c r="T38" s="288"/>
      <c r="U38" s="311"/>
      <c r="V38" s="311"/>
      <c r="W38" s="311"/>
      <c r="X38" s="311"/>
      <c r="Y38" s="174"/>
      <c r="Z38" s="309" t="s">
        <v>316</v>
      </c>
      <c r="AA38" s="310"/>
      <c r="AB38" s="310"/>
      <c r="AC38" s="310"/>
      <c r="AD38" s="319"/>
    </row>
    <row r="39" spans="2:30" ht="21" customHeight="1" x14ac:dyDescent="0.2">
      <c r="B39" s="188" t="s">
        <v>94</v>
      </c>
      <c r="C39" s="189">
        <f>-D133</f>
        <v>-13616.26485</v>
      </c>
      <c r="D39" s="189">
        <f>SUM(N39:X39)</f>
        <v>-1641322.0508018113</v>
      </c>
      <c r="E39" s="174"/>
      <c r="F39" s="172"/>
      <c r="G39" s="172"/>
      <c r="H39" s="172"/>
      <c r="L39" s="172" t="s">
        <v>94</v>
      </c>
      <c r="M39" s="174">
        <f>SUM(N39:X39)</f>
        <v>-1641322.0508018113</v>
      </c>
      <c r="N39" s="174">
        <f t="shared" ref="N39:P39" si="31">N133</f>
        <v>0</v>
      </c>
      <c r="O39" s="174">
        <f t="shared" si="31"/>
        <v>0</v>
      </c>
      <c r="P39" s="174">
        <f t="shared" si="31"/>
        <v>-1333355.8369609963</v>
      </c>
      <c r="Q39" s="174">
        <f t="shared" ref="Q39:X39" si="32">Q133</f>
        <v>-72288.89772150619</v>
      </c>
      <c r="R39" s="174">
        <f t="shared" si="32"/>
        <v>-85675.416737992404</v>
      </c>
      <c r="S39" s="174">
        <f t="shared" si="32"/>
        <v>-150001.89938131641</v>
      </c>
      <c r="T39" s="174">
        <f t="shared" si="32"/>
        <v>0</v>
      </c>
      <c r="U39" s="174">
        <f t="shared" si="32"/>
        <v>0</v>
      </c>
      <c r="V39" s="174">
        <f t="shared" si="32"/>
        <v>0</v>
      </c>
      <c r="W39" s="174">
        <f t="shared" si="32"/>
        <v>0</v>
      </c>
      <c r="X39" s="174">
        <f t="shared" si="32"/>
        <v>0</v>
      </c>
      <c r="Y39" s="172"/>
      <c r="Z39" s="172"/>
      <c r="AA39" s="172"/>
      <c r="AB39" s="172"/>
      <c r="AC39" s="172"/>
      <c r="AD39" s="172"/>
    </row>
    <row r="40" spans="2:30" ht="21" customHeight="1" x14ac:dyDescent="0.2">
      <c r="B40" s="200" t="s">
        <v>95</v>
      </c>
      <c r="C40" s="197">
        <f>-D143</f>
        <v>-25225.3851</v>
      </c>
      <c r="D40" s="197">
        <f>SUM(N40:X40)</f>
        <v>-2274014.0628384617</v>
      </c>
      <c r="E40" s="174"/>
      <c r="F40" s="172"/>
      <c r="G40" s="172"/>
      <c r="H40" s="172"/>
      <c r="L40" s="320" t="s">
        <v>95</v>
      </c>
      <c r="M40" s="321">
        <f>SUM(N40:X40)</f>
        <v>-2274014.0628384617</v>
      </c>
      <c r="N40" s="321">
        <f t="shared" ref="N40:P40" si="33">N143</f>
        <v>0</v>
      </c>
      <c r="O40" s="321">
        <f t="shared" si="33"/>
        <v>0</v>
      </c>
      <c r="P40" s="321">
        <f t="shared" si="33"/>
        <v>0</v>
      </c>
      <c r="Q40" s="321">
        <f t="shared" ref="Q40:X40" si="34">Q143</f>
        <v>0</v>
      </c>
      <c r="R40" s="321">
        <f t="shared" si="34"/>
        <v>0</v>
      </c>
      <c r="S40" s="321">
        <f t="shared" si="34"/>
        <v>0</v>
      </c>
      <c r="T40" s="321">
        <f t="shared" si="34"/>
        <v>0</v>
      </c>
      <c r="U40" s="321">
        <f t="shared" si="34"/>
        <v>-124377.24585403173</v>
      </c>
      <c r="V40" s="321">
        <f t="shared" si="34"/>
        <v>0</v>
      </c>
      <c r="W40" s="321">
        <f t="shared" si="34"/>
        <v>0</v>
      </c>
      <c r="X40" s="321">
        <f t="shared" si="34"/>
        <v>-2149636.81698443</v>
      </c>
      <c r="Y40" s="172"/>
      <c r="Z40" s="172"/>
      <c r="AA40" s="172"/>
      <c r="AB40" s="172"/>
      <c r="AC40" s="172"/>
      <c r="AD40" s="172"/>
    </row>
    <row r="41" spans="2:30" ht="21" customHeight="1" x14ac:dyDescent="0.2">
      <c r="B41" s="176" t="s">
        <v>444</v>
      </c>
      <c r="C41" s="177"/>
      <c r="D41" s="177"/>
      <c r="E41" s="174"/>
      <c r="F41" s="172"/>
      <c r="G41" s="172"/>
      <c r="H41" s="172"/>
      <c r="L41" s="172" t="s">
        <v>423</v>
      </c>
      <c r="M41" s="174"/>
      <c r="N41" s="174"/>
      <c r="O41" s="174"/>
      <c r="P41" s="174"/>
      <c r="Q41" s="174"/>
      <c r="R41" s="174"/>
      <c r="S41" s="174">
        <f>J152</f>
        <v>-174593.01208800002</v>
      </c>
      <c r="T41" s="174"/>
      <c r="U41" s="174"/>
      <c r="V41" s="174"/>
      <c r="W41" s="174"/>
      <c r="X41" s="172"/>
      <c r="Y41" s="172"/>
      <c r="Z41" s="172"/>
      <c r="AA41" s="172"/>
      <c r="AB41" s="172"/>
      <c r="AC41" s="172"/>
      <c r="AD41" s="172"/>
    </row>
    <row r="42" spans="2:30" ht="21" customHeight="1" x14ac:dyDescent="0.2">
      <c r="B42" s="198" t="s">
        <v>311</v>
      </c>
      <c r="C42" s="199">
        <f>C39+C40</f>
        <v>-38841.649949999999</v>
      </c>
      <c r="D42" s="199">
        <f>M42</f>
        <v>-23064811.349118434</v>
      </c>
      <c r="E42" s="174"/>
      <c r="F42" s="172"/>
      <c r="G42" s="172"/>
      <c r="H42" s="172"/>
      <c r="L42" s="198" t="s">
        <v>424</v>
      </c>
      <c r="M42" s="199">
        <f>SUM(N42:X42)</f>
        <v>-23064811.349118434</v>
      </c>
      <c r="N42" s="199">
        <v>0</v>
      </c>
      <c r="O42" s="199">
        <v>0</v>
      </c>
      <c r="P42" s="199">
        <f>SUMPRODUCT(K124:K128,P124:P128)</f>
        <v>-7691783.8218975235</v>
      </c>
      <c r="Q42" s="199">
        <f>Q129*K129+Q130*K130</f>
        <v>-442750.30230138137</v>
      </c>
      <c r="R42" s="199">
        <f>R131*K131</f>
        <v>-507626.84417260496</v>
      </c>
      <c r="S42" s="199">
        <f>S40*$Q$3+K152</f>
        <v>-1005967.4100000001</v>
      </c>
      <c r="T42" s="199">
        <f>T40*$Q$3</f>
        <v>0</v>
      </c>
      <c r="U42" s="199">
        <f>U40*$Q$3</f>
        <v>-733825.75053878722</v>
      </c>
      <c r="V42" s="199">
        <f>V40*$Q$3</f>
        <v>0</v>
      </c>
      <c r="W42" s="199">
        <f>W40*$Q$3</f>
        <v>0</v>
      </c>
      <c r="X42" s="199">
        <f>X40*$Q$3</f>
        <v>-12682857.220208138</v>
      </c>
      <c r="Y42" s="172"/>
      <c r="Z42" s="172" t="s">
        <v>433</v>
      </c>
      <c r="AA42" s="172"/>
      <c r="AB42" s="172"/>
      <c r="AC42" s="172"/>
      <c r="AD42" s="172"/>
    </row>
    <row r="43" spans="2:30" ht="21" customHeight="1" x14ac:dyDescent="0.2">
      <c r="B43" s="182"/>
      <c r="C43" s="183"/>
      <c r="D43" s="183"/>
      <c r="E43" s="183"/>
      <c r="F43" s="183"/>
      <c r="G43" s="172"/>
      <c r="H43" s="172"/>
      <c r="L43" s="204" t="s">
        <v>313</v>
      </c>
      <c r="M43" s="201"/>
      <c r="N43" s="183"/>
      <c r="O43" s="183"/>
      <c r="P43" s="202">
        <f>P42/(P40+P39)</f>
        <v>5.7687405032318662</v>
      </c>
      <c r="Q43" s="202">
        <f>Q42/(Q40+Q39)</f>
        <v>6.1247344510229222</v>
      </c>
      <c r="R43" s="202">
        <f>R42/(R40+R39)</f>
        <v>5.9249999999999998</v>
      </c>
      <c r="S43" s="202">
        <f>Q3</f>
        <v>5.9</v>
      </c>
      <c r="T43" s="202">
        <f>S43</f>
        <v>5.9</v>
      </c>
      <c r="U43" s="202">
        <f>T43</f>
        <v>5.9</v>
      </c>
      <c r="V43" s="202">
        <f>U43</f>
        <v>5.9</v>
      </c>
      <c r="W43" s="202">
        <f>V43</f>
        <v>5.9</v>
      </c>
      <c r="X43" s="202">
        <f>V43</f>
        <v>5.9</v>
      </c>
      <c r="Y43" s="172"/>
      <c r="Z43" s="172"/>
      <c r="AA43" s="172"/>
      <c r="AB43" s="172"/>
      <c r="AC43" s="172"/>
      <c r="AD43" s="172"/>
    </row>
    <row r="44" spans="2:30" ht="21" customHeight="1" x14ac:dyDescent="0.2">
      <c r="B44" s="182"/>
      <c r="C44" s="183"/>
      <c r="D44" s="183"/>
      <c r="E44" s="183"/>
      <c r="F44" s="183"/>
      <c r="G44" s="172"/>
      <c r="H44" s="172"/>
      <c r="L44" s="204"/>
      <c r="M44" s="201"/>
      <c r="N44" s="183"/>
      <c r="O44" s="183"/>
      <c r="P44" s="202"/>
      <c r="Q44" s="202"/>
      <c r="R44" s="202"/>
      <c r="S44" s="202"/>
      <c r="T44" s="202"/>
      <c r="U44" s="202"/>
      <c r="V44" s="202"/>
      <c r="W44" s="202"/>
      <c r="X44" s="202"/>
      <c r="Y44" s="172"/>
      <c r="Z44" s="172"/>
      <c r="AA44" s="172"/>
      <c r="AB44" s="172"/>
      <c r="AC44" s="172"/>
      <c r="AD44" s="172"/>
    </row>
    <row r="45" spans="2:30" ht="21" customHeight="1" x14ac:dyDescent="0.2">
      <c r="B45" s="182"/>
      <c r="C45" s="183"/>
      <c r="D45" s="183"/>
      <c r="E45" s="183"/>
      <c r="F45" s="183"/>
      <c r="G45" s="172"/>
      <c r="H45" s="172"/>
      <c r="L45" s="307" t="s">
        <v>314</v>
      </c>
      <c r="M45" s="322" t="s">
        <v>31</v>
      </c>
      <c r="N45" s="308">
        <f>N31</f>
        <v>45536</v>
      </c>
      <c r="O45" s="308">
        <f t="shared" ref="O45:W45" si="35">O31</f>
        <v>45566</v>
      </c>
      <c r="P45" s="308">
        <f t="shared" si="35"/>
        <v>45597</v>
      </c>
      <c r="Q45" s="308">
        <f t="shared" si="35"/>
        <v>45627</v>
      </c>
      <c r="R45" s="308">
        <f t="shared" si="35"/>
        <v>45658</v>
      </c>
      <c r="S45" s="308">
        <f t="shared" si="35"/>
        <v>45689</v>
      </c>
      <c r="T45" s="308">
        <f t="shared" si="35"/>
        <v>45717</v>
      </c>
      <c r="U45" s="308">
        <f t="shared" si="35"/>
        <v>45748</v>
      </c>
      <c r="V45" s="308">
        <f t="shared" si="35"/>
        <v>45778</v>
      </c>
      <c r="W45" s="308">
        <f t="shared" si="35"/>
        <v>45809</v>
      </c>
      <c r="X45" s="308" t="s">
        <v>29</v>
      </c>
      <c r="Y45" s="172"/>
      <c r="Z45" s="172"/>
      <c r="AA45" s="172"/>
      <c r="AB45" s="172"/>
      <c r="AC45" s="172"/>
      <c r="AD45" s="172"/>
    </row>
    <row r="46" spans="2:30" ht="21" customHeight="1" x14ac:dyDescent="0.2">
      <c r="B46" s="190" t="s">
        <v>165</v>
      </c>
      <c r="C46" s="191">
        <f>M46</f>
        <v>-571292.83910806989</v>
      </c>
      <c r="D46" s="203">
        <v>173992.58684534556</v>
      </c>
      <c r="E46" s="172"/>
      <c r="F46" s="172"/>
      <c r="G46" s="172"/>
      <c r="H46" s="172"/>
      <c r="L46" s="205" t="s">
        <v>165</v>
      </c>
      <c r="M46" s="206">
        <f>SUM(N46:X46)</f>
        <v>-571292.83910806989</v>
      </c>
      <c r="N46" s="206">
        <f>N34+N39+N40</f>
        <v>53224.18</v>
      </c>
      <c r="O46" s="206">
        <f>O34+O39+O40</f>
        <v>0</v>
      </c>
      <c r="P46" s="206">
        <f>P34+P39+P40</f>
        <v>-1303055.8369609963</v>
      </c>
      <c r="Q46" s="206">
        <f t="shared" ref="Q46:X46" si="36">Q34+Q39+Q40</f>
        <v>453485.43854968029</v>
      </c>
      <c r="R46" s="206">
        <f t="shared" si="36"/>
        <v>377395.58271963464</v>
      </c>
      <c r="S46" s="206">
        <f t="shared" si="36"/>
        <v>642627.02972037846</v>
      </c>
      <c r="T46" s="206">
        <f t="shared" si="36"/>
        <v>576335.84544067795</v>
      </c>
      <c r="U46" s="206">
        <f t="shared" si="36"/>
        <v>-12417.242040472411</v>
      </c>
      <c r="V46" s="206">
        <f t="shared" si="36"/>
        <v>790199.18002372887</v>
      </c>
      <c r="W46" s="206"/>
      <c r="X46" s="206">
        <f t="shared" si="36"/>
        <v>-2149087.0165607012</v>
      </c>
      <c r="Y46" s="172"/>
      <c r="Z46" s="172"/>
      <c r="AA46" s="172"/>
      <c r="AB46" s="172"/>
      <c r="AC46" s="172"/>
      <c r="AD46" s="172"/>
    </row>
    <row r="47" spans="2:30" ht="21" customHeight="1" x14ac:dyDescent="0.2">
      <c r="B47" s="180" t="s">
        <v>93</v>
      </c>
      <c r="C47" s="181">
        <f>M47</f>
        <v>-3348543.2513784338</v>
      </c>
      <c r="D47" s="203">
        <v>1296741.444103023</v>
      </c>
      <c r="E47" s="183"/>
      <c r="F47" s="183"/>
      <c r="G47" s="183"/>
      <c r="H47" s="194" t="s">
        <v>134</v>
      </c>
      <c r="L47" s="207" t="s">
        <v>93</v>
      </c>
      <c r="M47" s="208">
        <f>SUM(N47:X47)</f>
        <v>-3348543.2513784338</v>
      </c>
      <c r="N47" s="208">
        <f>N35+N42</f>
        <v>305000</v>
      </c>
      <c r="O47" s="208">
        <f t="shared" ref="O47:X47" si="37">O35+O42</f>
        <v>0</v>
      </c>
      <c r="P47" s="208">
        <f t="shared" si="37"/>
        <v>-7517578.3818975231</v>
      </c>
      <c r="Q47" s="208">
        <f t="shared" si="37"/>
        <v>2659318.281698619</v>
      </c>
      <c r="R47" s="208">
        <f t="shared" si="37"/>
        <v>2224492.0526273949</v>
      </c>
      <c r="S47" s="208">
        <f t="shared" si="37"/>
        <v>3670543.2716999995</v>
      </c>
      <c r="T47" s="208">
        <f t="shared" si="37"/>
        <v>3400381.4881000002</v>
      </c>
      <c r="U47" s="208">
        <f t="shared" si="37"/>
        <v>-73261.728038787143</v>
      </c>
      <c r="V47" s="208">
        <f t="shared" si="37"/>
        <v>4662175.1621400006</v>
      </c>
      <c r="W47" s="208"/>
      <c r="X47" s="208">
        <f t="shared" si="37"/>
        <v>-12679613.397708138</v>
      </c>
      <c r="Y47" s="172"/>
      <c r="Z47" s="172"/>
      <c r="AA47" s="172"/>
      <c r="AB47" s="172"/>
      <c r="AC47" s="172"/>
      <c r="AD47" s="172"/>
    </row>
    <row r="48" spans="2:30" ht="21" customHeight="1" x14ac:dyDescent="0.2">
      <c r="B48" s="192"/>
      <c r="C48" s="193"/>
      <c r="D48" s="183"/>
      <c r="E48" s="183"/>
      <c r="F48" s="183"/>
      <c r="G48" s="183"/>
      <c r="H48" s="183"/>
      <c r="L48" s="287"/>
      <c r="M48" s="193"/>
      <c r="N48" s="193"/>
      <c r="O48" s="193"/>
      <c r="P48" s="193"/>
      <c r="Q48" s="193"/>
      <c r="R48" s="193"/>
      <c r="S48" s="193"/>
      <c r="T48" s="193"/>
      <c r="U48" s="193"/>
      <c r="V48" s="193"/>
      <c r="W48" s="193"/>
      <c r="X48" s="193"/>
      <c r="Y48" s="25"/>
    </row>
    <row r="49" spans="1:30" x14ac:dyDescent="0.2">
      <c r="B49" s="1"/>
      <c r="C49" s="25"/>
      <c r="D49" s="25"/>
      <c r="E49" s="25"/>
      <c r="F49" s="25"/>
      <c r="G49" s="290" t="s">
        <v>431</v>
      </c>
      <c r="H49" s="25"/>
      <c r="I49" s="167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25"/>
      <c r="V49" s="25"/>
      <c r="W49" s="25"/>
      <c r="X49" s="25"/>
      <c r="Y49" s="25"/>
    </row>
    <row r="50" spans="1:30" x14ac:dyDescent="0.2">
      <c r="B50" s="32" t="s">
        <v>145</v>
      </c>
      <c r="C50" s="34"/>
      <c r="D50" s="34"/>
      <c r="E50" s="34"/>
      <c r="F50" s="34"/>
      <c r="G50" s="34"/>
      <c r="H50" s="34"/>
      <c r="I50" s="33"/>
      <c r="N50" s="10"/>
      <c r="R50" s="10"/>
    </row>
    <row r="51" spans="1:30" x14ac:dyDescent="0.2">
      <c r="J51" s="23">
        <v>1.3228</v>
      </c>
      <c r="R51" s="47"/>
    </row>
    <row r="52" spans="1:30" x14ac:dyDescent="0.2">
      <c r="A52" s="283" t="s">
        <v>429</v>
      </c>
      <c r="B52" s="12" t="s">
        <v>16</v>
      </c>
      <c r="C52" s="8" t="s">
        <v>15</v>
      </c>
      <c r="D52" s="8" t="s">
        <v>14</v>
      </c>
      <c r="E52" s="8" t="s">
        <v>68</v>
      </c>
      <c r="F52" s="8" t="s">
        <v>69</v>
      </c>
      <c r="G52" s="8" t="s">
        <v>13</v>
      </c>
      <c r="H52" s="8" t="s">
        <v>22</v>
      </c>
      <c r="I52" s="8" t="s">
        <v>17</v>
      </c>
      <c r="J52" s="8" t="s">
        <v>18</v>
      </c>
      <c r="K52" s="8" t="s">
        <v>20</v>
      </c>
      <c r="L52" s="8" t="s">
        <v>21</v>
      </c>
      <c r="M52" s="24" t="s">
        <v>135</v>
      </c>
      <c r="N52" s="13">
        <f>N11</f>
        <v>45536</v>
      </c>
      <c r="O52" s="13">
        <f t="shared" ref="O52:W52" si="38">O11</f>
        <v>45566</v>
      </c>
      <c r="P52" s="13">
        <f t="shared" si="38"/>
        <v>45597</v>
      </c>
      <c r="Q52" s="13">
        <f t="shared" si="38"/>
        <v>45627</v>
      </c>
      <c r="R52" s="13">
        <f t="shared" si="38"/>
        <v>45658</v>
      </c>
      <c r="S52" s="13">
        <f t="shared" si="38"/>
        <v>45689</v>
      </c>
      <c r="T52" s="13">
        <f t="shared" si="38"/>
        <v>45717</v>
      </c>
      <c r="U52" s="13">
        <f t="shared" si="38"/>
        <v>45748</v>
      </c>
      <c r="V52" s="13">
        <f t="shared" si="38"/>
        <v>45778</v>
      </c>
      <c r="W52" s="13">
        <f t="shared" si="38"/>
        <v>45809</v>
      </c>
      <c r="X52" s="24" t="s">
        <v>29</v>
      </c>
      <c r="Y52" s="35"/>
      <c r="Z52" s="8" t="s">
        <v>92</v>
      </c>
      <c r="AA52" s="8" t="s">
        <v>18</v>
      </c>
      <c r="AB52" s="24" t="s">
        <v>136</v>
      </c>
      <c r="AC52" s="104" t="s">
        <v>141</v>
      </c>
    </row>
    <row r="53" spans="1:30" x14ac:dyDescent="0.2">
      <c r="B53" s="9" t="s">
        <v>1</v>
      </c>
      <c r="C53" s="10" t="s">
        <v>12</v>
      </c>
      <c r="D53" s="10">
        <v>320</v>
      </c>
      <c r="E53" s="10" t="s">
        <v>57</v>
      </c>
      <c r="F53" s="10" t="s">
        <v>72</v>
      </c>
      <c r="G53" s="10">
        <v>10</v>
      </c>
      <c r="H53" s="11">
        <v>251.05</v>
      </c>
      <c r="I53" s="11">
        <v>245</v>
      </c>
      <c r="J53" s="11">
        <f>(H53+G53)*$J$51</f>
        <v>345.31693999999999</v>
      </c>
      <c r="K53" s="45">
        <v>45564</v>
      </c>
      <c r="L53" s="10">
        <v>60</v>
      </c>
      <c r="M53" s="14">
        <f t="shared" ref="M53:M66" si="39">J53*D53</f>
        <v>110501.42079999999</v>
      </c>
      <c r="N53" s="14"/>
      <c r="O53" s="14"/>
      <c r="P53" s="14"/>
      <c r="Q53" s="14">
        <f>M53</f>
        <v>110501.42079999999</v>
      </c>
      <c r="R53" s="14"/>
      <c r="S53" s="14"/>
      <c r="T53" s="14"/>
      <c r="U53" s="14"/>
      <c r="V53" s="14"/>
      <c r="W53" s="14"/>
      <c r="X53" s="14"/>
      <c r="Y53" s="36"/>
      <c r="Z53" s="10" t="s">
        <v>139</v>
      </c>
      <c r="AA53" s="11">
        <f>IF(Z53="SIM",(I53+G53)*$J$51,J53)</f>
        <v>337.31400000000002</v>
      </c>
      <c r="AB53" s="14">
        <f t="shared" ref="AB53:AB66" si="40">AA53*D53</f>
        <v>107940.48000000001</v>
      </c>
      <c r="AC53" s="18">
        <f>(I53+G53)*$J$51-AA53</f>
        <v>0</v>
      </c>
    </row>
    <row r="54" spans="1:30" x14ac:dyDescent="0.2">
      <c r="B54" s="15" t="s">
        <v>1</v>
      </c>
      <c r="C54" s="19" t="s">
        <v>11</v>
      </c>
      <c r="D54" s="19">
        <v>320</v>
      </c>
      <c r="E54" s="19" t="s">
        <v>57</v>
      </c>
      <c r="F54" s="19" t="s">
        <v>72</v>
      </c>
      <c r="G54" s="19">
        <v>10</v>
      </c>
      <c r="H54" s="20">
        <v>251.05</v>
      </c>
      <c r="I54" s="20">
        <v>245</v>
      </c>
      <c r="J54" s="20">
        <f t="shared" ref="J54:J66" si="41">(H54+G54)*$J$51</f>
        <v>345.31693999999999</v>
      </c>
      <c r="K54" s="120">
        <v>45564</v>
      </c>
      <c r="L54" s="19">
        <v>60</v>
      </c>
      <c r="M54" s="16">
        <f t="shared" si="39"/>
        <v>110501.42079999999</v>
      </c>
      <c r="N54" s="16"/>
      <c r="O54" s="16"/>
      <c r="P54" s="16"/>
      <c r="Q54" s="16">
        <f>M54</f>
        <v>110501.42079999999</v>
      </c>
      <c r="R54" s="16"/>
      <c r="S54" s="16"/>
      <c r="T54" s="16"/>
      <c r="U54" s="16"/>
      <c r="V54" s="16"/>
      <c r="W54" s="16"/>
      <c r="X54" s="16"/>
      <c r="Y54" s="36"/>
      <c r="Z54" s="19" t="s">
        <v>139</v>
      </c>
      <c r="AA54" s="20">
        <f t="shared" ref="AA54:AA66" si="42">IF(Z54="SIM",(I54+G54)*$J$51,J54)</f>
        <v>337.31400000000002</v>
      </c>
      <c r="AB54" s="16">
        <f t="shared" si="40"/>
        <v>107940.48000000001</v>
      </c>
      <c r="AC54" s="18">
        <f t="shared" ref="AC54:AC65" si="43">(I54+G54)*$J$51-AA54</f>
        <v>0</v>
      </c>
    </row>
    <row r="55" spans="1:30" x14ac:dyDescent="0.2">
      <c r="B55" s="9" t="s">
        <v>1</v>
      </c>
      <c r="C55" s="10" t="s">
        <v>10</v>
      </c>
      <c r="D55" s="10">
        <v>320</v>
      </c>
      <c r="E55" s="10" t="s">
        <v>57</v>
      </c>
      <c r="F55" s="10" t="s">
        <v>73</v>
      </c>
      <c r="G55" s="10">
        <v>10</v>
      </c>
      <c r="H55" s="11">
        <v>251.05</v>
      </c>
      <c r="I55" s="11">
        <v>231.1</v>
      </c>
      <c r="J55" s="11">
        <f t="shared" si="41"/>
        <v>345.31693999999999</v>
      </c>
      <c r="K55" s="45">
        <v>45564</v>
      </c>
      <c r="L55" s="10">
        <v>60</v>
      </c>
      <c r="M55" s="14">
        <f t="shared" si="39"/>
        <v>110501.42079999999</v>
      </c>
      <c r="N55" s="14"/>
      <c r="O55" s="14"/>
      <c r="P55" s="14"/>
      <c r="Q55" s="14">
        <f>M55</f>
        <v>110501.42079999999</v>
      </c>
      <c r="R55" s="14"/>
      <c r="S55" s="14"/>
      <c r="T55" s="14"/>
      <c r="U55" s="14"/>
      <c r="V55" s="14"/>
      <c r="W55" s="14"/>
      <c r="X55" s="14"/>
      <c r="Y55" s="36"/>
      <c r="Z55" s="10" t="s">
        <v>139</v>
      </c>
      <c r="AA55" s="11">
        <f t="shared" si="42"/>
        <v>318.92707999999999</v>
      </c>
      <c r="AB55" s="14">
        <f t="shared" si="40"/>
        <v>102056.66559999999</v>
      </c>
      <c r="AC55" s="18">
        <f t="shared" si="43"/>
        <v>0</v>
      </c>
    </row>
    <row r="56" spans="1:30" x14ac:dyDescent="0.2">
      <c r="B56" s="15" t="s">
        <v>1</v>
      </c>
      <c r="C56" s="19" t="s">
        <v>5</v>
      </c>
      <c r="D56" s="19">
        <v>160</v>
      </c>
      <c r="E56" s="19" t="s">
        <v>57</v>
      </c>
      <c r="F56" s="19" t="s">
        <v>74</v>
      </c>
      <c r="G56" s="19">
        <v>25</v>
      </c>
      <c r="H56" s="20">
        <v>280.75</v>
      </c>
      <c r="I56" s="20">
        <v>243.16</v>
      </c>
      <c r="J56" s="20">
        <f t="shared" si="41"/>
        <v>404.4461</v>
      </c>
      <c r="K56" s="120">
        <v>45599</v>
      </c>
      <c r="L56" s="19">
        <v>90</v>
      </c>
      <c r="M56" s="16">
        <f t="shared" si="39"/>
        <v>64711.376000000004</v>
      </c>
      <c r="N56" s="16"/>
      <c r="O56" s="16"/>
      <c r="P56" s="16"/>
      <c r="Q56" s="16"/>
      <c r="R56" s="16">
        <f>M56</f>
        <v>64711.376000000004</v>
      </c>
      <c r="S56" s="16"/>
      <c r="T56" s="16"/>
      <c r="U56" s="16"/>
      <c r="V56" s="16"/>
      <c r="W56" s="16"/>
      <c r="X56" s="16"/>
      <c r="Y56" s="36"/>
      <c r="Z56" s="19" t="s">
        <v>139</v>
      </c>
      <c r="AA56" s="20">
        <f t="shared" si="42"/>
        <v>354.72204799999997</v>
      </c>
      <c r="AB56" s="16">
        <f t="shared" si="40"/>
        <v>56755.527679999999</v>
      </c>
      <c r="AC56" s="18">
        <f t="shared" si="43"/>
        <v>0</v>
      </c>
    </row>
    <row r="57" spans="1:30" x14ac:dyDescent="0.2">
      <c r="B57" s="9" t="s">
        <v>1</v>
      </c>
      <c r="C57" s="10" t="s">
        <v>4</v>
      </c>
      <c r="D57" s="10">
        <v>160</v>
      </c>
      <c r="E57" s="10" t="s">
        <v>58</v>
      </c>
      <c r="F57" s="10" t="s">
        <v>75</v>
      </c>
      <c r="G57" s="10">
        <v>-8</v>
      </c>
      <c r="H57" s="11">
        <v>280.75</v>
      </c>
      <c r="I57" s="11">
        <v>243.16</v>
      </c>
      <c r="J57" s="11">
        <f t="shared" si="41"/>
        <v>360.7937</v>
      </c>
      <c r="K57" s="45">
        <v>45599</v>
      </c>
      <c r="L57" s="10">
        <v>60</v>
      </c>
      <c r="M57" s="14">
        <f t="shared" si="39"/>
        <v>57726.991999999998</v>
      </c>
      <c r="N57" s="14"/>
      <c r="O57" s="14"/>
      <c r="P57" s="14"/>
      <c r="Q57" s="14"/>
      <c r="R57" s="14">
        <f>M57</f>
        <v>57726.991999999998</v>
      </c>
      <c r="S57" s="14"/>
      <c r="T57" s="14"/>
      <c r="U57" s="14"/>
      <c r="V57" s="14"/>
      <c r="W57" s="14"/>
      <c r="X57" s="14"/>
      <c r="Y57" s="36"/>
      <c r="Z57" s="10" t="s">
        <v>139</v>
      </c>
      <c r="AA57" s="11">
        <f t="shared" si="42"/>
        <v>311.06964799999997</v>
      </c>
      <c r="AB57" s="14">
        <f t="shared" si="40"/>
        <v>49771.143679999994</v>
      </c>
      <c r="AC57" s="18">
        <f t="shared" si="43"/>
        <v>0</v>
      </c>
      <c r="AD57" s="31"/>
    </row>
    <row r="58" spans="1:30" x14ac:dyDescent="0.2">
      <c r="A58" s="9">
        <v>464</v>
      </c>
      <c r="B58" s="15" t="s">
        <v>1</v>
      </c>
      <c r="C58" s="19" t="s">
        <v>9</v>
      </c>
      <c r="D58" s="19">
        <v>320</v>
      </c>
      <c r="E58" s="19" t="s">
        <v>57</v>
      </c>
      <c r="F58" s="19" t="s">
        <v>75</v>
      </c>
      <c r="G58" s="19">
        <v>10</v>
      </c>
      <c r="H58" s="20">
        <v>323.25</v>
      </c>
      <c r="I58" s="20">
        <v>240.91</v>
      </c>
      <c r="J58" s="20">
        <f t="shared" si="41"/>
        <v>440.82310000000001</v>
      </c>
      <c r="K58" s="120">
        <v>45630</v>
      </c>
      <c r="L58" s="19">
        <v>60</v>
      </c>
      <c r="M58" s="16">
        <f>J58*D58</f>
        <v>141063.39199999999</v>
      </c>
      <c r="N58" s="16"/>
      <c r="O58" s="16"/>
      <c r="P58" s="16"/>
      <c r="Q58" s="16"/>
      <c r="R58" s="16"/>
      <c r="S58" s="16">
        <f>M58</f>
        <v>141063.39199999999</v>
      </c>
      <c r="T58" s="16"/>
      <c r="U58" s="16"/>
      <c r="V58" s="16"/>
      <c r="W58" s="16"/>
      <c r="X58" s="16"/>
      <c r="Y58" s="36"/>
      <c r="Z58" s="19" t="s">
        <v>139</v>
      </c>
      <c r="AA58" s="20">
        <f t="shared" si="42"/>
        <v>331.90374800000001</v>
      </c>
      <c r="AB58" s="16">
        <f t="shared" si="40"/>
        <v>106209.19936</v>
      </c>
      <c r="AC58" s="18">
        <f t="shared" si="43"/>
        <v>0</v>
      </c>
    </row>
    <row r="59" spans="1:30" x14ac:dyDescent="0.2">
      <c r="A59" s="9">
        <v>470</v>
      </c>
      <c r="B59" s="9" t="s">
        <v>1</v>
      </c>
      <c r="C59" s="10" t="s">
        <v>8</v>
      </c>
      <c r="D59" s="10">
        <v>320</v>
      </c>
      <c r="E59" s="10" t="s">
        <v>57</v>
      </c>
      <c r="F59" s="10" t="s">
        <v>76</v>
      </c>
      <c r="G59" s="10">
        <v>50</v>
      </c>
      <c r="H59" s="11">
        <v>323.25</v>
      </c>
      <c r="I59" s="11">
        <v>240.91</v>
      </c>
      <c r="J59" s="11">
        <f>(H59+G59)*$J$51</f>
        <v>493.73509999999999</v>
      </c>
      <c r="K59" s="45">
        <f>K58</f>
        <v>45630</v>
      </c>
      <c r="L59" s="10">
        <v>90</v>
      </c>
      <c r="M59" s="14">
        <f>J59*D59</f>
        <v>157995.23199999999</v>
      </c>
      <c r="N59" s="14"/>
      <c r="O59" s="14"/>
      <c r="P59" s="14"/>
      <c r="Q59" s="14"/>
      <c r="R59" s="14"/>
      <c r="S59" s="14">
        <f>M59</f>
        <v>157995.23199999999</v>
      </c>
      <c r="T59" s="14"/>
      <c r="U59" s="14"/>
      <c r="V59" s="14"/>
      <c r="W59" s="14"/>
      <c r="X59" s="14"/>
      <c r="Y59" s="36"/>
      <c r="Z59" s="10" t="s">
        <v>139</v>
      </c>
      <c r="AA59" s="11">
        <f>IF(Z59="SIM",(I59+G59)*$J$51,J59)</f>
        <v>384.81574799999993</v>
      </c>
      <c r="AB59" s="14">
        <f t="shared" si="40"/>
        <v>123141.03935999998</v>
      </c>
      <c r="AC59" s="18">
        <f t="shared" si="43"/>
        <v>0</v>
      </c>
    </row>
    <row r="60" spans="1:30" x14ac:dyDescent="0.2">
      <c r="A60" s="9">
        <v>497</v>
      </c>
      <c r="B60" s="15" t="s">
        <v>1</v>
      </c>
      <c r="C60" s="19" t="s">
        <v>7</v>
      </c>
      <c r="D60" s="19">
        <v>320</v>
      </c>
      <c r="E60" s="19" t="s">
        <v>58</v>
      </c>
      <c r="F60" s="19" t="s">
        <v>77</v>
      </c>
      <c r="G60" s="19">
        <v>-8</v>
      </c>
      <c r="H60" s="20">
        <v>323.25</v>
      </c>
      <c r="I60" s="20">
        <v>240.91</v>
      </c>
      <c r="J60" s="20">
        <f t="shared" si="41"/>
        <v>417.0127</v>
      </c>
      <c r="K60" s="120">
        <f>K59</f>
        <v>45630</v>
      </c>
      <c r="L60" s="19">
        <v>90</v>
      </c>
      <c r="M60" s="16">
        <f>J60*D60</f>
        <v>133444.06400000001</v>
      </c>
      <c r="N60" s="16"/>
      <c r="O60" s="16"/>
      <c r="P60" s="16"/>
      <c r="Q60" s="16"/>
      <c r="R60" s="16"/>
      <c r="S60" s="16">
        <f>M60</f>
        <v>133444.06400000001</v>
      </c>
      <c r="T60" s="16"/>
      <c r="U60" s="16"/>
      <c r="V60" s="16"/>
      <c r="W60" s="16"/>
      <c r="X60" s="16"/>
      <c r="Y60" s="36"/>
      <c r="Z60" s="19" t="s">
        <v>139</v>
      </c>
      <c r="AA60" s="20">
        <f t="shared" si="42"/>
        <v>308.09334799999999</v>
      </c>
      <c r="AB60" s="16">
        <f t="shared" si="40"/>
        <v>98589.87135999999</v>
      </c>
      <c r="AC60" s="18">
        <f t="shared" si="43"/>
        <v>0</v>
      </c>
    </row>
    <row r="61" spans="1:30" x14ac:dyDescent="0.2">
      <c r="A61" s="9">
        <v>469</v>
      </c>
      <c r="B61" s="9" t="s">
        <v>1</v>
      </c>
      <c r="C61" s="10" t="s">
        <v>5</v>
      </c>
      <c r="D61" s="10">
        <v>160</v>
      </c>
      <c r="E61" s="10" t="s">
        <v>57</v>
      </c>
      <c r="F61" s="10" t="s">
        <v>74</v>
      </c>
      <c r="G61" s="10">
        <v>25</v>
      </c>
      <c r="H61" s="11">
        <f>357.7+G61+13.95</f>
        <v>396.65</v>
      </c>
      <c r="I61" s="11">
        <f>I56+13.95</f>
        <v>257.11</v>
      </c>
      <c r="J61" s="11">
        <f>(H61+G61)*$J$51</f>
        <v>557.75861999999995</v>
      </c>
      <c r="K61" s="45">
        <v>45349</v>
      </c>
      <c r="L61" s="10">
        <v>90</v>
      </c>
      <c r="M61" s="14">
        <f t="shared" si="39"/>
        <v>89241.379199999996</v>
      </c>
      <c r="N61" s="14"/>
      <c r="O61" s="14"/>
      <c r="P61" s="14"/>
      <c r="Q61" s="14"/>
      <c r="R61" s="14"/>
      <c r="S61" s="14"/>
      <c r="T61" s="14"/>
      <c r="U61" s="14"/>
      <c r="V61" s="14">
        <f>M61</f>
        <v>89241.379199999996</v>
      </c>
      <c r="W61" s="14"/>
      <c r="X61" s="14"/>
      <c r="Y61" s="36"/>
      <c r="Z61" s="10" t="s">
        <v>139</v>
      </c>
      <c r="AA61" s="11">
        <f t="shared" si="42"/>
        <v>373.17510800000002</v>
      </c>
      <c r="AB61" s="14">
        <f t="shared" si="40"/>
        <v>59708.01728</v>
      </c>
      <c r="AC61" s="18">
        <f t="shared" si="43"/>
        <v>0</v>
      </c>
    </row>
    <row r="62" spans="1:30" x14ac:dyDescent="0.2">
      <c r="A62" s="9">
        <v>467</v>
      </c>
      <c r="B62" s="15" t="s">
        <v>1</v>
      </c>
      <c r="C62" s="19" t="s">
        <v>4</v>
      </c>
      <c r="D62" s="19">
        <v>160</v>
      </c>
      <c r="E62" s="19" t="s">
        <v>57</v>
      </c>
      <c r="F62" s="19" t="s">
        <v>75</v>
      </c>
      <c r="G62" s="19">
        <v>-8</v>
      </c>
      <c r="H62" s="20">
        <f>399.95+G62+13.95</f>
        <v>405.9</v>
      </c>
      <c r="I62" s="20">
        <f>I57+13.95</f>
        <v>257.11</v>
      </c>
      <c r="J62" s="20">
        <f>(H62+G62)*$J$51</f>
        <v>526.34211999999991</v>
      </c>
      <c r="K62" s="120">
        <v>45349</v>
      </c>
      <c r="L62" s="19">
        <v>60</v>
      </c>
      <c r="M62" s="16">
        <f>J62*D62</f>
        <v>84214.739199999982</v>
      </c>
      <c r="N62" s="16"/>
      <c r="O62" s="16"/>
      <c r="P62" s="16"/>
      <c r="Q62" s="16"/>
      <c r="R62" s="16"/>
      <c r="S62" s="16"/>
      <c r="T62" s="16"/>
      <c r="U62" s="16">
        <f>M62</f>
        <v>84214.739199999982</v>
      </c>
      <c r="V62" s="16"/>
      <c r="W62" s="16"/>
      <c r="X62" s="16"/>
      <c r="Y62" s="36"/>
      <c r="Z62" s="19" t="s">
        <v>139</v>
      </c>
      <c r="AA62" s="20">
        <f>IF(Z62="SIM",(I62+G62)*$J$51,J62)</f>
        <v>329.52270800000002</v>
      </c>
      <c r="AB62" s="16">
        <f>AA62*D62</f>
        <v>52723.633280000002</v>
      </c>
      <c r="AC62" s="18">
        <f t="shared" si="43"/>
        <v>0</v>
      </c>
    </row>
    <row r="63" spans="1:30" x14ac:dyDescent="0.2">
      <c r="A63" s="9">
        <v>465</v>
      </c>
      <c r="B63" s="9" t="s">
        <v>1</v>
      </c>
      <c r="C63" s="10" t="s">
        <v>6</v>
      </c>
      <c r="D63" s="10">
        <v>320</v>
      </c>
      <c r="E63" s="10" t="s">
        <v>57</v>
      </c>
      <c r="F63" s="10" t="s">
        <v>75</v>
      </c>
      <c r="G63" s="10">
        <v>10</v>
      </c>
      <c r="H63" s="11">
        <v>342</v>
      </c>
      <c r="I63" s="11">
        <v>240.91</v>
      </c>
      <c r="J63" s="11">
        <f t="shared" si="41"/>
        <v>465.62559999999996</v>
      </c>
      <c r="K63" s="45">
        <v>45678</v>
      </c>
      <c r="L63" s="10">
        <v>60</v>
      </c>
      <c r="M63" s="14">
        <f t="shared" si="39"/>
        <v>149000.19199999998</v>
      </c>
      <c r="N63" s="14"/>
      <c r="O63" s="14"/>
      <c r="P63" s="14"/>
      <c r="Q63" s="14"/>
      <c r="R63" s="14"/>
      <c r="S63" s="14"/>
      <c r="T63" s="14">
        <f>M63</f>
        <v>149000.19199999998</v>
      </c>
      <c r="U63" s="14"/>
      <c r="V63" s="14"/>
      <c r="W63" s="14"/>
      <c r="X63" s="14"/>
      <c r="Y63" s="36"/>
      <c r="Z63" s="10" t="s">
        <v>139</v>
      </c>
      <c r="AA63" s="11">
        <f t="shared" si="42"/>
        <v>331.90374800000001</v>
      </c>
      <c r="AB63" s="14">
        <f t="shared" si="40"/>
        <v>106209.19936</v>
      </c>
      <c r="AC63" s="18">
        <f t="shared" si="43"/>
        <v>0</v>
      </c>
    </row>
    <row r="64" spans="1:30" x14ac:dyDescent="0.2">
      <c r="A64" s="9">
        <v>463</v>
      </c>
      <c r="B64" s="15" t="s">
        <v>1</v>
      </c>
      <c r="C64" s="19" t="s">
        <v>3</v>
      </c>
      <c r="D64" s="19">
        <v>320</v>
      </c>
      <c r="E64" s="19" t="s">
        <v>57</v>
      </c>
      <c r="F64" s="19" t="s">
        <v>73</v>
      </c>
      <c r="G64" s="19">
        <v>10</v>
      </c>
      <c r="H64" s="20">
        <v>342</v>
      </c>
      <c r="I64" s="20">
        <v>240.91</v>
      </c>
      <c r="J64" s="20">
        <f t="shared" si="41"/>
        <v>465.62559999999996</v>
      </c>
      <c r="K64" s="120">
        <v>45678</v>
      </c>
      <c r="L64" s="19">
        <v>60</v>
      </c>
      <c r="M64" s="16">
        <f t="shared" si="39"/>
        <v>149000.19199999998</v>
      </c>
      <c r="N64" s="16"/>
      <c r="O64" s="16"/>
      <c r="P64" s="16"/>
      <c r="Q64" s="16"/>
      <c r="R64" s="16"/>
      <c r="S64" s="16"/>
      <c r="T64" s="16">
        <f>M64</f>
        <v>149000.19199999998</v>
      </c>
      <c r="U64" s="16"/>
      <c r="V64" s="16"/>
      <c r="W64" s="16"/>
      <c r="X64" s="16"/>
      <c r="Y64" s="36"/>
      <c r="Z64" s="19" t="s">
        <v>139</v>
      </c>
      <c r="AA64" s="20">
        <f t="shared" si="42"/>
        <v>331.90374800000001</v>
      </c>
      <c r="AB64" s="16">
        <f t="shared" si="40"/>
        <v>106209.19936</v>
      </c>
      <c r="AC64" s="18">
        <f t="shared" si="43"/>
        <v>0</v>
      </c>
    </row>
    <row r="65" spans="1:29" x14ac:dyDescent="0.2">
      <c r="A65" s="9">
        <v>468</v>
      </c>
      <c r="B65" s="9" t="s">
        <v>1</v>
      </c>
      <c r="C65" s="10" t="s">
        <v>2</v>
      </c>
      <c r="D65" s="10">
        <v>320</v>
      </c>
      <c r="E65" s="10" t="s">
        <v>62</v>
      </c>
      <c r="F65" s="10" t="s">
        <v>77</v>
      </c>
      <c r="G65" s="10">
        <v>-28</v>
      </c>
      <c r="H65" s="11">
        <f>M6+13.95</f>
        <v>406.65</v>
      </c>
      <c r="I65" s="11">
        <f>238.17+13.95</f>
        <v>252.11999999999998</v>
      </c>
      <c r="J65" s="11">
        <f t="shared" si="41"/>
        <v>500.87821999999994</v>
      </c>
      <c r="K65" s="40">
        <v>45746</v>
      </c>
      <c r="L65" s="10">
        <v>60</v>
      </c>
      <c r="M65" s="14">
        <f t="shared" si="39"/>
        <v>160281.03039999999</v>
      </c>
      <c r="N65" s="14"/>
      <c r="O65" s="14"/>
      <c r="P65" s="14"/>
      <c r="Q65" s="14"/>
      <c r="R65" s="14"/>
      <c r="S65" s="14"/>
      <c r="T65" s="14"/>
      <c r="U65" s="14"/>
      <c r="V65" s="14">
        <f>M65</f>
        <v>160281.03039999999</v>
      </c>
      <c r="W65" s="14"/>
      <c r="X65" s="14"/>
      <c r="Y65" s="36"/>
      <c r="Z65" s="10" t="s">
        <v>139</v>
      </c>
      <c r="AA65" s="11">
        <f>IF(Z65="SIM",(I65+G65)*$J$51,J65)</f>
        <v>296.46593599999994</v>
      </c>
      <c r="AB65" s="14">
        <f>AA65*D65</f>
        <v>94869.099519999989</v>
      </c>
      <c r="AC65" s="18">
        <f t="shared" si="43"/>
        <v>0</v>
      </c>
    </row>
    <row r="66" spans="1:29" x14ac:dyDescent="0.2">
      <c r="A66" s="9">
        <v>466</v>
      </c>
      <c r="B66" s="15" t="s">
        <v>1</v>
      </c>
      <c r="C66" s="19" t="s">
        <v>0</v>
      </c>
      <c r="D66" s="19">
        <v>320</v>
      </c>
      <c r="E66" s="19" t="s">
        <v>57</v>
      </c>
      <c r="F66" s="19" t="s">
        <v>75</v>
      </c>
      <c r="G66" s="19">
        <v>10</v>
      </c>
      <c r="H66" s="20">
        <f>M6</f>
        <v>392.7</v>
      </c>
      <c r="I66" s="20">
        <v>238.17</v>
      </c>
      <c r="J66" s="20">
        <f t="shared" si="41"/>
        <v>532.69155999999998</v>
      </c>
      <c r="K66" s="41">
        <v>45746</v>
      </c>
      <c r="L66" s="19">
        <v>60</v>
      </c>
      <c r="M66" s="16">
        <f t="shared" si="39"/>
        <v>170461.29920000001</v>
      </c>
      <c r="N66" s="16"/>
      <c r="O66" s="16"/>
      <c r="P66" s="16"/>
      <c r="Q66" s="16"/>
      <c r="R66" s="16"/>
      <c r="S66" s="16"/>
      <c r="T66" s="16"/>
      <c r="U66" s="16"/>
      <c r="V66" s="16">
        <f>M66</f>
        <v>170461.29920000001</v>
      </c>
      <c r="W66" s="16"/>
      <c r="X66" s="16"/>
      <c r="Y66" s="36"/>
      <c r="Z66" s="19" t="s">
        <v>139</v>
      </c>
      <c r="AA66" s="20">
        <f t="shared" si="42"/>
        <v>328.27927599999998</v>
      </c>
      <c r="AB66" s="16">
        <f t="shared" si="40"/>
        <v>105049.36831999999</v>
      </c>
      <c r="AC66" s="18">
        <f>(I66+G66)*$J$51-AA66</f>
        <v>0</v>
      </c>
    </row>
    <row r="67" spans="1:29" x14ac:dyDescent="0.2">
      <c r="B67" s="3" t="s">
        <v>32</v>
      </c>
      <c r="C67" s="5"/>
      <c r="D67" s="5">
        <f>SUM(D53:D66)</f>
        <v>3840</v>
      </c>
      <c r="E67" s="5"/>
      <c r="F67" s="5"/>
      <c r="G67" s="3"/>
      <c r="H67" s="3"/>
      <c r="I67" s="3"/>
      <c r="J67" s="3"/>
      <c r="K67" s="42"/>
      <c r="L67" s="3"/>
      <c r="M67" s="7">
        <f>SUM(M53:M66)</f>
        <v>1688644.1504000002</v>
      </c>
      <c r="N67" s="7">
        <f>SUM(N53:N66)</f>
        <v>0</v>
      </c>
      <c r="O67" s="7">
        <f t="shared" ref="O67:X67" si="44">SUM(O53:O66)</f>
        <v>0</v>
      </c>
      <c r="P67" s="7">
        <f t="shared" si="44"/>
        <v>0</v>
      </c>
      <c r="Q67" s="7">
        <f>SUM(Q53:Q66)</f>
        <v>331504.26240000001</v>
      </c>
      <c r="R67" s="7">
        <f t="shared" ref="R67:W67" si="45">SUM(R53:R66)</f>
        <v>122438.368</v>
      </c>
      <c r="S67" s="7">
        <f t="shared" si="45"/>
        <v>432502.68799999997</v>
      </c>
      <c r="T67" s="7">
        <f t="shared" si="45"/>
        <v>298000.38399999996</v>
      </c>
      <c r="U67" s="7">
        <f t="shared" si="45"/>
        <v>84214.739199999982</v>
      </c>
      <c r="V67" s="7">
        <f t="shared" si="45"/>
        <v>419983.70880000002</v>
      </c>
      <c r="W67" s="7">
        <f t="shared" si="45"/>
        <v>0</v>
      </c>
      <c r="X67" s="7">
        <f t="shared" si="44"/>
        <v>0</v>
      </c>
      <c r="Y67" s="36"/>
      <c r="Z67" s="3"/>
      <c r="AA67" s="3"/>
      <c r="AB67" s="7">
        <f>SUM(AB53:AB66)</f>
        <v>1277172.9241599997</v>
      </c>
    </row>
    <row r="68" spans="1:29" x14ac:dyDescent="0.2">
      <c r="B68" s="1"/>
      <c r="C68" s="6"/>
      <c r="D68" s="6"/>
      <c r="E68" s="6"/>
      <c r="F68" s="6"/>
      <c r="G68" s="1"/>
      <c r="H68" s="1"/>
      <c r="I68" s="1"/>
      <c r="J68" s="1"/>
      <c r="K68" s="43"/>
      <c r="L68" s="1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36"/>
      <c r="Z68" s="1"/>
      <c r="AA68" s="1"/>
    </row>
    <row r="69" spans="1:29" x14ac:dyDescent="0.2">
      <c r="B69" s="9" t="s">
        <v>23</v>
      </c>
      <c r="C69" s="10" t="s">
        <v>24</v>
      </c>
      <c r="D69" s="10">
        <v>320</v>
      </c>
      <c r="E69" s="10" t="s">
        <v>57</v>
      </c>
      <c r="F69" s="10" t="s">
        <v>75</v>
      </c>
      <c r="G69" s="10">
        <v>0</v>
      </c>
      <c r="H69" s="11"/>
      <c r="I69" s="11"/>
      <c r="J69" s="11">
        <v>325</v>
      </c>
      <c r="K69" s="45">
        <v>45671</v>
      </c>
      <c r="L69" s="10" t="s">
        <v>26</v>
      </c>
      <c r="M69" s="14">
        <f>J69*D69</f>
        <v>104000</v>
      </c>
      <c r="N69" s="14"/>
      <c r="O69" s="14"/>
      <c r="P69" s="14"/>
      <c r="R69" s="14">
        <f>M69/4</f>
        <v>26000</v>
      </c>
      <c r="S69" s="14">
        <f>R69</f>
        <v>26000</v>
      </c>
      <c r="T69" s="14">
        <f>S69</f>
        <v>26000</v>
      </c>
      <c r="U69" s="14">
        <f>T69</f>
        <v>26000</v>
      </c>
      <c r="V69" s="14"/>
      <c r="W69" s="14"/>
      <c r="X69" s="14"/>
      <c r="Y69" s="36"/>
      <c r="Z69" s="10"/>
      <c r="AA69" s="11">
        <f>IF(Z69="SIM",(I69+G69)*$J$51,J69)</f>
        <v>325</v>
      </c>
      <c r="AB69" s="14">
        <f>AA69*D69</f>
        <v>104000</v>
      </c>
      <c r="AC69" s="18"/>
    </row>
    <row r="70" spans="1:29" x14ac:dyDescent="0.2">
      <c r="B70" s="15" t="s">
        <v>23</v>
      </c>
      <c r="C70" s="19" t="s">
        <v>25</v>
      </c>
      <c r="D70" s="19">
        <v>320</v>
      </c>
      <c r="E70" s="19" t="s">
        <v>70</v>
      </c>
      <c r="F70" s="19" t="s">
        <v>70</v>
      </c>
      <c r="G70" s="19">
        <v>0</v>
      </c>
      <c r="H70" s="20"/>
      <c r="I70" s="20"/>
      <c r="J70" s="20">
        <v>325</v>
      </c>
      <c r="K70" s="252">
        <v>45671</v>
      </c>
      <c r="L70" s="19" t="s">
        <v>26</v>
      </c>
      <c r="M70" s="16">
        <f>J70*D70</f>
        <v>104000</v>
      </c>
      <c r="N70" s="16"/>
      <c r="O70" s="16"/>
      <c r="P70" s="16"/>
      <c r="Q70" s="16"/>
      <c r="R70" s="16"/>
      <c r="S70" s="16">
        <f>M70/4</f>
        <v>26000</v>
      </c>
      <c r="T70" s="16">
        <f>S70</f>
        <v>26000</v>
      </c>
      <c r="U70" s="16">
        <f>T70</f>
        <v>26000</v>
      </c>
      <c r="V70" s="16">
        <f>U70</f>
        <v>26000</v>
      </c>
      <c r="W70" s="16"/>
      <c r="X70" s="16"/>
      <c r="Y70" s="36"/>
      <c r="Z70" s="19"/>
      <c r="AA70" s="20">
        <f>IF(Z70="SIM",(I70+G70)*$J$51,J70)</f>
        <v>325</v>
      </c>
      <c r="AB70" s="16">
        <f>AA70*D70</f>
        <v>104000</v>
      </c>
      <c r="AC70" s="18"/>
    </row>
    <row r="71" spans="1:29" x14ac:dyDescent="0.2">
      <c r="B71" s="3" t="s">
        <v>33</v>
      </c>
      <c r="C71" s="5"/>
      <c r="D71" s="5">
        <f>SUM(D69:D70)</f>
        <v>640</v>
      </c>
      <c r="E71" s="5"/>
      <c r="F71" s="5"/>
      <c r="G71" s="5"/>
      <c r="H71" s="5"/>
      <c r="I71" s="5"/>
      <c r="J71" s="5"/>
      <c r="K71" s="44"/>
      <c r="L71" s="5"/>
      <c r="M71" s="7">
        <f t="shared" ref="M71:X71" si="46">SUM(M69:M70)</f>
        <v>208000</v>
      </c>
      <c r="N71" s="7">
        <f t="shared" si="46"/>
        <v>0</v>
      </c>
      <c r="O71" s="7">
        <f t="shared" si="46"/>
        <v>0</v>
      </c>
      <c r="P71" s="7">
        <f t="shared" si="46"/>
        <v>0</v>
      </c>
      <c r="Q71" s="7">
        <f t="shared" si="46"/>
        <v>0</v>
      </c>
      <c r="R71" s="7">
        <f t="shared" si="46"/>
        <v>26000</v>
      </c>
      <c r="S71" s="7">
        <f t="shared" si="46"/>
        <v>52000</v>
      </c>
      <c r="T71" s="7">
        <f t="shared" si="46"/>
        <v>52000</v>
      </c>
      <c r="U71" s="7">
        <f>SUM(U69:U70)</f>
        <v>52000</v>
      </c>
      <c r="V71" s="7">
        <f t="shared" si="46"/>
        <v>26000</v>
      </c>
      <c r="W71" s="7"/>
      <c r="X71" s="7">
        <f t="shared" si="46"/>
        <v>0</v>
      </c>
      <c r="Y71" s="36"/>
      <c r="Z71" s="5"/>
      <c r="AA71" s="5"/>
      <c r="AB71" s="7">
        <f>SUM(AB69:AB70)</f>
        <v>208000</v>
      </c>
    </row>
    <row r="72" spans="1:29" x14ac:dyDescent="0.2">
      <c r="B72" s="1"/>
      <c r="C72" s="6"/>
      <c r="D72" s="6"/>
      <c r="E72" s="6"/>
      <c r="F72" s="6"/>
      <c r="G72" s="6"/>
      <c r="H72" s="6"/>
      <c r="I72" s="6"/>
      <c r="J72" s="6"/>
      <c r="K72" s="45"/>
      <c r="L72" s="6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36"/>
      <c r="Z72" s="6"/>
      <c r="AA72" s="6"/>
    </row>
    <row r="73" spans="1:29" x14ac:dyDescent="0.2">
      <c r="B73" s="9" t="s">
        <v>203</v>
      </c>
      <c r="C73" s="10" t="s">
        <v>27</v>
      </c>
      <c r="D73" s="10">
        <v>320</v>
      </c>
      <c r="E73" s="10" t="s">
        <v>57</v>
      </c>
      <c r="F73" s="10" t="s">
        <v>78</v>
      </c>
      <c r="G73" s="10">
        <v>25</v>
      </c>
      <c r="H73" s="11">
        <v>329</v>
      </c>
      <c r="I73" s="11">
        <f>H129</f>
        <v>293.60000000000002</v>
      </c>
      <c r="J73" s="11">
        <f>(H73+G73)*$J$51</f>
        <v>468.27119999999996</v>
      </c>
      <c r="K73" s="45">
        <v>45666</v>
      </c>
      <c r="L73" s="10" t="s">
        <v>140</v>
      </c>
      <c r="M73" s="14">
        <f>J73*D73</f>
        <v>149846.78399999999</v>
      </c>
      <c r="N73" s="14"/>
      <c r="O73" s="14"/>
      <c r="P73" s="14"/>
      <c r="Q73" s="14"/>
      <c r="R73" s="14">
        <f>M73</f>
        <v>149846.78399999999</v>
      </c>
      <c r="S73" s="14"/>
      <c r="T73" s="14"/>
      <c r="U73" s="14"/>
      <c r="V73" s="14"/>
      <c r="W73" s="14"/>
      <c r="X73" s="14"/>
      <c r="Y73" s="36"/>
      <c r="Z73" s="10" t="s">
        <v>139</v>
      </c>
      <c r="AA73" s="11">
        <f>IF(Z73="preço",(H73+G73)*$J$51,(I73+G73)*$J$51)</f>
        <v>421.44408000000004</v>
      </c>
      <c r="AB73" s="14">
        <f>AA73*D73</f>
        <v>134862.10560000001</v>
      </c>
      <c r="AC73" s="18">
        <f>(I73+G73)*$J$51-AA73</f>
        <v>0</v>
      </c>
    </row>
    <row r="74" spans="1:29" x14ac:dyDescent="0.2">
      <c r="B74" s="3" t="s">
        <v>34</v>
      </c>
      <c r="C74" s="5"/>
      <c r="D74" s="5">
        <f>D73</f>
        <v>320</v>
      </c>
      <c r="E74" s="5"/>
      <c r="F74" s="5"/>
      <c r="G74" s="5"/>
      <c r="H74" s="5"/>
      <c r="I74" s="5"/>
      <c r="J74" s="5"/>
      <c r="K74" s="44"/>
      <c r="L74" s="5"/>
      <c r="M74" s="7">
        <f t="shared" ref="M74:X74" si="47">M73</f>
        <v>149846.78399999999</v>
      </c>
      <c r="N74" s="7">
        <f t="shared" si="47"/>
        <v>0</v>
      </c>
      <c r="O74" s="7">
        <f t="shared" si="47"/>
        <v>0</v>
      </c>
      <c r="P74" s="7">
        <f t="shared" si="47"/>
        <v>0</v>
      </c>
      <c r="Q74" s="7">
        <f t="shared" si="47"/>
        <v>0</v>
      </c>
      <c r="R74" s="7">
        <f t="shared" si="47"/>
        <v>149846.78399999999</v>
      </c>
      <c r="S74" s="7">
        <f t="shared" si="47"/>
        <v>0</v>
      </c>
      <c r="T74" s="7">
        <f t="shared" si="47"/>
        <v>0</v>
      </c>
      <c r="U74" s="7">
        <f t="shared" si="47"/>
        <v>0</v>
      </c>
      <c r="V74" s="7">
        <f t="shared" si="47"/>
        <v>0</v>
      </c>
      <c r="W74" s="7"/>
      <c r="X74" s="7">
        <f t="shared" si="47"/>
        <v>0</v>
      </c>
      <c r="Y74" s="36"/>
      <c r="Z74" s="5"/>
      <c r="AA74" s="7"/>
      <c r="AB74" s="7">
        <f>AB73</f>
        <v>134862.10560000001</v>
      </c>
    </row>
    <row r="75" spans="1:29" x14ac:dyDescent="0.2">
      <c r="B75" s="1"/>
      <c r="C75" s="6"/>
      <c r="D75" s="6"/>
      <c r="E75" s="6"/>
      <c r="F75" s="6"/>
      <c r="G75" s="6"/>
      <c r="H75" s="6"/>
      <c r="I75" s="6"/>
      <c r="J75" s="6"/>
      <c r="K75" s="45"/>
      <c r="L75" s="6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36"/>
      <c r="Z75" s="6"/>
      <c r="AA75" s="25"/>
      <c r="AB75" s="25"/>
    </row>
    <row r="76" spans="1:29" x14ac:dyDescent="0.2">
      <c r="B76" s="9" t="s">
        <v>89</v>
      </c>
      <c r="C76" s="50"/>
      <c r="D76" s="10">
        <v>280</v>
      </c>
      <c r="E76" s="10" t="s">
        <v>70</v>
      </c>
      <c r="F76" s="10" t="s">
        <v>70</v>
      </c>
      <c r="G76" s="10"/>
      <c r="H76" s="11"/>
      <c r="I76" s="11"/>
      <c r="J76" s="11">
        <f>88706.97/D76</f>
        <v>316.81060714285712</v>
      </c>
      <c r="K76" s="40"/>
      <c r="L76" s="10"/>
      <c r="M76" s="14">
        <f>J76*D76</f>
        <v>88706.97</v>
      </c>
      <c r="N76" s="14">
        <v>53224.18</v>
      </c>
      <c r="O76" s="47"/>
      <c r="P76" s="14">
        <v>30300</v>
      </c>
      <c r="Q76" s="14"/>
      <c r="R76" s="14"/>
      <c r="S76" s="14"/>
      <c r="T76" s="14"/>
      <c r="U76" s="14"/>
      <c r="V76" s="14"/>
      <c r="W76" s="14"/>
      <c r="X76" s="14"/>
      <c r="Y76" s="36"/>
      <c r="Z76" s="10"/>
      <c r="AA76" s="47">
        <f>J76</f>
        <v>316.81060714285712</v>
      </c>
      <c r="AB76" s="14">
        <f>AA76*D76</f>
        <v>88706.97</v>
      </c>
    </row>
    <row r="77" spans="1:29" x14ac:dyDescent="0.2">
      <c r="B77" s="15" t="s">
        <v>89</v>
      </c>
      <c r="C77" s="19"/>
      <c r="D77" s="19">
        <v>320</v>
      </c>
      <c r="E77" s="19" t="s">
        <v>70</v>
      </c>
      <c r="F77" s="19" t="s">
        <v>70</v>
      </c>
      <c r="G77" s="19"/>
      <c r="H77" s="19"/>
      <c r="I77" s="19"/>
      <c r="J77" s="20">
        <f>104576/D77</f>
        <v>326.8</v>
      </c>
      <c r="K77" s="41"/>
      <c r="L77" s="19"/>
      <c r="M77" s="16">
        <f>J77*D77</f>
        <v>104576</v>
      </c>
      <c r="N77" s="16"/>
      <c r="O77" s="16"/>
      <c r="P77" s="16"/>
      <c r="Q77" s="16"/>
      <c r="R77" s="16"/>
      <c r="S77" s="16">
        <v>50000</v>
      </c>
      <c r="T77" s="16">
        <f>M77-S77</f>
        <v>54576</v>
      </c>
      <c r="U77" s="16"/>
      <c r="V77" s="16"/>
      <c r="W77" s="16"/>
      <c r="X77" s="16"/>
      <c r="Y77" s="36"/>
      <c r="Z77" s="19"/>
      <c r="AA77" s="127">
        <f>J77</f>
        <v>326.8</v>
      </c>
      <c r="AB77" s="16">
        <f>AA77*D77</f>
        <v>104576</v>
      </c>
    </row>
    <row r="78" spans="1:29" x14ac:dyDescent="0.2">
      <c r="B78" s="9" t="s">
        <v>89</v>
      </c>
      <c r="C78" s="50" t="s">
        <v>90</v>
      </c>
      <c r="D78" s="10">
        <v>320</v>
      </c>
      <c r="E78" s="10" t="s">
        <v>57</v>
      </c>
      <c r="F78" s="10" t="s">
        <v>77</v>
      </c>
      <c r="G78" s="10">
        <v>0</v>
      </c>
      <c r="H78" s="11"/>
      <c r="I78" s="11"/>
      <c r="J78" s="11">
        <v>413</v>
      </c>
      <c r="K78" s="45">
        <v>45695</v>
      </c>
      <c r="L78" s="10">
        <v>60</v>
      </c>
      <c r="M78" s="14">
        <f>J78*D78</f>
        <v>132160</v>
      </c>
      <c r="N78" s="14"/>
      <c r="O78" s="14"/>
      <c r="P78" s="14"/>
      <c r="Q78" s="14"/>
      <c r="R78" s="14"/>
      <c r="S78" s="14"/>
      <c r="T78" s="14"/>
      <c r="U78" s="14"/>
      <c r="V78" s="14">
        <f>M78</f>
        <v>132160</v>
      </c>
      <c r="W78" s="14"/>
      <c r="X78" s="14"/>
      <c r="Y78" s="36"/>
      <c r="Z78" s="10"/>
      <c r="AA78" s="47">
        <f>J78</f>
        <v>413</v>
      </c>
      <c r="AB78" s="14">
        <f>AA78*D78</f>
        <v>132160</v>
      </c>
      <c r="AC78" s="18"/>
    </row>
    <row r="79" spans="1:29" x14ac:dyDescent="0.2">
      <c r="B79" s="15" t="s">
        <v>89</v>
      </c>
      <c r="C79" s="19" t="s">
        <v>142</v>
      </c>
      <c r="D79" s="19">
        <v>320</v>
      </c>
      <c r="E79" s="19" t="s">
        <v>57</v>
      </c>
      <c r="F79" s="19" t="s">
        <v>77</v>
      </c>
      <c r="G79" s="19">
        <v>0</v>
      </c>
      <c r="H79" s="19"/>
      <c r="I79" s="19"/>
      <c r="J79" s="20">
        <v>450</v>
      </c>
      <c r="K79" s="120">
        <v>45695</v>
      </c>
      <c r="L79" s="19">
        <v>60</v>
      </c>
      <c r="M79" s="16">
        <f>J79*D79</f>
        <v>144000</v>
      </c>
      <c r="N79" s="16"/>
      <c r="O79" s="16"/>
      <c r="P79" s="16"/>
      <c r="Q79" s="16"/>
      <c r="R79" s="16"/>
      <c r="S79" s="16"/>
      <c r="T79" s="16"/>
      <c r="U79" s="16"/>
      <c r="V79" s="16">
        <f>M79</f>
        <v>144000</v>
      </c>
      <c r="W79" s="16"/>
      <c r="X79" s="16"/>
      <c r="Y79" s="36"/>
      <c r="Z79" s="19"/>
      <c r="AA79" s="127">
        <f>J79</f>
        <v>450</v>
      </c>
      <c r="AB79" s="16">
        <f>AA79*D79</f>
        <v>144000</v>
      </c>
      <c r="AC79" s="18"/>
    </row>
    <row r="80" spans="1:29" x14ac:dyDescent="0.2">
      <c r="B80" s="9" t="s">
        <v>89</v>
      </c>
      <c r="C80" s="50" t="s">
        <v>143</v>
      </c>
      <c r="D80" s="10">
        <v>223</v>
      </c>
      <c r="E80" s="10" t="s">
        <v>71</v>
      </c>
      <c r="F80" s="10" t="s">
        <v>70</v>
      </c>
      <c r="G80" s="10">
        <v>0</v>
      </c>
      <c r="H80" s="11"/>
      <c r="I80" s="11"/>
      <c r="J80" s="11">
        <v>409.35</v>
      </c>
      <c r="K80" s="45">
        <v>45695</v>
      </c>
      <c r="L80" s="10">
        <v>60</v>
      </c>
      <c r="M80" s="14">
        <f>J80*D80</f>
        <v>91285.05</v>
      </c>
      <c r="N80" s="14"/>
      <c r="O80" s="14"/>
      <c r="P80" s="14"/>
      <c r="Q80" s="14"/>
      <c r="R80" s="14"/>
      <c r="S80" s="14"/>
      <c r="T80" s="14"/>
      <c r="U80" s="14"/>
      <c r="V80" s="14">
        <f>M80</f>
        <v>91285.05</v>
      </c>
      <c r="W80" s="14"/>
      <c r="X80" s="14"/>
      <c r="Y80" s="36"/>
      <c r="Z80" s="10"/>
      <c r="AA80" s="47">
        <f>J80</f>
        <v>409.35</v>
      </c>
      <c r="AB80" s="14">
        <f>AA80*D80</f>
        <v>91285.05</v>
      </c>
      <c r="AC80" s="18"/>
    </row>
    <row r="81" spans="2:28" x14ac:dyDescent="0.2">
      <c r="B81" s="3" t="s">
        <v>144</v>
      </c>
      <c r="C81" s="5"/>
      <c r="D81" s="5">
        <f>SUM(D76:D80)</f>
        <v>1463</v>
      </c>
      <c r="E81" s="5"/>
      <c r="F81" s="5"/>
      <c r="G81" s="3"/>
      <c r="H81" s="3"/>
      <c r="I81" s="3"/>
      <c r="J81" s="3"/>
      <c r="K81" s="3"/>
      <c r="L81" s="3"/>
      <c r="M81" s="7">
        <f t="shared" ref="M81:X81" si="48">SUM(M76:M80)</f>
        <v>560728.02</v>
      </c>
      <c r="N81" s="7">
        <f t="shared" si="48"/>
        <v>53224.18</v>
      </c>
      <c r="O81" s="7">
        <f t="shared" si="48"/>
        <v>0</v>
      </c>
      <c r="P81" s="7">
        <f t="shared" si="48"/>
        <v>30300</v>
      </c>
      <c r="Q81" s="7">
        <f t="shared" si="48"/>
        <v>0</v>
      </c>
      <c r="R81" s="7">
        <f t="shared" si="48"/>
        <v>0</v>
      </c>
      <c r="S81" s="7">
        <f t="shared" si="48"/>
        <v>50000</v>
      </c>
      <c r="T81" s="7">
        <f t="shared" si="48"/>
        <v>54576</v>
      </c>
      <c r="U81" s="7">
        <f t="shared" si="48"/>
        <v>0</v>
      </c>
      <c r="V81" s="7">
        <f>SUM(V76:V80)</f>
        <v>367445.05</v>
      </c>
      <c r="W81" s="7"/>
      <c r="X81" s="7">
        <f t="shared" si="48"/>
        <v>0</v>
      </c>
      <c r="Y81" s="36"/>
      <c r="Z81" s="3"/>
      <c r="AA81" s="7"/>
      <c r="AB81" s="7">
        <f>SUM(AB76:AB80)</f>
        <v>560728.02</v>
      </c>
    </row>
    <row r="82" spans="2:28" x14ac:dyDescent="0.2">
      <c r="B82" s="1"/>
      <c r="C82" s="6"/>
      <c r="D82" s="6"/>
      <c r="E82" s="6"/>
      <c r="F82" s="6"/>
      <c r="G82" s="6"/>
      <c r="H82" s="6"/>
      <c r="I82" s="6"/>
      <c r="J82" s="6"/>
      <c r="K82" s="45"/>
      <c r="L82" s="6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36"/>
      <c r="Z82" s="6"/>
      <c r="AA82" s="25"/>
      <c r="AB82" s="25"/>
    </row>
    <row r="83" spans="2:28" x14ac:dyDescent="0.2">
      <c r="B83" s="32" t="s">
        <v>146</v>
      </c>
      <c r="C83" s="34"/>
      <c r="D83" s="34"/>
      <c r="E83" s="34"/>
      <c r="F83" s="34"/>
      <c r="G83" s="34"/>
      <c r="H83" s="34"/>
      <c r="I83" s="33"/>
      <c r="J83" s="6"/>
      <c r="K83" s="45"/>
      <c r="L83" s="6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36"/>
      <c r="Z83" s="6"/>
      <c r="AA83" s="25"/>
      <c r="AB83" s="25"/>
    </row>
    <row r="84" spans="2:28" x14ac:dyDescent="0.2">
      <c r="B84" s="22"/>
      <c r="C84" s="25"/>
      <c r="D84" s="25"/>
      <c r="E84" s="25"/>
      <c r="F84" s="25"/>
      <c r="G84" s="25"/>
      <c r="H84" s="25"/>
      <c r="J84" s="6"/>
      <c r="K84" s="45"/>
      <c r="L84" s="6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36"/>
      <c r="Z84" s="6"/>
      <c r="AA84" s="116" t="s">
        <v>160</v>
      </c>
      <c r="AB84" s="117">
        <v>1.4999999999999999E-2</v>
      </c>
    </row>
    <row r="85" spans="2:28" x14ac:dyDescent="0.2">
      <c r="B85" s="108" t="s">
        <v>16</v>
      </c>
      <c r="C85" s="109" t="s">
        <v>15</v>
      </c>
      <c r="D85" s="109" t="s">
        <v>14</v>
      </c>
      <c r="E85" s="109" t="s">
        <v>68</v>
      </c>
      <c r="F85" s="109" t="s">
        <v>69</v>
      </c>
      <c r="G85" s="109" t="s">
        <v>13</v>
      </c>
      <c r="H85" s="109" t="s">
        <v>158</v>
      </c>
      <c r="I85" s="109" t="s">
        <v>17</v>
      </c>
      <c r="J85" s="109" t="s">
        <v>156</v>
      </c>
      <c r="K85" s="109" t="s">
        <v>20</v>
      </c>
      <c r="L85" s="109" t="s">
        <v>21</v>
      </c>
      <c r="M85" s="111" t="s">
        <v>159</v>
      </c>
      <c r="N85" s="110">
        <v>45536</v>
      </c>
      <c r="O85" s="110">
        <v>45566</v>
      </c>
      <c r="P85" s="110">
        <v>45597</v>
      </c>
      <c r="Q85" s="110">
        <v>45627</v>
      </c>
      <c r="R85" s="110">
        <v>45658</v>
      </c>
      <c r="S85" s="110">
        <v>45689</v>
      </c>
      <c r="T85" s="110">
        <v>45717</v>
      </c>
      <c r="U85" s="110">
        <v>45748</v>
      </c>
      <c r="V85" s="110">
        <v>45778</v>
      </c>
      <c r="W85" s="110"/>
      <c r="X85" s="111" t="s">
        <v>29</v>
      </c>
      <c r="Y85" s="35"/>
      <c r="Z85" s="109" t="s">
        <v>92</v>
      </c>
      <c r="AA85" s="109" t="s">
        <v>156</v>
      </c>
      <c r="AB85" s="111" t="s">
        <v>157</v>
      </c>
    </row>
    <row r="86" spans="2:28" x14ac:dyDescent="0.2">
      <c r="B86" s="9" t="s">
        <v>52</v>
      </c>
      <c r="C86" s="10" t="s">
        <v>53</v>
      </c>
      <c r="D86" s="10">
        <v>4</v>
      </c>
      <c r="E86" s="10" t="s">
        <v>70</v>
      </c>
      <c r="F86" s="10" t="s">
        <v>70</v>
      </c>
      <c r="G86" s="10">
        <v>0</v>
      </c>
      <c r="H86" s="10">
        <v>2500</v>
      </c>
      <c r="I86" s="10"/>
      <c r="J86" s="11">
        <f>H86</f>
        <v>2500</v>
      </c>
      <c r="K86" s="45">
        <v>45656</v>
      </c>
      <c r="L86" s="10" t="s">
        <v>55</v>
      </c>
      <c r="M86" s="14">
        <f>J86*D86</f>
        <v>10000</v>
      </c>
      <c r="N86" s="14"/>
      <c r="O86" s="14"/>
      <c r="Q86" s="14">
        <f>M86/4</f>
        <v>2500</v>
      </c>
      <c r="R86" s="14">
        <f t="shared" ref="R86:T87" si="49">Q86</f>
        <v>2500</v>
      </c>
      <c r="S86" s="14">
        <f t="shared" si="49"/>
        <v>2500</v>
      </c>
      <c r="T86" s="14">
        <f t="shared" si="49"/>
        <v>2500</v>
      </c>
      <c r="U86" s="14"/>
      <c r="V86" s="14"/>
      <c r="W86" s="14"/>
      <c r="X86" s="14"/>
      <c r="Y86" s="36"/>
      <c r="Z86" s="10"/>
      <c r="AA86" s="14">
        <f>J86</f>
        <v>2500</v>
      </c>
      <c r="AB86" s="14">
        <f>AA86*D86*(1-$AB$84)</f>
        <v>9850</v>
      </c>
    </row>
    <row r="87" spans="2:28" x14ac:dyDescent="0.2">
      <c r="B87" s="15" t="s">
        <v>52</v>
      </c>
      <c r="C87" s="19" t="s">
        <v>54</v>
      </c>
      <c r="D87" s="19">
        <v>4</v>
      </c>
      <c r="E87" s="19" t="s">
        <v>70</v>
      </c>
      <c r="F87" s="19" t="s">
        <v>70</v>
      </c>
      <c r="G87" s="19">
        <v>0</v>
      </c>
      <c r="H87" s="19">
        <v>2137</v>
      </c>
      <c r="I87" s="19"/>
      <c r="J87" s="20">
        <f>H87</f>
        <v>2137</v>
      </c>
      <c r="K87" s="120">
        <f>K86</f>
        <v>45656</v>
      </c>
      <c r="L87" s="19" t="s">
        <v>55</v>
      </c>
      <c r="M87" s="16">
        <f>J87*D87</f>
        <v>8548</v>
      </c>
      <c r="N87" s="16"/>
      <c r="O87" s="16"/>
      <c r="P87" s="16"/>
      <c r="Q87" s="16">
        <f>M87/4</f>
        <v>2137</v>
      </c>
      <c r="R87" s="16">
        <f t="shared" si="49"/>
        <v>2137</v>
      </c>
      <c r="S87" s="16">
        <f t="shared" si="49"/>
        <v>2137</v>
      </c>
      <c r="T87" s="16">
        <f t="shared" si="49"/>
        <v>2137</v>
      </c>
      <c r="U87" s="16"/>
      <c r="V87" s="16"/>
      <c r="W87" s="16"/>
      <c r="X87" s="16"/>
      <c r="Y87" s="36"/>
      <c r="Z87" s="19"/>
      <c r="AA87" s="16">
        <f>J87</f>
        <v>2137</v>
      </c>
      <c r="AB87" s="16">
        <f>AA87*D87*(1-$AB$84)</f>
        <v>8419.7800000000007</v>
      </c>
    </row>
    <row r="88" spans="2:28" x14ac:dyDescent="0.2">
      <c r="B88" s="112" t="s">
        <v>64</v>
      </c>
      <c r="C88" s="113"/>
      <c r="D88" s="113">
        <f>SUM(D86:D87)</f>
        <v>8</v>
      </c>
      <c r="E88" s="113"/>
      <c r="F88" s="113"/>
      <c r="G88" s="113"/>
      <c r="H88" s="113"/>
      <c r="I88" s="113"/>
      <c r="J88" s="113"/>
      <c r="K88" s="114"/>
      <c r="L88" s="113"/>
      <c r="M88" s="115">
        <f>SUM(M86:M87)</f>
        <v>18548</v>
      </c>
      <c r="N88" s="115">
        <f>SUM(N86:N87)</f>
        <v>0</v>
      </c>
      <c r="O88" s="115">
        <f t="shared" ref="O88:X88" si="50">SUM(O86:O87)</f>
        <v>0</v>
      </c>
      <c r="P88" s="115">
        <f t="shared" si="50"/>
        <v>0</v>
      </c>
      <c r="Q88" s="115">
        <f t="shared" si="50"/>
        <v>4637</v>
      </c>
      <c r="R88" s="115">
        <f t="shared" si="50"/>
        <v>4637</v>
      </c>
      <c r="S88" s="115">
        <f t="shared" si="50"/>
        <v>4637</v>
      </c>
      <c r="T88" s="115">
        <f t="shared" si="50"/>
        <v>4637</v>
      </c>
      <c r="U88" s="115">
        <f t="shared" si="50"/>
        <v>0</v>
      </c>
      <c r="V88" s="115">
        <f t="shared" si="50"/>
        <v>0</v>
      </c>
      <c r="W88" s="115"/>
      <c r="X88" s="115">
        <f t="shared" si="50"/>
        <v>0</v>
      </c>
      <c r="Y88" s="36"/>
      <c r="Z88" s="113"/>
      <c r="AA88" s="115"/>
      <c r="AB88" s="115">
        <f>SUM(AB86:AB87)</f>
        <v>18269.78</v>
      </c>
    </row>
    <row r="89" spans="2:28" x14ac:dyDescent="0.2">
      <c r="B89" s="1"/>
      <c r="C89" s="6"/>
      <c r="D89" s="6"/>
      <c r="E89" s="6"/>
      <c r="F89" s="6"/>
      <c r="G89" s="6"/>
      <c r="H89" s="6"/>
      <c r="I89" s="6"/>
      <c r="J89" s="6"/>
      <c r="K89" s="45"/>
      <c r="L89" s="6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36"/>
      <c r="Z89" s="6"/>
      <c r="AA89" s="25"/>
      <c r="AB89" s="25"/>
    </row>
    <row r="90" spans="2:28" x14ac:dyDescent="0.2">
      <c r="B90" s="9" t="s">
        <v>66</v>
      </c>
      <c r="C90" s="10" t="s">
        <v>79</v>
      </c>
      <c r="D90" s="10">
        <v>500</v>
      </c>
      <c r="E90" s="10" t="s">
        <v>71</v>
      </c>
      <c r="F90" s="10" t="s">
        <v>78</v>
      </c>
      <c r="G90" s="10">
        <v>0</v>
      </c>
      <c r="H90" s="10">
        <v>2105</v>
      </c>
      <c r="I90" s="10"/>
      <c r="J90" s="11">
        <f>H90</f>
        <v>2105</v>
      </c>
      <c r="K90" s="45">
        <v>45631</v>
      </c>
      <c r="L90" s="10" t="s">
        <v>140</v>
      </c>
      <c r="M90" s="14">
        <f>J90*D90</f>
        <v>1052500</v>
      </c>
      <c r="N90" s="14"/>
      <c r="O90" s="14"/>
      <c r="P90" s="14"/>
      <c r="Q90" s="14">
        <f>M90</f>
        <v>1052500</v>
      </c>
      <c r="R90" s="14"/>
      <c r="S90" s="14"/>
      <c r="U90" s="14"/>
      <c r="V90" s="14"/>
      <c r="W90" s="14"/>
      <c r="X90" s="14"/>
      <c r="Y90" s="36"/>
      <c r="Z90" s="10"/>
      <c r="AA90" s="14">
        <f>J90</f>
        <v>2105</v>
      </c>
      <c r="AB90" s="14">
        <f>AA90*D90*(1-$AB$84)</f>
        <v>1036712.5</v>
      </c>
    </row>
    <row r="91" spans="2:28" x14ac:dyDescent="0.2">
      <c r="B91" s="112" t="s">
        <v>65</v>
      </c>
      <c r="C91" s="113"/>
      <c r="D91" s="113">
        <f>SUM(D89:D90)</f>
        <v>500</v>
      </c>
      <c r="E91" s="113"/>
      <c r="F91" s="113"/>
      <c r="G91" s="113"/>
      <c r="H91" s="113"/>
      <c r="I91" s="113"/>
      <c r="J91" s="113"/>
      <c r="K91" s="114"/>
      <c r="L91" s="113"/>
      <c r="M91" s="115">
        <f>SUM(M89:M90)</f>
        <v>1052500</v>
      </c>
      <c r="N91" s="115">
        <f>N90</f>
        <v>0</v>
      </c>
      <c r="O91" s="115">
        <f t="shared" ref="O91:X91" si="51">O90</f>
        <v>0</v>
      </c>
      <c r="P91" s="115">
        <f t="shared" si="51"/>
        <v>0</v>
      </c>
      <c r="Q91" s="115">
        <f t="shared" si="51"/>
        <v>1052500</v>
      </c>
      <c r="R91" s="115">
        <f t="shared" si="51"/>
        <v>0</v>
      </c>
      <c r="S91" s="115">
        <f t="shared" si="51"/>
        <v>0</v>
      </c>
      <c r="T91" s="115">
        <f t="shared" si="51"/>
        <v>0</v>
      </c>
      <c r="U91" s="115">
        <f t="shared" si="51"/>
        <v>0</v>
      </c>
      <c r="V91" s="115">
        <f t="shared" si="51"/>
        <v>0</v>
      </c>
      <c r="W91" s="115"/>
      <c r="X91" s="115">
        <f t="shared" si="51"/>
        <v>0</v>
      </c>
      <c r="Y91" s="36"/>
      <c r="Z91" s="113"/>
      <c r="AA91" s="115"/>
      <c r="AB91" s="115">
        <f>AB90</f>
        <v>1036712.5</v>
      </c>
    </row>
    <row r="92" spans="2:28" x14ac:dyDescent="0.2">
      <c r="B92" s="1"/>
      <c r="C92" s="6"/>
      <c r="D92" s="6"/>
      <c r="E92" s="6"/>
      <c r="F92" s="6"/>
      <c r="G92" s="6"/>
      <c r="H92" s="6"/>
      <c r="I92" s="6"/>
      <c r="J92" s="6"/>
      <c r="K92" s="45"/>
      <c r="L92" s="6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36"/>
      <c r="Z92" s="6"/>
      <c r="AA92" s="25"/>
      <c r="AB92" s="25"/>
    </row>
    <row r="93" spans="2:28" x14ac:dyDescent="0.2">
      <c r="B93" s="9" t="s">
        <v>82</v>
      </c>
      <c r="C93" s="10" t="s">
        <v>83</v>
      </c>
      <c r="D93" s="10">
        <v>20</v>
      </c>
      <c r="E93" s="10" t="s">
        <v>71</v>
      </c>
      <c r="F93" s="10" t="s">
        <v>72</v>
      </c>
      <c r="G93" s="10">
        <v>0</v>
      </c>
      <c r="H93" s="10">
        <v>2200</v>
      </c>
      <c r="I93" s="10"/>
      <c r="J93" s="11">
        <f>H93</f>
        <v>2200</v>
      </c>
      <c r="K93" s="45">
        <v>45632</v>
      </c>
      <c r="L93" s="10" t="s">
        <v>84</v>
      </c>
      <c r="M93" s="14">
        <f>J93*D93</f>
        <v>44000</v>
      </c>
      <c r="N93" s="14"/>
      <c r="O93" s="14"/>
      <c r="P93" s="14"/>
      <c r="Q93" s="14">
        <f>M93*0.5</f>
        <v>22000</v>
      </c>
      <c r="R93" s="14">
        <f>($M$93-$Q$93)/4</f>
        <v>5500</v>
      </c>
      <c r="S93" s="14">
        <f>($M$93-$Q$93)/4</f>
        <v>5500</v>
      </c>
      <c r="T93" s="14">
        <f>($M$93-$Q$93)/4</f>
        <v>5500</v>
      </c>
      <c r="U93" s="14">
        <f>($M$93-$Q$93)/4</f>
        <v>5500</v>
      </c>
      <c r="V93" s="14"/>
      <c r="W93" s="14"/>
      <c r="X93" s="14"/>
      <c r="Y93" s="36"/>
      <c r="Z93" s="10"/>
      <c r="AA93" s="14">
        <f>J93</f>
        <v>2200</v>
      </c>
      <c r="AB93" s="14">
        <f>AA93*D93*(1-$AB$84)</f>
        <v>43340</v>
      </c>
    </row>
    <row r="94" spans="2:28" x14ac:dyDescent="0.2">
      <c r="B94" s="112" t="s">
        <v>65</v>
      </c>
      <c r="C94" s="113"/>
      <c r="D94" s="113">
        <f>SUM(D92:D93)</f>
        <v>20</v>
      </c>
      <c r="E94" s="113"/>
      <c r="F94" s="113"/>
      <c r="G94" s="113"/>
      <c r="H94" s="113"/>
      <c r="I94" s="113"/>
      <c r="J94" s="113"/>
      <c r="K94" s="114"/>
      <c r="L94" s="113"/>
      <c r="M94" s="115">
        <f>SUM(M92:M93)</f>
        <v>44000</v>
      </c>
      <c r="N94" s="115">
        <f>N93</f>
        <v>0</v>
      </c>
      <c r="O94" s="115">
        <f t="shared" ref="O94:X94" si="52">O93</f>
        <v>0</v>
      </c>
      <c r="P94" s="115">
        <f t="shared" si="52"/>
        <v>0</v>
      </c>
      <c r="Q94" s="115">
        <f t="shared" si="52"/>
        <v>22000</v>
      </c>
      <c r="R94" s="115">
        <f t="shared" si="52"/>
        <v>5500</v>
      </c>
      <c r="S94" s="115">
        <f t="shared" si="52"/>
        <v>5500</v>
      </c>
      <c r="T94" s="115">
        <f t="shared" si="52"/>
        <v>5500</v>
      </c>
      <c r="U94" s="115">
        <f t="shared" si="52"/>
        <v>5500</v>
      </c>
      <c r="V94" s="115">
        <f t="shared" si="52"/>
        <v>0</v>
      </c>
      <c r="W94" s="115"/>
      <c r="X94" s="115">
        <f t="shared" si="52"/>
        <v>0</v>
      </c>
      <c r="Y94" s="36"/>
      <c r="Z94" s="113"/>
      <c r="AA94" s="115"/>
      <c r="AB94" s="115">
        <f>AB93</f>
        <v>43340</v>
      </c>
    </row>
    <row r="95" spans="2:28" x14ac:dyDescent="0.2">
      <c r="B95" s="1"/>
      <c r="C95" s="6"/>
      <c r="D95" s="6"/>
      <c r="E95" s="6"/>
      <c r="F95" s="6"/>
      <c r="G95" s="6"/>
      <c r="H95" s="6"/>
      <c r="I95" s="6"/>
      <c r="J95" s="6"/>
      <c r="K95" s="45"/>
      <c r="L95" s="6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36"/>
      <c r="Z95" s="6"/>
      <c r="AA95" s="25"/>
      <c r="AB95" s="25"/>
    </row>
    <row r="96" spans="2:28" x14ac:dyDescent="0.2">
      <c r="B96" s="9" t="s">
        <v>85</v>
      </c>
      <c r="C96" s="50" t="s">
        <v>87</v>
      </c>
      <c r="D96" s="10">
        <v>500</v>
      </c>
      <c r="E96" s="10" t="s">
        <v>63</v>
      </c>
      <c r="F96" s="10" t="s">
        <v>70</v>
      </c>
      <c r="G96" s="10">
        <v>0</v>
      </c>
      <c r="H96" s="10">
        <v>2000</v>
      </c>
      <c r="I96" s="10"/>
      <c r="J96" s="11">
        <f>H96</f>
        <v>2000</v>
      </c>
      <c r="K96" s="45">
        <v>45679</v>
      </c>
      <c r="L96" s="10" t="s">
        <v>86</v>
      </c>
      <c r="M96" s="14">
        <f>J96*D96</f>
        <v>1000000</v>
      </c>
      <c r="N96" s="14"/>
      <c r="O96" s="14"/>
      <c r="P96" s="14"/>
      <c r="Q96" s="14">
        <v>0</v>
      </c>
      <c r="R96" s="14">
        <v>0</v>
      </c>
      <c r="S96" s="14"/>
      <c r="T96" s="14">
        <f>M96</f>
        <v>1000000</v>
      </c>
      <c r="U96" s="14"/>
      <c r="V96" s="14"/>
      <c r="W96" s="14"/>
      <c r="X96" s="14"/>
      <c r="Y96" s="36"/>
      <c r="Z96" s="10"/>
      <c r="AA96" s="14">
        <f>J96</f>
        <v>2000</v>
      </c>
      <c r="AB96" s="14">
        <f>AA96*D96*(1-$AB$84)</f>
        <v>985000</v>
      </c>
    </row>
    <row r="97" spans="2:28" x14ac:dyDescent="0.2">
      <c r="B97" s="112" t="s">
        <v>65</v>
      </c>
      <c r="C97" s="113"/>
      <c r="D97" s="113">
        <f>SUM(D95:D96)</f>
        <v>500</v>
      </c>
      <c r="E97" s="113"/>
      <c r="F97" s="113"/>
      <c r="G97" s="113"/>
      <c r="H97" s="113"/>
      <c r="I97" s="113"/>
      <c r="J97" s="113"/>
      <c r="K97" s="114"/>
      <c r="L97" s="113"/>
      <c r="M97" s="115">
        <f>SUM(M95:M96)</f>
        <v>1000000</v>
      </c>
      <c r="N97" s="115">
        <f>N96</f>
        <v>0</v>
      </c>
      <c r="O97" s="115">
        <f t="shared" ref="O97:X97" si="53">O96</f>
        <v>0</v>
      </c>
      <c r="P97" s="115">
        <f t="shared" si="53"/>
        <v>0</v>
      </c>
      <c r="Q97" s="115">
        <f t="shared" si="53"/>
        <v>0</v>
      </c>
      <c r="R97" s="115">
        <f t="shared" si="53"/>
        <v>0</v>
      </c>
      <c r="S97" s="115">
        <f t="shared" si="53"/>
        <v>0</v>
      </c>
      <c r="T97" s="115">
        <f t="shared" si="53"/>
        <v>1000000</v>
      </c>
      <c r="U97" s="115">
        <f t="shared" si="53"/>
        <v>0</v>
      </c>
      <c r="V97" s="115">
        <f t="shared" si="53"/>
        <v>0</v>
      </c>
      <c r="W97" s="115"/>
      <c r="X97" s="115">
        <f t="shared" si="53"/>
        <v>0</v>
      </c>
      <c r="Y97" s="36"/>
      <c r="Z97" s="113"/>
      <c r="AA97" s="115"/>
      <c r="AB97" s="115">
        <f>AB96</f>
        <v>985000</v>
      </c>
    </row>
    <row r="98" spans="2:28" x14ac:dyDescent="0.2">
      <c r="B98" s="1"/>
      <c r="C98" s="6"/>
      <c r="D98" s="6"/>
      <c r="E98" s="6"/>
      <c r="F98" s="6"/>
      <c r="G98" s="6"/>
      <c r="H98" s="6"/>
      <c r="I98" s="6"/>
      <c r="J98" s="6"/>
      <c r="K98" s="45"/>
      <c r="L98" s="6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36"/>
      <c r="Z98" s="6"/>
      <c r="AA98" s="25"/>
      <c r="AB98" s="25"/>
    </row>
    <row r="99" spans="2:28" x14ac:dyDescent="0.2">
      <c r="B99" s="9" t="s">
        <v>147</v>
      </c>
      <c r="C99" s="10" t="s">
        <v>149</v>
      </c>
      <c r="D99" s="10">
        <v>0.5</v>
      </c>
      <c r="E99" s="10" t="s">
        <v>62</v>
      </c>
      <c r="F99" s="10" t="s">
        <v>70</v>
      </c>
      <c r="G99" s="10">
        <v>0</v>
      </c>
      <c r="H99" s="10">
        <v>2293.33</v>
      </c>
      <c r="I99" s="10"/>
      <c r="J99" s="11">
        <f>H99</f>
        <v>2293.33</v>
      </c>
      <c r="K99" s="289">
        <v>45708</v>
      </c>
      <c r="L99" s="10" t="s">
        <v>151</v>
      </c>
      <c r="M99" s="14">
        <f>J99*D99</f>
        <v>1146.665</v>
      </c>
      <c r="N99" s="14"/>
      <c r="O99" s="14"/>
      <c r="Q99" s="14"/>
      <c r="R99" s="14"/>
      <c r="S99" s="14">
        <f t="shared" ref="S99:X99" si="54">$M$99/6</f>
        <v>191.11083333333332</v>
      </c>
      <c r="T99" s="14">
        <f t="shared" si="54"/>
        <v>191.11083333333332</v>
      </c>
      <c r="U99" s="14">
        <f t="shared" si="54"/>
        <v>191.11083333333332</v>
      </c>
      <c r="V99" s="14">
        <f t="shared" si="54"/>
        <v>191.11083333333332</v>
      </c>
      <c r="W99" s="14">
        <f t="shared" si="54"/>
        <v>191.11083333333332</v>
      </c>
      <c r="X99" s="14">
        <f t="shared" si="54"/>
        <v>191.11083333333332</v>
      </c>
      <c r="Y99" s="36"/>
      <c r="Z99" s="10"/>
      <c r="AA99" s="14">
        <f>J99</f>
        <v>2293.33</v>
      </c>
      <c r="AB99" s="14">
        <f>AA99*D99*(1-$AB$84)</f>
        <v>1129.465025</v>
      </c>
    </row>
    <row r="100" spans="2:28" x14ac:dyDescent="0.2">
      <c r="B100" s="15" t="s">
        <v>147</v>
      </c>
      <c r="C100" s="19" t="s">
        <v>150</v>
      </c>
      <c r="D100" s="19">
        <v>7</v>
      </c>
      <c r="E100" s="19" t="s">
        <v>71</v>
      </c>
      <c r="F100" s="19" t="s">
        <v>76</v>
      </c>
      <c r="G100" s="19">
        <v>0</v>
      </c>
      <c r="H100" s="19">
        <v>2616.61</v>
      </c>
      <c r="I100" s="19"/>
      <c r="J100" s="20">
        <f>H100</f>
        <v>2616.61</v>
      </c>
      <c r="K100" s="252">
        <v>45708</v>
      </c>
      <c r="L100" s="19" t="s">
        <v>151</v>
      </c>
      <c r="M100" s="16">
        <f>J100*D100</f>
        <v>18316.27</v>
      </c>
      <c r="N100" s="16"/>
      <c r="O100" s="16"/>
      <c r="P100" s="16"/>
      <c r="Q100" s="16"/>
      <c r="R100" s="16"/>
      <c r="S100" s="16">
        <f t="shared" ref="S100:X100" si="55">$M$100/6</f>
        <v>3052.7116666666666</v>
      </c>
      <c r="T100" s="16">
        <f t="shared" si="55"/>
        <v>3052.7116666666666</v>
      </c>
      <c r="U100" s="16">
        <f t="shared" si="55"/>
        <v>3052.7116666666666</v>
      </c>
      <c r="V100" s="16">
        <f t="shared" si="55"/>
        <v>3052.7116666666666</v>
      </c>
      <c r="W100" s="16">
        <f t="shared" si="55"/>
        <v>3052.7116666666666</v>
      </c>
      <c r="X100" s="16">
        <f t="shared" si="55"/>
        <v>3052.7116666666666</v>
      </c>
      <c r="Y100" s="36"/>
      <c r="Z100" s="19"/>
      <c r="AA100" s="16">
        <f>J100</f>
        <v>2616.61</v>
      </c>
      <c r="AB100" s="16">
        <f>AA100*D100*(1-$AB$84)</f>
        <v>18041.525949999999</v>
      </c>
    </row>
    <row r="101" spans="2:28" x14ac:dyDescent="0.2">
      <c r="B101" s="112" t="s">
        <v>148</v>
      </c>
      <c r="C101" s="113"/>
      <c r="D101" s="113">
        <f>SUM(D99:D100)</f>
        <v>7.5</v>
      </c>
      <c r="E101" s="113"/>
      <c r="F101" s="113"/>
      <c r="G101" s="113"/>
      <c r="H101" s="113"/>
      <c r="I101" s="113"/>
      <c r="J101" s="113"/>
      <c r="K101" s="114"/>
      <c r="L101" s="113"/>
      <c r="M101" s="115">
        <f>SUM(M99:M100)</f>
        <v>19462.935000000001</v>
      </c>
      <c r="N101" s="115">
        <f>SUM(N99:N100)</f>
        <v>0</v>
      </c>
      <c r="O101" s="115">
        <f t="shared" ref="O101:X101" si="56">SUM(O99:O100)</f>
        <v>0</v>
      </c>
      <c r="P101" s="115">
        <f t="shared" si="56"/>
        <v>0</v>
      </c>
      <c r="Q101" s="115">
        <f t="shared" si="56"/>
        <v>0</v>
      </c>
      <c r="R101" s="115">
        <f t="shared" si="56"/>
        <v>0</v>
      </c>
      <c r="S101" s="115">
        <f t="shared" si="56"/>
        <v>3243.8224999999998</v>
      </c>
      <c r="T101" s="115">
        <f t="shared" si="56"/>
        <v>3243.8224999999998</v>
      </c>
      <c r="U101" s="115">
        <f t="shared" si="56"/>
        <v>3243.8224999999998</v>
      </c>
      <c r="V101" s="115">
        <f t="shared" si="56"/>
        <v>3243.8224999999998</v>
      </c>
      <c r="W101" s="115">
        <f t="shared" si="56"/>
        <v>3243.8224999999998</v>
      </c>
      <c r="X101" s="115">
        <f t="shared" si="56"/>
        <v>3243.8224999999998</v>
      </c>
      <c r="Y101" s="36"/>
      <c r="Z101" s="113"/>
      <c r="AA101" s="115"/>
      <c r="AB101" s="115">
        <f>SUM(AB99:AB100)</f>
        <v>19170.990975000001</v>
      </c>
    </row>
    <row r="104" spans="2:28" x14ac:dyDescent="0.2">
      <c r="B104" s="9" t="s">
        <v>217</v>
      </c>
      <c r="C104" s="10" t="s">
        <v>305</v>
      </c>
      <c r="D104" s="10">
        <v>486.3</v>
      </c>
      <c r="E104" s="10" t="s">
        <v>70</v>
      </c>
      <c r="F104" s="10" t="s">
        <v>70</v>
      </c>
      <c r="G104" s="10">
        <v>0</v>
      </c>
      <c r="H104" s="10">
        <v>810</v>
      </c>
      <c r="I104" s="28"/>
      <c r="J104" s="11">
        <f>H104</f>
        <v>810</v>
      </c>
      <c r="K104" s="45">
        <v>45684</v>
      </c>
      <c r="L104" s="10" t="s">
        <v>140</v>
      </c>
      <c r="M104" s="14">
        <f>J104*D104</f>
        <v>393903</v>
      </c>
      <c r="N104" s="14"/>
      <c r="O104" s="14"/>
      <c r="Q104" s="14"/>
      <c r="R104" s="14">
        <f>M104</f>
        <v>393903</v>
      </c>
      <c r="S104" s="14"/>
      <c r="T104" s="14"/>
      <c r="U104" s="14"/>
      <c r="V104" s="14"/>
      <c r="W104" s="14"/>
      <c r="X104" s="14"/>
      <c r="Z104" s="10"/>
      <c r="AA104" s="14">
        <f>J104</f>
        <v>810</v>
      </c>
      <c r="AB104" s="14">
        <f>AA104*D104*(1-$AB$84)</f>
        <v>387994.45500000002</v>
      </c>
    </row>
    <row r="105" spans="2:28" x14ac:dyDescent="0.2">
      <c r="B105" s="15" t="s">
        <v>217</v>
      </c>
      <c r="C105" s="19" t="s">
        <v>306</v>
      </c>
      <c r="D105" s="19">
        <v>632.20000000000005</v>
      </c>
      <c r="E105" s="19" t="s">
        <v>70</v>
      </c>
      <c r="F105" s="19" t="s">
        <v>70</v>
      </c>
      <c r="G105" s="19">
        <v>0</v>
      </c>
      <c r="H105" s="19">
        <v>2220</v>
      </c>
      <c r="I105" s="19">
        <f>0.2*J105</f>
        <v>444</v>
      </c>
      <c r="J105" s="20">
        <f>H105</f>
        <v>2220</v>
      </c>
      <c r="K105" s="120">
        <v>45700</v>
      </c>
      <c r="L105" s="19" t="s">
        <v>140</v>
      </c>
      <c r="M105" s="16">
        <f>J105*D105</f>
        <v>1403484</v>
      </c>
      <c r="N105" s="16"/>
      <c r="O105" s="16"/>
      <c r="P105" s="16"/>
      <c r="Q105" s="16"/>
      <c r="R105" s="16"/>
      <c r="S105" s="16">
        <f>M105</f>
        <v>1403484</v>
      </c>
      <c r="T105" s="16"/>
      <c r="U105" s="16"/>
      <c r="V105" s="16"/>
      <c r="W105" s="16"/>
      <c r="X105" s="16"/>
      <c r="Z105" s="19"/>
      <c r="AA105" s="16">
        <f>J105</f>
        <v>2220</v>
      </c>
      <c r="AB105" s="16">
        <f>AA105*D105*(1-$AB$84)</f>
        <v>1382431.74</v>
      </c>
    </row>
    <row r="106" spans="2:28" x14ac:dyDescent="0.2">
      <c r="B106" s="9" t="s">
        <v>217</v>
      </c>
      <c r="C106" s="10" t="s">
        <v>307</v>
      </c>
      <c r="D106" s="10">
        <v>363</v>
      </c>
      <c r="E106" s="10" t="s">
        <v>70</v>
      </c>
      <c r="F106" s="10" t="s">
        <v>70</v>
      </c>
      <c r="G106" s="10">
        <v>0</v>
      </c>
      <c r="H106" s="10">
        <v>1750</v>
      </c>
      <c r="I106" s="10">
        <f>0.5*J106</f>
        <v>875</v>
      </c>
      <c r="J106" s="11">
        <f>H106</f>
        <v>1750</v>
      </c>
      <c r="K106" s="45">
        <v>45684</v>
      </c>
      <c r="L106" s="10" t="s">
        <v>140</v>
      </c>
      <c r="M106" s="14">
        <f>J106*D106</f>
        <v>635250</v>
      </c>
      <c r="N106" s="14"/>
      <c r="O106" s="14"/>
      <c r="Q106" s="14"/>
      <c r="R106" s="14">
        <f>M106</f>
        <v>635250</v>
      </c>
      <c r="S106" s="14"/>
      <c r="T106" s="14"/>
      <c r="U106" s="14"/>
      <c r="V106" s="14"/>
      <c r="W106" s="14"/>
      <c r="X106" s="14"/>
      <c r="Z106" s="10"/>
      <c r="AA106" s="14">
        <f>J106</f>
        <v>1750</v>
      </c>
      <c r="AB106" s="14">
        <f>AA106*D106*(1-$AB$84)</f>
        <v>625721.25</v>
      </c>
    </row>
    <row r="107" spans="2:28" x14ac:dyDescent="0.2">
      <c r="B107" s="15" t="s">
        <v>217</v>
      </c>
      <c r="C107" s="19" t="s">
        <v>308</v>
      </c>
      <c r="D107" s="19">
        <v>44.2</v>
      </c>
      <c r="E107" s="19" t="s">
        <v>70</v>
      </c>
      <c r="F107" s="19" t="s">
        <v>70</v>
      </c>
      <c r="G107" s="19">
        <v>0</v>
      </c>
      <c r="H107" s="19">
        <v>2400</v>
      </c>
      <c r="I107" s="19">
        <f>0.4*J107</f>
        <v>960</v>
      </c>
      <c r="J107" s="20">
        <f>H107</f>
        <v>2400</v>
      </c>
      <c r="K107" s="120">
        <v>45700</v>
      </c>
      <c r="L107" s="19" t="s">
        <v>140</v>
      </c>
      <c r="M107" s="16">
        <f>J107*D107</f>
        <v>106080</v>
      </c>
      <c r="N107" s="16"/>
      <c r="O107" s="16"/>
      <c r="P107" s="16"/>
      <c r="Q107" s="16"/>
      <c r="R107" s="16"/>
      <c r="S107" s="16">
        <f>M107</f>
        <v>106080</v>
      </c>
      <c r="T107" s="16"/>
      <c r="U107" s="16"/>
      <c r="V107" s="16"/>
      <c r="W107" s="16"/>
      <c r="X107" s="16"/>
      <c r="Y107" s="25"/>
      <c r="Z107" s="19"/>
      <c r="AA107" s="16">
        <f>J107</f>
        <v>2400</v>
      </c>
      <c r="AB107" s="16">
        <f>AA107*D107*(1-$AB$84)</f>
        <v>104488.8</v>
      </c>
    </row>
    <row r="108" spans="2:28" x14ac:dyDescent="0.2">
      <c r="B108" s="112" t="s">
        <v>304</v>
      </c>
      <c r="C108" s="113"/>
      <c r="D108" s="113">
        <f>SUM(D104:D107)</f>
        <v>1525.7</v>
      </c>
      <c r="E108" s="113"/>
      <c r="F108" s="113"/>
      <c r="G108" s="113"/>
      <c r="H108" s="113"/>
      <c r="I108" s="113"/>
      <c r="J108" s="113"/>
      <c r="K108" s="114"/>
      <c r="L108" s="113"/>
      <c r="M108" s="115">
        <f t="shared" ref="M108:X108" si="57">SUM(M104:M107)</f>
        <v>2538717</v>
      </c>
      <c r="N108" s="115">
        <f t="shared" si="57"/>
        <v>0</v>
      </c>
      <c r="O108" s="115">
        <f t="shared" si="57"/>
        <v>0</v>
      </c>
      <c r="P108" s="115">
        <f t="shared" si="57"/>
        <v>0</v>
      </c>
      <c r="Q108" s="115">
        <f t="shared" si="57"/>
        <v>0</v>
      </c>
      <c r="R108" s="115">
        <f t="shared" si="57"/>
        <v>1029153</v>
      </c>
      <c r="S108" s="115">
        <f t="shared" si="57"/>
        <v>1509564</v>
      </c>
      <c r="T108" s="115">
        <f t="shared" si="57"/>
        <v>0</v>
      </c>
      <c r="U108" s="115">
        <f t="shared" si="57"/>
        <v>0</v>
      </c>
      <c r="V108" s="115">
        <f t="shared" si="57"/>
        <v>0</v>
      </c>
      <c r="W108" s="115">
        <f t="shared" si="57"/>
        <v>0</v>
      </c>
      <c r="X108" s="115">
        <f t="shared" si="57"/>
        <v>0</v>
      </c>
      <c r="Y108" s="25"/>
      <c r="Z108" s="113"/>
      <c r="AA108" s="115"/>
      <c r="AB108" s="115">
        <f>SUM(AB104:AB107)</f>
        <v>2500636.2450000001</v>
      </c>
    </row>
    <row r="109" spans="2:28" x14ac:dyDescent="0.2">
      <c r="B109" s="1"/>
      <c r="C109" s="6"/>
      <c r="D109" s="6"/>
      <c r="E109" s="6"/>
      <c r="F109" s="6"/>
      <c r="G109" s="1"/>
      <c r="H109" s="1"/>
      <c r="I109" s="1"/>
      <c r="J109" s="1"/>
      <c r="K109" s="1"/>
      <c r="L109" s="1"/>
      <c r="M109" s="1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36"/>
      <c r="AA109" s="1"/>
      <c r="AB109" s="36"/>
    </row>
    <row r="110" spans="2:28" x14ac:dyDescent="0.2">
      <c r="B110" s="32" t="s">
        <v>161</v>
      </c>
      <c r="C110" s="34"/>
      <c r="D110" s="34"/>
      <c r="E110" s="34"/>
      <c r="F110" s="34"/>
      <c r="G110" s="34"/>
      <c r="H110" s="34"/>
      <c r="I110" s="33"/>
      <c r="J110" s="34"/>
      <c r="K110" s="6"/>
      <c r="M110" s="6"/>
      <c r="N110" s="25"/>
      <c r="O110" s="25"/>
      <c r="P110" s="286"/>
      <c r="Q110" s="25"/>
      <c r="R110" s="25"/>
      <c r="S110" s="286"/>
      <c r="T110" s="25"/>
      <c r="U110" s="25"/>
      <c r="V110" s="25"/>
      <c r="W110" s="25"/>
      <c r="X110" s="25"/>
      <c r="Y110" s="25"/>
      <c r="Z110" s="36"/>
      <c r="AA110" s="6"/>
      <c r="AB110" s="36"/>
    </row>
    <row r="111" spans="2:28" x14ac:dyDescent="0.2">
      <c r="B111" s="9" t="s">
        <v>28</v>
      </c>
      <c r="D111" s="18">
        <v>0</v>
      </c>
      <c r="E111" s="10" t="s">
        <v>59</v>
      </c>
      <c r="F111" s="10" t="s">
        <v>70</v>
      </c>
      <c r="G111" s="10">
        <v>-25</v>
      </c>
      <c r="H111" s="11">
        <f>Q6</f>
        <v>357.75</v>
      </c>
      <c r="I111" s="11"/>
      <c r="J111" s="11">
        <f>(H111+G111)*$J$51</f>
        <v>440.1617</v>
      </c>
      <c r="K111" s="17"/>
      <c r="L111" s="10"/>
      <c r="M111" s="14">
        <f>J111*D111</f>
        <v>0</v>
      </c>
      <c r="N111" s="14"/>
      <c r="O111" s="14"/>
      <c r="P111" s="14"/>
      <c r="Q111" s="14"/>
      <c r="R111" s="14"/>
      <c r="S111" s="14">
        <f>M111</f>
        <v>0</v>
      </c>
      <c r="T111" s="14"/>
      <c r="U111" s="14"/>
      <c r="V111" s="14"/>
      <c r="W111" s="14"/>
      <c r="X111" s="14"/>
      <c r="Y111" s="36"/>
      <c r="Z111" s="10"/>
      <c r="AA111" s="36"/>
    </row>
    <row r="112" spans="2:28" x14ac:dyDescent="0.2">
      <c r="B112" s="15" t="s">
        <v>28</v>
      </c>
      <c r="C112" s="19"/>
      <c r="D112" s="46">
        <v>0</v>
      </c>
      <c r="E112" s="19" t="s">
        <v>60</v>
      </c>
      <c r="F112" s="19" t="s">
        <v>70</v>
      </c>
      <c r="G112" s="19">
        <v>-20</v>
      </c>
      <c r="H112" s="20">
        <f>H111</f>
        <v>357.75</v>
      </c>
      <c r="I112" s="20"/>
      <c r="J112" s="20">
        <f>(H112+G112)*$J$51</f>
        <v>446.77569999999997</v>
      </c>
      <c r="K112" s="21"/>
      <c r="L112" s="19"/>
      <c r="M112" s="16">
        <f>J112*D112</f>
        <v>0</v>
      </c>
      <c r="N112" s="16"/>
      <c r="O112" s="16"/>
      <c r="P112" s="16"/>
      <c r="Q112" s="16"/>
      <c r="R112" s="16"/>
      <c r="S112" s="16">
        <f>M112</f>
        <v>0</v>
      </c>
      <c r="T112" s="16"/>
      <c r="U112" s="16"/>
      <c r="V112" s="16"/>
      <c r="W112" s="16"/>
      <c r="X112" s="16"/>
      <c r="Y112" s="36"/>
      <c r="Z112" s="10"/>
      <c r="AA112" s="36"/>
    </row>
    <row r="113" spans="2:27" x14ac:dyDescent="0.2">
      <c r="B113" s="9" t="s">
        <v>28</v>
      </c>
      <c r="D113" s="18">
        <v>0</v>
      </c>
      <c r="E113" s="10" t="s">
        <v>61</v>
      </c>
      <c r="F113" s="10" t="s">
        <v>70</v>
      </c>
      <c r="G113" s="10">
        <v>-80</v>
      </c>
      <c r="H113" s="11">
        <f>H112</f>
        <v>357.75</v>
      </c>
      <c r="I113" s="11"/>
      <c r="J113" s="11">
        <f>(H113+G113)*$J$51</f>
        <v>367.40769999999998</v>
      </c>
      <c r="K113" s="17"/>
      <c r="L113" s="10"/>
      <c r="M113" s="14">
        <f>J113*D113</f>
        <v>0</v>
      </c>
      <c r="N113" s="14"/>
      <c r="O113" s="14"/>
      <c r="P113" s="14"/>
      <c r="Q113" s="14"/>
      <c r="R113" s="14"/>
      <c r="S113" s="14">
        <f>M113</f>
        <v>0</v>
      </c>
      <c r="T113" s="14"/>
      <c r="U113" s="14"/>
      <c r="V113" s="14"/>
      <c r="W113" s="14"/>
      <c r="X113" s="14"/>
      <c r="Y113" s="36"/>
      <c r="Z113" s="10"/>
      <c r="AA113" s="36"/>
    </row>
    <row r="114" spans="2:27" x14ac:dyDescent="0.2">
      <c r="B114" s="15" t="s">
        <v>28</v>
      </c>
      <c r="C114" s="19"/>
      <c r="D114" s="105">
        <v>0</v>
      </c>
      <c r="E114" s="19" t="s">
        <v>62</v>
      </c>
      <c r="F114" s="19" t="s">
        <v>70</v>
      </c>
      <c r="G114" s="19">
        <v>-30</v>
      </c>
      <c r="H114" s="20">
        <f>H113</f>
        <v>357.75</v>
      </c>
      <c r="I114" s="20"/>
      <c r="J114" s="20">
        <f>(H114+G114)*$J$51</f>
        <v>433.54770000000002</v>
      </c>
      <c r="K114" s="21"/>
      <c r="L114" s="19"/>
      <c r="M114" s="16">
        <f>J114*D114</f>
        <v>0</v>
      </c>
      <c r="N114" s="16"/>
      <c r="O114" s="16"/>
      <c r="P114" s="16"/>
      <c r="Q114" s="16"/>
      <c r="R114" s="16"/>
      <c r="S114" s="16">
        <f>M114</f>
        <v>0</v>
      </c>
      <c r="T114" s="16"/>
      <c r="U114" s="16"/>
      <c r="V114" s="16"/>
      <c r="W114" s="16"/>
      <c r="X114" s="16"/>
      <c r="Y114" s="36"/>
      <c r="Z114" s="10"/>
      <c r="AA114" s="36"/>
    </row>
    <row r="115" spans="2:27" x14ac:dyDescent="0.2">
      <c r="B115" s="3" t="s">
        <v>35</v>
      </c>
      <c r="C115" s="5"/>
      <c r="D115" s="4">
        <f>SUM(D111:D114)</f>
        <v>0</v>
      </c>
      <c r="E115" s="5"/>
      <c r="F115" s="5"/>
      <c r="G115" s="5"/>
      <c r="H115" s="5"/>
      <c r="I115" s="5"/>
      <c r="J115" s="39"/>
      <c r="K115" s="5"/>
      <c r="L115" s="5"/>
      <c r="M115" s="7">
        <f t="shared" ref="M115:X115" si="58">SUM(M111:M114)</f>
        <v>0</v>
      </c>
      <c r="N115" s="7">
        <f t="shared" si="58"/>
        <v>0</v>
      </c>
      <c r="O115" s="7">
        <f t="shared" si="58"/>
        <v>0</v>
      </c>
      <c r="P115" s="7">
        <f t="shared" si="58"/>
        <v>0</v>
      </c>
      <c r="Q115" s="7">
        <f t="shared" si="58"/>
        <v>0</v>
      </c>
      <c r="R115" s="7">
        <f t="shared" si="58"/>
        <v>0</v>
      </c>
      <c r="S115" s="7">
        <f t="shared" si="58"/>
        <v>0</v>
      </c>
      <c r="T115" s="7">
        <f t="shared" si="58"/>
        <v>0</v>
      </c>
      <c r="U115" s="7">
        <f t="shared" si="58"/>
        <v>0</v>
      </c>
      <c r="V115" s="7">
        <f t="shared" si="58"/>
        <v>0</v>
      </c>
      <c r="W115" s="7">
        <f t="shared" si="58"/>
        <v>0</v>
      </c>
      <c r="X115" s="7">
        <f t="shared" si="58"/>
        <v>0</v>
      </c>
      <c r="Y115" s="37"/>
      <c r="Z115" s="6"/>
      <c r="AA115" s="37"/>
    </row>
    <row r="116" spans="2:27" x14ac:dyDescent="0.2">
      <c r="Z116" s="10"/>
    </row>
    <row r="117" spans="2:27" x14ac:dyDescent="0.2">
      <c r="B117" s="9" t="s">
        <v>331</v>
      </c>
    </row>
    <row r="119" spans="2:27" x14ac:dyDescent="0.2">
      <c r="B119" s="32" t="s">
        <v>48</v>
      </c>
      <c r="C119" s="195"/>
      <c r="D119" s="33"/>
      <c r="E119" s="33"/>
      <c r="F119" s="33"/>
      <c r="G119" s="33"/>
      <c r="H119" s="33"/>
      <c r="I119" s="33"/>
      <c r="J119" s="33"/>
    </row>
    <row r="120" spans="2:27" x14ac:dyDescent="0.2">
      <c r="D120" s="98">
        <f>37500/60*0.453592</f>
        <v>283.495</v>
      </c>
      <c r="E120" s="27"/>
      <c r="F120" s="27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</row>
    <row r="121" spans="2:27" x14ac:dyDescent="0.2">
      <c r="B121" s="12" t="s">
        <v>16</v>
      </c>
      <c r="C121" s="8" t="s">
        <v>15</v>
      </c>
      <c r="D121" s="8" t="s">
        <v>14</v>
      </c>
      <c r="E121" s="8" t="s">
        <v>318</v>
      </c>
      <c r="F121" s="8"/>
      <c r="G121" s="8" t="s">
        <v>40</v>
      </c>
      <c r="H121" s="8" t="s">
        <v>22</v>
      </c>
      <c r="I121" s="8" t="s">
        <v>45</v>
      </c>
      <c r="J121" s="8" t="s">
        <v>44</v>
      </c>
      <c r="K121" s="8" t="s">
        <v>46</v>
      </c>
      <c r="L121" s="8" t="s">
        <v>43</v>
      </c>
      <c r="M121" s="24" t="s">
        <v>19</v>
      </c>
      <c r="N121" s="13">
        <f t="shared" ref="N121:X121" si="59">N52</f>
        <v>45536</v>
      </c>
      <c r="O121" s="13">
        <f t="shared" si="59"/>
        <v>45566</v>
      </c>
      <c r="P121" s="13">
        <f t="shared" si="59"/>
        <v>45597</v>
      </c>
      <c r="Q121" s="13">
        <f t="shared" si="59"/>
        <v>45627</v>
      </c>
      <c r="R121" s="13">
        <f t="shared" si="59"/>
        <v>45658</v>
      </c>
      <c r="S121" s="13">
        <f t="shared" si="59"/>
        <v>45689</v>
      </c>
      <c r="T121" s="13">
        <f t="shared" si="59"/>
        <v>45717</v>
      </c>
      <c r="U121" s="13">
        <f t="shared" si="59"/>
        <v>45748</v>
      </c>
      <c r="V121" s="13">
        <f t="shared" si="59"/>
        <v>45778</v>
      </c>
      <c r="W121" s="13">
        <f t="shared" si="59"/>
        <v>45809</v>
      </c>
      <c r="X121" s="13" t="str">
        <f t="shared" si="59"/>
        <v>em aberto</v>
      </c>
      <c r="Y121" s="35"/>
      <c r="Z121" s="35"/>
      <c r="AA121" s="35"/>
    </row>
    <row r="122" spans="2:27" x14ac:dyDescent="0.2">
      <c r="B122" s="9" t="s">
        <v>42</v>
      </c>
      <c r="C122" s="10" t="s">
        <v>39</v>
      </c>
      <c r="D122" s="18">
        <f>$D$120*G122</f>
        <v>1304.077</v>
      </c>
      <c r="E122" s="209" t="s">
        <v>216</v>
      </c>
      <c r="F122" s="18"/>
      <c r="G122" s="11">
        <v>4.5999999999999996</v>
      </c>
      <c r="H122" s="11">
        <v>191.55</v>
      </c>
      <c r="I122" s="11">
        <v>241.4</v>
      </c>
      <c r="J122" s="10"/>
      <c r="K122" s="28">
        <v>5.2268999999999997</v>
      </c>
      <c r="L122" s="26">
        <v>45405</v>
      </c>
      <c r="M122" s="29">
        <f>IF(J122&gt;0,(H122*J122-I122*K122)*$J$51*D122,(H122-I122)*$J$51*K122*D122)/K122</f>
        <v>-85992.897821659993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36"/>
      <c r="Z122" s="36"/>
      <c r="AA122" s="36"/>
    </row>
    <row r="123" spans="2:27" x14ac:dyDescent="0.2">
      <c r="B123" s="9" t="s">
        <v>41</v>
      </c>
      <c r="C123" s="10" t="s">
        <v>38</v>
      </c>
      <c r="D123" s="18">
        <f t="shared" ref="D123:D128" si="60">$D$120*G123</f>
        <v>566.99</v>
      </c>
      <c r="E123" s="209" t="s">
        <v>216</v>
      </c>
      <c r="F123" s="18"/>
      <c r="G123" s="11">
        <v>2</v>
      </c>
      <c r="H123" s="11">
        <v>226.05</v>
      </c>
      <c r="I123" s="11">
        <v>239.9</v>
      </c>
      <c r="J123" s="10"/>
      <c r="K123" s="28">
        <v>5.4650999999999996</v>
      </c>
      <c r="L123" s="26">
        <v>45520</v>
      </c>
      <c r="M123" s="29">
        <f t="shared" ref="M123:M131" si="61">IF(J123&gt;0,(H123*J123-I123*K123)*$J$51*D123,(H123-I123)*$J$51*K123*D123)/K123</f>
        <v>-10387.699052199996</v>
      </c>
      <c r="N123" s="10"/>
      <c r="O123" s="10"/>
      <c r="P123" s="30"/>
      <c r="Q123" s="10"/>
      <c r="R123" s="10"/>
      <c r="S123" s="10"/>
      <c r="T123" s="10"/>
      <c r="U123" s="10"/>
      <c r="V123" s="10"/>
      <c r="W123" s="10"/>
      <c r="X123" s="10"/>
      <c r="Y123" s="36"/>
      <c r="Z123" s="36"/>
      <c r="AA123" s="36"/>
    </row>
    <row r="124" spans="2:27" x14ac:dyDescent="0.2">
      <c r="B124" s="9" t="s">
        <v>41</v>
      </c>
      <c r="C124" s="10">
        <v>507185025</v>
      </c>
      <c r="D124" s="18">
        <f t="shared" si="60"/>
        <v>3118.4450000000002</v>
      </c>
      <c r="E124" s="209" t="s">
        <v>216</v>
      </c>
      <c r="F124" s="18"/>
      <c r="G124" s="11">
        <v>11</v>
      </c>
      <c r="H124" s="11">
        <v>183.6</v>
      </c>
      <c r="I124" s="10">
        <v>263.55</v>
      </c>
      <c r="J124" s="10">
        <v>4.9850000000000003</v>
      </c>
      <c r="K124" s="28">
        <v>5.7694000000000001</v>
      </c>
      <c r="L124" s="26">
        <v>45602</v>
      </c>
      <c r="M124" s="29">
        <f t="shared" si="61"/>
        <v>-432770.34807139065</v>
      </c>
      <c r="N124" s="18"/>
      <c r="O124" s="10"/>
      <c r="P124" s="30">
        <f>M124</f>
        <v>-432770.34807139065</v>
      </c>
      <c r="Q124" s="10"/>
      <c r="R124" s="10"/>
      <c r="S124" s="10"/>
      <c r="T124" s="10"/>
      <c r="U124" s="10"/>
      <c r="V124" s="10"/>
      <c r="W124" s="10"/>
      <c r="X124" s="10"/>
      <c r="Y124" s="36"/>
      <c r="Z124" s="36"/>
      <c r="AA124" s="36"/>
    </row>
    <row r="125" spans="2:27" x14ac:dyDescent="0.2">
      <c r="B125" s="9" t="s">
        <v>41</v>
      </c>
      <c r="C125" s="10">
        <v>507224803</v>
      </c>
      <c r="D125" s="18">
        <f t="shared" si="60"/>
        <v>5102.91</v>
      </c>
      <c r="E125" s="209" t="s">
        <v>216</v>
      </c>
      <c r="F125" s="18"/>
      <c r="G125" s="11">
        <v>18</v>
      </c>
      <c r="H125" s="11">
        <v>158.4</v>
      </c>
      <c r="I125" s="10">
        <v>263.55</v>
      </c>
      <c r="J125" s="10">
        <v>4.9850000000000003</v>
      </c>
      <c r="K125" s="28">
        <v>5.7694000000000001</v>
      </c>
      <c r="L125" s="26">
        <v>45602</v>
      </c>
      <c r="M125" s="29">
        <f t="shared" si="61"/>
        <v>-855145.90566270449</v>
      </c>
      <c r="N125" s="18"/>
      <c r="O125" s="10"/>
      <c r="P125" s="30">
        <f>M125</f>
        <v>-855145.90566270449</v>
      </c>
      <c r="Q125" s="10"/>
      <c r="R125" s="10"/>
      <c r="S125" s="10"/>
      <c r="T125" s="10"/>
      <c r="U125" s="10"/>
      <c r="V125" s="10"/>
      <c r="W125" s="10"/>
      <c r="X125" s="10"/>
      <c r="Y125" s="36"/>
      <c r="Z125" s="36"/>
      <c r="AA125" s="36"/>
    </row>
    <row r="126" spans="2:27" x14ac:dyDescent="0.2">
      <c r="B126" s="9" t="s">
        <v>42</v>
      </c>
      <c r="C126" s="10">
        <v>43136</v>
      </c>
      <c r="D126" s="18">
        <f t="shared" si="60"/>
        <v>640.69869999999992</v>
      </c>
      <c r="E126" s="209" t="s">
        <v>309</v>
      </c>
      <c r="F126" s="18"/>
      <c r="G126" s="11">
        <v>2.2599999999999998</v>
      </c>
      <c r="H126" s="11">
        <v>245</v>
      </c>
      <c r="I126" s="10">
        <v>251.05</v>
      </c>
      <c r="J126" s="10"/>
      <c r="K126" s="28">
        <v>5.726</v>
      </c>
      <c r="L126" s="26">
        <v>45586</v>
      </c>
      <c r="M126" s="29">
        <f t="shared" si="61"/>
        <v>-5127.4732541780086</v>
      </c>
      <c r="N126" s="18"/>
      <c r="O126" s="10"/>
      <c r="P126" s="30">
        <f>M126</f>
        <v>-5127.4732541780086</v>
      </c>
      <c r="Q126" s="10"/>
      <c r="R126" s="10"/>
      <c r="S126" s="10"/>
      <c r="T126" s="10"/>
      <c r="U126" s="10"/>
      <c r="V126" s="10"/>
      <c r="W126" s="10"/>
      <c r="X126" s="10"/>
      <c r="Y126" s="36"/>
      <c r="Z126" s="36"/>
      <c r="AA126" s="36"/>
    </row>
    <row r="127" spans="2:27" x14ac:dyDescent="0.2">
      <c r="B127" s="9" t="s">
        <v>42</v>
      </c>
      <c r="C127" s="10">
        <v>44564</v>
      </c>
      <c r="D127" s="18">
        <f t="shared" si="60"/>
        <v>320.34934999999996</v>
      </c>
      <c r="E127" s="209" t="s">
        <v>319</v>
      </c>
      <c r="F127" s="18"/>
      <c r="G127" s="11">
        <v>1.1299999999999999</v>
      </c>
      <c r="H127" s="11">
        <v>231.1</v>
      </c>
      <c r="I127" s="10">
        <v>251.05</v>
      </c>
      <c r="J127" s="10"/>
      <c r="K127" s="28">
        <v>5.726</v>
      </c>
      <c r="L127" s="26">
        <v>45586</v>
      </c>
      <c r="M127" s="29">
        <f t="shared" si="61"/>
        <v>-8453.9744975910071</v>
      </c>
      <c r="N127" s="18"/>
      <c r="O127" s="10"/>
      <c r="P127" s="30">
        <f>M127</f>
        <v>-8453.9744975910071</v>
      </c>
      <c r="Q127" s="10"/>
      <c r="R127" s="10"/>
      <c r="S127" s="10"/>
      <c r="T127" s="10"/>
      <c r="U127" s="10"/>
      <c r="V127" s="10"/>
      <c r="W127" s="10"/>
      <c r="X127" s="10"/>
      <c r="Y127" s="36"/>
      <c r="Z127" s="36"/>
      <c r="AA127" s="36"/>
    </row>
    <row r="128" spans="2:27" x14ac:dyDescent="0.2">
      <c r="B128" s="9" t="s">
        <v>42</v>
      </c>
      <c r="C128" s="10">
        <v>47900</v>
      </c>
      <c r="D128" s="18">
        <f t="shared" si="60"/>
        <v>640.69869999999992</v>
      </c>
      <c r="E128" s="209" t="s">
        <v>322</v>
      </c>
      <c r="F128" s="18"/>
      <c r="G128" s="11">
        <v>2.2599999999999998</v>
      </c>
      <c r="H128" s="11">
        <v>243.16</v>
      </c>
      <c r="I128" s="10">
        <v>280.75</v>
      </c>
      <c r="J128" s="10"/>
      <c r="K128" s="28">
        <v>5.7603</v>
      </c>
      <c r="L128" s="26">
        <v>45615</v>
      </c>
      <c r="M128" s="29">
        <f t="shared" si="61"/>
        <v>-31858.135475132396</v>
      </c>
      <c r="N128" s="18"/>
      <c r="O128" s="10"/>
      <c r="P128" s="30">
        <f>M128</f>
        <v>-31858.135475132396</v>
      </c>
      <c r="Q128" s="10"/>
      <c r="R128" s="10"/>
      <c r="S128" s="10"/>
      <c r="T128" s="10"/>
      <c r="U128" s="10"/>
      <c r="V128" s="10"/>
      <c r="W128" s="10"/>
      <c r="X128" s="10"/>
      <c r="Y128" s="36"/>
      <c r="Z128" s="36"/>
      <c r="AA128" s="36"/>
    </row>
    <row r="129" spans="2:28" x14ac:dyDescent="0.2">
      <c r="B129" s="9" t="s">
        <v>42</v>
      </c>
      <c r="C129" s="10">
        <v>61454</v>
      </c>
      <c r="D129" s="18">
        <f>$D$120*G129</f>
        <v>961.0480500000001</v>
      </c>
      <c r="E129" s="209" t="s">
        <v>320</v>
      </c>
      <c r="F129" s="18"/>
      <c r="G129" s="11">
        <f>127125/37500</f>
        <v>3.39</v>
      </c>
      <c r="H129" s="11">
        <v>293.60000000000002</v>
      </c>
      <c r="I129" s="11">
        <v>321.10000000000002</v>
      </c>
      <c r="J129" s="10"/>
      <c r="K129" s="28">
        <v>6.1725000000000003</v>
      </c>
      <c r="L129" s="26">
        <v>45643</v>
      </c>
      <c r="M129" s="29">
        <f t="shared" si="61"/>
        <v>-34960.044914850005</v>
      </c>
      <c r="N129" s="99"/>
      <c r="O129" s="10"/>
      <c r="P129" s="30"/>
      <c r="Q129" s="30">
        <f>M129</f>
        <v>-34960.044914850005</v>
      </c>
      <c r="R129" s="10"/>
      <c r="S129" s="30"/>
      <c r="T129" s="30"/>
      <c r="U129" s="10"/>
      <c r="V129" s="10"/>
      <c r="W129" s="10"/>
      <c r="X129" s="10"/>
      <c r="Y129" s="36"/>
      <c r="Z129" s="36"/>
      <c r="AA129" s="36"/>
    </row>
    <row r="130" spans="2:28" x14ac:dyDescent="0.2">
      <c r="B130" s="9" t="s">
        <v>42</v>
      </c>
      <c r="C130" s="10">
        <v>47898</v>
      </c>
      <c r="D130" s="18">
        <f>$D$120*G130</f>
        <v>320.34934999999996</v>
      </c>
      <c r="E130" s="209" t="s">
        <v>321</v>
      </c>
      <c r="F130" s="18"/>
      <c r="G130" s="11">
        <v>1.1299999999999999</v>
      </c>
      <c r="H130" s="11">
        <v>240.91</v>
      </c>
      <c r="I130" s="11">
        <v>329</v>
      </c>
      <c r="J130" s="10"/>
      <c r="K130" s="28">
        <v>6.08</v>
      </c>
      <c r="L130" s="26">
        <v>45646</v>
      </c>
      <c r="M130" s="29">
        <f t="shared" si="61"/>
        <v>-37328.852806656192</v>
      </c>
      <c r="N130" s="99"/>
      <c r="O130" s="10"/>
      <c r="P130" s="30"/>
      <c r="Q130" s="30">
        <f>M130</f>
        <v>-37328.852806656192</v>
      </c>
      <c r="R130" s="10"/>
      <c r="S130" s="30"/>
      <c r="T130" s="30"/>
      <c r="U130" s="10"/>
      <c r="V130" s="10"/>
      <c r="W130" s="10"/>
      <c r="X130" s="10"/>
      <c r="Y130" s="36"/>
      <c r="Z130" s="36"/>
      <c r="AA130" s="36"/>
    </row>
    <row r="131" spans="2:28" x14ac:dyDescent="0.2">
      <c r="B131" s="9" t="s">
        <v>42</v>
      </c>
      <c r="C131" s="10">
        <v>47898</v>
      </c>
      <c r="D131" s="18">
        <f>$D$120*G131</f>
        <v>640.69869999999992</v>
      </c>
      <c r="E131" s="209" t="s">
        <v>310</v>
      </c>
      <c r="F131" s="18"/>
      <c r="G131" s="11">
        <v>2.2599999999999998</v>
      </c>
      <c r="H131" s="11">
        <v>240.91</v>
      </c>
      <c r="I131" s="11">
        <v>342</v>
      </c>
      <c r="J131" s="10"/>
      <c r="K131" s="28">
        <v>5.9249999999999998</v>
      </c>
      <c r="L131" s="26">
        <v>45679</v>
      </c>
      <c r="M131" s="29">
        <f t="shared" si="61"/>
        <v>-85675.416737992404</v>
      </c>
      <c r="N131" s="10"/>
      <c r="O131" s="10"/>
      <c r="P131" s="10"/>
      <c r="Q131" s="10"/>
      <c r="R131" s="30">
        <f>M131</f>
        <v>-85675.416737992404</v>
      </c>
      <c r="S131" s="30"/>
      <c r="T131" s="10"/>
      <c r="U131" s="10"/>
      <c r="V131" s="10"/>
      <c r="W131" s="10"/>
      <c r="X131" s="10"/>
      <c r="Y131" s="36"/>
      <c r="Z131" s="36"/>
      <c r="AA131" s="36"/>
    </row>
    <row r="132" spans="2:28" x14ac:dyDescent="0.2">
      <c r="B132" s="9" t="s">
        <v>42</v>
      </c>
      <c r="C132" s="10">
        <v>47898</v>
      </c>
      <c r="D132" s="18">
        <f>$D$120*G132</f>
        <v>640.69870000000026</v>
      </c>
      <c r="E132" s="18"/>
      <c r="F132" s="18"/>
      <c r="G132" s="11">
        <f>5.65-G130-G131</f>
        <v>2.2600000000000007</v>
      </c>
      <c r="H132" s="11">
        <v>240.91</v>
      </c>
      <c r="I132" s="11">
        <v>417.9</v>
      </c>
      <c r="J132" s="10"/>
      <c r="K132" s="28">
        <v>5.7087000000000003</v>
      </c>
      <c r="L132" s="26">
        <v>45708</v>
      </c>
      <c r="M132" s="29">
        <f>IF(J132&gt;0,(H132*J132-I132*K132)*$J$51*D132,(H132-I132)*$J$51*K132*D132)/K132</f>
        <v>-150001.89938131641</v>
      </c>
      <c r="N132" s="10"/>
      <c r="O132" s="10"/>
      <c r="P132" s="10"/>
      <c r="Q132" s="10"/>
      <c r="R132" s="10"/>
      <c r="S132" s="30">
        <f>M132</f>
        <v>-150001.89938131641</v>
      </c>
      <c r="T132" s="10"/>
      <c r="U132" s="10"/>
      <c r="V132" s="10"/>
      <c r="W132" s="10"/>
      <c r="X132" s="10"/>
      <c r="Y132" s="36"/>
      <c r="Z132" s="36"/>
      <c r="AA132" s="36"/>
    </row>
    <row r="133" spans="2:28" x14ac:dyDescent="0.2">
      <c r="B133" s="3" t="s">
        <v>50</v>
      </c>
      <c r="C133" s="5"/>
      <c r="D133" s="4">
        <f>SUM(D122:D131)</f>
        <v>13616.26485</v>
      </c>
      <c r="E133" s="4"/>
      <c r="F133" s="4"/>
      <c r="G133" s="5"/>
      <c r="H133" s="5"/>
      <c r="I133" s="5"/>
      <c r="J133" s="5"/>
      <c r="K133" s="5"/>
      <c r="L133" s="5"/>
      <c r="M133" s="7">
        <f t="shared" ref="M133:X133" si="62">SUM(M124:M132)</f>
        <v>-1641322.0508018113</v>
      </c>
      <c r="N133" s="7">
        <f t="shared" si="62"/>
        <v>0</v>
      </c>
      <c r="O133" s="7">
        <f t="shared" si="62"/>
        <v>0</v>
      </c>
      <c r="P133" s="7">
        <f t="shared" si="62"/>
        <v>-1333355.8369609963</v>
      </c>
      <c r="Q133" s="7">
        <f t="shared" si="62"/>
        <v>-72288.89772150619</v>
      </c>
      <c r="R133" s="7">
        <f t="shared" si="62"/>
        <v>-85675.416737992404</v>
      </c>
      <c r="S133" s="7">
        <f t="shared" si="62"/>
        <v>-150001.89938131641</v>
      </c>
      <c r="T133" s="7">
        <f t="shared" si="62"/>
        <v>0</v>
      </c>
      <c r="U133" s="7">
        <f t="shared" si="62"/>
        <v>0</v>
      </c>
      <c r="V133" s="7">
        <f t="shared" si="62"/>
        <v>0</v>
      </c>
      <c r="W133" s="7">
        <f t="shared" si="62"/>
        <v>0</v>
      </c>
      <c r="X133" s="7">
        <f t="shared" si="62"/>
        <v>0</v>
      </c>
      <c r="Y133" s="36"/>
      <c r="Z133" s="36"/>
      <c r="AA133" s="36"/>
    </row>
    <row r="134" spans="2:28" x14ac:dyDescent="0.2">
      <c r="B134" s="1"/>
      <c r="C134" s="6"/>
      <c r="D134" s="2"/>
      <c r="E134" s="2"/>
      <c r="F134" s="2"/>
      <c r="G134" s="6"/>
      <c r="H134" s="6"/>
      <c r="I134" s="6"/>
      <c r="J134" s="6"/>
      <c r="K134" s="18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 spans="2:28" x14ac:dyDescent="0.2">
      <c r="B135" s="32" t="s">
        <v>49</v>
      </c>
      <c r="C135" s="34"/>
      <c r="D135" s="34"/>
      <c r="E135" s="34"/>
      <c r="F135" s="34"/>
      <c r="G135" s="34"/>
      <c r="H135" s="34"/>
      <c r="I135" s="33"/>
      <c r="J135" s="34"/>
      <c r="L135" s="26"/>
      <c r="M135" s="29"/>
      <c r="N135" s="10"/>
      <c r="O135" s="10"/>
      <c r="P135" s="30"/>
      <c r="Q135" s="10"/>
      <c r="R135" s="10"/>
      <c r="S135" s="10"/>
      <c r="T135" s="10"/>
      <c r="U135" s="10"/>
      <c r="V135" s="10"/>
      <c r="W135" s="10"/>
      <c r="X135" s="10"/>
      <c r="Y135" s="36"/>
      <c r="Z135" s="36"/>
      <c r="AA135" s="36"/>
    </row>
    <row r="136" spans="2:28" x14ac:dyDescent="0.2">
      <c r="D136" s="18"/>
      <c r="E136" s="18"/>
      <c r="F136" s="18"/>
      <c r="G136" s="11"/>
      <c r="H136" s="10"/>
      <c r="I136" s="10"/>
      <c r="J136" s="10"/>
      <c r="K136" s="10"/>
      <c r="L136" s="26"/>
      <c r="M136" s="29"/>
      <c r="N136" s="10"/>
      <c r="O136" s="10"/>
      <c r="P136" s="30"/>
      <c r="Q136" s="10"/>
      <c r="R136" s="10"/>
      <c r="S136" s="10"/>
      <c r="T136" s="10"/>
      <c r="U136" s="10"/>
      <c r="V136" s="10"/>
      <c r="W136" s="10"/>
      <c r="X136" s="10"/>
      <c r="Y136" s="36"/>
      <c r="Z136" s="36"/>
      <c r="AA136" s="36"/>
    </row>
    <row r="137" spans="2:28" x14ac:dyDescent="0.2">
      <c r="Y137" s="36"/>
      <c r="Z137" s="36"/>
      <c r="AA137" s="36"/>
    </row>
    <row r="138" spans="2:28" x14ac:dyDescent="0.2">
      <c r="B138" s="9" t="s">
        <v>42</v>
      </c>
      <c r="C138" s="10">
        <v>47899</v>
      </c>
      <c r="D138" s="18">
        <f>$D$120*G138</f>
        <v>640.69869999999992</v>
      </c>
      <c r="E138" s="18" t="s">
        <v>330</v>
      </c>
      <c r="F138" s="18"/>
      <c r="G138" s="11">
        <v>2.2599999999999998</v>
      </c>
      <c r="H138" s="11">
        <v>238.17</v>
      </c>
      <c r="I138" s="11">
        <f>N6</f>
        <v>386.65</v>
      </c>
      <c r="J138" s="10"/>
      <c r="K138" s="28">
        <f>$Q$3</f>
        <v>5.9</v>
      </c>
      <c r="L138" s="26">
        <v>45769</v>
      </c>
      <c r="M138" s="29">
        <f>IF(J138&gt;0,(H138*J138-I138*K138)*$J$51*D138,(H138-I138)*$J$51*K138*D138)/K138</f>
        <v>-125839.21136865274</v>
      </c>
      <c r="N138" s="10"/>
      <c r="O138" s="10"/>
      <c r="P138" s="10"/>
      <c r="Q138" s="10"/>
      <c r="R138" s="10"/>
      <c r="S138" s="10"/>
      <c r="T138" s="10"/>
      <c r="U138" s="30">
        <f>M138</f>
        <v>-125839.21136865274</v>
      </c>
      <c r="V138" s="10"/>
      <c r="W138" s="10"/>
      <c r="X138" s="10"/>
      <c r="Y138" s="36"/>
      <c r="Z138" s="36"/>
      <c r="AA138" s="36"/>
    </row>
    <row r="139" spans="2:28" x14ac:dyDescent="0.2">
      <c r="B139" s="9" t="s">
        <v>42</v>
      </c>
      <c r="D139" s="18">
        <f>$D$120*G139</f>
        <v>320.34934999999996</v>
      </c>
      <c r="E139" s="18"/>
      <c r="F139" s="18"/>
      <c r="G139" s="11">
        <v>1.1299999999999999</v>
      </c>
      <c r="H139" s="11">
        <v>390.1</v>
      </c>
      <c r="I139" s="11">
        <f>N6</f>
        <v>386.65</v>
      </c>
      <c r="J139" s="10"/>
      <c r="K139" s="28">
        <f>Q3</f>
        <v>5.9</v>
      </c>
      <c r="L139" s="26">
        <v>45769</v>
      </c>
      <c r="M139" s="29">
        <f>IF(J139&gt;0,(H139*J139-I139*K139)*$J$51*D139,(H139-I139)*$J$51*K139*D139)/K139</f>
        <v>1461.9655146210191</v>
      </c>
      <c r="N139" s="10"/>
      <c r="O139" s="10"/>
      <c r="P139" s="10"/>
      <c r="Q139" s="10"/>
      <c r="R139" s="10"/>
      <c r="S139" s="10"/>
      <c r="T139" s="10"/>
      <c r="U139" s="30">
        <f>M139</f>
        <v>1461.9655146210191</v>
      </c>
      <c r="V139" s="10"/>
      <c r="W139" s="10"/>
      <c r="X139" s="10"/>
      <c r="Y139" s="36"/>
      <c r="Z139" s="36"/>
      <c r="AA139" s="36"/>
    </row>
    <row r="140" spans="2:28" x14ac:dyDescent="0.2">
      <c r="B140" s="9" t="s">
        <v>42</v>
      </c>
      <c r="C140" s="10">
        <v>25852</v>
      </c>
      <c r="D140" s="18">
        <f>$D$120*G140</f>
        <v>5017.8615</v>
      </c>
      <c r="E140" s="18"/>
      <c r="F140" s="18"/>
      <c r="G140" s="11">
        <v>17.7</v>
      </c>
      <c r="H140" s="11">
        <v>179</v>
      </c>
      <c r="I140" s="11">
        <f>Q6</f>
        <v>357.75</v>
      </c>
      <c r="J140" s="10"/>
      <c r="K140" s="28">
        <f>$Q$3</f>
        <v>5.9</v>
      </c>
      <c r="L140" s="26">
        <v>45973</v>
      </c>
      <c r="M140" s="29">
        <f>IF(J140&gt;0,(H140*J140-I140*K140)*$J$51*D140,(H140-I140)*$J$51*K140*D140)/K140</f>
        <v>-1186475.86060575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30">
        <f>M140</f>
        <v>-1186475.86060575</v>
      </c>
      <c r="Y140" s="36"/>
      <c r="Z140" s="36"/>
      <c r="AA140" s="36"/>
    </row>
    <row r="141" spans="2:28" x14ac:dyDescent="0.2">
      <c r="B141" s="9" t="s">
        <v>41</v>
      </c>
      <c r="C141" s="10">
        <v>507931308</v>
      </c>
      <c r="D141" s="18">
        <f>$D$120*G141</f>
        <v>1984.4650000000001</v>
      </c>
      <c r="E141" s="18"/>
      <c r="F141" s="18"/>
      <c r="G141" s="11">
        <v>7</v>
      </c>
      <c r="H141" s="11">
        <v>196.1</v>
      </c>
      <c r="I141" s="11">
        <f>I140</f>
        <v>357.75</v>
      </c>
      <c r="J141" s="10"/>
      <c r="K141" s="28">
        <f>$Q$3</f>
        <v>5.9</v>
      </c>
      <c r="L141" s="26">
        <v>45973</v>
      </c>
      <c r="M141" s="29">
        <f>IF(J141&gt;0,(H141*J141-I141*K141)*$J$51*D141,(H141-I141)*$J$51*K141*D141)/K141</f>
        <v>-424339.38131830003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30">
        <f>M141</f>
        <v>-424339.38131830003</v>
      </c>
      <c r="Y141" s="36"/>
      <c r="Z141" s="36"/>
      <c r="AA141" s="36"/>
    </row>
    <row r="142" spans="2:28" x14ac:dyDescent="0.2">
      <c r="B142" s="9" t="s">
        <v>42</v>
      </c>
      <c r="C142" s="10">
        <v>47616</v>
      </c>
      <c r="D142" s="18">
        <f>$D$120*G142</f>
        <v>3005.047</v>
      </c>
      <c r="E142" s="18"/>
      <c r="F142" s="18"/>
      <c r="G142" s="11">
        <v>10.6</v>
      </c>
      <c r="H142" s="11">
        <v>222.2</v>
      </c>
      <c r="I142" s="11">
        <f>I141</f>
        <v>357.75</v>
      </c>
      <c r="J142" s="10"/>
      <c r="K142" s="28">
        <f>$Q$3</f>
        <v>5.9</v>
      </c>
      <c r="L142" s="26">
        <v>45980</v>
      </c>
      <c r="M142" s="29">
        <f>IF(J142&gt;0,(H142*J142-I142*K142)*$J$51*D142,(H142-I142)*$J$51*K142*D142)/K142</f>
        <v>-538821.57506038004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30">
        <f>M142</f>
        <v>-538821.57506038004</v>
      </c>
      <c r="Y142" s="36"/>
      <c r="Z142" s="36"/>
      <c r="AA142" s="36"/>
    </row>
    <row r="143" spans="2:28" x14ac:dyDescent="0.2">
      <c r="B143" s="3" t="s">
        <v>51</v>
      </c>
      <c r="C143" s="5"/>
      <c r="D143" s="4">
        <f>SUM(D132:D142)</f>
        <v>25225.3851</v>
      </c>
      <c r="E143" s="4"/>
      <c r="F143" s="4"/>
      <c r="G143" s="5"/>
      <c r="H143" s="5"/>
      <c r="I143" s="38"/>
      <c r="J143" s="5"/>
      <c r="K143" s="5"/>
      <c r="L143" s="5"/>
      <c r="M143" s="7">
        <f t="shared" ref="M143:X143" si="63">SUM(M138:M142)</f>
        <v>-2274014.0628384617</v>
      </c>
      <c r="N143" s="7">
        <f t="shared" si="63"/>
        <v>0</v>
      </c>
      <c r="O143" s="7">
        <f t="shared" si="63"/>
        <v>0</v>
      </c>
      <c r="P143" s="7">
        <f t="shared" si="63"/>
        <v>0</v>
      </c>
      <c r="Q143" s="7">
        <f t="shared" si="63"/>
        <v>0</v>
      </c>
      <c r="R143" s="7">
        <f t="shared" si="63"/>
        <v>0</v>
      </c>
      <c r="S143" s="7">
        <f t="shared" si="63"/>
        <v>0</v>
      </c>
      <c r="T143" s="7">
        <f t="shared" si="63"/>
        <v>0</v>
      </c>
      <c r="U143" s="7">
        <f t="shared" si="63"/>
        <v>-124377.24585403173</v>
      </c>
      <c r="V143" s="7">
        <f t="shared" si="63"/>
        <v>0</v>
      </c>
      <c r="W143" s="7">
        <f t="shared" si="63"/>
        <v>0</v>
      </c>
      <c r="X143" s="7">
        <f t="shared" si="63"/>
        <v>-2149636.81698443</v>
      </c>
      <c r="Y143" s="36"/>
      <c r="Z143" s="36"/>
      <c r="AA143" s="36"/>
    </row>
    <row r="144" spans="2:28" x14ac:dyDescent="0.2">
      <c r="B144" s="9" t="s">
        <v>56</v>
      </c>
      <c r="L144" s="10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36"/>
      <c r="AA144" s="36"/>
      <c r="AB144" s="36"/>
    </row>
    <row r="145" spans="2:28" x14ac:dyDescent="0.2">
      <c r="Z145" s="36"/>
      <c r="AA145" s="36"/>
      <c r="AB145" s="36"/>
    </row>
    <row r="146" spans="2:28" x14ac:dyDescent="0.2">
      <c r="B146" s="32" t="s">
        <v>394</v>
      </c>
      <c r="C146" s="34"/>
      <c r="D146" s="34"/>
      <c r="E146" s="34"/>
      <c r="F146" s="34"/>
      <c r="G146" s="34"/>
      <c r="H146" s="34"/>
      <c r="I146" s="33"/>
      <c r="J146" s="34"/>
      <c r="L146" s="26"/>
      <c r="M146" s="29"/>
      <c r="N146" s="10"/>
      <c r="O146" s="10"/>
      <c r="P146" s="30"/>
      <c r="Q146" s="10"/>
      <c r="R146" s="10"/>
      <c r="S146" s="10"/>
      <c r="T146" s="10"/>
      <c r="U146" s="10"/>
      <c r="V146" s="10"/>
      <c r="W146" s="10"/>
      <c r="X146" s="10"/>
      <c r="Z146" s="36"/>
      <c r="AA146" s="36"/>
      <c r="AB146" s="36"/>
    </row>
    <row r="147" spans="2:28" x14ac:dyDescent="0.2">
      <c r="D147" s="18"/>
      <c r="E147" s="18"/>
      <c r="F147" s="18"/>
      <c r="G147" s="11"/>
      <c r="H147" s="10"/>
      <c r="I147" s="10"/>
      <c r="J147" s="10"/>
      <c r="L147" s="26"/>
      <c r="M147" s="29"/>
      <c r="N147" s="10"/>
      <c r="O147" s="10"/>
      <c r="P147" s="30"/>
      <c r="Q147" s="10"/>
      <c r="R147" s="10"/>
      <c r="S147" s="10"/>
      <c r="T147" s="10"/>
      <c r="U147" s="10"/>
      <c r="V147" s="10"/>
      <c r="W147" s="10"/>
      <c r="X147" s="10"/>
      <c r="Z147" s="36"/>
      <c r="AA147" s="36"/>
      <c r="AB147" s="36"/>
    </row>
    <row r="148" spans="2:28" x14ac:dyDescent="0.2">
      <c r="B148" s="12" t="s">
        <v>16</v>
      </c>
      <c r="C148" s="8" t="s">
        <v>15</v>
      </c>
      <c r="D148" s="8" t="s">
        <v>14</v>
      </c>
      <c r="E148" s="8" t="s">
        <v>80</v>
      </c>
      <c r="F148" s="8" t="s">
        <v>410</v>
      </c>
      <c r="G148" s="8" t="s">
        <v>407</v>
      </c>
      <c r="H148" s="8" t="s">
        <v>395</v>
      </c>
      <c r="I148" s="8" t="s">
        <v>396</v>
      </c>
      <c r="J148" s="8" t="s">
        <v>397</v>
      </c>
      <c r="K148" s="8" t="s">
        <v>398</v>
      </c>
      <c r="L148" s="8" t="s">
        <v>43</v>
      </c>
      <c r="M148" s="24" t="s">
        <v>19</v>
      </c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Z148" s="36"/>
      <c r="AA148" s="36"/>
      <c r="AB148" s="36"/>
    </row>
    <row r="149" spans="2:28" x14ac:dyDescent="0.2">
      <c r="B149" s="9" t="s">
        <v>42</v>
      </c>
      <c r="D149" s="18">
        <v>9999.0499999999993</v>
      </c>
      <c r="E149" s="18" t="s">
        <v>393</v>
      </c>
      <c r="F149" s="14">
        <f ca="1">D149*G149*1.3228</f>
        <v>218702.33709591883</v>
      </c>
      <c r="G149" s="277">
        <f ca="1">H189</f>
        <v>16.534859071055266</v>
      </c>
      <c r="H149" s="11">
        <v>350</v>
      </c>
      <c r="I149" s="11">
        <v>13.9</v>
      </c>
      <c r="J149" s="14">
        <f>D149*I149*1.3228</f>
        <v>183851.73242599997</v>
      </c>
      <c r="K149" s="14">
        <v>1059314.17</v>
      </c>
      <c r="L149" s="26">
        <v>45821</v>
      </c>
      <c r="M149" s="14"/>
      <c r="N149" s="10"/>
      <c r="O149" s="10"/>
      <c r="P149" s="10"/>
      <c r="Q149" s="10"/>
      <c r="R149" s="10"/>
      <c r="S149" s="30"/>
      <c r="T149" s="10"/>
      <c r="U149" s="10"/>
      <c r="V149" s="10"/>
      <c r="W149" s="10"/>
      <c r="X149" s="10"/>
      <c r="Z149" s="36"/>
      <c r="AA149" s="36"/>
      <c r="AB149" s="36"/>
    </row>
    <row r="150" spans="2:28" x14ac:dyDescent="0.2">
      <c r="B150" s="9" t="s">
        <v>42</v>
      </c>
      <c r="D150" s="18">
        <v>9999.0499999999993</v>
      </c>
      <c r="E150" s="18" t="s">
        <v>392</v>
      </c>
      <c r="F150" s="14">
        <f ca="1">-D150*G150*1.3228</f>
        <v>-676544.12819162116</v>
      </c>
      <c r="G150" s="277">
        <f ca="1">I188</f>
        <v>51.14971318341324</v>
      </c>
      <c r="H150" s="11">
        <v>360</v>
      </c>
      <c r="I150" s="11">
        <v>56</v>
      </c>
      <c r="J150" s="14">
        <f>D150*-I150*1.3228</f>
        <v>-740697.62703999993</v>
      </c>
      <c r="K150" s="14">
        <v>-4267740.54</v>
      </c>
      <c r="L150" s="26">
        <v>45974</v>
      </c>
      <c r="M150" s="14"/>
      <c r="N150" s="10"/>
      <c r="O150" s="10"/>
      <c r="P150" s="10"/>
      <c r="Q150" s="10"/>
      <c r="R150" s="10"/>
      <c r="S150" s="10"/>
      <c r="T150" s="10"/>
      <c r="U150" s="30"/>
      <c r="V150" s="10"/>
      <c r="W150" s="10"/>
      <c r="X150" s="10"/>
      <c r="Z150" s="36"/>
      <c r="AA150" s="36"/>
      <c r="AB150" s="36"/>
    </row>
    <row r="151" spans="2:28" x14ac:dyDescent="0.2">
      <c r="B151" s="9" t="s">
        <v>42</v>
      </c>
      <c r="D151" s="18">
        <v>9999.0499999999993</v>
      </c>
      <c r="E151" s="18" t="s">
        <v>422</v>
      </c>
      <c r="F151" s="14">
        <f ca="1">D151*G151*1.3228</f>
        <v>292293.74871482764</v>
      </c>
      <c r="G151" s="277">
        <f ca="1">J188</f>
        <v>22.098693624066925</v>
      </c>
      <c r="H151" s="11">
        <v>450</v>
      </c>
      <c r="I151" s="11">
        <v>28.9</v>
      </c>
      <c r="J151" s="14">
        <f>D151*I151*1.3228</f>
        <v>382252.88252599997</v>
      </c>
      <c r="K151" s="14">
        <v>2202458.96</v>
      </c>
      <c r="L151" s="26">
        <v>45974</v>
      </c>
      <c r="M151" s="14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30"/>
      <c r="Z151" s="36"/>
      <c r="AA151" s="36"/>
      <c r="AB151" s="36"/>
    </row>
    <row r="152" spans="2:28" x14ac:dyDescent="0.2">
      <c r="B152" s="3" t="s">
        <v>391</v>
      </c>
      <c r="C152" s="5"/>
      <c r="D152" s="4"/>
      <c r="E152" s="4"/>
      <c r="F152" s="7">
        <f ca="1">SUM(F149:F151)</f>
        <v>-165548.04238087469</v>
      </c>
      <c r="G152" s="5"/>
      <c r="H152" s="5"/>
      <c r="I152" s="38"/>
      <c r="J152" s="7">
        <f>SUM(J149:J151)</f>
        <v>-174593.01208800002</v>
      </c>
      <c r="K152" s="7">
        <f>SUM(K149:K151)</f>
        <v>-1005967.4100000001</v>
      </c>
      <c r="L152" s="5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Z152" s="36"/>
      <c r="AA152" s="36"/>
      <c r="AB152" s="36"/>
    </row>
    <row r="153" spans="2:28" x14ac:dyDescent="0.2">
      <c r="K153" s="11"/>
      <c r="Z153" s="36"/>
      <c r="AA153" s="36"/>
      <c r="AB153" s="36"/>
    </row>
    <row r="154" spans="2:28" x14ac:dyDescent="0.2">
      <c r="H154" s="276"/>
      <c r="K154" s="11"/>
      <c r="Z154" s="36"/>
      <c r="AA154" s="36"/>
      <c r="AB154" s="36"/>
    </row>
    <row r="155" spans="2:28" x14ac:dyDescent="0.2">
      <c r="G155" s="283"/>
      <c r="H155" s="277"/>
      <c r="I155" s="277"/>
      <c r="J155" s="277"/>
      <c r="K155" s="11"/>
      <c r="Z155" s="36"/>
      <c r="AA155" s="36"/>
      <c r="AB155" s="36"/>
    </row>
    <row r="156" spans="2:28" x14ac:dyDescent="0.2">
      <c r="G156" s="283"/>
      <c r="H156" s="277"/>
      <c r="I156" s="277"/>
      <c r="J156" s="277"/>
      <c r="Z156" s="36"/>
      <c r="AA156" s="36"/>
      <c r="AB156" s="36"/>
    </row>
    <row r="157" spans="2:28" x14ac:dyDescent="0.2">
      <c r="H157" s="279"/>
      <c r="Z157" s="36"/>
      <c r="AA157" s="36"/>
      <c r="AB157" s="36"/>
    </row>
    <row r="158" spans="2:28" x14ac:dyDescent="0.2">
      <c r="G158" s="283"/>
      <c r="H158" s="11"/>
      <c r="I158" s="11"/>
      <c r="J158" s="11"/>
      <c r="K158" s="284"/>
      <c r="Z158" s="36"/>
      <c r="AA158" s="36"/>
      <c r="AB158" s="36"/>
    </row>
    <row r="159" spans="2:28" x14ac:dyDescent="0.2">
      <c r="G159" s="283"/>
      <c r="H159" s="11"/>
      <c r="I159" s="11"/>
      <c r="J159" s="11"/>
      <c r="K159" s="284"/>
      <c r="Z159" s="36"/>
      <c r="AA159" s="36"/>
      <c r="AB159" s="36"/>
    </row>
    <row r="160" spans="2:28" x14ac:dyDescent="0.2">
      <c r="F160" s="9" t="s">
        <v>399</v>
      </c>
      <c r="H160" s="10"/>
      <c r="I160" s="10"/>
      <c r="J160" s="10"/>
      <c r="K160" s="10"/>
      <c r="Z160" s="37"/>
      <c r="AA160" s="37"/>
      <c r="AB160" s="37"/>
    </row>
    <row r="161" spans="6:28" x14ac:dyDescent="0.2">
      <c r="H161" s="280">
        <v>45839</v>
      </c>
      <c r="I161" s="280">
        <v>45992</v>
      </c>
      <c r="J161" s="280">
        <v>45992</v>
      </c>
      <c r="K161" s="280"/>
      <c r="L161" s="280">
        <v>45992</v>
      </c>
      <c r="Z161" s="37"/>
      <c r="AA161" s="37"/>
      <c r="AB161" s="37"/>
    </row>
    <row r="162" spans="6:28" x14ac:dyDescent="0.2">
      <c r="F162" s="9" t="s">
        <v>400</v>
      </c>
      <c r="H162" s="11">
        <f>O6</f>
        <v>378.2</v>
      </c>
      <c r="I162" s="11">
        <f>Q6</f>
        <v>357.75</v>
      </c>
      <c r="J162" s="11">
        <f>I162</f>
        <v>357.75</v>
      </c>
      <c r="K162" s="11"/>
      <c r="L162" s="11">
        <f>J162</f>
        <v>357.75</v>
      </c>
    </row>
    <row r="163" spans="6:28" x14ac:dyDescent="0.2">
      <c r="F163" s="9" t="s">
        <v>425</v>
      </c>
      <c r="H163" s="11">
        <f>H149</f>
        <v>350</v>
      </c>
      <c r="I163" s="11">
        <f>H150</f>
        <v>360</v>
      </c>
      <c r="J163" s="11">
        <f>H151</f>
        <v>450</v>
      </c>
      <c r="K163" s="11"/>
      <c r="L163" s="11">
        <v>240</v>
      </c>
    </row>
    <row r="164" spans="6:28" x14ac:dyDescent="0.2">
      <c r="F164" s="9" t="s">
        <v>401</v>
      </c>
      <c r="H164" s="278">
        <v>4.4999999999999998E-2</v>
      </c>
      <c r="I164" s="278">
        <f>H164</f>
        <v>4.4999999999999998E-2</v>
      </c>
      <c r="J164" s="278">
        <f>I164</f>
        <v>4.4999999999999998E-2</v>
      </c>
      <c r="K164" s="278"/>
      <c r="L164" s="278">
        <f>J164</f>
        <v>4.4999999999999998E-2</v>
      </c>
    </row>
    <row r="165" spans="6:28" x14ac:dyDescent="0.2">
      <c r="F165" s="9" t="s">
        <v>402</v>
      </c>
      <c r="H165" s="281">
        <f ca="1">(L149-TODAY())/365</f>
        <v>0.27123287671232876</v>
      </c>
      <c r="I165" s="281">
        <f ca="1">(L150-TODAY())/365</f>
        <v>0.69041095890410964</v>
      </c>
      <c r="J165" s="282">
        <f ca="1">I165</f>
        <v>0.69041095890410964</v>
      </c>
      <c r="K165" s="282"/>
      <c r="L165" s="282">
        <f ca="1">J165</f>
        <v>0.69041095890410964</v>
      </c>
    </row>
    <row r="166" spans="6:28" x14ac:dyDescent="0.2">
      <c r="F166" s="9" t="s">
        <v>403</v>
      </c>
      <c r="H166" s="278">
        <v>0.4</v>
      </c>
      <c r="I166" s="278">
        <v>0.4</v>
      </c>
      <c r="J166" s="278">
        <f>I166</f>
        <v>0.4</v>
      </c>
      <c r="K166" s="278"/>
      <c r="L166" s="278">
        <f>J166</f>
        <v>0.4</v>
      </c>
    </row>
    <row r="167" spans="6:28" x14ac:dyDescent="0.2">
      <c r="F167" s="9" t="s">
        <v>404</v>
      </c>
    </row>
    <row r="170" spans="6:28" ht="16" x14ac:dyDescent="0.2">
      <c r="F170" s="285" t="s">
        <v>408</v>
      </c>
      <c r="G170" s="9" t="s">
        <v>409</v>
      </c>
    </row>
    <row r="173" spans="6:28" x14ac:dyDescent="0.2">
      <c r="G173" s="9" t="s">
        <v>411</v>
      </c>
      <c r="H173" s="11">
        <f>LN((H162/H163))</f>
        <v>7.7490001740897707E-2</v>
      </c>
      <c r="I173" s="28">
        <f>LN((I162/I163))</f>
        <v>-6.2696130135953742E-3</v>
      </c>
      <c r="J173" s="11">
        <f>LN((J162/J163))</f>
        <v>-0.22941316432780509</v>
      </c>
      <c r="K173" s="11"/>
      <c r="L173" s="11">
        <f>LN((L162/L163))</f>
        <v>0.39919549509456903</v>
      </c>
    </row>
    <row r="174" spans="6:28" x14ac:dyDescent="0.2">
      <c r="G174" s="9" t="s">
        <v>412</v>
      </c>
      <c r="H174" s="11">
        <f ca="1">H165*(H164+POWER(H166,2)/2)</f>
        <v>3.3904109589041095E-2</v>
      </c>
      <c r="I174" s="28">
        <f ca="1">I165*(I164+POWER(I166,2)/2)</f>
        <v>8.6301369863013705E-2</v>
      </c>
      <c r="J174" s="11">
        <f ca="1">J165*(J164+POWER(J166,2)/2)</f>
        <v>8.6301369863013705E-2</v>
      </c>
      <c r="K174" s="11"/>
      <c r="L174" s="11">
        <f ca="1">L165*(L164+POWER(L166,2)/2)</f>
        <v>8.6301369863013705E-2</v>
      </c>
    </row>
    <row r="175" spans="6:28" x14ac:dyDescent="0.2">
      <c r="G175" s="9" t="s">
        <v>413</v>
      </c>
      <c r="H175" s="11">
        <f ca="1">H166*SQRT(H165)</f>
        <v>0.20832009090333223</v>
      </c>
      <c r="I175" s="11">
        <f ca="1">I166*SQRT(I165)</f>
        <v>0.33236388706455089</v>
      </c>
      <c r="J175" s="11">
        <f ca="1">J166*SQRT(J165)</f>
        <v>0.33236388706455089</v>
      </c>
      <c r="K175" s="11"/>
      <c r="L175" s="11">
        <f ca="1">L166*SQRT(L165)</f>
        <v>0.33236388706455089</v>
      </c>
    </row>
    <row r="176" spans="6:28" x14ac:dyDescent="0.2">
      <c r="G176" s="9" t="s">
        <v>405</v>
      </c>
      <c r="H176" s="11">
        <f ca="1">(H173+H174)/H175</f>
        <v>0.53472572350993042</v>
      </c>
      <c r="I176" s="28">
        <f ca="1">(I173+I174)/I175</f>
        <v>0.24079558569452755</v>
      </c>
      <c r="J176" s="11">
        <f ca="1">(J173+J174)/J175</f>
        <v>-0.43058767824855942</v>
      </c>
      <c r="K176" s="11"/>
      <c r="L176" s="11">
        <f ca="1">(L173+L174)/L175</f>
        <v>1.4607389185555251</v>
      </c>
    </row>
    <row r="177" spans="7:12" x14ac:dyDescent="0.2">
      <c r="G177" s="9" t="s">
        <v>406</v>
      </c>
      <c r="H177" s="11">
        <f ca="1">H176-H175</f>
        <v>0.32640563260659816</v>
      </c>
      <c r="I177" s="28">
        <f ca="1">I176-I175</f>
        <v>-9.1568301370023336E-2</v>
      </c>
      <c r="J177" s="11">
        <f ca="1">J176-J175</f>
        <v>-0.76295156531311026</v>
      </c>
      <c r="K177" s="11"/>
      <c r="L177" s="11">
        <f ca="1">L176-L175</f>
        <v>1.1283750314909742</v>
      </c>
    </row>
    <row r="179" spans="7:12" x14ac:dyDescent="0.2">
      <c r="G179" s="9" t="s">
        <v>414</v>
      </c>
      <c r="H179" s="11">
        <f ca="1">EXP(-H166*H165)</f>
        <v>0.89718503989893916</v>
      </c>
      <c r="I179" s="11">
        <f ca="1">EXP(-I166*I165)</f>
        <v>0.75868820464080433</v>
      </c>
      <c r="J179" s="11">
        <f ca="1">EXP(-J166*J165)</f>
        <v>0.75868820464080433</v>
      </c>
      <c r="K179" s="11"/>
      <c r="L179" s="11">
        <f ca="1">EXP(-L166*L165)</f>
        <v>0.75868820464080433</v>
      </c>
    </row>
    <row r="180" spans="7:12" x14ac:dyDescent="0.2">
      <c r="G180" s="9" t="s">
        <v>415</v>
      </c>
      <c r="H180" s="11">
        <f ca="1">EXP(-H164*H165)</f>
        <v>0.98786870528543791</v>
      </c>
      <c r="I180" s="11">
        <f ca="1">EXP(-I164*I165)</f>
        <v>0.96940917291351802</v>
      </c>
      <c r="J180" s="11">
        <f ca="1">EXP(-J164*J165)</f>
        <v>0.96940917291351802</v>
      </c>
      <c r="K180" s="11"/>
      <c r="L180" s="11">
        <f ca="1">EXP(-L164*L165)</f>
        <v>0.96940917291351802</v>
      </c>
    </row>
    <row r="182" spans="7:12" x14ac:dyDescent="0.2">
      <c r="G182" s="9" t="s">
        <v>418</v>
      </c>
      <c r="H182" s="11">
        <f t="shared" ref="H182:J183" ca="1" si="64">_xlfn.NORM.DIST(H176,0,1,TRUE)</f>
        <v>0.70358023441635142</v>
      </c>
      <c r="I182" s="11">
        <f t="shared" ca="1" si="64"/>
        <v>0.59514322445975765</v>
      </c>
      <c r="J182" s="11">
        <f t="shared" ca="1" si="64"/>
        <v>0.33338410104089444</v>
      </c>
      <c r="K182" s="11"/>
      <c r="L182" s="11">
        <f ca="1">_xlfn.NORM.DIST(L176,0,1,TRUE)</f>
        <v>0.92795644790372867</v>
      </c>
    </row>
    <row r="183" spans="7:12" x14ac:dyDescent="0.2">
      <c r="G183" s="9" t="s">
        <v>419</v>
      </c>
      <c r="H183" s="11">
        <f t="shared" ca="1" si="64"/>
        <v>0.6279412617529363</v>
      </c>
      <c r="I183" s="11">
        <f t="shared" ca="1" si="64"/>
        <v>0.46352051872566502</v>
      </c>
      <c r="J183" s="11">
        <f t="shared" ca="1" si="64"/>
        <v>0.22274614095620129</v>
      </c>
      <c r="K183" s="11"/>
      <c r="L183" s="11">
        <f ca="1">_xlfn.NORM.DIST(L177,0,1,TRUE)</f>
        <v>0.87041921601071948</v>
      </c>
    </row>
    <row r="184" spans="7:12" x14ac:dyDescent="0.2">
      <c r="G184" s="9" t="s">
        <v>420</v>
      </c>
      <c r="H184" s="11">
        <f t="shared" ref="H184:J185" ca="1" si="65">_xlfn.NORM.DIST(-H176,0,1,TRUE)</f>
        <v>0.29641976558364858</v>
      </c>
      <c r="I184" s="11">
        <f t="shared" ca="1" si="65"/>
        <v>0.40485677554024241</v>
      </c>
      <c r="J184" s="11">
        <f t="shared" ca="1" si="65"/>
        <v>0.66661589895910556</v>
      </c>
      <c r="K184" s="11"/>
      <c r="L184" s="11">
        <f ca="1">_xlfn.NORM.DIST(-L176,0,1,TRUE)</f>
        <v>7.2043552096271349E-2</v>
      </c>
    </row>
    <row r="185" spans="7:12" x14ac:dyDescent="0.2">
      <c r="G185" s="9" t="s">
        <v>421</v>
      </c>
      <c r="H185" s="11">
        <f t="shared" ca="1" si="65"/>
        <v>0.3720587382470637</v>
      </c>
      <c r="I185" s="11">
        <f t="shared" ca="1" si="65"/>
        <v>0.53647948127433498</v>
      </c>
      <c r="J185" s="11">
        <f t="shared" ca="1" si="65"/>
        <v>0.77725385904379873</v>
      </c>
      <c r="K185" s="11"/>
      <c r="L185" s="11">
        <f ca="1">_xlfn.NORM.DIST(-L177,0,1,TRUE)</f>
        <v>0.12958078398928052</v>
      </c>
    </row>
    <row r="188" spans="7:12" x14ac:dyDescent="0.2">
      <c r="G188" s="9" t="s">
        <v>416</v>
      </c>
      <c r="H188" s="11">
        <f ca="1">H162*H182-H163*H180*H183</f>
        <v>48.980812221151979</v>
      </c>
      <c r="I188" s="11">
        <f ca="1">I162*I182-I163*I180*I183</f>
        <v>51.14971318341324</v>
      </c>
      <c r="J188" s="11">
        <f ca="1">J162*J182-J163*J180*J183</f>
        <v>22.098693624066925</v>
      </c>
      <c r="K188" s="11"/>
      <c r="L188" s="11">
        <f ca="1">L162*L182-L163*L180*L183</f>
        <v>129.46624989012273</v>
      </c>
    </row>
    <row r="189" spans="7:12" x14ac:dyDescent="0.2">
      <c r="G189" s="9" t="s">
        <v>417</v>
      </c>
      <c r="H189" s="11">
        <f ca="1">H163*H180*H185-H162*H184</f>
        <v>16.534859071055266</v>
      </c>
      <c r="I189" s="11">
        <f ca="1">I163*I180*I185-I162*I184</f>
        <v>42.387015432279753</v>
      </c>
      <c r="J189" s="11">
        <f ca="1">J163*J180*J185-J162*J184</f>
        <v>100.58282143515009</v>
      </c>
      <c r="K189" s="11"/>
      <c r="L189" s="11">
        <f ca="1">L163*L180*L185-L162*L184</f>
        <v>4.3744513893670032</v>
      </c>
    </row>
  </sheetData>
  <mergeCells count="3">
    <mergeCell ref="Z11:AD11"/>
    <mergeCell ref="Z20:AD20"/>
    <mergeCell ref="Z31:AD31"/>
  </mergeCells>
  <hyperlinks>
    <hyperlink ref="F170" r:id="rId1" xr:uid="{785AFF01-F702-DC4A-AD89-63EB6BAF52CF}"/>
  </hyperlinks>
  <pageMargins left="0.7" right="0.7" top="0.75" bottom="0.75" header="0.3" footer="0.3"/>
  <pageSetup paperSize="9" scale="16" orientation="landscape" horizontalDpi="0" verticalDpi="0"/>
  <ignoredErrors>
    <ignoredError sqref="E35 E17 E32 E34 E28 P35 J163 F150 J150 K139" formula="1"/>
    <ignoredError sqref="X88 N67:P67 X67 N88:V88" formulaRange="1"/>
    <ignoredError sqref="E127:E131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C9917-84FB-F147-BB26-F7F885938BB7}">
  <sheetPr codeName="Sheet5"/>
  <dimension ref="B2:U89"/>
  <sheetViews>
    <sheetView zoomScale="90" zoomScaleNormal="90" workbookViewId="0">
      <selection activeCell="T1" sqref="T1:T1048576"/>
    </sheetView>
  </sheetViews>
  <sheetFormatPr baseColWidth="10" defaultRowHeight="14" x14ac:dyDescent="0.2"/>
  <cols>
    <col min="1" max="1" width="10.83203125" style="121"/>
    <col min="2" max="2" width="13" style="122" customWidth="1"/>
    <col min="3" max="3" width="15" style="122" customWidth="1"/>
    <col min="4" max="4" width="22.5" style="129" customWidth="1"/>
    <col min="5" max="5" width="20.83203125" style="122" customWidth="1"/>
    <col min="6" max="6" width="15" style="124" customWidth="1"/>
    <col min="7" max="7" width="15" style="126" customWidth="1"/>
    <col min="8" max="8" width="15" style="122" customWidth="1"/>
    <col min="9" max="10" width="15" style="126" customWidth="1"/>
    <col min="11" max="11" width="15" style="122" customWidth="1"/>
    <col min="12" max="12" width="17.5" style="126" customWidth="1"/>
    <col min="13" max="13" width="10.1640625" style="126" customWidth="1"/>
    <col min="14" max="14" width="10.83203125" style="121"/>
    <col min="15" max="15" width="18.5" style="121" customWidth="1"/>
    <col min="16" max="19" width="10.83203125" style="121"/>
    <col min="20" max="20" width="10.83203125" style="122"/>
    <col min="21" max="16384" width="10.83203125" style="121"/>
  </cols>
  <sheetData>
    <row r="2" spans="2:21" x14ac:dyDescent="0.2">
      <c r="O2" s="121" t="s">
        <v>436</v>
      </c>
      <c r="R2" s="121" t="s">
        <v>436</v>
      </c>
    </row>
    <row r="3" spans="2:21" x14ac:dyDescent="0.2">
      <c r="B3" s="8" t="s">
        <v>215</v>
      </c>
      <c r="C3" s="8" t="s">
        <v>168</v>
      </c>
      <c r="D3" s="8" t="s">
        <v>169</v>
      </c>
      <c r="E3" s="8" t="s">
        <v>185</v>
      </c>
      <c r="F3" s="123" t="s">
        <v>170</v>
      </c>
      <c r="G3" s="125" t="s">
        <v>171</v>
      </c>
      <c r="H3" s="8" t="s">
        <v>172</v>
      </c>
      <c r="I3" s="125" t="s">
        <v>173</v>
      </c>
      <c r="J3" s="125" t="s">
        <v>174</v>
      </c>
      <c r="K3" s="8" t="s">
        <v>175</v>
      </c>
      <c r="L3" s="324" t="s">
        <v>198</v>
      </c>
      <c r="M3" s="324" t="s">
        <v>202</v>
      </c>
      <c r="O3" s="325" t="s">
        <v>169</v>
      </c>
      <c r="P3" s="326" t="s">
        <v>199</v>
      </c>
      <c r="R3" s="325" t="s">
        <v>215</v>
      </c>
      <c r="S3" s="325" t="s">
        <v>168</v>
      </c>
      <c r="T3" s="325" t="s">
        <v>173</v>
      </c>
      <c r="U3" s="325" t="s">
        <v>437</v>
      </c>
    </row>
    <row r="4" spans="2:21" x14ac:dyDescent="0.2">
      <c r="B4" s="122" t="s">
        <v>27</v>
      </c>
      <c r="C4" s="122" t="str">
        <f t="shared" ref="C4:C46" si="0">VLOOKUP(B4,$R$3:$S$21,2,FALSE)</f>
        <v>Xorxios</v>
      </c>
      <c r="D4" s="129" t="s">
        <v>188</v>
      </c>
      <c r="E4" s="122" t="s">
        <v>206</v>
      </c>
      <c r="F4" s="124">
        <v>45653</v>
      </c>
      <c r="G4" s="126">
        <v>9346.66</v>
      </c>
      <c r="H4" s="122">
        <v>533</v>
      </c>
      <c r="I4" s="122">
        <f>VLOOKUP(B4,$R$3:$U$21,3,FALSE)</f>
        <v>320</v>
      </c>
      <c r="J4" s="126">
        <f>G4/I4</f>
        <v>29.208312499999998</v>
      </c>
      <c r="K4" s="122" t="str">
        <f t="shared" ref="K4:K46" si="1">VLOOKUP(B4,$R$3:$U$21,4,FALSE)</f>
        <v>Espanha</v>
      </c>
      <c r="L4" s="126">
        <f>VLOOKUP(D4,$O$4:$P$13,2,0)</f>
        <v>29.7</v>
      </c>
      <c r="M4" s="126">
        <f>(L4-J4)/L4</f>
        <v>1.6555134680134719E-2</v>
      </c>
      <c r="O4" s="121" t="s">
        <v>188</v>
      </c>
      <c r="P4" s="126">
        <v>29.7</v>
      </c>
      <c r="R4" s="121" t="s">
        <v>12</v>
      </c>
      <c r="S4" s="121" t="s">
        <v>1</v>
      </c>
      <c r="T4" s="122">
        <v>320</v>
      </c>
      <c r="U4" s="122" t="s">
        <v>205</v>
      </c>
    </row>
    <row r="5" spans="2:21" x14ac:dyDescent="0.2">
      <c r="B5" s="19" t="s">
        <v>11</v>
      </c>
      <c r="C5" s="19" t="str">
        <f t="shared" si="0"/>
        <v>Unroasted</v>
      </c>
      <c r="D5" s="130" t="s">
        <v>196</v>
      </c>
      <c r="E5" s="19" t="s">
        <v>207</v>
      </c>
      <c r="F5" s="128">
        <v>45595</v>
      </c>
      <c r="G5" s="127">
        <v>150</v>
      </c>
      <c r="H5" s="19">
        <v>98424</v>
      </c>
      <c r="I5" s="16">
        <f>VLOOKUP(B5,$R$3:$U$21,3,FALSE)</f>
        <v>320</v>
      </c>
      <c r="J5" s="127">
        <f t="shared" ref="J5:J38" si="2">G5/I5</f>
        <v>0.46875</v>
      </c>
      <c r="K5" s="19" t="str">
        <f t="shared" si="1"/>
        <v>Polônia</v>
      </c>
      <c r="L5" s="127">
        <f>VLOOKUP(D5,$O$4:$P$13,2,0)</f>
        <v>0.45</v>
      </c>
      <c r="M5" s="127">
        <f>L5-J5</f>
        <v>-1.8749999999999989E-2</v>
      </c>
      <c r="O5" s="121" t="s">
        <v>189</v>
      </c>
      <c r="P5" s="126">
        <v>7</v>
      </c>
      <c r="R5" s="121" t="s">
        <v>11</v>
      </c>
      <c r="S5" s="121" t="s">
        <v>1</v>
      </c>
      <c r="T5" s="122">
        <v>320</v>
      </c>
      <c r="U5" s="122" t="s">
        <v>205</v>
      </c>
    </row>
    <row r="6" spans="2:21" x14ac:dyDescent="0.2">
      <c r="B6" s="122" t="s">
        <v>12</v>
      </c>
      <c r="C6" s="122" t="str">
        <f t="shared" si="0"/>
        <v>Unroasted</v>
      </c>
      <c r="D6" s="129" t="s">
        <v>196</v>
      </c>
      <c r="E6" s="122" t="s">
        <v>207</v>
      </c>
      <c r="F6" s="124">
        <v>45595</v>
      </c>
      <c r="G6" s="126">
        <v>150</v>
      </c>
      <c r="H6" s="122">
        <v>98424</v>
      </c>
      <c r="I6" s="132">
        <f>VLOOKUP(B6,$R$3:$U$21,3,FALSE)</f>
        <v>320</v>
      </c>
      <c r="J6" s="126">
        <f t="shared" si="2"/>
        <v>0.46875</v>
      </c>
      <c r="K6" s="122" t="str">
        <f t="shared" si="1"/>
        <v>Polônia</v>
      </c>
      <c r="L6" s="126">
        <f>VLOOKUP(D6,$O$4:$P$13,2,0)</f>
        <v>0.45</v>
      </c>
      <c r="M6" s="126">
        <f>L6-J6</f>
        <v>-1.8749999999999989E-2</v>
      </c>
      <c r="O6" s="121" t="s">
        <v>190</v>
      </c>
      <c r="P6" s="126">
        <v>9</v>
      </c>
      <c r="R6" s="121" t="s">
        <v>10</v>
      </c>
      <c r="S6" s="121" t="s">
        <v>1</v>
      </c>
      <c r="T6" s="122">
        <v>320</v>
      </c>
      <c r="U6" s="122" t="s">
        <v>205</v>
      </c>
    </row>
    <row r="7" spans="2:21" x14ac:dyDescent="0.2">
      <c r="B7" s="19" t="s">
        <v>10</v>
      </c>
      <c r="C7" s="19" t="str">
        <f t="shared" si="0"/>
        <v>Unroasted</v>
      </c>
      <c r="D7" s="130" t="s">
        <v>196</v>
      </c>
      <c r="E7" s="19" t="s">
        <v>207</v>
      </c>
      <c r="F7" s="128">
        <v>45595</v>
      </c>
      <c r="G7" s="127">
        <v>150</v>
      </c>
      <c r="H7" s="19">
        <v>98424</v>
      </c>
      <c r="I7" s="16">
        <f>VLOOKUP(B7,$R$3:$U$21,3,FALSE)</f>
        <v>320</v>
      </c>
      <c r="J7" s="127">
        <f t="shared" si="2"/>
        <v>0.46875</v>
      </c>
      <c r="K7" s="19" t="str">
        <f t="shared" si="1"/>
        <v>Polônia</v>
      </c>
      <c r="L7" s="127">
        <f>VLOOKUP(D7,$O$4:$P$13,2,0)</f>
        <v>0.45</v>
      </c>
      <c r="M7" s="127">
        <f>L7-J7</f>
        <v>-1.8749999999999989E-2</v>
      </c>
      <c r="O7" s="121" t="s">
        <v>191</v>
      </c>
      <c r="P7" s="126">
        <v>2.0499999999999998</v>
      </c>
      <c r="R7" s="121" t="s">
        <v>5</v>
      </c>
      <c r="S7" s="121" t="s">
        <v>1</v>
      </c>
      <c r="T7" s="122">
        <v>320</v>
      </c>
      <c r="U7" s="122" t="s">
        <v>205</v>
      </c>
    </row>
    <row r="8" spans="2:21" x14ac:dyDescent="0.2">
      <c r="B8" s="122" t="s">
        <v>5</v>
      </c>
      <c r="C8" s="122" t="str">
        <f t="shared" si="0"/>
        <v>Unroasted</v>
      </c>
      <c r="D8" s="129" t="s">
        <v>188</v>
      </c>
      <c r="E8" s="122" t="s">
        <v>206</v>
      </c>
      <c r="F8" s="124">
        <v>45596</v>
      </c>
      <c r="G8" s="126">
        <v>9498.42</v>
      </c>
      <c r="H8" s="122">
        <v>25707</v>
      </c>
      <c r="I8" s="132">
        <f>VLOOKUP(B8,$R$3:$U$21,3,FALSE)</f>
        <v>320</v>
      </c>
      <c r="J8" s="126">
        <f t="shared" si="2"/>
        <v>29.6825625</v>
      </c>
      <c r="K8" s="122" t="str">
        <f t="shared" si="1"/>
        <v>Polônia</v>
      </c>
      <c r="L8" s="126">
        <f t="shared" ref="L8:L20" si="3">_xlfn.IFNA(VLOOKUP(D8,$O$4:$P$13,2,0),0)</f>
        <v>29.7</v>
      </c>
      <c r="M8" s="126">
        <f t="shared" ref="M8:M20" si="4">L8-J8</f>
        <v>1.7437499999999773E-2</v>
      </c>
      <c r="O8" s="121" t="s">
        <v>192</v>
      </c>
      <c r="P8" s="126">
        <v>4</v>
      </c>
      <c r="R8" s="121" t="s">
        <v>4</v>
      </c>
      <c r="S8" s="121" t="s">
        <v>1</v>
      </c>
      <c r="T8" s="122">
        <v>320</v>
      </c>
      <c r="U8" s="122" t="s">
        <v>205</v>
      </c>
    </row>
    <row r="9" spans="2:21" x14ac:dyDescent="0.2">
      <c r="B9" s="19" t="s">
        <v>5</v>
      </c>
      <c r="C9" s="19" t="str">
        <f t="shared" si="0"/>
        <v>Unroasted</v>
      </c>
      <c r="D9" s="130" t="s">
        <v>190</v>
      </c>
      <c r="E9" s="19" t="s">
        <v>209</v>
      </c>
      <c r="F9" s="128">
        <v>45603</v>
      </c>
      <c r="G9" s="127">
        <f>2885.58/2</f>
        <v>1442.79</v>
      </c>
      <c r="H9" s="19">
        <v>24477</v>
      </c>
      <c r="I9" s="16">
        <v>160</v>
      </c>
      <c r="J9" s="127">
        <f t="shared" si="2"/>
        <v>9.0174374999999998</v>
      </c>
      <c r="K9" s="19" t="str">
        <f t="shared" si="1"/>
        <v>Polônia</v>
      </c>
      <c r="L9" s="127">
        <f t="shared" si="3"/>
        <v>9</v>
      </c>
      <c r="M9" s="127">
        <f t="shared" si="4"/>
        <v>-1.7437499999999773E-2</v>
      </c>
      <c r="O9" s="121" t="s">
        <v>193</v>
      </c>
      <c r="P9" s="126">
        <v>1.75</v>
      </c>
      <c r="R9" s="121" t="s">
        <v>9</v>
      </c>
      <c r="S9" s="121" t="s">
        <v>1</v>
      </c>
      <c r="T9" s="122">
        <v>320</v>
      </c>
      <c r="U9" s="122" t="s">
        <v>205</v>
      </c>
    </row>
    <row r="10" spans="2:21" x14ac:dyDescent="0.2">
      <c r="B10" s="122" t="s">
        <v>4</v>
      </c>
      <c r="C10" s="122" t="str">
        <f t="shared" si="0"/>
        <v>Unroasted</v>
      </c>
      <c r="D10" s="129" t="s">
        <v>190</v>
      </c>
      <c r="E10" s="122" t="str">
        <f>E9</f>
        <v>Top Freight</v>
      </c>
      <c r="F10" s="124">
        <f>F9</f>
        <v>45603</v>
      </c>
      <c r="G10" s="126">
        <f>G9</f>
        <v>1442.79</v>
      </c>
      <c r="H10" s="122">
        <f>H9</f>
        <v>24477</v>
      </c>
      <c r="I10" s="132">
        <v>160</v>
      </c>
      <c r="J10" s="126">
        <f t="shared" si="2"/>
        <v>9.0174374999999998</v>
      </c>
      <c r="K10" s="122" t="str">
        <f t="shared" si="1"/>
        <v>Polônia</v>
      </c>
      <c r="L10" s="126">
        <f t="shared" si="3"/>
        <v>9</v>
      </c>
      <c r="M10" s="126">
        <f t="shared" si="4"/>
        <v>-1.7437499999999773E-2</v>
      </c>
      <c r="O10" s="121" t="s">
        <v>194</v>
      </c>
      <c r="P10" s="126">
        <v>0.3</v>
      </c>
      <c r="R10" s="121" t="s">
        <v>8</v>
      </c>
      <c r="S10" s="121" t="s">
        <v>1</v>
      </c>
      <c r="T10" s="122">
        <v>320</v>
      </c>
      <c r="U10" s="122" t="s">
        <v>205</v>
      </c>
    </row>
    <row r="11" spans="2:21" x14ac:dyDescent="0.2">
      <c r="B11" s="19" t="s">
        <v>5</v>
      </c>
      <c r="C11" s="19" t="str">
        <f t="shared" si="0"/>
        <v>Unroasted</v>
      </c>
      <c r="D11" s="130" t="s">
        <v>195</v>
      </c>
      <c r="E11" s="19" t="s">
        <v>208</v>
      </c>
      <c r="F11" s="128">
        <v>45616</v>
      </c>
      <c r="G11" s="127">
        <f>134.4/2</f>
        <v>67.2</v>
      </c>
      <c r="H11" s="19">
        <v>203001</v>
      </c>
      <c r="I11" s="16">
        <f t="shared" ref="I11:I46" si="5">VLOOKUP(B11,$R$3:$U$21,3,FALSE)</f>
        <v>320</v>
      </c>
      <c r="J11" s="127">
        <f t="shared" si="2"/>
        <v>0.21000000000000002</v>
      </c>
      <c r="K11" s="19" t="str">
        <f t="shared" si="1"/>
        <v>Polônia</v>
      </c>
      <c r="L11" s="127">
        <f t="shared" si="3"/>
        <v>0.42</v>
      </c>
      <c r="M11" s="127">
        <f t="shared" si="4"/>
        <v>0.20999999999999996</v>
      </c>
      <c r="O11" s="121" t="s">
        <v>195</v>
      </c>
      <c r="P11" s="126">
        <v>0.42</v>
      </c>
      <c r="R11" s="121" t="s">
        <v>7</v>
      </c>
      <c r="S11" s="121" t="s">
        <v>1</v>
      </c>
      <c r="T11" s="122">
        <v>320</v>
      </c>
      <c r="U11" s="122" t="s">
        <v>205</v>
      </c>
    </row>
    <row r="12" spans="2:21" x14ac:dyDescent="0.2">
      <c r="B12" s="122" t="s">
        <v>4</v>
      </c>
      <c r="C12" s="122" t="str">
        <f t="shared" si="0"/>
        <v>Unroasted</v>
      </c>
      <c r="D12" s="129" t="s">
        <v>195</v>
      </c>
      <c r="E12" s="122" t="s">
        <v>208</v>
      </c>
      <c r="F12" s="124">
        <v>45616</v>
      </c>
      <c r="G12" s="126">
        <f>134.4/2</f>
        <v>67.2</v>
      </c>
      <c r="H12" s="122">
        <v>203001</v>
      </c>
      <c r="I12" s="132">
        <f t="shared" si="5"/>
        <v>320</v>
      </c>
      <c r="J12" s="126">
        <f t="shared" si="2"/>
        <v>0.21000000000000002</v>
      </c>
      <c r="K12" s="122" t="str">
        <f t="shared" si="1"/>
        <v>Polônia</v>
      </c>
      <c r="L12" s="126">
        <f t="shared" si="3"/>
        <v>0.42</v>
      </c>
      <c r="M12" s="126">
        <f t="shared" si="4"/>
        <v>0.20999999999999996</v>
      </c>
      <c r="O12" s="121" t="s">
        <v>196</v>
      </c>
      <c r="P12" s="126">
        <v>0.45</v>
      </c>
      <c r="R12" s="121" t="s">
        <v>6</v>
      </c>
      <c r="S12" s="121" t="s">
        <v>1</v>
      </c>
      <c r="T12" s="122">
        <v>320</v>
      </c>
      <c r="U12" s="122" t="s">
        <v>205</v>
      </c>
    </row>
    <row r="13" spans="2:21" x14ac:dyDescent="0.2">
      <c r="B13" s="19" t="s">
        <v>9</v>
      </c>
      <c r="C13" s="19" t="str">
        <f t="shared" si="0"/>
        <v>Unroasted</v>
      </c>
      <c r="D13" s="130" t="s">
        <v>188</v>
      </c>
      <c r="E13" s="19" t="s">
        <v>206</v>
      </c>
      <c r="F13" s="128">
        <v>45621</v>
      </c>
      <c r="G13" s="127">
        <f>28037.57/3</f>
        <v>9345.8566666666666</v>
      </c>
      <c r="H13" s="19">
        <v>97861</v>
      </c>
      <c r="I13" s="16">
        <f t="shared" si="5"/>
        <v>320</v>
      </c>
      <c r="J13" s="127">
        <f t="shared" si="2"/>
        <v>29.205802083333332</v>
      </c>
      <c r="K13" s="19" t="str">
        <f t="shared" si="1"/>
        <v>Polônia</v>
      </c>
      <c r="L13" s="127">
        <f t="shared" si="3"/>
        <v>29.7</v>
      </c>
      <c r="M13" s="127">
        <f t="shared" si="4"/>
        <v>0.49419791666666768</v>
      </c>
      <c r="O13" s="121" t="s">
        <v>197</v>
      </c>
      <c r="P13" s="126">
        <v>7</v>
      </c>
      <c r="R13" s="121" t="s">
        <v>3</v>
      </c>
      <c r="S13" s="121" t="s">
        <v>1</v>
      </c>
      <c r="T13" s="122">
        <v>320</v>
      </c>
      <c r="U13" s="122" t="s">
        <v>205</v>
      </c>
    </row>
    <row r="14" spans="2:21" x14ac:dyDescent="0.2">
      <c r="B14" s="122" t="s">
        <v>8</v>
      </c>
      <c r="C14" s="122" t="str">
        <f t="shared" si="0"/>
        <v>Unroasted</v>
      </c>
      <c r="D14" s="129" t="s">
        <v>188</v>
      </c>
      <c r="E14" s="122" t="s">
        <v>206</v>
      </c>
      <c r="F14" s="124">
        <v>45621</v>
      </c>
      <c r="G14" s="126">
        <f>28037.57/3</f>
        <v>9345.8566666666666</v>
      </c>
      <c r="H14" s="122">
        <v>97861</v>
      </c>
      <c r="I14" s="132">
        <f t="shared" si="5"/>
        <v>320</v>
      </c>
      <c r="J14" s="126">
        <f t="shared" si="2"/>
        <v>29.205802083333332</v>
      </c>
      <c r="K14" s="122" t="str">
        <f t="shared" si="1"/>
        <v>Polônia</v>
      </c>
      <c r="L14" s="126">
        <f t="shared" si="3"/>
        <v>29.7</v>
      </c>
      <c r="M14" s="126">
        <f t="shared" si="4"/>
        <v>0.49419791666666768</v>
      </c>
      <c r="O14" s="121" t="s">
        <v>180</v>
      </c>
      <c r="P14" s="126">
        <v>2</v>
      </c>
      <c r="R14" s="121" t="s">
        <v>2</v>
      </c>
      <c r="S14" s="121" t="s">
        <v>1</v>
      </c>
      <c r="T14" s="122">
        <v>320</v>
      </c>
      <c r="U14" s="122" t="s">
        <v>205</v>
      </c>
    </row>
    <row r="15" spans="2:21" x14ac:dyDescent="0.2">
      <c r="B15" s="19" t="s">
        <v>7</v>
      </c>
      <c r="C15" s="19" t="str">
        <f t="shared" si="0"/>
        <v>Unroasted</v>
      </c>
      <c r="D15" s="130" t="s">
        <v>188</v>
      </c>
      <c r="E15" s="19" t="s">
        <v>206</v>
      </c>
      <c r="F15" s="128">
        <v>45621</v>
      </c>
      <c r="G15" s="127">
        <f>28037.57/3</f>
        <v>9345.8566666666666</v>
      </c>
      <c r="H15" s="19">
        <v>97861</v>
      </c>
      <c r="I15" s="16">
        <f t="shared" si="5"/>
        <v>320</v>
      </c>
      <c r="J15" s="127">
        <f t="shared" si="2"/>
        <v>29.205802083333332</v>
      </c>
      <c r="K15" s="19" t="str">
        <f t="shared" si="1"/>
        <v>Polônia</v>
      </c>
      <c r="L15" s="127">
        <f t="shared" si="3"/>
        <v>29.7</v>
      </c>
      <c r="M15" s="127">
        <f t="shared" si="4"/>
        <v>0.49419791666666768</v>
      </c>
      <c r="O15" s="121" t="s">
        <v>176</v>
      </c>
      <c r="P15" s="126">
        <v>10.7</v>
      </c>
      <c r="R15" s="121" t="s">
        <v>0</v>
      </c>
      <c r="S15" s="121" t="s">
        <v>1</v>
      </c>
      <c r="T15" s="122">
        <v>320</v>
      </c>
      <c r="U15" s="122" t="s">
        <v>205</v>
      </c>
    </row>
    <row r="16" spans="2:21" x14ac:dyDescent="0.2">
      <c r="B16" s="122" t="s">
        <v>9</v>
      </c>
      <c r="C16" s="122" t="str">
        <f t="shared" si="0"/>
        <v>Unroasted</v>
      </c>
      <c r="D16" s="129" t="s">
        <v>190</v>
      </c>
      <c r="E16" s="122" t="s">
        <v>209</v>
      </c>
      <c r="F16" s="124">
        <v>45632</v>
      </c>
      <c r="G16" s="126">
        <f>7470.21/3</f>
        <v>2490.0700000000002</v>
      </c>
      <c r="H16" s="122">
        <v>24571</v>
      </c>
      <c r="I16" s="132">
        <f t="shared" si="5"/>
        <v>320</v>
      </c>
      <c r="J16" s="126">
        <f t="shared" si="2"/>
        <v>7.7814687500000002</v>
      </c>
      <c r="K16" s="122" t="str">
        <f t="shared" si="1"/>
        <v>Polônia</v>
      </c>
      <c r="L16" s="126">
        <f t="shared" si="3"/>
        <v>9</v>
      </c>
      <c r="M16" s="126">
        <f t="shared" si="4"/>
        <v>1.2185312499999998</v>
      </c>
      <c r="O16" s="121" t="s">
        <v>177</v>
      </c>
      <c r="P16" s="126">
        <v>4.51</v>
      </c>
      <c r="R16" s="121" t="s">
        <v>24</v>
      </c>
      <c r="S16" s="121" t="s">
        <v>23</v>
      </c>
      <c r="T16" s="122">
        <v>320</v>
      </c>
      <c r="U16" s="122" t="s">
        <v>210</v>
      </c>
    </row>
    <row r="17" spans="2:21" x14ac:dyDescent="0.2">
      <c r="B17" s="19" t="s">
        <v>8</v>
      </c>
      <c r="C17" s="19" t="str">
        <f t="shared" si="0"/>
        <v>Unroasted</v>
      </c>
      <c r="D17" s="130" t="s">
        <v>190</v>
      </c>
      <c r="E17" s="19" t="s">
        <v>209</v>
      </c>
      <c r="F17" s="128">
        <v>45632</v>
      </c>
      <c r="G17" s="127">
        <f>7470.21/3</f>
        <v>2490.0700000000002</v>
      </c>
      <c r="H17" s="19">
        <v>24571</v>
      </c>
      <c r="I17" s="16">
        <f t="shared" si="5"/>
        <v>320</v>
      </c>
      <c r="J17" s="127">
        <f t="shared" si="2"/>
        <v>7.7814687500000002</v>
      </c>
      <c r="K17" s="19" t="str">
        <f t="shared" si="1"/>
        <v>Polônia</v>
      </c>
      <c r="L17" s="127">
        <f t="shared" si="3"/>
        <v>9</v>
      </c>
      <c r="M17" s="127">
        <f t="shared" si="4"/>
        <v>1.2185312499999998</v>
      </c>
      <c r="O17" s="121" t="s">
        <v>178</v>
      </c>
      <c r="P17" s="126">
        <v>3.69</v>
      </c>
      <c r="R17" s="121" t="s">
        <v>25</v>
      </c>
      <c r="S17" s="121" t="s">
        <v>23</v>
      </c>
      <c r="T17" s="122">
        <v>320</v>
      </c>
      <c r="U17" s="122" t="s">
        <v>210</v>
      </c>
    </row>
    <row r="18" spans="2:21" x14ac:dyDescent="0.2">
      <c r="B18" s="122" t="s">
        <v>7</v>
      </c>
      <c r="C18" s="122" t="str">
        <f t="shared" si="0"/>
        <v>Unroasted</v>
      </c>
      <c r="D18" s="129" t="s">
        <v>190</v>
      </c>
      <c r="E18" s="122" t="s">
        <v>209</v>
      </c>
      <c r="F18" s="124">
        <v>45632</v>
      </c>
      <c r="G18" s="126">
        <f>7470.21/3</f>
        <v>2490.0700000000002</v>
      </c>
      <c r="H18" s="122">
        <v>24571</v>
      </c>
      <c r="I18" s="132">
        <f t="shared" si="5"/>
        <v>320</v>
      </c>
      <c r="J18" s="126">
        <f t="shared" si="2"/>
        <v>7.7814687500000002</v>
      </c>
      <c r="K18" s="122" t="str">
        <f t="shared" si="1"/>
        <v>Polônia</v>
      </c>
      <c r="L18" s="126">
        <f t="shared" si="3"/>
        <v>9</v>
      </c>
      <c r="M18" s="126">
        <f t="shared" si="4"/>
        <v>1.2185312499999998</v>
      </c>
      <c r="O18" s="121" t="s">
        <v>179</v>
      </c>
      <c r="P18" s="126">
        <v>6.16</v>
      </c>
      <c r="R18" s="121" t="s">
        <v>27</v>
      </c>
      <c r="S18" s="121" t="s">
        <v>203</v>
      </c>
      <c r="T18" s="122">
        <v>320</v>
      </c>
      <c r="U18" s="122" t="s">
        <v>204</v>
      </c>
    </row>
    <row r="19" spans="2:21" x14ac:dyDescent="0.2">
      <c r="B19" s="19" t="s">
        <v>25</v>
      </c>
      <c r="C19" s="19" t="str">
        <f t="shared" si="0"/>
        <v>Southland</v>
      </c>
      <c r="D19" s="130" t="s">
        <v>188</v>
      </c>
      <c r="E19" s="19" t="s">
        <v>206</v>
      </c>
      <c r="F19" s="128">
        <v>45635</v>
      </c>
      <c r="G19" s="127">
        <v>8873.56</v>
      </c>
      <c r="H19" s="19">
        <v>97890</v>
      </c>
      <c r="I19" s="16">
        <f t="shared" si="5"/>
        <v>320</v>
      </c>
      <c r="J19" s="127">
        <f t="shared" si="2"/>
        <v>27.729875</v>
      </c>
      <c r="K19" s="19" t="str">
        <f t="shared" si="1"/>
        <v>Austrália</v>
      </c>
      <c r="L19" s="127">
        <f t="shared" si="3"/>
        <v>29.7</v>
      </c>
      <c r="M19" s="127">
        <f t="shared" si="4"/>
        <v>1.9701249999999995</v>
      </c>
      <c r="O19" s="121" t="s">
        <v>181</v>
      </c>
      <c r="P19" s="126">
        <v>2</v>
      </c>
      <c r="R19" s="121" t="s">
        <v>90</v>
      </c>
      <c r="S19" s="121" t="s">
        <v>89</v>
      </c>
      <c r="T19" s="122">
        <v>320</v>
      </c>
      <c r="U19" s="122" t="s">
        <v>438</v>
      </c>
    </row>
    <row r="20" spans="2:21" x14ac:dyDescent="0.2">
      <c r="B20" s="122" t="s">
        <v>25</v>
      </c>
      <c r="C20" s="122" t="str">
        <f t="shared" si="0"/>
        <v>Southland</v>
      </c>
      <c r="D20" s="129" t="s">
        <v>193</v>
      </c>
      <c r="E20" s="122" t="s">
        <v>211</v>
      </c>
      <c r="F20" s="124">
        <v>45649</v>
      </c>
      <c r="G20" s="126">
        <f>405.27+69</f>
        <v>474.27</v>
      </c>
      <c r="H20" s="122">
        <v>101305</v>
      </c>
      <c r="I20" s="132">
        <f t="shared" si="5"/>
        <v>320</v>
      </c>
      <c r="J20" s="126">
        <f t="shared" si="2"/>
        <v>1.48209375</v>
      </c>
      <c r="K20" s="122" t="str">
        <f t="shared" si="1"/>
        <v>Austrália</v>
      </c>
      <c r="L20" s="126">
        <f t="shared" si="3"/>
        <v>1.75</v>
      </c>
      <c r="M20" s="126">
        <f t="shared" si="4"/>
        <v>0.26790625000000001</v>
      </c>
      <c r="O20" s="121" t="s">
        <v>182</v>
      </c>
      <c r="P20" s="126" t="s">
        <v>200</v>
      </c>
      <c r="R20" s="121" t="s">
        <v>142</v>
      </c>
      <c r="S20" s="121" t="s">
        <v>89</v>
      </c>
      <c r="T20" s="122">
        <v>320</v>
      </c>
      <c r="U20" s="122" t="s">
        <v>438</v>
      </c>
    </row>
    <row r="21" spans="2:21" x14ac:dyDescent="0.2">
      <c r="B21" s="19" t="s">
        <v>5</v>
      </c>
      <c r="C21" s="19" t="str">
        <f t="shared" si="0"/>
        <v>Unroasted</v>
      </c>
      <c r="D21" s="130" t="s">
        <v>192</v>
      </c>
      <c r="E21" s="19" t="s">
        <v>212</v>
      </c>
      <c r="F21" s="128">
        <v>45643</v>
      </c>
      <c r="G21" s="127">
        <f>1260.86/2</f>
        <v>630.42999999999995</v>
      </c>
      <c r="H21" s="19">
        <v>2053</v>
      </c>
      <c r="I21" s="16">
        <f t="shared" si="5"/>
        <v>320</v>
      </c>
      <c r="J21" s="127">
        <f t="shared" si="2"/>
        <v>1.9700937499999998</v>
      </c>
      <c r="K21" s="19" t="str">
        <f t="shared" si="1"/>
        <v>Polônia</v>
      </c>
      <c r="L21" s="127">
        <f t="shared" ref="L21:L26" si="6">_xlfn.IFNA(VLOOKUP(D21,$O$4:$P$13,2,0),0)</f>
        <v>4</v>
      </c>
      <c r="M21" s="127">
        <f t="shared" ref="M21:M26" si="7">L21-J21</f>
        <v>2.0299062500000002</v>
      </c>
      <c r="O21" s="121" t="s">
        <v>183</v>
      </c>
      <c r="P21" s="126" t="s">
        <v>201</v>
      </c>
      <c r="R21" s="121" t="s">
        <v>143</v>
      </c>
      <c r="S21" s="121" t="s">
        <v>89</v>
      </c>
      <c r="T21" s="122">
        <v>223</v>
      </c>
      <c r="U21" s="122" t="s">
        <v>438</v>
      </c>
    </row>
    <row r="22" spans="2:21" x14ac:dyDescent="0.2">
      <c r="B22" s="122" t="s">
        <v>4</v>
      </c>
      <c r="C22" s="122" t="str">
        <f t="shared" si="0"/>
        <v>Unroasted</v>
      </c>
      <c r="D22" s="129" t="s">
        <v>192</v>
      </c>
      <c r="E22" s="122" t="s">
        <v>212</v>
      </c>
      <c r="F22" s="124">
        <v>45643</v>
      </c>
      <c r="G22" s="126">
        <v>630.42999999999995</v>
      </c>
      <c r="H22" s="122">
        <v>2053</v>
      </c>
      <c r="I22" s="132">
        <f t="shared" si="5"/>
        <v>320</v>
      </c>
      <c r="J22" s="126">
        <f t="shared" si="2"/>
        <v>1.9700937499999998</v>
      </c>
      <c r="K22" s="122" t="str">
        <f t="shared" si="1"/>
        <v>Polônia</v>
      </c>
      <c r="L22" s="126">
        <f t="shared" si="6"/>
        <v>4</v>
      </c>
      <c r="M22" s="126">
        <f t="shared" si="7"/>
        <v>2.0299062500000002</v>
      </c>
      <c r="O22" s="121" t="s">
        <v>184</v>
      </c>
      <c r="P22" s="126">
        <v>1.5</v>
      </c>
    </row>
    <row r="23" spans="2:21" x14ac:dyDescent="0.2">
      <c r="B23" s="19" t="s">
        <v>9</v>
      </c>
      <c r="C23" s="19" t="str">
        <f t="shared" si="0"/>
        <v>Unroasted</v>
      </c>
      <c r="D23" s="130" t="s">
        <v>195</v>
      </c>
      <c r="E23" s="19" t="s">
        <v>208</v>
      </c>
      <c r="F23" s="128">
        <v>45643</v>
      </c>
      <c r="G23" s="127">
        <f>403.2/3</f>
        <v>134.4</v>
      </c>
      <c r="H23" s="19">
        <v>3</v>
      </c>
      <c r="I23" s="16">
        <f t="shared" si="5"/>
        <v>320</v>
      </c>
      <c r="J23" s="127">
        <f t="shared" si="2"/>
        <v>0.42000000000000004</v>
      </c>
      <c r="K23" s="19" t="str">
        <f t="shared" si="1"/>
        <v>Polônia</v>
      </c>
      <c r="L23" s="127">
        <f t="shared" si="6"/>
        <v>0.42</v>
      </c>
      <c r="M23" s="127">
        <f t="shared" si="7"/>
        <v>0</v>
      </c>
      <c r="O23" s="121" t="s">
        <v>186</v>
      </c>
      <c r="P23" s="126">
        <v>2.9</v>
      </c>
    </row>
    <row r="24" spans="2:21" x14ac:dyDescent="0.2">
      <c r="B24" s="122" t="s">
        <v>8</v>
      </c>
      <c r="C24" s="122" t="str">
        <f t="shared" si="0"/>
        <v>Unroasted</v>
      </c>
      <c r="D24" s="129" t="s">
        <v>195</v>
      </c>
      <c r="E24" s="122" t="s">
        <v>208</v>
      </c>
      <c r="F24" s="124">
        <v>45643</v>
      </c>
      <c r="G24" s="126">
        <f>403.2/3</f>
        <v>134.4</v>
      </c>
      <c r="H24" s="122">
        <v>3</v>
      </c>
      <c r="I24" s="132">
        <f t="shared" si="5"/>
        <v>320</v>
      </c>
      <c r="J24" s="126">
        <f t="shared" si="2"/>
        <v>0.42000000000000004</v>
      </c>
      <c r="K24" s="122" t="str">
        <f t="shared" si="1"/>
        <v>Polônia</v>
      </c>
      <c r="L24" s="126">
        <f t="shared" si="6"/>
        <v>0.42</v>
      </c>
      <c r="M24" s="126">
        <f t="shared" si="7"/>
        <v>0</v>
      </c>
      <c r="O24" s="121" t="s">
        <v>187</v>
      </c>
      <c r="P24" s="126">
        <v>2.0499999999999998</v>
      </c>
    </row>
    <row r="25" spans="2:21" x14ac:dyDescent="0.2">
      <c r="B25" s="19" t="s">
        <v>7</v>
      </c>
      <c r="C25" s="19" t="str">
        <f t="shared" si="0"/>
        <v>Unroasted</v>
      </c>
      <c r="D25" s="130" t="s">
        <v>195</v>
      </c>
      <c r="E25" s="19" t="s">
        <v>208</v>
      </c>
      <c r="F25" s="128">
        <v>45643</v>
      </c>
      <c r="G25" s="127">
        <f>403.2/3</f>
        <v>134.4</v>
      </c>
      <c r="H25" s="19">
        <v>3</v>
      </c>
      <c r="I25" s="16">
        <f t="shared" si="5"/>
        <v>320</v>
      </c>
      <c r="J25" s="127">
        <f t="shared" si="2"/>
        <v>0.42000000000000004</v>
      </c>
      <c r="K25" s="19" t="str">
        <f t="shared" si="1"/>
        <v>Polônia</v>
      </c>
      <c r="L25" s="127">
        <f t="shared" si="6"/>
        <v>0.42</v>
      </c>
      <c r="M25" s="127">
        <f t="shared" si="7"/>
        <v>0</v>
      </c>
    </row>
    <row r="26" spans="2:21" x14ac:dyDescent="0.2">
      <c r="B26" s="122" t="s">
        <v>27</v>
      </c>
      <c r="C26" s="122" t="str">
        <f t="shared" si="0"/>
        <v>Xorxios</v>
      </c>
      <c r="D26" s="129" t="s">
        <v>193</v>
      </c>
      <c r="E26" s="122" t="s">
        <v>211</v>
      </c>
      <c r="F26" s="124">
        <v>45311</v>
      </c>
      <c r="G26" s="126">
        <f>86.25+486.32</f>
        <v>572.56999999999994</v>
      </c>
      <c r="H26" s="122">
        <v>177093</v>
      </c>
      <c r="I26" s="132">
        <f t="shared" si="5"/>
        <v>320</v>
      </c>
      <c r="J26" s="126">
        <f t="shared" si="2"/>
        <v>1.7892812499999997</v>
      </c>
      <c r="K26" s="122" t="str">
        <f t="shared" si="1"/>
        <v>Espanha</v>
      </c>
      <c r="L26" s="126">
        <f t="shared" si="6"/>
        <v>1.75</v>
      </c>
      <c r="M26" s="126">
        <f t="shared" si="7"/>
        <v>-3.9281249999999712E-2</v>
      </c>
    </row>
    <row r="27" spans="2:21" x14ac:dyDescent="0.2">
      <c r="B27" s="19" t="s">
        <v>27</v>
      </c>
      <c r="C27" s="19" t="str">
        <f t="shared" si="0"/>
        <v>Xorxios</v>
      </c>
      <c r="D27" s="130" t="s">
        <v>188</v>
      </c>
      <c r="E27" s="19" t="s">
        <v>206</v>
      </c>
      <c r="F27" s="128">
        <v>45663</v>
      </c>
      <c r="G27" s="127">
        <v>9346.66</v>
      </c>
      <c r="H27" s="19">
        <v>533</v>
      </c>
      <c r="I27" s="16">
        <f t="shared" si="5"/>
        <v>320</v>
      </c>
      <c r="J27" s="127">
        <f t="shared" si="2"/>
        <v>29.208312499999998</v>
      </c>
      <c r="K27" s="19" t="str">
        <f t="shared" si="1"/>
        <v>Espanha</v>
      </c>
      <c r="L27" s="127">
        <f t="shared" ref="L27" si="8">_xlfn.IFNA(VLOOKUP(D27,$O$4:$P$13,2,0),0)</f>
        <v>29.7</v>
      </c>
      <c r="M27" s="127">
        <f t="shared" ref="M27" si="9">L27-J27</f>
        <v>0.49168750000000117</v>
      </c>
    </row>
    <row r="28" spans="2:21" x14ac:dyDescent="0.2">
      <c r="B28" s="122" t="s">
        <v>9</v>
      </c>
      <c r="C28" s="122" t="str">
        <f t="shared" si="0"/>
        <v>Unroasted</v>
      </c>
      <c r="D28" s="129" t="s">
        <v>193</v>
      </c>
      <c r="E28" s="122" t="s">
        <v>211</v>
      </c>
      <c r="F28" s="124">
        <v>45677</v>
      </c>
      <c r="G28" s="126">
        <f>580.35/3</f>
        <v>193.45000000000002</v>
      </c>
      <c r="H28" s="122">
        <v>7331</v>
      </c>
      <c r="I28" s="132">
        <f t="shared" si="5"/>
        <v>320</v>
      </c>
      <c r="J28" s="126">
        <f t="shared" si="2"/>
        <v>0.60453125000000008</v>
      </c>
      <c r="K28" s="122" t="str">
        <f t="shared" si="1"/>
        <v>Polônia</v>
      </c>
      <c r="L28" s="126">
        <f t="shared" ref="L28:L30" si="10">_xlfn.IFNA(VLOOKUP(D28,$O$4:$P$13,2,0),0)</f>
        <v>1.75</v>
      </c>
      <c r="M28" s="126">
        <f t="shared" ref="M28:M30" si="11">L28-J28</f>
        <v>1.14546875</v>
      </c>
    </row>
    <row r="29" spans="2:21" x14ac:dyDescent="0.2">
      <c r="B29" s="19" t="s">
        <v>8</v>
      </c>
      <c r="C29" s="19" t="str">
        <f t="shared" si="0"/>
        <v>Unroasted</v>
      </c>
      <c r="D29" s="130" t="s">
        <v>193</v>
      </c>
      <c r="E29" s="19" t="s">
        <v>211</v>
      </c>
      <c r="F29" s="128">
        <v>45677</v>
      </c>
      <c r="G29" s="127">
        <f>580.35/3</f>
        <v>193.45000000000002</v>
      </c>
      <c r="H29" s="19">
        <v>7331</v>
      </c>
      <c r="I29" s="16">
        <f t="shared" si="5"/>
        <v>320</v>
      </c>
      <c r="J29" s="127">
        <f t="shared" si="2"/>
        <v>0.60453125000000008</v>
      </c>
      <c r="K29" s="19" t="str">
        <f t="shared" si="1"/>
        <v>Polônia</v>
      </c>
      <c r="L29" s="127">
        <f t="shared" si="10"/>
        <v>1.75</v>
      </c>
      <c r="M29" s="127">
        <f t="shared" si="11"/>
        <v>1.14546875</v>
      </c>
    </row>
    <row r="30" spans="2:21" x14ac:dyDescent="0.2">
      <c r="B30" s="122" t="s">
        <v>7</v>
      </c>
      <c r="C30" s="122" t="str">
        <f t="shared" si="0"/>
        <v>Unroasted</v>
      </c>
      <c r="D30" s="129" t="s">
        <v>193</v>
      </c>
      <c r="E30" s="122" t="s">
        <v>211</v>
      </c>
      <c r="F30" s="124">
        <v>45677</v>
      </c>
      <c r="G30" s="126">
        <f>580.35/3</f>
        <v>193.45000000000002</v>
      </c>
      <c r="H30" s="122">
        <v>7331</v>
      </c>
      <c r="I30" s="132">
        <f t="shared" si="5"/>
        <v>320</v>
      </c>
      <c r="J30" s="126">
        <f t="shared" si="2"/>
        <v>0.60453125000000008</v>
      </c>
      <c r="K30" s="122" t="str">
        <f t="shared" si="1"/>
        <v>Polônia</v>
      </c>
      <c r="L30" s="126">
        <f t="shared" si="10"/>
        <v>1.75</v>
      </c>
      <c r="M30" s="126">
        <f t="shared" si="11"/>
        <v>1.14546875</v>
      </c>
    </row>
    <row r="31" spans="2:21" x14ac:dyDescent="0.2">
      <c r="B31" s="19" t="s">
        <v>25</v>
      </c>
      <c r="C31" s="19" t="str">
        <f t="shared" si="0"/>
        <v>Southland</v>
      </c>
      <c r="D31" s="130" t="s">
        <v>190</v>
      </c>
      <c r="E31" s="19" t="s">
        <v>209</v>
      </c>
      <c r="F31" s="128">
        <v>45664</v>
      </c>
      <c r="G31" s="127">
        <v>2045.46</v>
      </c>
      <c r="H31" s="19">
        <v>202200</v>
      </c>
      <c r="I31" s="16">
        <f t="shared" si="5"/>
        <v>320</v>
      </c>
      <c r="J31" s="127">
        <f t="shared" si="2"/>
        <v>6.3920624999999998</v>
      </c>
      <c r="K31" s="19" t="str">
        <f t="shared" si="1"/>
        <v>Austrália</v>
      </c>
      <c r="L31" s="127">
        <f t="shared" ref="L31" si="12">_xlfn.IFNA(VLOOKUP(D31,$O$4:$P$13,2,0),0)</f>
        <v>9</v>
      </c>
      <c r="M31" s="127">
        <f t="shared" ref="M31" si="13">L31-J31</f>
        <v>2.6079375000000002</v>
      </c>
    </row>
    <row r="32" spans="2:21" x14ac:dyDescent="0.2">
      <c r="B32" s="122" t="s">
        <v>9</v>
      </c>
      <c r="C32" s="122" t="str">
        <f t="shared" si="0"/>
        <v>Unroasted</v>
      </c>
      <c r="D32" s="129" t="s">
        <v>191</v>
      </c>
      <c r="E32" s="122" t="s">
        <v>212</v>
      </c>
      <c r="F32" s="124">
        <v>45666</v>
      </c>
      <c r="G32" s="126">
        <f>5195.52/4</f>
        <v>1298.8800000000001</v>
      </c>
      <c r="H32" s="122">
        <v>201301</v>
      </c>
      <c r="I32" s="132">
        <f t="shared" si="5"/>
        <v>320</v>
      </c>
      <c r="J32" s="126">
        <f t="shared" si="2"/>
        <v>4.0590000000000002</v>
      </c>
      <c r="K32" s="122" t="str">
        <f t="shared" si="1"/>
        <v>Polônia</v>
      </c>
      <c r="L32" s="126">
        <f t="shared" ref="L32:L41" si="14">_xlfn.IFNA(VLOOKUP(D32,$O$4:$P$13,2,0),0)</f>
        <v>2.0499999999999998</v>
      </c>
      <c r="M32" s="126">
        <f t="shared" ref="M32:M36" si="15">L32-J32</f>
        <v>-2.0090000000000003</v>
      </c>
    </row>
    <row r="33" spans="2:13" x14ac:dyDescent="0.2">
      <c r="B33" s="122" t="s">
        <v>8</v>
      </c>
      <c r="C33" s="122" t="str">
        <f t="shared" si="0"/>
        <v>Unroasted</v>
      </c>
      <c r="D33" s="129" t="s">
        <v>191</v>
      </c>
      <c r="E33" s="122" t="s">
        <v>212</v>
      </c>
      <c r="F33" s="124">
        <v>45666</v>
      </c>
      <c r="G33" s="126">
        <f>5195.52/4</f>
        <v>1298.8800000000001</v>
      </c>
      <c r="H33" s="122">
        <v>201301</v>
      </c>
      <c r="I33" s="122">
        <f t="shared" si="5"/>
        <v>320</v>
      </c>
      <c r="J33" s="126">
        <f t="shared" si="2"/>
        <v>4.0590000000000002</v>
      </c>
      <c r="K33" s="122" t="str">
        <f t="shared" si="1"/>
        <v>Polônia</v>
      </c>
      <c r="L33" s="126">
        <f t="shared" si="14"/>
        <v>2.0499999999999998</v>
      </c>
      <c r="M33" s="126">
        <f t="shared" si="15"/>
        <v>-2.0090000000000003</v>
      </c>
    </row>
    <row r="34" spans="2:13" x14ac:dyDescent="0.2">
      <c r="B34" s="19" t="s">
        <v>7</v>
      </c>
      <c r="C34" s="19" t="str">
        <f t="shared" si="0"/>
        <v>Unroasted</v>
      </c>
      <c r="D34" s="130" t="s">
        <v>191</v>
      </c>
      <c r="E34" s="19" t="s">
        <v>212</v>
      </c>
      <c r="F34" s="128">
        <v>45666</v>
      </c>
      <c r="G34" s="127">
        <f>5195.52/4</f>
        <v>1298.8800000000001</v>
      </c>
      <c r="H34" s="19">
        <v>201301</v>
      </c>
      <c r="I34" s="16">
        <f t="shared" si="5"/>
        <v>320</v>
      </c>
      <c r="J34" s="127">
        <f t="shared" si="2"/>
        <v>4.0590000000000002</v>
      </c>
      <c r="K34" s="19" t="str">
        <f t="shared" si="1"/>
        <v>Polônia</v>
      </c>
      <c r="L34" s="127">
        <f t="shared" si="14"/>
        <v>2.0499999999999998</v>
      </c>
      <c r="M34" s="127">
        <f t="shared" si="15"/>
        <v>-2.0090000000000003</v>
      </c>
    </row>
    <row r="35" spans="2:13" x14ac:dyDescent="0.2">
      <c r="B35" s="122" t="s">
        <v>25</v>
      </c>
      <c r="C35" s="122" t="str">
        <f t="shared" si="0"/>
        <v>Southland</v>
      </c>
      <c r="D35" s="129" t="s">
        <v>191</v>
      </c>
      <c r="E35" s="122" t="s">
        <v>212</v>
      </c>
      <c r="F35" s="124">
        <v>45666</v>
      </c>
      <c r="G35" s="126">
        <f>5195.52/4</f>
        <v>1298.8800000000001</v>
      </c>
      <c r="H35" s="122">
        <v>201301</v>
      </c>
      <c r="I35" s="132">
        <f t="shared" si="5"/>
        <v>320</v>
      </c>
      <c r="J35" s="126">
        <f t="shared" si="2"/>
        <v>4.0590000000000002</v>
      </c>
      <c r="K35" s="122" t="str">
        <f t="shared" si="1"/>
        <v>Austrália</v>
      </c>
      <c r="L35" s="126">
        <f t="shared" si="14"/>
        <v>2.0499999999999998</v>
      </c>
      <c r="M35" s="126">
        <f t="shared" si="15"/>
        <v>-2.0090000000000003</v>
      </c>
    </row>
    <row r="36" spans="2:13" x14ac:dyDescent="0.2">
      <c r="B36" s="19" t="s">
        <v>25</v>
      </c>
      <c r="C36" s="19" t="str">
        <f t="shared" si="0"/>
        <v>Southland</v>
      </c>
      <c r="D36" s="130" t="s">
        <v>195</v>
      </c>
      <c r="E36" s="19" t="s">
        <v>208</v>
      </c>
      <c r="F36" s="128">
        <v>45666</v>
      </c>
      <c r="G36" s="127">
        <f>134.4</f>
        <v>134.4</v>
      </c>
      <c r="H36" s="19">
        <v>203004</v>
      </c>
      <c r="I36" s="16">
        <f t="shared" si="5"/>
        <v>320</v>
      </c>
      <c r="J36" s="127">
        <f t="shared" si="2"/>
        <v>0.42000000000000004</v>
      </c>
      <c r="K36" s="19" t="str">
        <f t="shared" si="1"/>
        <v>Austrália</v>
      </c>
      <c r="L36" s="127">
        <f t="shared" si="14"/>
        <v>0.42</v>
      </c>
      <c r="M36" s="127">
        <f t="shared" si="15"/>
        <v>0</v>
      </c>
    </row>
    <row r="37" spans="2:13" x14ac:dyDescent="0.2">
      <c r="B37" s="122" t="s">
        <v>25</v>
      </c>
      <c r="C37" s="122" t="str">
        <f t="shared" si="0"/>
        <v>Southland</v>
      </c>
      <c r="D37" s="129" t="s">
        <v>190</v>
      </c>
      <c r="E37" s="122" t="s">
        <v>439</v>
      </c>
      <c r="F37" s="124">
        <v>45673</v>
      </c>
      <c r="G37" s="126">
        <v>912.24</v>
      </c>
      <c r="H37" s="122">
        <v>50191</v>
      </c>
      <c r="I37" s="132">
        <f t="shared" si="5"/>
        <v>320</v>
      </c>
      <c r="J37" s="126">
        <f t="shared" si="2"/>
        <v>2.8507500000000001</v>
      </c>
      <c r="K37" s="122" t="str">
        <f t="shared" si="1"/>
        <v>Austrália</v>
      </c>
      <c r="L37" s="126">
        <f t="shared" si="14"/>
        <v>9</v>
      </c>
      <c r="M37" s="126">
        <f t="shared" ref="M37:M38" si="16">L37-J37</f>
        <v>6.1492500000000003</v>
      </c>
    </row>
    <row r="38" spans="2:13" x14ac:dyDescent="0.2">
      <c r="B38" s="19" t="s">
        <v>27</v>
      </c>
      <c r="C38" s="19" t="str">
        <f t="shared" si="0"/>
        <v>Xorxios</v>
      </c>
      <c r="D38" s="130" t="s">
        <v>195</v>
      </c>
      <c r="E38" s="19" t="s">
        <v>208</v>
      </c>
      <c r="F38" s="128">
        <v>45681</v>
      </c>
      <c r="G38" s="127">
        <v>134.4</v>
      </c>
      <c r="H38" s="19">
        <v>203005</v>
      </c>
      <c r="I38" s="16">
        <f t="shared" si="5"/>
        <v>320</v>
      </c>
      <c r="J38" s="127">
        <f t="shared" si="2"/>
        <v>0.42000000000000004</v>
      </c>
      <c r="K38" s="19" t="str">
        <f t="shared" si="1"/>
        <v>Espanha</v>
      </c>
      <c r="L38" s="127">
        <f t="shared" si="14"/>
        <v>0.42</v>
      </c>
      <c r="M38" s="127">
        <f t="shared" si="16"/>
        <v>0</v>
      </c>
    </row>
    <row r="39" spans="2:13" x14ac:dyDescent="0.2">
      <c r="B39" s="122" t="s">
        <v>27</v>
      </c>
      <c r="C39" s="122" t="str">
        <f t="shared" si="0"/>
        <v>Xorxios</v>
      </c>
      <c r="D39" s="129" t="s">
        <v>190</v>
      </c>
      <c r="E39" s="122" t="s">
        <v>440</v>
      </c>
      <c r="F39" s="124">
        <v>45674</v>
      </c>
      <c r="G39" s="126">
        <v>2291.6799999999998</v>
      </c>
      <c r="H39" s="122">
        <v>202600</v>
      </c>
      <c r="I39" s="132">
        <f t="shared" si="5"/>
        <v>320</v>
      </c>
      <c r="J39" s="126">
        <f t="shared" ref="J39" si="17">G39/I39</f>
        <v>7.1614999999999993</v>
      </c>
      <c r="K39" s="122" t="str">
        <f t="shared" si="1"/>
        <v>Espanha</v>
      </c>
      <c r="L39" s="126">
        <f t="shared" si="14"/>
        <v>9</v>
      </c>
      <c r="M39" s="126">
        <f t="shared" ref="M39" si="18">L39-J39</f>
        <v>1.8385000000000007</v>
      </c>
    </row>
    <row r="40" spans="2:13" x14ac:dyDescent="0.2">
      <c r="B40" s="19" t="s">
        <v>24</v>
      </c>
      <c r="C40" s="19" t="str">
        <f t="shared" si="0"/>
        <v>Southland</v>
      </c>
      <c r="D40" s="130" t="s">
        <v>190</v>
      </c>
      <c r="E40" s="19" t="s">
        <v>441</v>
      </c>
      <c r="F40" s="128">
        <v>45686</v>
      </c>
      <c r="G40" s="127">
        <v>3908.2</v>
      </c>
      <c r="H40" s="19">
        <v>203400</v>
      </c>
      <c r="I40" s="16">
        <f t="shared" si="5"/>
        <v>320</v>
      </c>
      <c r="J40" s="127">
        <f t="shared" ref="J40:J46" si="19">G40/I40</f>
        <v>12.213125</v>
      </c>
      <c r="K40" s="19" t="str">
        <f t="shared" si="1"/>
        <v>Austrália</v>
      </c>
      <c r="L40" s="127">
        <f t="shared" si="14"/>
        <v>9</v>
      </c>
      <c r="M40" s="127">
        <f t="shared" ref="M40:M46" si="20">L40-J40</f>
        <v>-3.2131249999999998</v>
      </c>
    </row>
    <row r="41" spans="2:13" x14ac:dyDescent="0.2">
      <c r="B41" s="122" t="s">
        <v>27</v>
      </c>
      <c r="C41" s="122" t="str">
        <f t="shared" si="0"/>
        <v>Xorxios</v>
      </c>
      <c r="D41" s="129" t="s">
        <v>193</v>
      </c>
      <c r="E41" s="122" t="s">
        <v>211</v>
      </c>
      <c r="F41" s="124">
        <v>45671</v>
      </c>
      <c r="G41" s="126">
        <v>572.57000000000005</v>
      </c>
      <c r="H41" s="122">
        <v>201502</v>
      </c>
      <c r="I41" s="132">
        <f t="shared" si="5"/>
        <v>320</v>
      </c>
      <c r="J41" s="126">
        <f t="shared" si="19"/>
        <v>1.7892812500000002</v>
      </c>
      <c r="K41" s="122" t="str">
        <f t="shared" si="1"/>
        <v>Espanha</v>
      </c>
      <c r="L41" s="126">
        <f t="shared" si="14"/>
        <v>1.75</v>
      </c>
      <c r="M41" s="126">
        <f t="shared" si="20"/>
        <v>-3.9281250000000156E-2</v>
      </c>
    </row>
    <row r="42" spans="2:13" x14ac:dyDescent="0.2">
      <c r="B42" s="19" t="s">
        <v>9</v>
      </c>
      <c r="C42" s="19" t="str">
        <f t="shared" si="0"/>
        <v>Unroasted</v>
      </c>
      <c r="D42" s="130" t="s">
        <v>196</v>
      </c>
      <c r="E42" s="19" t="s">
        <v>207</v>
      </c>
      <c r="F42" s="128">
        <v>45684</v>
      </c>
      <c r="G42" s="127">
        <f>600/4</f>
        <v>150</v>
      </c>
      <c r="H42" s="19">
        <v>203000</v>
      </c>
      <c r="I42" s="16">
        <f t="shared" si="5"/>
        <v>320</v>
      </c>
      <c r="J42" s="127">
        <f t="shared" si="19"/>
        <v>0.46875</v>
      </c>
      <c r="K42" s="19" t="str">
        <f t="shared" si="1"/>
        <v>Polônia</v>
      </c>
      <c r="L42" s="127">
        <f t="shared" ref="L42:L46" si="21">_xlfn.IFNA(VLOOKUP(D42,$O$4:$P$13,2,0),0)</f>
        <v>0.45</v>
      </c>
      <c r="M42" s="127">
        <f t="shared" si="20"/>
        <v>-1.8749999999999989E-2</v>
      </c>
    </row>
    <row r="43" spans="2:13" x14ac:dyDescent="0.2">
      <c r="B43" s="122" t="s">
        <v>8</v>
      </c>
      <c r="C43" s="122" t="str">
        <f t="shared" si="0"/>
        <v>Unroasted</v>
      </c>
      <c r="D43" s="129" t="s">
        <v>196</v>
      </c>
      <c r="E43" s="122" t="s">
        <v>207</v>
      </c>
      <c r="F43" s="124">
        <v>45684</v>
      </c>
      <c r="G43" s="126">
        <f>600/4</f>
        <v>150</v>
      </c>
      <c r="H43" s="122">
        <v>203000</v>
      </c>
      <c r="I43" s="132">
        <f t="shared" si="5"/>
        <v>320</v>
      </c>
      <c r="J43" s="126">
        <f t="shared" si="19"/>
        <v>0.46875</v>
      </c>
      <c r="K43" s="122" t="str">
        <f t="shared" si="1"/>
        <v>Polônia</v>
      </c>
      <c r="L43" s="126">
        <f t="shared" si="21"/>
        <v>0.45</v>
      </c>
      <c r="M43" s="126">
        <f t="shared" si="20"/>
        <v>-1.8749999999999989E-2</v>
      </c>
    </row>
    <row r="44" spans="2:13" x14ac:dyDescent="0.2">
      <c r="B44" s="19" t="s">
        <v>7</v>
      </c>
      <c r="C44" s="19" t="str">
        <f t="shared" si="0"/>
        <v>Unroasted</v>
      </c>
      <c r="D44" s="130" t="s">
        <v>196</v>
      </c>
      <c r="E44" s="19" t="s">
        <v>207</v>
      </c>
      <c r="F44" s="128">
        <v>45684</v>
      </c>
      <c r="G44" s="127">
        <f>600/4</f>
        <v>150</v>
      </c>
      <c r="H44" s="19">
        <v>203000</v>
      </c>
      <c r="I44" s="16">
        <f t="shared" si="5"/>
        <v>320</v>
      </c>
      <c r="J44" s="127">
        <f t="shared" si="19"/>
        <v>0.46875</v>
      </c>
      <c r="K44" s="19" t="str">
        <f t="shared" si="1"/>
        <v>Polônia</v>
      </c>
      <c r="L44" s="127">
        <f t="shared" si="21"/>
        <v>0.45</v>
      </c>
      <c r="M44" s="127">
        <f t="shared" si="20"/>
        <v>-1.8749999999999989E-2</v>
      </c>
    </row>
    <row r="45" spans="2:13" x14ac:dyDescent="0.2">
      <c r="B45" s="122" t="s">
        <v>25</v>
      </c>
      <c r="C45" s="122" t="str">
        <f t="shared" si="0"/>
        <v>Southland</v>
      </c>
      <c r="D45" s="129" t="s">
        <v>196</v>
      </c>
      <c r="E45" s="122" t="s">
        <v>207</v>
      </c>
      <c r="F45" s="124">
        <v>45684</v>
      </c>
      <c r="G45" s="126">
        <f>600/4</f>
        <v>150</v>
      </c>
      <c r="H45" s="122">
        <v>203000</v>
      </c>
      <c r="I45" s="132">
        <f t="shared" si="5"/>
        <v>320</v>
      </c>
      <c r="J45" s="126">
        <f t="shared" si="19"/>
        <v>0.46875</v>
      </c>
      <c r="K45" s="122" t="str">
        <f t="shared" si="1"/>
        <v>Austrália</v>
      </c>
      <c r="L45" s="126">
        <f t="shared" si="21"/>
        <v>0.45</v>
      </c>
      <c r="M45" s="126">
        <f t="shared" si="20"/>
        <v>-1.8749999999999989E-2</v>
      </c>
    </row>
    <row r="46" spans="2:13" x14ac:dyDescent="0.2">
      <c r="B46" s="19" t="s">
        <v>24</v>
      </c>
      <c r="C46" s="19" t="str">
        <f t="shared" si="0"/>
        <v>Southland</v>
      </c>
      <c r="D46" s="130" t="s">
        <v>188</v>
      </c>
      <c r="E46" s="19" t="s">
        <v>206</v>
      </c>
      <c r="F46" s="128">
        <v>45688</v>
      </c>
      <c r="G46" s="127">
        <v>9144.61</v>
      </c>
      <c r="H46" s="19">
        <v>103004</v>
      </c>
      <c r="I46" s="16">
        <f t="shared" si="5"/>
        <v>320</v>
      </c>
      <c r="J46" s="127">
        <f t="shared" si="19"/>
        <v>28.57690625</v>
      </c>
      <c r="K46" s="19" t="str">
        <f t="shared" si="1"/>
        <v>Austrália</v>
      </c>
      <c r="L46" s="127">
        <f t="shared" si="21"/>
        <v>29.7</v>
      </c>
      <c r="M46" s="127">
        <f t="shared" si="20"/>
        <v>1.1230937499999989</v>
      </c>
    </row>
    <row r="47" spans="2:13" x14ac:dyDescent="0.2">
      <c r="B47" s="122" t="s">
        <v>6</v>
      </c>
      <c r="C47" s="122" t="str">
        <f>_xlfn.IFNA(VLOOKUP(B47,$R$3:$S$21,2,FALSE)," - ")</f>
        <v>Unroasted</v>
      </c>
      <c r="D47" s="129" t="s">
        <v>190</v>
      </c>
      <c r="E47" s="122" t="s">
        <v>209</v>
      </c>
      <c r="F47" s="124">
        <v>45681</v>
      </c>
      <c r="G47" s="126">
        <v>3364.58</v>
      </c>
      <c r="H47" s="122">
        <v>90804</v>
      </c>
      <c r="I47" s="132">
        <f>_xlfn.IFNA(VLOOKUP(B47,$R$3:$U$21,3,FALSE)," - ")</f>
        <v>320</v>
      </c>
      <c r="J47" s="126">
        <f t="shared" ref="J47" si="22">G47/I47</f>
        <v>10.514312499999999</v>
      </c>
      <c r="K47" s="122" t="str">
        <f>_xlfn.IFNA(VLOOKUP(B47,$R$3:$U$21,4,FALSE)," - ")</f>
        <v>Polônia</v>
      </c>
      <c r="L47" s="126">
        <f t="shared" ref="L47:L88" si="23">_xlfn.IFNA(VLOOKUP(D47,$O$4:$P$13,2,0),0)</f>
        <v>9</v>
      </c>
      <c r="M47" s="126">
        <f t="shared" ref="M47" si="24">L47-J47</f>
        <v>-1.5143124999999991</v>
      </c>
    </row>
    <row r="48" spans="2:13" x14ac:dyDescent="0.2">
      <c r="B48" s="19" t="s">
        <v>3</v>
      </c>
      <c r="C48" s="19" t="str">
        <f t="shared" ref="C48:C88" si="25">_xlfn.IFNA(VLOOKUP(B48,$R$3:$S$21,2,FALSE)," - ")</f>
        <v>Unroasted</v>
      </c>
      <c r="D48" s="130" t="s">
        <v>190</v>
      </c>
      <c r="E48" s="19" t="s">
        <v>209</v>
      </c>
      <c r="F48" s="128">
        <v>45681</v>
      </c>
      <c r="G48" s="127">
        <v>3364.58</v>
      </c>
      <c r="H48" s="19">
        <v>90805</v>
      </c>
      <c r="I48" s="16">
        <f t="shared" ref="I48:I88" si="26">_xlfn.IFNA(VLOOKUP(B48,$R$3:$U$21,3,FALSE)," - ")</f>
        <v>320</v>
      </c>
      <c r="J48" s="127">
        <f>IFERROR(G48/I48," - ")</f>
        <v>10.514312499999999</v>
      </c>
      <c r="K48" s="19" t="str">
        <f t="shared" ref="K48:K88" si="27">_xlfn.IFNA(VLOOKUP(B48,$R$3:$U$21,4,FALSE)," - ")</f>
        <v>Polônia</v>
      </c>
      <c r="L48" s="127">
        <f t="shared" si="23"/>
        <v>9</v>
      </c>
      <c r="M48" s="127">
        <f>IFERROR(L48-J48," - ")</f>
        <v>-1.5143124999999991</v>
      </c>
    </row>
    <row r="49" spans="2:13" x14ac:dyDescent="0.2">
      <c r="C49" s="122" t="str">
        <f t="shared" si="25"/>
        <v xml:space="preserve"> - </v>
      </c>
      <c r="I49" s="132" t="str">
        <f t="shared" si="26"/>
        <v xml:space="preserve"> - </v>
      </c>
      <c r="J49" s="126" t="str">
        <f t="shared" ref="J49:J88" si="28">IFERROR(G49/I49," - ")</f>
        <v xml:space="preserve"> - </v>
      </c>
      <c r="K49" s="122" t="str">
        <f t="shared" si="27"/>
        <v xml:space="preserve"> - </v>
      </c>
      <c r="L49" s="126">
        <f t="shared" si="23"/>
        <v>0</v>
      </c>
      <c r="M49" s="126" t="str">
        <f t="shared" ref="M49:M88" si="29">IFERROR(L49-J49," - ")</f>
        <v xml:space="preserve"> - </v>
      </c>
    </row>
    <row r="50" spans="2:13" x14ac:dyDescent="0.2">
      <c r="B50" s="19"/>
      <c r="C50" s="19" t="str">
        <f t="shared" si="25"/>
        <v xml:space="preserve"> - </v>
      </c>
      <c r="D50" s="130"/>
      <c r="E50" s="19"/>
      <c r="F50" s="128"/>
      <c r="G50" s="127"/>
      <c r="H50" s="19"/>
      <c r="I50" s="16" t="str">
        <f t="shared" si="26"/>
        <v xml:space="preserve"> - </v>
      </c>
      <c r="J50" s="127" t="str">
        <f t="shared" si="28"/>
        <v xml:space="preserve"> - </v>
      </c>
      <c r="K50" s="19" t="str">
        <f t="shared" si="27"/>
        <v xml:space="preserve"> - </v>
      </c>
      <c r="L50" s="127">
        <f t="shared" si="23"/>
        <v>0</v>
      </c>
      <c r="M50" s="127" t="str">
        <f t="shared" si="29"/>
        <v xml:space="preserve"> - </v>
      </c>
    </row>
    <row r="51" spans="2:13" x14ac:dyDescent="0.2">
      <c r="C51" s="122" t="str">
        <f t="shared" si="25"/>
        <v xml:space="preserve"> - </v>
      </c>
      <c r="I51" s="132" t="str">
        <f t="shared" si="26"/>
        <v xml:space="preserve"> - </v>
      </c>
      <c r="J51" s="126" t="str">
        <f t="shared" si="28"/>
        <v xml:space="preserve"> - </v>
      </c>
      <c r="K51" s="122" t="str">
        <f t="shared" si="27"/>
        <v xml:space="preserve"> - </v>
      </c>
      <c r="L51" s="126">
        <f t="shared" si="23"/>
        <v>0</v>
      </c>
      <c r="M51" s="126" t="str">
        <f t="shared" si="29"/>
        <v xml:space="preserve"> - </v>
      </c>
    </row>
    <row r="52" spans="2:13" x14ac:dyDescent="0.2">
      <c r="B52" s="19"/>
      <c r="C52" s="19" t="str">
        <f t="shared" si="25"/>
        <v xml:space="preserve"> - </v>
      </c>
      <c r="D52" s="130"/>
      <c r="E52" s="19"/>
      <c r="F52" s="128"/>
      <c r="G52" s="127"/>
      <c r="H52" s="19"/>
      <c r="I52" s="16" t="str">
        <f t="shared" si="26"/>
        <v xml:space="preserve"> - </v>
      </c>
      <c r="J52" s="127" t="str">
        <f t="shared" si="28"/>
        <v xml:space="preserve"> - </v>
      </c>
      <c r="K52" s="19" t="str">
        <f t="shared" si="27"/>
        <v xml:space="preserve"> - </v>
      </c>
      <c r="L52" s="127">
        <f t="shared" si="23"/>
        <v>0</v>
      </c>
      <c r="M52" s="127" t="str">
        <f t="shared" si="29"/>
        <v xml:space="preserve"> - </v>
      </c>
    </row>
    <row r="53" spans="2:13" x14ac:dyDescent="0.2">
      <c r="C53" s="122" t="str">
        <f t="shared" si="25"/>
        <v xml:space="preserve"> - </v>
      </c>
      <c r="I53" s="132" t="str">
        <f t="shared" si="26"/>
        <v xml:space="preserve"> - </v>
      </c>
      <c r="J53" s="126" t="str">
        <f t="shared" si="28"/>
        <v xml:space="preserve"> - </v>
      </c>
      <c r="K53" s="122" t="str">
        <f t="shared" si="27"/>
        <v xml:space="preserve"> - </v>
      </c>
      <c r="L53" s="126">
        <f t="shared" si="23"/>
        <v>0</v>
      </c>
      <c r="M53" s="126" t="str">
        <f t="shared" si="29"/>
        <v xml:space="preserve"> - </v>
      </c>
    </row>
    <row r="54" spans="2:13" x14ac:dyDescent="0.2">
      <c r="B54" s="19"/>
      <c r="C54" s="19" t="str">
        <f t="shared" si="25"/>
        <v xml:space="preserve"> - </v>
      </c>
      <c r="D54" s="130"/>
      <c r="E54" s="19"/>
      <c r="F54" s="128"/>
      <c r="G54" s="127"/>
      <c r="H54" s="19"/>
      <c r="I54" s="16" t="str">
        <f t="shared" si="26"/>
        <v xml:space="preserve"> - </v>
      </c>
      <c r="J54" s="127" t="str">
        <f t="shared" si="28"/>
        <v xml:space="preserve"> - </v>
      </c>
      <c r="K54" s="19" t="str">
        <f t="shared" si="27"/>
        <v xml:space="preserve"> - </v>
      </c>
      <c r="L54" s="127">
        <f t="shared" si="23"/>
        <v>0</v>
      </c>
      <c r="M54" s="127" t="str">
        <f t="shared" si="29"/>
        <v xml:space="preserve"> - </v>
      </c>
    </row>
    <row r="55" spans="2:13" x14ac:dyDescent="0.2">
      <c r="C55" s="122" t="str">
        <f t="shared" si="25"/>
        <v xml:space="preserve"> - </v>
      </c>
      <c r="I55" s="132" t="str">
        <f t="shared" si="26"/>
        <v xml:space="preserve"> - </v>
      </c>
      <c r="J55" s="126" t="str">
        <f t="shared" si="28"/>
        <v xml:space="preserve"> - </v>
      </c>
      <c r="K55" s="122" t="str">
        <f t="shared" si="27"/>
        <v xml:space="preserve"> - </v>
      </c>
      <c r="L55" s="126">
        <f t="shared" si="23"/>
        <v>0</v>
      </c>
      <c r="M55" s="126" t="str">
        <f t="shared" si="29"/>
        <v xml:space="preserve"> - </v>
      </c>
    </row>
    <row r="56" spans="2:13" x14ac:dyDescent="0.2">
      <c r="B56" s="19"/>
      <c r="C56" s="19" t="str">
        <f t="shared" si="25"/>
        <v xml:space="preserve"> - </v>
      </c>
      <c r="D56" s="130"/>
      <c r="E56" s="19"/>
      <c r="F56" s="128"/>
      <c r="G56" s="127"/>
      <c r="H56" s="19"/>
      <c r="I56" s="16" t="str">
        <f t="shared" si="26"/>
        <v xml:space="preserve"> - </v>
      </c>
      <c r="J56" s="127" t="str">
        <f t="shared" si="28"/>
        <v xml:space="preserve"> - </v>
      </c>
      <c r="K56" s="19" t="str">
        <f t="shared" si="27"/>
        <v xml:space="preserve"> - </v>
      </c>
      <c r="L56" s="127">
        <f t="shared" si="23"/>
        <v>0</v>
      </c>
      <c r="M56" s="127" t="str">
        <f t="shared" si="29"/>
        <v xml:space="preserve"> - </v>
      </c>
    </row>
    <row r="57" spans="2:13" x14ac:dyDescent="0.2">
      <c r="C57" s="122" t="str">
        <f t="shared" si="25"/>
        <v xml:space="preserve"> - </v>
      </c>
      <c r="I57" s="132" t="str">
        <f t="shared" si="26"/>
        <v xml:space="preserve"> - </v>
      </c>
      <c r="J57" s="126" t="str">
        <f t="shared" si="28"/>
        <v xml:space="preserve"> - </v>
      </c>
      <c r="K57" s="122" t="str">
        <f t="shared" si="27"/>
        <v xml:space="preserve"> - </v>
      </c>
      <c r="L57" s="126">
        <f t="shared" si="23"/>
        <v>0</v>
      </c>
      <c r="M57" s="126" t="str">
        <f t="shared" si="29"/>
        <v xml:space="preserve"> - </v>
      </c>
    </row>
    <row r="58" spans="2:13" x14ac:dyDescent="0.2">
      <c r="B58" s="19"/>
      <c r="C58" s="19" t="str">
        <f t="shared" si="25"/>
        <v xml:space="preserve"> - </v>
      </c>
      <c r="D58" s="130"/>
      <c r="E58" s="19"/>
      <c r="F58" s="128"/>
      <c r="G58" s="127"/>
      <c r="H58" s="19"/>
      <c r="I58" s="16" t="str">
        <f t="shared" si="26"/>
        <v xml:space="preserve"> - </v>
      </c>
      <c r="J58" s="127" t="str">
        <f t="shared" si="28"/>
        <v xml:space="preserve"> - </v>
      </c>
      <c r="K58" s="19" t="str">
        <f t="shared" si="27"/>
        <v xml:space="preserve"> - </v>
      </c>
      <c r="L58" s="127">
        <f t="shared" si="23"/>
        <v>0</v>
      </c>
      <c r="M58" s="127" t="str">
        <f t="shared" si="29"/>
        <v xml:space="preserve"> - </v>
      </c>
    </row>
    <row r="59" spans="2:13" x14ac:dyDescent="0.2">
      <c r="C59" s="122" t="str">
        <f t="shared" si="25"/>
        <v xml:space="preserve"> - </v>
      </c>
      <c r="I59" s="132" t="str">
        <f t="shared" si="26"/>
        <v xml:space="preserve"> - </v>
      </c>
      <c r="J59" s="126" t="str">
        <f t="shared" si="28"/>
        <v xml:space="preserve"> - </v>
      </c>
      <c r="K59" s="122" t="str">
        <f t="shared" si="27"/>
        <v xml:space="preserve"> - </v>
      </c>
      <c r="L59" s="126">
        <f t="shared" si="23"/>
        <v>0</v>
      </c>
      <c r="M59" s="126" t="str">
        <f t="shared" si="29"/>
        <v xml:space="preserve"> - </v>
      </c>
    </row>
    <row r="60" spans="2:13" x14ac:dyDescent="0.2">
      <c r="B60" s="19"/>
      <c r="C60" s="19" t="str">
        <f t="shared" si="25"/>
        <v xml:space="preserve"> - </v>
      </c>
      <c r="D60" s="130"/>
      <c r="E60" s="19"/>
      <c r="F60" s="128"/>
      <c r="G60" s="127"/>
      <c r="H60" s="19"/>
      <c r="I60" s="16" t="str">
        <f t="shared" si="26"/>
        <v xml:space="preserve"> - </v>
      </c>
      <c r="J60" s="127" t="str">
        <f t="shared" si="28"/>
        <v xml:space="preserve"> - </v>
      </c>
      <c r="K60" s="19" t="str">
        <f t="shared" si="27"/>
        <v xml:space="preserve"> - </v>
      </c>
      <c r="L60" s="127">
        <f t="shared" si="23"/>
        <v>0</v>
      </c>
      <c r="M60" s="127" t="str">
        <f t="shared" si="29"/>
        <v xml:space="preserve"> - </v>
      </c>
    </row>
    <row r="61" spans="2:13" x14ac:dyDescent="0.2">
      <c r="C61" s="122" t="str">
        <f t="shared" si="25"/>
        <v xml:space="preserve"> - </v>
      </c>
      <c r="I61" s="132" t="str">
        <f t="shared" si="26"/>
        <v xml:space="preserve"> - </v>
      </c>
      <c r="J61" s="126" t="str">
        <f t="shared" si="28"/>
        <v xml:space="preserve"> - </v>
      </c>
      <c r="K61" s="122" t="str">
        <f t="shared" si="27"/>
        <v xml:space="preserve"> - </v>
      </c>
      <c r="L61" s="126">
        <f t="shared" si="23"/>
        <v>0</v>
      </c>
      <c r="M61" s="126" t="str">
        <f t="shared" si="29"/>
        <v xml:space="preserve"> - </v>
      </c>
    </row>
    <row r="62" spans="2:13" x14ac:dyDescent="0.2">
      <c r="B62" s="19"/>
      <c r="C62" s="19" t="str">
        <f t="shared" si="25"/>
        <v xml:space="preserve"> - </v>
      </c>
      <c r="D62" s="130"/>
      <c r="E62" s="19"/>
      <c r="F62" s="128"/>
      <c r="G62" s="127"/>
      <c r="H62" s="19"/>
      <c r="I62" s="16" t="str">
        <f t="shared" si="26"/>
        <v xml:space="preserve"> - </v>
      </c>
      <c r="J62" s="127" t="str">
        <f t="shared" si="28"/>
        <v xml:space="preserve"> - </v>
      </c>
      <c r="K62" s="19" t="str">
        <f t="shared" si="27"/>
        <v xml:space="preserve"> - </v>
      </c>
      <c r="L62" s="127">
        <f t="shared" si="23"/>
        <v>0</v>
      </c>
      <c r="M62" s="127" t="str">
        <f t="shared" si="29"/>
        <v xml:space="preserve"> - </v>
      </c>
    </row>
    <row r="63" spans="2:13" x14ac:dyDescent="0.2">
      <c r="C63" s="122" t="str">
        <f t="shared" si="25"/>
        <v xml:space="preserve"> - </v>
      </c>
      <c r="I63" s="132" t="str">
        <f t="shared" si="26"/>
        <v xml:space="preserve"> - </v>
      </c>
      <c r="J63" s="126" t="str">
        <f t="shared" si="28"/>
        <v xml:space="preserve"> - </v>
      </c>
      <c r="K63" s="122" t="str">
        <f t="shared" si="27"/>
        <v xml:space="preserve"> - </v>
      </c>
      <c r="L63" s="126">
        <f t="shared" si="23"/>
        <v>0</v>
      </c>
      <c r="M63" s="126" t="str">
        <f t="shared" si="29"/>
        <v xml:space="preserve"> - </v>
      </c>
    </row>
    <row r="64" spans="2:13" x14ac:dyDescent="0.2">
      <c r="B64" s="19"/>
      <c r="C64" s="19" t="str">
        <f t="shared" si="25"/>
        <v xml:space="preserve"> - </v>
      </c>
      <c r="D64" s="130"/>
      <c r="E64" s="19"/>
      <c r="F64" s="128"/>
      <c r="G64" s="127"/>
      <c r="H64" s="19"/>
      <c r="I64" s="16" t="str">
        <f t="shared" si="26"/>
        <v xml:space="preserve"> - </v>
      </c>
      <c r="J64" s="127" t="str">
        <f t="shared" si="28"/>
        <v xml:space="preserve"> - </v>
      </c>
      <c r="K64" s="19" t="str">
        <f t="shared" si="27"/>
        <v xml:space="preserve"> - </v>
      </c>
      <c r="L64" s="127">
        <f t="shared" si="23"/>
        <v>0</v>
      </c>
      <c r="M64" s="127" t="str">
        <f t="shared" si="29"/>
        <v xml:space="preserve"> - </v>
      </c>
    </row>
    <row r="65" spans="2:13" x14ac:dyDescent="0.2">
      <c r="C65" s="122" t="str">
        <f t="shared" si="25"/>
        <v xml:space="preserve"> - </v>
      </c>
      <c r="I65" s="132" t="str">
        <f t="shared" si="26"/>
        <v xml:space="preserve"> - </v>
      </c>
      <c r="J65" s="126" t="str">
        <f t="shared" si="28"/>
        <v xml:space="preserve"> - </v>
      </c>
      <c r="K65" s="122" t="str">
        <f t="shared" si="27"/>
        <v xml:space="preserve"> - </v>
      </c>
      <c r="L65" s="126">
        <f t="shared" si="23"/>
        <v>0</v>
      </c>
      <c r="M65" s="126" t="str">
        <f t="shared" si="29"/>
        <v xml:space="preserve"> - </v>
      </c>
    </row>
    <row r="66" spans="2:13" x14ac:dyDescent="0.2">
      <c r="B66" s="19"/>
      <c r="C66" s="19" t="str">
        <f t="shared" si="25"/>
        <v xml:space="preserve"> - </v>
      </c>
      <c r="D66" s="130"/>
      <c r="E66" s="19"/>
      <c r="F66" s="128"/>
      <c r="G66" s="127"/>
      <c r="H66" s="19"/>
      <c r="I66" s="16" t="str">
        <f t="shared" si="26"/>
        <v xml:space="preserve"> - </v>
      </c>
      <c r="J66" s="127" t="str">
        <f t="shared" si="28"/>
        <v xml:space="preserve"> - </v>
      </c>
      <c r="K66" s="19" t="str">
        <f t="shared" si="27"/>
        <v xml:space="preserve"> - </v>
      </c>
      <c r="L66" s="127">
        <f t="shared" si="23"/>
        <v>0</v>
      </c>
      <c r="M66" s="127" t="str">
        <f t="shared" si="29"/>
        <v xml:space="preserve"> - </v>
      </c>
    </row>
    <row r="67" spans="2:13" x14ac:dyDescent="0.2">
      <c r="C67" s="122" t="str">
        <f t="shared" si="25"/>
        <v xml:space="preserve"> - </v>
      </c>
      <c r="I67" s="132" t="str">
        <f t="shared" si="26"/>
        <v xml:space="preserve"> - </v>
      </c>
      <c r="J67" s="126" t="str">
        <f t="shared" si="28"/>
        <v xml:space="preserve"> - </v>
      </c>
      <c r="K67" s="122" t="str">
        <f t="shared" si="27"/>
        <v xml:space="preserve"> - </v>
      </c>
      <c r="L67" s="126">
        <f t="shared" si="23"/>
        <v>0</v>
      </c>
      <c r="M67" s="126" t="str">
        <f t="shared" si="29"/>
        <v xml:space="preserve"> - </v>
      </c>
    </row>
    <row r="68" spans="2:13" x14ac:dyDescent="0.2">
      <c r="B68" s="19"/>
      <c r="C68" s="19" t="str">
        <f t="shared" si="25"/>
        <v xml:space="preserve"> - </v>
      </c>
      <c r="D68" s="130"/>
      <c r="E68" s="19"/>
      <c r="F68" s="128"/>
      <c r="G68" s="127"/>
      <c r="H68" s="19"/>
      <c r="I68" s="16" t="str">
        <f t="shared" si="26"/>
        <v xml:space="preserve"> - </v>
      </c>
      <c r="J68" s="127" t="str">
        <f t="shared" si="28"/>
        <v xml:space="preserve"> - </v>
      </c>
      <c r="K68" s="19" t="str">
        <f t="shared" si="27"/>
        <v xml:space="preserve"> - </v>
      </c>
      <c r="L68" s="127">
        <f t="shared" si="23"/>
        <v>0</v>
      </c>
      <c r="M68" s="127" t="str">
        <f t="shared" si="29"/>
        <v xml:space="preserve"> - </v>
      </c>
    </row>
    <row r="69" spans="2:13" x14ac:dyDescent="0.2">
      <c r="C69" s="122" t="str">
        <f t="shared" si="25"/>
        <v xml:space="preserve"> - </v>
      </c>
      <c r="I69" s="132" t="str">
        <f t="shared" si="26"/>
        <v xml:space="preserve"> - </v>
      </c>
      <c r="J69" s="126" t="str">
        <f t="shared" si="28"/>
        <v xml:space="preserve"> - </v>
      </c>
      <c r="K69" s="122" t="str">
        <f t="shared" si="27"/>
        <v xml:space="preserve"> - </v>
      </c>
      <c r="L69" s="126">
        <f t="shared" si="23"/>
        <v>0</v>
      </c>
      <c r="M69" s="126" t="str">
        <f t="shared" si="29"/>
        <v xml:space="preserve"> - </v>
      </c>
    </row>
    <row r="70" spans="2:13" x14ac:dyDescent="0.2">
      <c r="B70" s="19"/>
      <c r="C70" s="19" t="str">
        <f t="shared" si="25"/>
        <v xml:space="preserve"> - </v>
      </c>
      <c r="D70" s="130"/>
      <c r="E70" s="19"/>
      <c r="F70" s="128"/>
      <c r="G70" s="127"/>
      <c r="H70" s="19"/>
      <c r="I70" s="16" t="str">
        <f t="shared" si="26"/>
        <v xml:space="preserve"> - </v>
      </c>
      <c r="J70" s="127" t="str">
        <f t="shared" si="28"/>
        <v xml:space="preserve"> - </v>
      </c>
      <c r="K70" s="19" t="str">
        <f t="shared" si="27"/>
        <v xml:space="preserve"> - </v>
      </c>
      <c r="L70" s="127">
        <f t="shared" si="23"/>
        <v>0</v>
      </c>
      <c r="M70" s="127" t="str">
        <f t="shared" si="29"/>
        <v xml:space="preserve"> - </v>
      </c>
    </row>
    <row r="71" spans="2:13" x14ac:dyDescent="0.2">
      <c r="C71" s="122" t="str">
        <f t="shared" si="25"/>
        <v xml:space="preserve"> - </v>
      </c>
      <c r="I71" s="132" t="str">
        <f t="shared" si="26"/>
        <v xml:space="preserve"> - </v>
      </c>
      <c r="J71" s="126" t="str">
        <f t="shared" si="28"/>
        <v xml:space="preserve"> - </v>
      </c>
      <c r="K71" s="122" t="str">
        <f t="shared" si="27"/>
        <v xml:space="preserve"> - </v>
      </c>
      <c r="L71" s="126">
        <f t="shared" si="23"/>
        <v>0</v>
      </c>
      <c r="M71" s="126" t="str">
        <f t="shared" si="29"/>
        <v xml:space="preserve"> - </v>
      </c>
    </row>
    <row r="72" spans="2:13" x14ac:dyDescent="0.2">
      <c r="B72" s="19"/>
      <c r="C72" s="19" t="str">
        <f t="shared" si="25"/>
        <v xml:space="preserve"> - </v>
      </c>
      <c r="D72" s="130"/>
      <c r="E72" s="19"/>
      <c r="F72" s="128"/>
      <c r="G72" s="127"/>
      <c r="H72" s="19"/>
      <c r="I72" s="16" t="str">
        <f t="shared" si="26"/>
        <v xml:space="preserve"> - </v>
      </c>
      <c r="J72" s="127" t="str">
        <f t="shared" si="28"/>
        <v xml:space="preserve"> - </v>
      </c>
      <c r="K72" s="19" t="str">
        <f t="shared" si="27"/>
        <v xml:space="preserve"> - </v>
      </c>
      <c r="L72" s="127">
        <f t="shared" si="23"/>
        <v>0</v>
      </c>
      <c r="M72" s="127" t="str">
        <f t="shared" si="29"/>
        <v xml:space="preserve"> - </v>
      </c>
    </row>
    <row r="73" spans="2:13" x14ac:dyDescent="0.2">
      <c r="C73" s="122" t="str">
        <f t="shared" si="25"/>
        <v xml:space="preserve"> - </v>
      </c>
      <c r="I73" s="132" t="str">
        <f t="shared" si="26"/>
        <v xml:space="preserve"> - </v>
      </c>
      <c r="J73" s="126" t="str">
        <f t="shared" si="28"/>
        <v xml:space="preserve"> - </v>
      </c>
      <c r="K73" s="122" t="str">
        <f t="shared" si="27"/>
        <v xml:space="preserve"> - </v>
      </c>
      <c r="L73" s="126">
        <f t="shared" si="23"/>
        <v>0</v>
      </c>
      <c r="M73" s="126" t="str">
        <f t="shared" si="29"/>
        <v xml:space="preserve"> - </v>
      </c>
    </row>
    <row r="74" spans="2:13" x14ac:dyDescent="0.2">
      <c r="B74" s="19"/>
      <c r="C74" s="19" t="str">
        <f t="shared" si="25"/>
        <v xml:space="preserve"> - </v>
      </c>
      <c r="D74" s="130"/>
      <c r="E74" s="19"/>
      <c r="F74" s="128"/>
      <c r="G74" s="127"/>
      <c r="H74" s="19"/>
      <c r="I74" s="16" t="str">
        <f t="shared" si="26"/>
        <v xml:space="preserve"> - </v>
      </c>
      <c r="J74" s="127" t="str">
        <f t="shared" si="28"/>
        <v xml:space="preserve"> - </v>
      </c>
      <c r="K74" s="19" t="str">
        <f t="shared" si="27"/>
        <v xml:space="preserve"> - </v>
      </c>
      <c r="L74" s="127">
        <f t="shared" si="23"/>
        <v>0</v>
      </c>
      <c r="M74" s="127" t="str">
        <f t="shared" si="29"/>
        <v xml:space="preserve"> - </v>
      </c>
    </row>
    <row r="75" spans="2:13" x14ac:dyDescent="0.2">
      <c r="C75" s="122" t="str">
        <f t="shared" si="25"/>
        <v xml:space="preserve"> - </v>
      </c>
      <c r="I75" s="132" t="str">
        <f t="shared" si="26"/>
        <v xml:space="preserve"> - </v>
      </c>
      <c r="J75" s="126" t="str">
        <f t="shared" si="28"/>
        <v xml:space="preserve"> - </v>
      </c>
      <c r="K75" s="122" t="str">
        <f t="shared" si="27"/>
        <v xml:space="preserve"> - </v>
      </c>
      <c r="L75" s="126">
        <f t="shared" si="23"/>
        <v>0</v>
      </c>
      <c r="M75" s="126" t="str">
        <f t="shared" si="29"/>
        <v xml:space="preserve"> - </v>
      </c>
    </row>
    <row r="76" spans="2:13" x14ac:dyDescent="0.2">
      <c r="B76" s="19"/>
      <c r="C76" s="19" t="str">
        <f t="shared" si="25"/>
        <v xml:space="preserve"> - </v>
      </c>
      <c r="D76" s="130"/>
      <c r="E76" s="19"/>
      <c r="F76" s="128"/>
      <c r="G76" s="127"/>
      <c r="H76" s="19"/>
      <c r="I76" s="16" t="str">
        <f t="shared" si="26"/>
        <v xml:space="preserve"> - </v>
      </c>
      <c r="J76" s="127" t="str">
        <f t="shared" si="28"/>
        <v xml:space="preserve"> - </v>
      </c>
      <c r="K76" s="19" t="str">
        <f t="shared" si="27"/>
        <v xml:space="preserve"> - </v>
      </c>
      <c r="L76" s="127">
        <f t="shared" si="23"/>
        <v>0</v>
      </c>
      <c r="M76" s="127" t="str">
        <f t="shared" si="29"/>
        <v xml:space="preserve"> - </v>
      </c>
    </row>
    <row r="77" spans="2:13" x14ac:dyDescent="0.2">
      <c r="C77" s="122" t="str">
        <f t="shared" si="25"/>
        <v xml:space="preserve"> - </v>
      </c>
      <c r="I77" s="132" t="str">
        <f t="shared" si="26"/>
        <v xml:space="preserve"> - </v>
      </c>
      <c r="J77" s="126" t="str">
        <f t="shared" si="28"/>
        <v xml:space="preserve"> - </v>
      </c>
      <c r="K77" s="122" t="str">
        <f t="shared" si="27"/>
        <v xml:space="preserve"> - </v>
      </c>
      <c r="L77" s="126">
        <f t="shared" si="23"/>
        <v>0</v>
      </c>
      <c r="M77" s="126" t="str">
        <f t="shared" si="29"/>
        <v xml:space="preserve"> - </v>
      </c>
    </row>
    <row r="78" spans="2:13" x14ac:dyDescent="0.2">
      <c r="B78" s="19"/>
      <c r="C78" s="19" t="str">
        <f t="shared" si="25"/>
        <v xml:space="preserve"> - </v>
      </c>
      <c r="D78" s="130"/>
      <c r="E78" s="19"/>
      <c r="F78" s="128"/>
      <c r="G78" s="127"/>
      <c r="H78" s="19"/>
      <c r="I78" s="16" t="str">
        <f t="shared" si="26"/>
        <v xml:space="preserve"> - </v>
      </c>
      <c r="J78" s="127" t="str">
        <f t="shared" si="28"/>
        <v xml:space="preserve"> - </v>
      </c>
      <c r="K78" s="19" t="str">
        <f t="shared" si="27"/>
        <v xml:space="preserve"> - </v>
      </c>
      <c r="L78" s="127">
        <f t="shared" si="23"/>
        <v>0</v>
      </c>
      <c r="M78" s="127" t="str">
        <f t="shared" si="29"/>
        <v xml:space="preserve"> - </v>
      </c>
    </row>
    <row r="79" spans="2:13" x14ac:dyDescent="0.2">
      <c r="C79" s="122" t="str">
        <f t="shared" si="25"/>
        <v xml:space="preserve"> - </v>
      </c>
      <c r="I79" s="132" t="str">
        <f t="shared" si="26"/>
        <v xml:space="preserve"> - </v>
      </c>
      <c r="J79" s="126" t="str">
        <f t="shared" si="28"/>
        <v xml:space="preserve"> - </v>
      </c>
      <c r="K79" s="122" t="str">
        <f t="shared" si="27"/>
        <v xml:space="preserve"> - </v>
      </c>
      <c r="L79" s="126">
        <f t="shared" si="23"/>
        <v>0</v>
      </c>
      <c r="M79" s="126" t="str">
        <f t="shared" si="29"/>
        <v xml:space="preserve"> - </v>
      </c>
    </row>
    <row r="80" spans="2:13" x14ac:dyDescent="0.2">
      <c r="B80" s="19"/>
      <c r="C80" s="19" t="str">
        <f t="shared" si="25"/>
        <v xml:space="preserve"> - </v>
      </c>
      <c r="D80" s="130"/>
      <c r="E80" s="19"/>
      <c r="F80" s="128"/>
      <c r="G80" s="127"/>
      <c r="H80" s="19"/>
      <c r="I80" s="16" t="str">
        <f t="shared" si="26"/>
        <v xml:space="preserve"> - </v>
      </c>
      <c r="J80" s="127" t="str">
        <f t="shared" si="28"/>
        <v xml:space="preserve"> - </v>
      </c>
      <c r="K80" s="19" t="str">
        <f t="shared" si="27"/>
        <v xml:space="preserve"> - </v>
      </c>
      <c r="L80" s="127">
        <f t="shared" si="23"/>
        <v>0</v>
      </c>
      <c r="M80" s="127" t="str">
        <f t="shared" si="29"/>
        <v xml:space="preserve"> - </v>
      </c>
    </row>
    <row r="81" spans="2:13" x14ac:dyDescent="0.2">
      <c r="C81" s="122" t="str">
        <f t="shared" si="25"/>
        <v xml:space="preserve"> - </v>
      </c>
      <c r="I81" s="132" t="str">
        <f t="shared" si="26"/>
        <v xml:space="preserve"> - </v>
      </c>
      <c r="J81" s="126" t="str">
        <f t="shared" si="28"/>
        <v xml:space="preserve"> - </v>
      </c>
      <c r="K81" s="122" t="str">
        <f t="shared" si="27"/>
        <v xml:space="preserve"> - </v>
      </c>
      <c r="L81" s="126">
        <f t="shared" si="23"/>
        <v>0</v>
      </c>
      <c r="M81" s="126" t="str">
        <f t="shared" si="29"/>
        <v xml:space="preserve"> - </v>
      </c>
    </row>
    <row r="82" spans="2:13" x14ac:dyDescent="0.2">
      <c r="B82" s="19"/>
      <c r="C82" s="19" t="str">
        <f t="shared" si="25"/>
        <v xml:space="preserve"> - </v>
      </c>
      <c r="D82" s="130"/>
      <c r="E82" s="19"/>
      <c r="F82" s="128"/>
      <c r="G82" s="127"/>
      <c r="H82" s="19"/>
      <c r="I82" s="16" t="str">
        <f t="shared" si="26"/>
        <v xml:space="preserve"> - </v>
      </c>
      <c r="J82" s="127" t="str">
        <f t="shared" si="28"/>
        <v xml:space="preserve"> - </v>
      </c>
      <c r="K82" s="19" t="str">
        <f t="shared" si="27"/>
        <v xml:space="preserve"> - </v>
      </c>
      <c r="L82" s="127">
        <f t="shared" si="23"/>
        <v>0</v>
      </c>
      <c r="M82" s="127" t="str">
        <f t="shared" si="29"/>
        <v xml:space="preserve"> - </v>
      </c>
    </row>
    <row r="83" spans="2:13" x14ac:dyDescent="0.2">
      <c r="C83" s="122" t="str">
        <f t="shared" si="25"/>
        <v xml:space="preserve"> - </v>
      </c>
      <c r="I83" s="132" t="str">
        <f t="shared" si="26"/>
        <v xml:space="preserve"> - </v>
      </c>
      <c r="J83" s="126" t="str">
        <f t="shared" si="28"/>
        <v xml:space="preserve"> - </v>
      </c>
      <c r="K83" s="122" t="str">
        <f t="shared" si="27"/>
        <v xml:space="preserve"> - </v>
      </c>
      <c r="L83" s="126">
        <f t="shared" si="23"/>
        <v>0</v>
      </c>
      <c r="M83" s="126" t="str">
        <f t="shared" si="29"/>
        <v xml:space="preserve"> - </v>
      </c>
    </row>
    <row r="84" spans="2:13" x14ac:dyDescent="0.2">
      <c r="B84" s="19"/>
      <c r="C84" s="19" t="str">
        <f t="shared" si="25"/>
        <v xml:space="preserve"> - </v>
      </c>
      <c r="D84" s="130"/>
      <c r="E84" s="19"/>
      <c r="F84" s="128"/>
      <c r="G84" s="127"/>
      <c r="H84" s="19"/>
      <c r="I84" s="16" t="str">
        <f t="shared" si="26"/>
        <v xml:space="preserve"> - </v>
      </c>
      <c r="J84" s="127" t="str">
        <f t="shared" si="28"/>
        <v xml:space="preserve"> - </v>
      </c>
      <c r="K84" s="19" t="str">
        <f t="shared" si="27"/>
        <v xml:space="preserve"> - </v>
      </c>
      <c r="L84" s="127">
        <f t="shared" si="23"/>
        <v>0</v>
      </c>
      <c r="M84" s="127" t="str">
        <f t="shared" si="29"/>
        <v xml:space="preserve"> - </v>
      </c>
    </row>
    <row r="85" spans="2:13" x14ac:dyDescent="0.2">
      <c r="C85" s="122" t="str">
        <f t="shared" si="25"/>
        <v xml:space="preserve"> - </v>
      </c>
      <c r="I85" s="132" t="str">
        <f t="shared" si="26"/>
        <v xml:space="preserve"> - </v>
      </c>
      <c r="J85" s="126" t="str">
        <f t="shared" si="28"/>
        <v xml:space="preserve"> - </v>
      </c>
      <c r="K85" s="122" t="str">
        <f t="shared" si="27"/>
        <v xml:space="preserve"> - </v>
      </c>
      <c r="L85" s="126">
        <f t="shared" si="23"/>
        <v>0</v>
      </c>
      <c r="M85" s="126" t="str">
        <f t="shared" si="29"/>
        <v xml:space="preserve"> - </v>
      </c>
    </row>
    <row r="86" spans="2:13" x14ac:dyDescent="0.2">
      <c r="B86" s="19"/>
      <c r="C86" s="19" t="str">
        <f t="shared" si="25"/>
        <v xml:space="preserve"> - </v>
      </c>
      <c r="D86" s="130"/>
      <c r="E86" s="19"/>
      <c r="F86" s="128"/>
      <c r="G86" s="127"/>
      <c r="H86" s="19"/>
      <c r="I86" s="16" t="str">
        <f t="shared" si="26"/>
        <v xml:space="preserve"> - </v>
      </c>
      <c r="J86" s="127" t="str">
        <f t="shared" si="28"/>
        <v xml:space="preserve"> - </v>
      </c>
      <c r="K86" s="19" t="str">
        <f t="shared" si="27"/>
        <v xml:space="preserve"> - </v>
      </c>
      <c r="L86" s="127">
        <f t="shared" si="23"/>
        <v>0</v>
      </c>
      <c r="M86" s="127" t="str">
        <f t="shared" si="29"/>
        <v xml:space="preserve"> - </v>
      </c>
    </row>
    <row r="87" spans="2:13" x14ac:dyDescent="0.2">
      <c r="C87" s="122" t="str">
        <f t="shared" si="25"/>
        <v xml:space="preserve"> - </v>
      </c>
      <c r="I87" s="132" t="str">
        <f t="shared" si="26"/>
        <v xml:space="preserve"> - </v>
      </c>
      <c r="J87" s="126" t="str">
        <f t="shared" si="28"/>
        <v xml:space="preserve"> - </v>
      </c>
      <c r="K87" s="122" t="str">
        <f t="shared" si="27"/>
        <v xml:space="preserve"> - </v>
      </c>
      <c r="L87" s="126">
        <f t="shared" si="23"/>
        <v>0</v>
      </c>
      <c r="M87" s="126" t="str">
        <f t="shared" si="29"/>
        <v xml:space="preserve"> - </v>
      </c>
    </row>
    <row r="88" spans="2:13" x14ac:dyDescent="0.2">
      <c r="B88" s="19"/>
      <c r="C88" s="19" t="str">
        <f t="shared" si="25"/>
        <v xml:space="preserve"> - </v>
      </c>
      <c r="D88" s="130"/>
      <c r="E88" s="19"/>
      <c r="F88" s="128"/>
      <c r="G88" s="127"/>
      <c r="H88" s="19"/>
      <c r="I88" s="16" t="str">
        <f t="shared" si="26"/>
        <v xml:space="preserve"> - </v>
      </c>
      <c r="J88" s="127" t="str">
        <f t="shared" si="28"/>
        <v xml:space="preserve"> - </v>
      </c>
      <c r="K88" s="19" t="str">
        <f t="shared" si="27"/>
        <v xml:space="preserve"> - </v>
      </c>
      <c r="L88" s="127">
        <f t="shared" si="23"/>
        <v>0</v>
      </c>
      <c r="M88" s="127" t="str">
        <f t="shared" si="29"/>
        <v xml:space="preserve"> - </v>
      </c>
    </row>
    <row r="89" spans="2:13" x14ac:dyDescent="0.2">
      <c r="I89" s="132"/>
    </row>
  </sheetData>
  <autoFilter ref="B3:M36" xr:uid="{E68C9917-84FB-F147-BB26-F7F885938BB7}"/>
  <phoneticPr fontId="17" type="noConversion"/>
  <dataValidations count="2">
    <dataValidation type="list" allowBlank="1" showInputMessage="1" showErrorMessage="1" sqref="D4:D17 D19:D88" xr:uid="{7F25B1E7-857E-514B-B972-BECEFCD67726}">
      <formula1>$O$4:$O$13</formula1>
    </dataValidation>
    <dataValidation type="list" allowBlank="1" showInputMessage="1" showErrorMessage="1" sqref="B4:B88" xr:uid="{94D809B1-C588-254A-A892-9B831AD959B7}">
      <formula1>$R$4:$R$21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C624B-C97E-7443-B4A8-31D67DB2140B}">
  <dimension ref="B2:R23"/>
  <sheetViews>
    <sheetView zoomScale="80" zoomScaleNormal="80" workbookViewId="0">
      <selection activeCell="I38" sqref="I38"/>
    </sheetView>
  </sheetViews>
  <sheetFormatPr baseColWidth="10" defaultRowHeight="14" x14ac:dyDescent="0.2"/>
  <cols>
    <col min="1" max="1" width="10.83203125" style="121"/>
    <col min="2" max="2" width="13" style="122" customWidth="1"/>
    <col min="3" max="7" width="15" style="122" customWidth="1"/>
    <col min="8" max="8" width="18.1640625" style="129" customWidth="1"/>
    <col min="9" max="9" width="18.1640625" style="124" customWidth="1"/>
    <col min="10" max="10" width="18.1640625" style="126" customWidth="1"/>
    <col min="11" max="11" width="18.1640625" style="122" customWidth="1"/>
    <col min="12" max="13" width="18.1640625" style="126" customWidth="1"/>
    <col min="14" max="14" width="18.1640625" style="122" customWidth="1"/>
    <col min="15" max="15" width="18.1640625" style="126" customWidth="1"/>
    <col min="16" max="16" width="3.5" style="126" customWidth="1"/>
    <col min="17" max="17" width="14" style="121" customWidth="1"/>
    <col min="18" max="18" width="15.1640625" style="121" customWidth="1"/>
    <col min="19" max="16384" width="10.83203125" style="121"/>
  </cols>
  <sheetData>
    <row r="2" spans="2:18" x14ac:dyDescent="0.2">
      <c r="B2" s="8" t="s">
        <v>215</v>
      </c>
      <c r="C2" s="8" t="s">
        <v>168</v>
      </c>
      <c r="D2" s="125" t="s">
        <v>173</v>
      </c>
      <c r="E2" s="125" t="s">
        <v>442</v>
      </c>
      <c r="F2" s="125" t="s">
        <v>443</v>
      </c>
      <c r="G2" s="327"/>
      <c r="H2" s="8" t="s">
        <v>188</v>
      </c>
      <c r="I2" s="8" t="s">
        <v>190</v>
      </c>
      <c r="J2" s="8" t="s">
        <v>191</v>
      </c>
      <c r="K2" s="8" t="s">
        <v>192</v>
      </c>
      <c r="L2" s="8" t="s">
        <v>193</v>
      </c>
      <c r="M2" s="8" t="s">
        <v>194</v>
      </c>
      <c r="N2" s="8" t="s">
        <v>195</v>
      </c>
      <c r="O2" s="8" t="s">
        <v>196</v>
      </c>
      <c r="P2" s="121"/>
      <c r="Q2" s="8" t="s">
        <v>197</v>
      </c>
      <c r="R2" s="8" t="s">
        <v>189</v>
      </c>
    </row>
    <row r="3" spans="2:18" x14ac:dyDescent="0.2">
      <c r="B3" s="122" t="s">
        <v>12</v>
      </c>
      <c r="C3" s="122" t="str">
        <f>VLOOKUP(B3,charge!$R$3:$S$21,2,FALSE)</f>
        <v>Unroasted</v>
      </c>
      <c r="D3" s="122">
        <f>VLOOKUP(B3,charge!$R$3:$U$21,3,FALSE)</f>
        <v>320</v>
      </c>
      <c r="E3" s="132">
        <f>SUMIFS(charge!G:G,charge!B:B,painel!B3)</f>
        <v>150</v>
      </c>
      <c r="F3" s="131">
        <f>E3/D3</f>
        <v>0.46875</v>
      </c>
      <c r="H3" s="122" t="str">
        <f>IF(COUNTIFS(charge!$B:$B,painel!$B3,charge!$D:$D,painel!H$2)&gt;0,"OK"," - ")</f>
        <v xml:space="preserve"> - </v>
      </c>
      <c r="I3" s="122" t="str">
        <f>IF(COUNTIFS(charge!$B:$B,painel!$B3,charge!$D:$D,painel!I$2)&gt;0,"OK"," - ")</f>
        <v xml:space="preserve"> - </v>
      </c>
      <c r="J3" s="122" t="str">
        <f>IF(COUNTIFS(charge!$B:$B,painel!$B3,charge!$D:$D,painel!J$2)&gt;0,"OK"," - ")</f>
        <v xml:space="preserve"> - </v>
      </c>
      <c r="K3" s="122" t="str">
        <f>IF(COUNTIFS(charge!$B:$B,painel!$B3,charge!$D:$D,painel!K$2)&gt;0,"OK"," - ")</f>
        <v xml:space="preserve"> - </v>
      </c>
      <c r="L3" s="122" t="str">
        <f>IF(COUNTIFS(charge!$B:$B,painel!$B3,charge!$D:$D,painel!L$2)&gt;0,"OK"," - ")</f>
        <v xml:space="preserve"> - </v>
      </c>
      <c r="M3" s="122" t="str">
        <f>IF(COUNTIFS(charge!$B:$B,painel!$B3,charge!$D:$D,painel!M$2)&gt;0,"OK"," - ")</f>
        <v xml:space="preserve"> - </v>
      </c>
      <c r="N3" s="122" t="str">
        <f>IF(COUNTIFS(charge!$B:$B,painel!$B3,charge!$D:$D,painel!N$2)&gt;0,"OK"," - ")</f>
        <v xml:space="preserve"> - </v>
      </c>
      <c r="O3" s="122" t="str">
        <f>IF(COUNTIFS(charge!$B:$B,painel!$B3,charge!$D:$D,painel!O$2)&gt;0,"OK"," - ")</f>
        <v>OK</v>
      </c>
      <c r="P3" s="121"/>
      <c r="Q3" s="122" t="str">
        <f>IF(COUNTIFS(charge!$B:$B,painel!$B3,charge!$D:$D,painel!Q$2)&gt;0,"OK"," - ")</f>
        <v xml:space="preserve"> - </v>
      </c>
      <c r="R3" s="122" t="str">
        <f>IF(COUNTIFS(charge!$B:$B,painel!$B3,charge!$D:$D,painel!R$2)&gt;0,"OK"," - ")</f>
        <v xml:space="preserve"> - </v>
      </c>
    </row>
    <row r="4" spans="2:18" x14ac:dyDescent="0.2">
      <c r="B4" s="122" t="s">
        <v>11</v>
      </c>
      <c r="C4" s="122" t="str">
        <f>VLOOKUP(B4,charge!$R$3:$S$21,2,FALSE)</f>
        <v>Unroasted</v>
      </c>
      <c r="D4" s="122">
        <f>VLOOKUP(B4,charge!$R$3:$U$21,3,FALSE)</f>
        <v>320</v>
      </c>
      <c r="E4" s="132">
        <f>SUMIFS(charge!G:G,charge!B:B,painel!B4)</f>
        <v>150</v>
      </c>
      <c r="F4" s="131">
        <f t="shared" ref="F4:F22" si="0">E4/D4</f>
        <v>0.46875</v>
      </c>
      <c r="H4" s="122" t="str">
        <f>IF(COUNTIFS(charge!$B:$B,painel!$B4,charge!$D:$D,painel!H$2)&gt;0,"OK"," - ")</f>
        <v xml:space="preserve"> - </v>
      </c>
      <c r="I4" s="122" t="str">
        <f>IF(COUNTIFS(charge!$B:$B,painel!$B4,charge!$D:$D,painel!I$2)&gt;0,"OK"," - ")</f>
        <v xml:space="preserve"> - </v>
      </c>
      <c r="J4" s="122" t="str">
        <f>IF(COUNTIFS(charge!$B:$B,painel!$B4,charge!$D:$D,painel!J$2)&gt;0,"OK"," - ")</f>
        <v xml:space="preserve"> - </v>
      </c>
      <c r="K4" s="122" t="str">
        <f>IF(COUNTIFS(charge!$B:$B,painel!$B4,charge!$D:$D,painel!K$2)&gt;0,"OK"," - ")</f>
        <v xml:space="preserve"> - </v>
      </c>
      <c r="L4" s="122" t="str">
        <f>IF(COUNTIFS(charge!$B:$B,painel!$B4,charge!$D:$D,painel!L$2)&gt;0,"OK"," - ")</f>
        <v xml:space="preserve"> - </v>
      </c>
      <c r="M4" s="122" t="str">
        <f>IF(COUNTIFS(charge!$B:$B,painel!$B4,charge!$D:$D,painel!M$2)&gt;0,"OK"," - ")</f>
        <v xml:space="preserve"> - </v>
      </c>
      <c r="N4" s="122" t="str">
        <f>IF(COUNTIFS(charge!$B:$B,painel!$B4,charge!$D:$D,painel!N$2)&gt;0,"OK"," - ")</f>
        <v xml:space="preserve"> - </v>
      </c>
      <c r="O4" s="122" t="str">
        <f>IF(COUNTIFS(charge!$B:$B,painel!$B4,charge!$D:$D,painel!O$2)&gt;0,"OK"," - ")</f>
        <v>OK</v>
      </c>
      <c r="Q4" s="122" t="str">
        <f>IF(COUNTIFS(charge!$B:$B,painel!$B4,charge!$D:$D,painel!Q$2)&gt;0,"OK"," - ")</f>
        <v xml:space="preserve"> - </v>
      </c>
      <c r="R4" s="122" t="str">
        <f>IF(COUNTIFS(charge!$B:$B,painel!$B4,charge!$D:$D,painel!R$2)&gt;0,"OK"," - ")</f>
        <v xml:space="preserve"> - </v>
      </c>
    </row>
    <row r="5" spans="2:18" x14ac:dyDescent="0.2">
      <c r="B5" s="122" t="s">
        <v>10</v>
      </c>
      <c r="C5" s="122" t="str">
        <f>VLOOKUP(B5,charge!$R$3:$S$21,2,FALSE)</f>
        <v>Unroasted</v>
      </c>
      <c r="D5" s="122">
        <f>VLOOKUP(B5,charge!$R$3:$U$21,3,FALSE)</f>
        <v>320</v>
      </c>
      <c r="E5" s="132">
        <f>SUMIFS(charge!G:G,charge!B:B,painel!B5)</f>
        <v>150</v>
      </c>
      <c r="F5" s="131">
        <f t="shared" si="0"/>
        <v>0.46875</v>
      </c>
      <c r="H5" s="122" t="str">
        <f>IF(COUNTIFS(charge!$B:$B,painel!$B5,charge!$D:$D,painel!H$2)&gt;0,"OK"," - ")</f>
        <v xml:space="preserve"> - </v>
      </c>
      <c r="I5" s="122" t="str">
        <f>IF(COUNTIFS(charge!$B:$B,painel!$B5,charge!$D:$D,painel!I$2)&gt;0,"OK"," - ")</f>
        <v xml:space="preserve"> - </v>
      </c>
      <c r="J5" s="122" t="str">
        <f>IF(COUNTIFS(charge!$B:$B,painel!$B5,charge!$D:$D,painel!J$2)&gt;0,"OK"," - ")</f>
        <v xml:space="preserve"> - </v>
      </c>
      <c r="K5" s="122" t="str">
        <f>IF(COUNTIFS(charge!$B:$B,painel!$B5,charge!$D:$D,painel!K$2)&gt;0,"OK"," - ")</f>
        <v xml:space="preserve"> - </v>
      </c>
      <c r="L5" s="122" t="str">
        <f>IF(COUNTIFS(charge!$B:$B,painel!$B5,charge!$D:$D,painel!L$2)&gt;0,"OK"," - ")</f>
        <v xml:space="preserve"> - </v>
      </c>
      <c r="M5" s="122" t="str">
        <f>IF(COUNTIFS(charge!$B:$B,painel!$B5,charge!$D:$D,painel!M$2)&gt;0,"OK"," - ")</f>
        <v xml:space="preserve"> - </v>
      </c>
      <c r="N5" s="122" t="str">
        <f>IF(COUNTIFS(charge!$B:$B,painel!$B5,charge!$D:$D,painel!N$2)&gt;0,"OK"," - ")</f>
        <v xml:space="preserve"> - </v>
      </c>
      <c r="O5" s="122" t="str">
        <f>IF(COUNTIFS(charge!$B:$B,painel!$B5,charge!$D:$D,painel!O$2)&gt;0,"OK"," - ")</f>
        <v>OK</v>
      </c>
      <c r="Q5" s="122" t="str">
        <f>IF(COUNTIFS(charge!$B:$B,painel!$B5,charge!$D:$D,painel!Q$2)&gt;0,"OK"," - ")</f>
        <v xml:space="preserve"> - </v>
      </c>
      <c r="R5" s="122" t="str">
        <f>IF(COUNTIFS(charge!$B:$B,painel!$B5,charge!$D:$D,painel!R$2)&gt;0,"OK"," - ")</f>
        <v xml:space="preserve"> - </v>
      </c>
    </row>
    <row r="6" spans="2:18" x14ac:dyDescent="0.2">
      <c r="B6" s="122" t="s">
        <v>5</v>
      </c>
      <c r="C6" s="122" t="str">
        <f>VLOOKUP(B6,charge!$R$3:$S$21,2,FALSE)</f>
        <v>Unroasted</v>
      </c>
      <c r="D6" s="122">
        <f>VLOOKUP(B6,charge!$R$3:$U$21,3,FALSE)</f>
        <v>320</v>
      </c>
      <c r="E6" s="132">
        <f>SUMIFS(charge!G:G,charge!B:B,painel!B6)</f>
        <v>11638.84</v>
      </c>
      <c r="F6" s="131">
        <f t="shared" si="0"/>
        <v>36.371375</v>
      </c>
      <c r="H6" s="122" t="str">
        <f>IF(COUNTIFS(charge!$B:$B,painel!$B6,charge!$D:$D,painel!H$2)&gt;0,"OK"," - ")</f>
        <v>OK</v>
      </c>
      <c r="I6" s="122" t="str">
        <f>IF(COUNTIFS(charge!$B:$B,painel!$B6,charge!$D:$D,painel!I$2)&gt;0,"OK"," - ")</f>
        <v>OK</v>
      </c>
      <c r="J6" s="122" t="str">
        <f>IF(COUNTIFS(charge!$B:$B,painel!$B6,charge!$D:$D,painel!J$2)&gt;0,"OK"," - ")</f>
        <v xml:space="preserve"> - </v>
      </c>
      <c r="K6" s="122" t="str">
        <f>IF(COUNTIFS(charge!$B:$B,painel!$B6,charge!$D:$D,painel!K$2)&gt;0,"OK"," - ")</f>
        <v>OK</v>
      </c>
      <c r="L6" s="122" t="str">
        <f>IF(COUNTIFS(charge!$B:$B,painel!$B6,charge!$D:$D,painel!L$2)&gt;0,"OK"," - ")</f>
        <v xml:space="preserve"> - </v>
      </c>
      <c r="M6" s="122" t="str">
        <f>IF(COUNTIFS(charge!$B:$B,painel!$B6,charge!$D:$D,painel!M$2)&gt;0,"OK"," - ")</f>
        <v xml:space="preserve"> - </v>
      </c>
      <c r="N6" s="122" t="str">
        <f>IF(COUNTIFS(charge!$B:$B,painel!$B6,charge!$D:$D,painel!N$2)&gt;0,"OK"," - ")</f>
        <v>OK</v>
      </c>
      <c r="O6" s="122" t="str">
        <f>IF(COUNTIFS(charge!$B:$B,painel!$B6,charge!$D:$D,painel!O$2)&gt;0,"OK"," - ")</f>
        <v xml:space="preserve"> - </v>
      </c>
      <c r="Q6" s="122" t="str">
        <f>IF(COUNTIFS(charge!$B:$B,painel!$B6,charge!$D:$D,painel!Q$2)&gt;0,"OK"," - ")</f>
        <v xml:space="preserve"> - </v>
      </c>
      <c r="R6" s="122" t="str">
        <f>IF(COUNTIFS(charge!$B:$B,painel!$B6,charge!$D:$D,painel!R$2)&gt;0,"OK"," - ")</f>
        <v xml:space="preserve"> - </v>
      </c>
    </row>
    <row r="7" spans="2:18" x14ac:dyDescent="0.2">
      <c r="B7" s="122" t="s">
        <v>4</v>
      </c>
      <c r="C7" s="122" t="str">
        <f>VLOOKUP(B7,charge!$R$3:$S$21,2,FALSE)</f>
        <v>Unroasted</v>
      </c>
      <c r="D7" s="122">
        <f>VLOOKUP(B7,charge!$R$3:$U$21,3,FALSE)</f>
        <v>320</v>
      </c>
      <c r="E7" s="132">
        <f>SUMIFS(charge!G:G,charge!B:B,painel!B7)</f>
        <v>2140.42</v>
      </c>
      <c r="F7" s="131">
        <f t="shared" si="0"/>
        <v>6.6888125</v>
      </c>
      <c r="H7" s="122" t="str">
        <f>IF(COUNTIFS(charge!$B:$B,painel!$B7,charge!$D:$D,painel!H$2)&gt;0,"OK"," - ")</f>
        <v xml:space="preserve"> - </v>
      </c>
      <c r="I7" s="122" t="str">
        <f>IF(COUNTIFS(charge!$B:$B,painel!$B7,charge!$D:$D,painel!I$2)&gt;0,"OK"," - ")</f>
        <v>OK</v>
      </c>
      <c r="J7" s="122" t="str">
        <f>IF(COUNTIFS(charge!$B:$B,painel!$B7,charge!$D:$D,painel!J$2)&gt;0,"OK"," - ")</f>
        <v xml:space="preserve"> - </v>
      </c>
      <c r="K7" s="122" t="str">
        <f>IF(COUNTIFS(charge!$B:$B,painel!$B7,charge!$D:$D,painel!K$2)&gt;0,"OK"," - ")</f>
        <v>OK</v>
      </c>
      <c r="L7" s="122" t="str">
        <f>IF(COUNTIFS(charge!$B:$B,painel!$B7,charge!$D:$D,painel!L$2)&gt;0,"OK"," - ")</f>
        <v xml:space="preserve"> - </v>
      </c>
      <c r="M7" s="122" t="str">
        <f>IF(COUNTIFS(charge!$B:$B,painel!$B7,charge!$D:$D,painel!M$2)&gt;0,"OK"," - ")</f>
        <v xml:space="preserve"> - </v>
      </c>
      <c r="N7" s="122" t="str">
        <f>IF(COUNTIFS(charge!$B:$B,painel!$B7,charge!$D:$D,painel!N$2)&gt;0,"OK"," - ")</f>
        <v>OK</v>
      </c>
      <c r="O7" s="122" t="str">
        <f>IF(COUNTIFS(charge!$B:$B,painel!$B7,charge!$D:$D,painel!O$2)&gt;0,"OK"," - ")</f>
        <v xml:space="preserve"> - </v>
      </c>
      <c r="Q7" s="122" t="str">
        <f>IF(COUNTIFS(charge!$B:$B,painel!$B7,charge!$D:$D,painel!Q$2)&gt;0,"OK"," - ")</f>
        <v xml:space="preserve"> - </v>
      </c>
      <c r="R7" s="122" t="str">
        <f>IF(COUNTIFS(charge!$B:$B,painel!$B7,charge!$D:$D,painel!R$2)&gt;0,"OK"," - ")</f>
        <v xml:space="preserve"> - </v>
      </c>
    </row>
    <row r="8" spans="2:18" x14ac:dyDescent="0.2">
      <c r="B8" s="122" t="s">
        <v>9</v>
      </c>
      <c r="C8" s="122" t="str">
        <f>VLOOKUP(B8,charge!$R$3:$S$21,2,FALSE)</f>
        <v>Unroasted</v>
      </c>
      <c r="D8" s="122">
        <f>VLOOKUP(B8,charge!$R$3:$U$21,3,FALSE)</f>
        <v>320</v>
      </c>
      <c r="E8" s="132">
        <f>SUMIFS(charge!G:G,charge!B:B,painel!B8)</f>
        <v>13612.656666666666</v>
      </c>
      <c r="F8" s="131">
        <f t="shared" si="0"/>
        <v>42.539552083333334</v>
      </c>
      <c r="H8" s="122" t="str">
        <f>IF(COUNTIFS(charge!$B:$B,painel!$B8,charge!$D:$D,painel!H$2)&gt;0,"OK"," - ")</f>
        <v>OK</v>
      </c>
      <c r="I8" s="122" t="str">
        <f>IF(COUNTIFS(charge!$B:$B,painel!$B8,charge!$D:$D,painel!I$2)&gt;0,"OK"," - ")</f>
        <v>OK</v>
      </c>
      <c r="J8" s="122" t="str">
        <f>IF(COUNTIFS(charge!$B:$B,painel!$B8,charge!$D:$D,painel!J$2)&gt;0,"OK"," - ")</f>
        <v>OK</v>
      </c>
      <c r="K8" s="122" t="str">
        <f>IF(COUNTIFS(charge!$B:$B,painel!$B8,charge!$D:$D,painel!K$2)&gt;0,"OK"," - ")</f>
        <v xml:space="preserve"> - </v>
      </c>
      <c r="L8" s="122" t="str">
        <f>IF(COUNTIFS(charge!$B:$B,painel!$B8,charge!$D:$D,painel!L$2)&gt;0,"OK"," - ")</f>
        <v>OK</v>
      </c>
      <c r="M8" s="122" t="str">
        <f>IF(COUNTIFS(charge!$B:$B,painel!$B8,charge!$D:$D,painel!M$2)&gt;0,"OK"," - ")</f>
        <v xml:space="preserve"> - </v>
      </c>
      <c r="N8" s="122" t="str">
        <f>IF(COUNTIFS(charge!$B:$B,painel!$B8,charge!$D:$D,painel!N$2)&gt;0,"OK"," - ")</f>
        <v>OK</v>
      </c>
      <c r="O8" s="122" t="str">
        <f>IF(COUNTIFS(charge!$B:$B,painel!$B8,charge!$D:$D,painel!O$2)&gt;0,"OK"," - ")</f>
        <v>OK</v>
      </c>
      <c r="Q8" s="122" t="str">
        <f>IF(COUNTIFS(charge!$B:$B,painel!$B8,charge!$D:$D,painel!Q$2)&gt;0,"OK"," - ")</f>
        <v xml:space="preserve"> - </v>
      </c>
      <c r="R8" s="122" t="str">
        <f>IF(COUNTIFS(charge!$B:$B,painel!$B8,charge!$D:$D,painel!R$2)&gt;0,"OK"," - ")</f>
        <v xml:space="preserve"> - </v>
      </c>
    </row>
    <row r="9" spans="2:18" x14ac:dyDescent="0.2">
      <c r="B9" s="122" t="s">
        <v>8</v>
      </c>
      <c r="C9" s="122" t="str">
        <f>VLOOKUP(B9,charge!$R$3:$S$21,2,FALSE)</f>
        <v>Unroasted</v>
      </c>
      <c r="D9" s="122">
        <f>VLOOKUP(B9,charge!$R$3:$U$21,3,FALSE)</f>
        <v>320</v>
      </c>
      <c r="E9" s="132">
        <f>SUMIFS(charge!G:G,charge!B:B,painel!B9)</f>
        <v>13612.656666666666</v>
      </c>
      <c r="F9" s="131">
        <f t="shared" si="0"/>
        <v>42.539552083333334</v>
      </c>
      <c r="H9" s="122" t="str">
        <f>IF(COUNTIFS(charge!$B:$B,painel!$B9,charge!$D:$D,painel!H$2)&gt;0,"OK"," - ")</f>
        <v>OK</v>
      </c>
      <c r="I9" s="122" t="str">
        <f>IF(COUNTIFS(charge!$B:$B,painel!$B9,charge!$D:$D,painel!I$2)&gt;0,"OK"," - ")</f>
        <v>OK</v>
      </c>
      <c r="J9" s="122" t="str">
        <f>IF(COUNTIFS(charge!$B:$B,painel!$B9,charge!$D:$D,painel!J$2)&gt;0,"OK"," - ")</f>
        <v>OK</v>
      </c>
      <c r="K9" s="122" t="str">
        <f>IF(COUNTIFS(charge!$B:$B,painel!$B9,charge!$D:$D,painel!K$2)&gt;0,"OK"," - ")</f>
        <v xml:space="preserve"> - </v>
      </c>
      <c r="L9" s="122" t="str">
        <f>IF(COUNTIFS(charge!$B:$B,painel!$B9,charge!$D:$D,painel!L$2)&gt;0,"OK"," - ")</f>
        <v>OK</v>
      </c>
      <c r="M9" s="122" t="str">
        <f>IF(COUNTIFS(charge!$B:$B,painel!$B9,charge!$D:$D,painel!M$2)&gt;0,"OK"," - ")</f>
        <v xml:space="preserve"> - </v>
      </c>
      <c r="N9" s="122" t="str">
        <f>IF(COUNTIFS(charge!$B:$B,painel!$B9,charge!$D:$D,painel!N$2)&gt;0,"OK"," - ")</f>
        <v>OK</v>
      </c>
      <c r="O9" s="122" t="str">
        <f>IF(COUNTIFS(charge!$B:$B,painel!$B9,charge!$D:$D,painel!O$2)&gt;0,"OK"," - ")</f>
        <v>OK</v>
      </c>
      <c r="Q9" s="122" t="str">
        <f>IF(COUNTIFS(charge!$B:$B,painel!$B9,charge!$D:$D,painel!Q$2)&gt;0,"OK"," - ")</f>
        <v xml:space="preserve"> - </v>
      </c>
      <c r="R9" s="122" t="str">
        <f>IF(COUNTIFS(charge!$B:$B,painel!$B9,charge!$D:$D,painel!R$2)&gt;0,"OK"," - ")</f>
        <v xml:space="preserve"> - </v>
      </c>
    </row>
    <row r="10" spans="2:18" x14ac:dyDescent="0.2">
      <c r="B10" s="122" t="s">
        <v>7</v>
      </c>
      <c r="C10" s="122" t="str">
        <f>VLOOKUP(B10,charge!$R$3:$S$21,2,FALSE)</f>
        <v>Unroasted</v>
      </c>
      <c r="D10" s="122">
        <f>VLOOKUP(B10,charge!$R$3:$U$21,3,FALSE)</f>
        <v>320</v>
      </c>
      <c r="E10" s="132">
        <f>SUMIFS(charge!G:G,charge!B:B,painel!B10)</f>
        <v>13612.656666666666</v>
      </c>
      <c r="F10" s="131">
        <f t="shared" si="0"/>
        <v>42.539552083333334</v>
      </c>
      <c r="H10" s="122" t="str">
        <f>IF(COUNTIFS(charge!$B:$B,painel!$B10,charge!$D:$D,painel!H$2)&gt;0,"OK"," - ")</f>
        <v>OK</v>
      </c>
      <c r="I10" s="122" t="str">
        <f>IF(COUNTIFS(charge!$B:$B,painel!$B10,charge!$D:$D,painel!I$2)&gt;0,"OK"," - ")</f>
        <v>OK</v>
      </c>
      <c r="J10" s="122" t="str">
        <f>IF(COUNTIFS(charge!$B:$B,painel!$B10,charge!$D:$D,painel!J$2)&gt;0,"OK"," - ")</f>
        <v>OK</v>
      </c>
      <c r="K10" s="122" t="str">
        <f>IF(COUNTIFS(charge!$B:$B,painel!$B10,charge!$D:$D,painel!K$2)&gt;0,"OK"," - ")</f>
        <v xml:space="preserve"> - </v>
      </c>
      <c r="L10" s="122" t="str">
        <f>IF(COUNTIFS(charge!$B:$B,painel!$B10,charge!$D:$D,painel!L$2)&gt;0,"OK"," - ")</f>
        <v>OK</v>
      </c>
      <c r="M10" s="122" t="str">
        <f>IF(COUNTIFS(charge!$B:$B,painel!$B10,charge!$D:$D,painel!M$2)&gt;0,"OK"," - ")</f>
        <v xml:space="preserve"> - </v>
      </c>
      <c r="N10" s="122" t="str">
        <f>IF(COUNTIFS(charge!$B:$B,painel!$B10,charge!$D:$D,painel!N$2)&gt;0,"OK"," - ")</f>
        <v>OK</v>
      </c>
      <c r="O10" s="122" t="str">
        <f>IF(COUNTIFS(charge!$B:$B,painel!$B10,charge!$D:$D,painel!O$2)&gt;0,"OK"," - ")</f>
        <v>OK</v>
      </c>
      <c r="Q10" s="122" t="str">
        <f>IF(COUNTIFS(charge!$B:$B,painel!$B10,charge!$D:$D,painel!Q$2)&gt;0,"OK"," - ")</f>
        <v xml:space="preserve"> - </v>
      </c>
      <c r="R10" s="122" t="str">
        <f>IF(COUNTIFS(charge!$B:$B,painel!$B10,charge!$D:$D,painel!R$2)&gt;0,"OK"," - ")</f>
        <v xml:space="preserve"> - </v>
      </c>
    </row>
    <row r="11" spans="2:18" x14ac:dyDescent="0.2">
      <c r="B11" s="122" t="s">
        <v>5</v>
      </c>
      <c r="C11" s="122" t="str">
        <f>VLOOKUP(B11,charge!$R$3:$S$21,2,FALSE)</f>
        <v>Unroasted</v>
      </c>
      <c r="D11" s="122">
        <f>VLOOKUP(B11,charge!$R$3:$U$21,3,FALSE)</f>
        <v>320</v>
      </c>
      <c r="E11" s="132">
        <f>SUMIFS(charge!G:G,charge!B:B,painel!B11)</f>
        <v>11638.84</v>
      </c>
      <c r="F11" s="131">
        <f t="shared" si="0"/>
        <v>36.371375</v>
      </c>
      <c r="H11" s="122" t="str">
        <f>IF(COUNTIFS(charge!$B:$B,painel!$B11,charge!$D:$D,painel!H$2)&gt;0,"OK"," - ")</f>
        <v>OK</v>
      </c>
      <c r="I11" s="122" t="str">
        <f>IF(COUNTIFS(charge!$B:$B,painel!$B11,charge!$D:$D,painel!I$2)&gt;0,"OK"," - ")</f>
        <v>OK</v>
      </c>
      <c r="J11" s="122" t="str">
        <f>IF(COUNTIFS(charge!$B:$B,painel!$B11,charge!$D:$D,painel!J$2)&gt;0,"OK"," - ")</f>
        <v xml:space="preserve"> - </v>
      </c>
      <c r="K11" s="122" t="str">
        <f>IF(COUNTIFS(charge!$B:$B,painel!$B11,charge!$D:$D,painel!K$2)&gt;0,"OK"," - ")</f>
        <v>OK</v>
      </c>
      <c r="L11" s="122" t="str">
        <f>IF(COUNTIFS(charge!$B:$B,painel!$B11,charge!$D:$D,painel!L$2)&gt;0,"OK"," - ")</f>
        <v xml:space="preserve"> - </v>
      </c>
      <c r="M11" s="122" t="str">
        <f>IF(COUNTIFS(charge!$B:$B,painel!$B11,charge!$D:$D,painel!M$2)&gt;0,"OK"," - ")</f>
        <v xml:space="preserve"> - </v>
      </c>
      <c r="N11" s="122" t="str">
        <f>IF(COUNTIFS(charge!$B:$B,painel!$B11,charge!$D:$D,painel!N$2)&gt;0,"OK"," - ")</f>
        <v>OK</v>
      </c>
      <c r="O11" s="122" t="str">
        <f>IF(COUNTIFS(charge!$B:$B,painel!$B11,charge!$D:$D,painel!O$2)&gt;0,"OK"," - ")</f>
        <v xml:space="preserve"> - </v>
      </c>
      <c r="Q11" s="122" t="str">
        <f>IF(COUNTIFS(charge!$B:$B,painel!$B11,charge!$D:$D,painel!Q$2)&gt;0,"OK"," - ")</f>
        <v xml:space="preserve"> - </v>
      </c>
      <c r="R11" s="122" t="str">
        <f>IF(COUNTIFS(charge!$B:$B,painel!$B11,charge!$D:$D,painel!R$2)&gt;0,"OK"," - ")</f>
        <v xml:space="preserve"> - </v>
      </c>
    </row>
    <row r="12" spans="2:18" x14ac:dyDescent="0.2">
      <c r="B12" s="122" t="s">
        <v>4</v>
      </c>
      <c r="C12" s="122" t="str">
        <f>VLOOKUP(B12,charge!$R$3:$S$21,2,FALSE)</f>
        <v>Unroasted</v>
      </c>
      <c r="D12" s="122">
        <f>VLOOKUP(B12,charge!$R$3:$U$21,3,FALSE)</f>
        <v>320</v>
      </c>
      <c r="E12" s="132">
        <f>SUMIFS(charge!G:G,charge!B:B,painel!B12)</f>
        <v>2140.42</v>
      </c>
      <c r="F12" s="131">
        <f t="shared" si="0"/>
        <v>6.6888125</v>
      </c>
      <c r="H12" s="122" t="str">
        <f>IF(COUNTIFS(charge!$B:$B,painel!$B12,charge!$D:$D,painel!H$2)&gt;0,"OK"," - ")</f>
        <v xml:space="preserve"> - </v>
      </c>
      <c r="I12" s="122" t="str">
        <f>IF(COUNTIFS(charge!$B:$B,painel!$B12,charge!$D:$D,painel!I$2)&gt;0,"OK"," - ")</f>
        <v>OK</v>
      </c>
      <c r="J12" s="122" t="str">
        <f>IF(COUNTIFS(charge!$B:$B,painel!$B12,charge!$D:$D,painel!J$2)&gt;0,"OK"," - ")</f>
        <v xml:space="preserve"> - </v>
      </c>
      <c r="K12" s="122" t="str">
        <f>IF(COUNTIFS(charge!$B:$B,painel!$B12,charge!$D:$D,painel!K$2)&gt;0,"OK"," - ")</f>
        <v>OK</v>
      </c>
      <c r="L12" s="122" t="str">
        <f>IF(COUNTIFS(charge!$B:$B,painel!$B12,charge!$D:$D,painel!L$2)&gt;0,"OK"," - ")</f>
        <v xml:space="preserve"> - </v>
      </c>
      <c r="M12" s="122" t="str">
        <f>IF(COUNTIFS(charge!$B:$B,painel!$B12,charge!$D:$D,painel!M$2)&gt;0,"OK"," - ")</f>
        <v xml:space="preserve"> - </v>
      </c>
      <c r="N12" s="122" t="str">
        <f>IF(COUNTIFS(charge!$B:$B,painel!$B12,charge!$D:$D,painel!N$2)&gt;0,"OK"," - ")</f>
        <v>OK</v>
      </c>
      <c r="O12" s="122" t="str">
        <f>IF(COUNTIFS(charge!$B:$B,painel!$B12,charge!$D:$D,painel!O$2)&gt;0,"OK"," - ")</f>
        <v xml:space="preserve"> - </v>
      </c>
      <c r="Q12" s="122" t="str">
        <f>IF(COUNTIFS(charge!$B:$B,painel!$B12,charge!$D:$D,painel!Q$2)&gt;0,"OK"," - ")</f>
        <v xml:space="preserve"> - </v>
      </c>
      <c r="R12" s="122" t="str">
        <f>IF(COUNTIFS(charge!$B:$B,painel!$B12,charge!$D:$D,painel!R$2)&gt;0,"OK"," - ")</f>
        <v xml:space="preserve"> - </v>
      </c>
    </row>
    <row r="13" spans="2:18" x14ac:dyDescent="0.2">
      <c r="B13" s="122" t="s">
        <v>6</v>
      </c>
      <c r="C13" s="122" t="str">
        <f>VLOOKUP(B13,charge!$R$3:$S$21,2,FALSE)</f>
        <v>Unroasted</v>
      </c>
      <c r="D13" s="122">
        <f>VLOOKUP(B13,charge!$R$3:$U$21,3,FALSE)</f>
        <v>320</v>
      </c>
      <c r="E13" s="132">
        <f>SUMIFS(charge!G:G,charge!B:B,painel!B13)</f>
        <v>3364.58</v>
      </c>
      <c r="F13" s="131">
        <f t="shared" si="0"/>
        <v>10.514312499999999</v>
      </c>
      <c r="H13" s="122" t="str">
        <f>IF(COUNTIFS(charge!$B:$B,painel!$B13,charge!$D:$D,painel!H$2)&gt;0,"OK"," - ")</f>
        <v xml:space="preserve"> - </v>
      </c>
      <c r="I13" s="122" t="str">
        <f>IF(COUNTIFS(charge!$B:$B,painel!$B13,charge!$D:$D,painel!I$2)&gt;0,"OK"," - ")</f>
        <v>OK</v>
      </c>
      <c r="J13" s="122" t="str">
        <f>IF(COUNTIFS(charge!$B:$B,painel!$B13,charge!$D:$D,painel!J$2)&gt;0,"OK"," - ")</f>
        <v xml:space="preserve"> - </v>
      </c>
      <c r="K13" s="122" t="str">
        <f>IF(COUNTIFS(charge!$B:$B,painel!$B13,charge!$D:$D,painel!K$2)&gt;0,"OK"," - ")</f>
        <v xml:space="preserve"> - </v>
      </c>
      <c r="L13" s="122" t="str">
        <f>IF(COUNTIFS(charge!$B:$B,painel!$B13,charge!$D:$D,painel!L$2)&gt;0,"OK"," - ")</f>
        <v xml:space="preserve"> - </v>
      </c>
      <c r="M13" s="122" t="str">
        <f>IF(COUNTIFS(charge!$B:$B,painel!$B13,charge!$D:$D,painel!M$2)&gt;0,"OK"," - ")</f>
        <v xml:space="preserve"> - </v>
      </c>
      <c r="N13" s="122" t="str">
        <f>IF(COUNTIFS(charge!$B:$B,painel!$B13,charge!$D:$D,painel!N$2)&gt;0,"OK"," - ")</f>
        <v xml:space="preserve"> - </v>
      </c>
      <c r="O13" s="122" t="str">
        <f>IF(COUNTIFS(charge!$B:$B,painel!$B13,charge!$D:$D,painel!O$2)&gt;0,"OK"," - ")</f>
        <v xml:space="preserve"> - </v>
      </c>
      <c r="Q13" s="122" t="str">
        <f>IF(COUNTIFS(charge!$B:$B,painel!$B13,charge!$D:$D,painel!Q$2)&gt;0,"OK"," - ")</f>
        <v xml:space="preserve"> - </v>
      </c>
      <c r="R13" s="122" t="str">
        <f>IF(COUNTIFS(charge!$B:$B,painel!$B13,charge!$D:$D,painel!R$2)&gt;0,"OK"," - ")</f>
        <v xml:space="preserve"> - </v>
      </c>
    </row>
    <row r="14" spans="2:18" x14ac:dyDescent="0.2">
      <c r="B14" s="122" t="s">
        <v>3</v>
      </c>
      <c r="C14" s="122" t="str">
        <f>VLOOKUP(B14,charge!$R$3:$S$21,2,FALSE)</f>
        <v>Unroasted</v>
      </c>
      <c r="D14" s="122">
        <f>VLOOKUP(B14,charge!$R$3:$U$21,3,FALSE)</f>
        <v>320</v>
      </c>
      <c r="E14" s="132">
        <f>SUMIFS(charge!G:G,charge!B:B,painel!B14)</f>
        <v>3364.58</v>
      </c>
      <c r="F14" s="131">
        <f t="shared" si="0"/>
        <v>10.514312499999999</v>
      </c>
      <c r="H14" s="122" t="str">
        <f>IF(COUNTIFS(charge!$B:$B,painel!$B14,charge!$D:$D,painel!H$2)&gt;0,"OK"," - ")</f>
        <v xml:space="preserve"> - </v>
      </c>
      <c r="I14" s="122" t="str">
        <f>IF(COUNTIFS(charge!$B:$B,painel!$B14,charge!$D:$D,painel!I$2)&gt;0,"OK"," - ")</f>
        <v>OK</v>
      </c>
      <c r="J14" s="122" t="str">
        <f>IF(COUNTIFS(charge!$B:$B,painel!$B14,charge!$D:$D,painel!J$2)&gt;0,"OK"," - ")</f>
        <v xml:space="preserve"> - </v>
      </c>
      <c r="K14" s="122" t="str">
        <f>IF(COUNTIFS(charge!$B:$B,painel!$B14,charge!$D:$D,painel!K$2)&gt;0,"OK"," - ")</f>
        <v xml:space="preserve"> - </v>
      </c>
      <c r="L14" s="122" t="str">
        <f>IF(COUNTIFS(charge!$B:$B,painel!$B14,charge!$D:$D,painel!L$2)&gt;0,"OK"," - ")</f>
        <v xml:space="preserve"> - </v>
      </c>
      <c r="M14" s="122" t="str">
        <f>IF(COUNTIFS(charge!$B:$B,painel!$B14,charge!$D:$D,painel!M$2)&gt;0,"OK"," - ")</f>
        <v xml:space="preserve"> - </v>
      </c>
      <c r="N14" s="122" t="str">
        <f>IF(COUNTIFS(charge!$B:$B,painel!$B14,charge!$D:$D,painel!N$2)&gt;0,"OK"," - ")</f>
        <v xml:space="preserve"> - </v>
      </c>
      <c r="O14" s="122" t="str">
        <f>IF(COUNTIFS(charge!$B:$B,painel!$B14,charge!$D:$D,painel!O$2)&gt;0,"OK"," - ")</f>
        <v xml:space="preserve"> - </v>
      </c>
      <c r="Q14" s="122" t="str">
        <f>IF(COUNTIFS(charge!$B:$B,painel!$B14,charge!$D:$D,painel!Q$2)&gt;0,"OK"," - ")</f>
        <v xml:space="preserve"> - </v>
      </c>
      <c r="R14" s="122" t="str">
        <f>IF(COUNTIFS(charge!$B:$B,painel!$B14,charge!$D:$D,painel!R$2)&gt;0,"OK"," - ")</f>
        <v xml:space="preserve"> - </v>
      </c>
    </row>
    <row r="15" spans="2:18" x14ac:dyDescent="0.2">
      <c r="B15" s="122" t="s">
        <v>2</v>
      </c>
      <c r="C15" s="122" t="str">
        <f>VLOOKUP(B15,charge!$R$3:$S$21,2,FALSE)</f>
        <v>Unroasted</v>
      </c>
      <c r="D15" s="122">
        <f>VLOOKUP(B15,charge!$R$3:$U$21,3,FALSE)</f>
        <v>320</v>
      </c>
      <c r="E15" s="132">
        <f>SUMIFS(charge!G:G,charge!B:B,painel!B15)</f>
        <v>0</v>
      </c>
      <c r="F15" s="131">
        <f t="shared" si="0"/>
        <v>0</v>
      </c>
      <c r="H15" s="122" t="str">
        <f>IF(COUNTIFS(charge!$B:$B,painel!$B15,charge!$D:$D,painel!H$2)&gt;0,"OK"," - ")</f>
        <v xml:space="preserve"> - </v>
      </c>
      <c r="I15" s="122" t="str">
        <f>IF(COUNTIFS(charge!$B:$B,painel!$B15,charge!$D:$D,painel!I$2)&gt;0,"OK"," - ")</f>
        <v xml:space="preserve"> - </v>
      </c>
      <c r="J15" s="122" t="str">
        <f>IF(COUNTIFS(charge!$B:$B,painel!$B15,charge!$D:$D,painel!J$2)&gt;0,"OK"," - ")</f>
        <v xml:space="preserve"> - </v>
      </c>
      <c r="K15" s="122" t="str">
        <f>IF(COUNTIFS(charge!$B:$B,painel!$B15,charge!$D:$D,painel!K$2)&gt;0,"OK"," - ")</f>
        <v xml:space="preserve"> - </v>
      </c>
      <c r="L15" s="122" t="str">
        <f>IF(COUNTIFS(charge!$B:$B,painel!$B15,charge!$D:$D,painel!L$2)&gt;0,"OK"," - ")</f>
        <v xml:space="preserve"> - </v>
      </c>
      <c r="M15" s="122" t="str">
        <f>IF(COUNTIFS(charge!$B:$B,painel!$B15,charge!$D:$D,painel!M$2)&gt;0,"OK"," - ")</f>
        <v xml:space="preserve"> - </v>
      </c>
      <c r="N15" s="122" t="str">
        <f>IF(COUNTIFS(charge!$B:$B,painel!$B15,charge!$D:$D,painel!N$2)&gt;0,"OK"," - ")</f>
        <v xml:space="preserve"> - </v>
      </c>
      <c r="O15" s="122" t="str">
        <f>IF(COUNTIFS(charge!$B:$B,painel!$B15,charge!$D:$D,painel!O$2)&gt;0,"OK"," - ")</f>
        <v xml:space="preserve"> - </v>
      </c>
      <c r="Q15" s="122" t="str">
        <f>IF(COUNTIFS(charge!$B:$B,painel!$B15,charge!$D:$D,painel!Q$2)&gt;0,"OK"," - ")</f>
        <v xml:space="preserve"> - </v>
      </c>
      <c r="R15" s="122" t="str">
        <f>IF(COUNTIFS(charge!$B:$B,painel!$B15,charge!$D:$D,painel!R$2)&gt;0,"OK"," - ")</f>
        <v xml:space="preserve"> - </v>
      </c>
    </row>
    <row r="16" spans="2:18" x14ac:dyDescent="0.2">
      <c r="B16" s="122" t="s">
        <v>0</v>
      </c>
      <c r="C16" s="122" t="str">
        <f>VLOOKUP(B16,charge!$R$3:$S$21,2,FALSE)</f>
        <v>Unroasted</v>
      </c>
      <c r="D16" s="122">
        <f>VLOOKUP(B16,charge!$R$3:$U$21,3,FALSE)</f>
        <v>320</v>
      </c>
      <c r="E16" s="132">
        <f>SUMIFS(charge!G:G,charge!B:B,painel!B16)</f>
        <v>0</v>
      </c>
      <c r="F16" s="131">
        <f t="shared" si="0"/>
        <v>0</v>
      </c>
      <c r="H16" s="122" t="str">
        <f>IF(COUNTIFS(charge!$B:$B,painel!$B16,charge!$D:$D,painel!H$2)&gt;0,"OK"," - ")</f>
        <v xml:space="preserve"> - </v>
      </c>
      <c r="I16" s="122" t="str">
        <f>IF(COUNTIFS(charge!$B:$B,painel!$B16,charge!$D:$D,painel!I$2)&gt;0,"OK"," - ")</f>
        <v xml:space="preserve"> - </v>
      </c>
      <c r="J16" s="122" t="str">
        <f>IF(COUNTIFS(charge!$B:$B,painel!$B16,charge!$D:$D,painel!J$2)&gt;0,"OK"," - ")</f>
        <v xml:space="preserve"> - </v>
      </c>
      <c r="K16" s="122" t="str">
        <f>IF(COUNTIFS(charge!$B:$B,painel!$B16,charge!$D:$D,painel!K$2)&gt;0,"OK"," - ")</f>
        <v xml:space="preserve"> - </v>
      </c>
      <c r="L16" s="122" t="str">
        <f>IF(COUNTIFS(charge!$B:$B,painel!$B16,charge!$D:$D,painel!L$2)&gt;0,"OK"," - ")</f>
        <v xml:space="preserve"> - </v>
      </c>
      <c r="M16" s="122" t="str">
        <f>IF(COUNTIFS(charge!$B:$B,painel!$B16,charge!$D:$D,painel!M$2)&gt;0,"OK"," - ")</f>
        <v xml:space="preserve"> - </v>
      </c>
      <c r="N16" s="122" t="str">
        <f>IF(COUNTIFS(charge!$B:$B,painel!$B16,charge!$D:$D,painel!N$2)&gt;0,"OK"," - ")</f>
        <v xml:space="preserve"> - </v>
      </c>
      <c r="O16" s="122" t="str">
        <f>IF(COUNTIFS(charge!$B:$B,painel!$B16,charge!$D:$D,painel!O$2)&gt;0,"OK"," - ")</f>
        <v xml:space="preserve"> - </v>
      </c>
      <c r="Q16" s="122" t="str">
        <f>IF(COUNTIFS(charge!$B:$B,painel!$B16,charge!$D:$D,painel!Q$2)&gt;0,"OK"," - ")</f>
        <v xml:space="preserve"> - </v>
      </c>
      <c r="R16" s="122" t="str">
        <f>IF(COUNTIFS(charge!$B:$B,painel!$B16,charge!$D:$D,painel!R$2)&gt;0,"OK"," - ")</f>
        <v xml:space="preserve"> - </v>
      </c>
    </row>
    <row r="17" spans="2:18" x14ac:dyDescent="0.2">
      <c r="B17" s="122" t="s">
        <v>24</v>
      </c>
      <c r="C17" s="122" t="str">
        <f>VLOOKUP(B17,charge!$R$3:$S$21,2,FALSE)</f>
        <v>Southland</v>
      </c>
      <c r="D17" s="122">
        <f>VLOOKUP(B17,charge!$R$3:$U$21,3,FALSE)</f>
        <v>320</v>
      </c>
      <c r="E17" s="132">
        <f>SUMIFS(charge!G:G,charge!B:B,painel!B17)</f>
        <v>13052.810000000001</v>
      </c>
      <c r="F17" s="131">
        <f t="shared" si="0"/>
        <v>40.790031250000006</v>
      </c>
      <c r="H17" s="122" t="str">
        <f>IF(COUNTIFS(charge!$B:$B,painel!$B17,charge!$D:$D,painel!H$2)&gt;0,"OK"," - ")</f>
        <v>OK</v>
      </c>
      <c r="I17" s="122" t="str">
        <f>IF(COUNTIFS(charge!$B:$B,painel!$B17,charge!$D:$D,painel!I$2)&gt;0,"OK"," - ")</f>
        <v>OK</v>
      </c>
      <c r="J17" s="122" t="str">
        <f>IF(COUNTIFS(charge!$B:$B,painel!$B17,charge!$D:$D,painel!J$2)&gt;0,"OK"," - ")</f>
        <v xml:space="preserve"> - </v>
      </c>
      <c r="K17" s="122" t="str">
        <f>IF(COUNTIFS(charge!$B:$B,painel!$B17,charge!$D:$D,painel!K$2)&gt;0,"OK"," - ")</f>
        <v xml:space="preserve"> - </v>
      </c>
      <c r="L17" s="122" t="str">
        <f>IF(COUNTIFS(charge!$B:$B,painel!$B17,charge!$D:$D,painel!L$2)&gt;0,"OK"," - ")</f>
        <v xml:space="preserve"> - </v>
      </c>
      <c r="M17" s="122" t="str">
        <f>IF(COUNTIFS(charge!$B:$B,painel!$B17,charge!$D:$D,painel!M$2)&gt;0,"OK"," - ")</f>
        <v xml:space="preserve"> - </v>
      </c>
      <c r="N17" s="122" t="str">
        <f>IF(COUNTIFS(charge!$B:$B,painel!$B17,charge!$D:$D,painel!N$2)&gt;0,"OK"," - ")</f>
        <v xml:space="preserve"> - </v>
      </c>
      <c r="O17" s="122" t="str">
        <f>IF(COUNTIFS(charge!$B:$B,painel!$B17,charge!$D:$D,painel!O$2)&gt;0,"OK"," - ")</f>
        <v xml:space="preserve"> - </v>
      </c>
      <c r="Q17" s="122" t="str">
        <f>IF(COUNTIFS(charge!$B:$B,painel!$B17,charge!$D:$D,painel!Q$2)&gt;0,"OK"," - ")</f>
        <v xml:space="preserve"> - </v>
      </c>
      <c r="R17" s="122" t="str">
        <f>IF(COUNTIFS(charge!$B:$B,painel!$B17,charge!$D:$D,painel!R$2)&gt;0,"OK"," - ")</f>
        <v xml:space="preserve"> - </v>
      </c>
    </row>
    <row r="18" spans="2:18" x14ac:dyDescent="0.2">
      <c r="B18" s="122" t="s">
        <v>25</v>
      </c>
      <c r="C18" s="122" t="str">
        <f>VLOOKUP(B18,charge!$R$3:$S$21,2,FALSE)</f>
        <v>Southland</v>
      </c>
      <c r="D18" s="122">
        <f>VLOOKUP(B18,charge!$R$3:$U$21,3,FALSE)</f>
        <v>320</v>
      </c>
      <c r="E18" s="132">
        <f>SUMIFS(charge!G:G,charge!B:B,painel!B18)</f>
        <v>13888.810000000001</v>
      </c>
      <c r="F18" s="131">
        <f t="shared" si="0"/>
        <v>43.402531250000003</v>
      </c>
      <c r="H18" s="122" t="str">
        <f>IF(COUNTIFS(charge!$B:$B,painel!$B18,charge!$D:$D,painel!H$2)&gt;0,"OK"," - ")</f>
        <v>OK</v>
      </c>
      <c r="I18" s="122" t="str">
        <f>IF(COUNTIFS(charge!$B:$B,painel!$B18,charge!$D:$D,painel!I$2)&gt;0,"OK"," - ")</f>
        <v>OK</v>
      </c>
      <c r="J18" s="122" t="str">
        <f>IF(COUNTIFS(charge!$B:$B,painel!$B18,charge!$D:$D,painel!J$2)&gt;0,"OK"," - ")</f>
        <v>OK</v>
      </c>
      <c r="K18" s="122" t="str">
        <f>IF(COUNTIFS(charge!$B:$B,painel!$B18,charge!$D:$D,painel!K$2)&gt;0,"OK"," - ")</f>
        <v xml:space="preserve"> - </v>
      </c>
      <c r="L18" s="122" t="str">
        <f>IF(COUNTIFS(charge!$B:$B,painel!$B18,charge!$D:$D,painel!L$2)&gt;0,"OK"," - ")</f>
        <v>OK</v>
      </c>
      <c r="M18" s="122" t="str">
        <f>IF(COUNTIFS(charge!$B:$B,painel!$B18,charge!$D:$D,painel!M$2)&gt;0,"OK"," - ")</f>
        <v xml:space="preserve"> - </v>
      </c>
      <c r="N18" s="122" t="str">
        <f>IF(COUNTIFS(charge!$B:$B,painel!$B18,charge!$D:$D,painel!N$2)&gt;0,"OK"," - ")</f>
        <v>OK</v>
      </c>
      <c r="O18" s="122" t="str">
        <f>IF(COUNTIFS(charge!$B:$B,painel!$B18,charge!$D:$D,painel!O$2)&gt;0,"OK"," - ")</f>
        <v>OK</v>
      </c>
      <c r="Q18" s="122" t="str">
        <f>IF(COUNTIFS(charge!$B:$B,painel!$B18,charge!$D:$D,painel!Q$2)&gt;0,"OK"," - ")</f>
        <v xml:space="preserve"> - </v>
      </c>
      <c r="R18" s="122" t="str">
        <f>IF(COUNTIFS(charge!$B:$B,painel!$B18,charge!$D:$D,painel!R$2)&gt;0,"OK"," - ")</f>
        <v xml:space="preserve"> - </v>
      </c>
    </row>
    <row r="19" spans="2:18" x14ac:dyDescent="0.2">
      <c r="B19" s="122" t="s">
        <v>27</v>
      </c>
      <c r="C19" s="122" t="str">
        <f>VLOOKUP(B19,charge!$R$3:$S$21,2,FALSE)</f>
        <v>Xorxios</v>
      </c>
      <c r="D19" s="122">
        <f>VLOOKUP(B19,charge!$R$3:$U$21,3,FALSE)</f>
        <v>320</v>
      </c>
      <c r="E19" s="132">
        <f>SUMIFS(charge!G:G,charge!B:B,painel!B19)</f>
        <v>22264.54</v>
      </c>
      <c r="F19" s="131">
        <f t="shared" si="0"/>
        <v>69.576687500000006</v>
      </c>
      <c r="H19" s="122" t="str">
        <f>IF(COUNTIFS(charge!$B:$B,painel!$B19,charge!$D:$D,painel!H$2)&gt;0,"OK"," - ")</f>
        <v>OK</v>
      </c>
      <c r="I19" s="122" t="str">
        <f>IF(COUNTIFS(charge!$B:$B,painel!$B19,charge!$D:$D,painel!I$2)&gt;0,"OK"," - ")</f>
        <v>OK</v>
      </c>
      <c r="J19" s="122" t="str">
        <f>IF(COUNTIFS(charge!$B:$B,painel!$B19,charge!$D:$D,painel!J$2)&gt;0,"OK"," - ")</f>
        <v xml:space="preserve"> - </v>
      </c>
      <c r="K19" s="122" t="str">
        <f>IF(COUNTIFS(charge!$B:$B,painel!$B19,charge!$D:$D,painel!K$2)&gt;0,"OK"," - ")</f>
        <v xml:space="preserve"> - </v>
      </c>
      <c r="L19" s="122" t="str">
        <f>IF(COUNTIFS(charge!$B:$B,painel!$B19,charge!$D:$D,painel!L$2)&gt;0,"OK"," - ")</f>
        <v>OK</v>
      </c>
      <c r="M19" s="122" t="str">
        <f>IF(COUNTIFS(charge!$B:$B,painel!$B19,charge!$D:$D,painel!M$2)&gt;0,"OK"," - ")</f>
        <v xml:space="preserve"> - </v>
      </c>
      <c r="N19" s="122" t="str">
        <f>IF(COUNTIFS(charge!$B:$B,painel!$B19,charge!$D:$D,painel!N$2)&gt;0,"OK"," - ")</f>
        <v>OK</v>
      </c>
      <c r="O19" s="122" t="str">
        <f>IF(COUNTIFS(charge!$B:$B,painel!$B19,charge!$D:$D,painel!O$2)&gt;0,"OK"," - ")</f>
        <v xml:space="preserve"> - </v>
      </c>
      <c r="Q19" s="122" t="str">
        <f>IF(COUNTIFS(charge!$B:$B,painel!$B19,charge!$D:$D,painel!Q$2)&gt;0,"OK"," - ")</f>
        <v xml:space="preserve"> - </v>
      </c>
      <c r="R19" s="122" t="str">
        <f>IF(COUNTIFS(charge!$B:$B,painel!$B19,charge!$D:$D,painel!R$2)&gt;0,"OK"," - ")</f>
        <v xml:space="preserve"> - </v>
      </c>
    </row>
    <row r="20" spans="2:18" x14ac:dyDescent="0.2">
      <c r="B20" s="122" t="s">
        <v>90</v>
      </c>
      <c r="C20" s="122" t="str">
        <f>VLOOKUP(B20,charge!$R$3:$S$21,2,FALSE)</f>
        <v>Emporia GMBH</v>
      </c>
      <c r="D20" s="122">
        <f>VLOOKUP(B20,charge!$R$3:$U$21,3,FALSE)</f>
        <v>320</v>
      </c>
      <c r="E20" s="132">
        <f>SUMIFS(charge!G:G,charge!B:B,painel!B20)</f>
        <v>0</v>
      </c>
      <c r="F20" s="131">
        <f t="shared" si="0"/>
        <v>0</v>
      </c>
      <c r="H20" s="122" t="str">
        <f>IF(COUNTIFS(charge!$B:$B,painel!$B20,charge!$D:$D,painel!H$2)&gt;0,"OK"," - ")</f>
        <v xml:space="preserve"> - </v>
      </c>
      <c r="I20" s="122" t="str">
        <f>IF(COUNTIFS(charge!$B:$B,painel!$B20,charge!$D:$D,painel!I$2)&gt;0,"OK"," - ")</f>
        <v xml:space="preserve"> - </v>
      </c>
      <c r="J20" s="122" t="str">
        <f>IF(COUNTIFS(charge!$B:$B,painel!$B20,charge!$D:$D,painel!J$2)&gt;0,"OK"," - ")</f>
        <v xml:space="preserve"> - </v>
      </c>
      <c r="K20" s="122" t="str">
        <f>IF(COUNTIFS(charge!$B:$B,painel!$B20,charge!$D:$D,painel!K$2)&gt;0,"OK"," - ")</f>
        <v xml:space="preserve"> - </v>
      </c>
      <c r="L20" s="122" t="str">
        <f>IF(COUNTIFS(charge!$B:$B,painel!$B20,charge!$D:$D,painel!L$2)&gt;0,"OK"," - ")</f>
        <v xml:space="preserve"> - </v>
      </c>
      <c r="M20" s="122" t="str">
        <f>IF(COUNTIFS(charge!$B:$B,painel!$B20,charge!$D:$D,painel!M$2)&gt;0,"OK"," - ")</f>
        <v xml:space="preserve"> - </v>
      </c>
      <c r="N20" s="122" t="str">
        <f>IF(COUNTIFS(charge!$B:$B,painel!$B20,charge!$D:$D,painel!N$2)&gt;0,"OK"," - ")</f>
        <v xml:space="preserve"> - </v>
      </c>
      <c r="O20" s="122" t="str">
        <f>IF(COUNTIFS(charge!$B:$B,painel!$B20,charge!$D:$D,painel!O$2)&gt;0,"OK"," - ")</f>
        <v xml:space="preserve"> - </v>
      </c>
      <c r="Q20" s="122" t="str">
        <f>IF(COUNTIFS(charge!$B:$B,painel!$B20,charge!$D:$D,painel!Q$2)&gt;0,"OK"," - ")</f>
        <v xml:space="preserve"> - </v>
      </c>
      <c r="R20" s="122" t="str">
        <f>IF(COUNTIFS(charge!$B:$B,painel!$B20,charge!$D:$D,painel!R$2)&gt;0,"OK"," - ")</f>
        <v xml:space="preserve"> - </v>
      </c>
    </row>
    <row r="21" spans="2:18" x14ac:dyDescent="0.2">
      <c r="B21" s="122" t="s">
        <v>142</v>
      </c>
      <c r="C21" s="122" t="str">
        <f>VLOOKUP(B21,charge!$R$3:$S$21,2,FALSE)</f>
        <v>Emporia GMBH</v>
      </c>
      <c r="D21" s="122">
        <f>VLOOKUP(B21,charge!$R$3:$U$21,3,FALSE)</f>
        <v>320</v>
      </c>
      <c r="E21" s="132">
        <f>SUMIFS(charge!G:G,charge!B:B,painel!B21)</f>
        <v>0</v>
      </c>
      <c r="F21" s="131">
        <f t="shared" si="0"/>
        <v>0</v>
      </c>
      <c r="H21" s="122" t="str">
        <f>IF(COUNTIFS(charge!$B:$B,painel!$B21,charge!$D:$D,painel!H$2)&gt;0,"OK"," - ")</f>
        <v xml:space="preserve"> - </v>
      </c>
      <c r="I21" s="122" t="str">
        <f>IF(COUNTIFS(charge!$B:$B,painel!$B21,charge!$D:$D,painel!I$2)&gt;0,"OK"," - ")</f>
        <v xml:space="preserve"> - </v>
      </c>
      <c r="J21" s="122" t="str">
        <f>IF(COUNTIFS(charge!$B:$B,painel!$B21,charge!$D:$D,painel!J$2)&gt;0,"OK"," - ")</f>
        <v xml:space="preserve"> - </v>
      </c>
      <c r="K21" s="122" t="str">
        <f>IF(COUNTIFS(charge!$B:$B,painel!$B21,charge!$D:$D,painel!K$2)&gt;0,"OK"," - ")</f>
        <v xml:space="preserve"> - </v>
      </c>
      <c r="L21" s="122" t="str">
        <f>IF(COUNTIFS(charge!$B:$B,painel!$B21,charge!$D:$D,painel!L$2)&gt;0,"OK"," - ")</f>
        <v xml:space="preserve"> - </v>
      </c>
      <c r="M21" s="122" t="str">
        <f>IF(COUNTIFS(charge!$B:$B,painel!$B21,charge!$D:$D,painel!M$2)&gt;0,"OK"," - ")</f>
        <v xml:space="preserve"> - </v>
      </c>
      <c r="N21" s="122" t="str">
        <f>IF(COUNTIFS(charge!$B:$B,painel!$B21,charge!$D:$D,painel!N$2)&gt;0,"OK"," - ")</f>
        <v xml:space="preserve"> - </v>
      </c>
      <c r="O21" s="122" t="str">
        <f>IF(COUNTIFS(charge!$B:$B,painel!$B21,charge!$D:$D,painel!O$2)&gt;0,"OK"," - ")</f>
        <v xml:space="preserve"> - </v>
      </c>
      <c r="Q21" s="122" t="str">
        <f>IF(COUNTIFS(charge!$B:$B,painel!$B21,charge!$D:$D,painel!Q$2)&gt;0,"OK"," - ")</f>
        <v xml:space="preserve"> - </v>
      </c>
      <c r="R21" s="122" t="str">
        <f>IF(COUNTIFS(charge!$B:$B,painel!$B21,charge!$D:$D,painel!R$2)&gt;0,"OK"," - ")</f>
        <v xml:space="preserve"> - </v>
      </c>
    </row>
    <row r="22" spans="2:18" x14ac:dyDescent="0.2">
      <c r="B22" s="122" t="s">
        <v>143</v>
      </c>
      <c r="C22" s="122" t="str">
        <f>VLOOKUP(B22,charge!$R$3:$S$21,2,FALSE)</f>
        <v>Emporia GMBH</v>
      </c>
      <c r="D22" s="122">
        <f>VLOOKUP(B22,charge!$R$3:$U$21,3,FALSE)</f>
        <v>223</v>
      </c>
      <c r="E22" s="132">
        <f>SUMIFS(charge!G:G,charge!B:B,painel!B22)</f>
        <v>0</v>
      </c>
      <c r="F22" s="131">
        <f t="shared" si="0"/>
        <v>0</v>
      </c>
      <c r="H22" s="122" t="str">
        <f>IF(COUNTIFS(charge!$B:$B,painel!$B22,charge!$D:$D,painel!H$2)&gt;0,"OK"," - ")</f>
        <v xml:space="preserve"> - </v>
      </c>
      <c r="I22" s="122" t="str">
        <f>IF(COUNTIFS(charge!$B:$B,painel!$B22,charge!$D:$D,painel!I$2)&gt;0,"OK"," - ")</f>
        <v xml:space="preserve"> - </v>
      </c>
      <c r="J22" s="122" t="str">
        <f>IF(COUNTIFS(charge!$B:$B,painel!$B22,charge!$D:$D,painel!J$2)&gt;0,"OK"," - ")</f>
        <v xml:space="preserve"> - </v>
      </c>
      <c r="K22" s="122" t="str">
        <f>IF(COUNTIFS(charge!$B:$B,painel!$B22,charge!$D:$D,painel!K$2)&gt;0,"OK"," - ")</f>
        <v xml:space="preserve"> - </v>
      </c>
      <c r="L22" s="122" t="str">
        <f>IF(COUNTIFS(charge!$B:$B,painel!$B22,charge!$D:$D,painel!L$2)&gt;0,"OK"," - ")</f>
        <v xml:space="preserve"> - </v>
      </c>
      <c r="M22" s="122" t="str">
        <f>IF(COUNTIFS(charge!$B:$B,painel!$B22,charge!$D:$D,painel!M$2)&gt;0,"OK"," - ")</f>
        <v xml:space="preserve"> - </v>
      </c>
      <c r="N22" s="122" t="str">
        <f>IF(COUNTIFS(charge!$B:$B,painel!$B22,charge!$D:$D,painel!N$2)&gt;0,"OK"," - ")</f>
        <v xml:space="preserve"> - </v>
      </c>
      <c r="O22" s="122" t="str">
        <f>IF(COUNTIFS(charge!$B:$B,painel!$B22,charge!$D:$D,painel!O$2)&gt;0,"OK"," - ")</f>
        <v xml:space="preserve"> - </v>
      </c>
      <c r="Q22" s="122" t="str">
        <f>IF(COUNTIFS(charge!$B:$B,painel!$B22,charge!$D:$D,painel!Q$2)&gt;0,"OK"," - ")</f>
        <v xml:space="preserve"> - </v>
      </c>
      <c r="R22" s="122" t="str">
        <f>IF(COUNTIFS(charge!$B:$B,painel!$B22,charge!$D:$D,painel!R$2)&gt;0,"OK"," - ")</f>
        <v xml:space="preserve"> - </v>
      </c>
    </row>
    <row r="23" spans="2:18" x14ac:dyDescent="0.2">
      <c r="E23" s="131"/>
      <c r="F23" s="13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3C004-C3D8-3E41-95C2-542A5BB65277}">
  <dimension ref="B2:P29"/>
  <sheetViews>
    <sheetView workbookViewId="0">
      <selection activeCell="L24" sqref="L24"/>
    </sheetView>
  </sheetViews>
  <sheetFormatPr baseColWidth="10" defaultRowHeight="16" x14ac:dyDescent="0.2"/>
  <cols>
    <col min="1" max="1" width="10.83203125" style="51"/>
    <col min="2" max="2" width="16" style="51" customWidth="1"/>
    <col min="3" max="13" width="14" style="51" customWidth="1"/>
    <col min="14" max="14" width="25.5" style="51" customWidth="1"/>
    <col min="15" max="16384" width="10.83203125" style="51"/>
  </cols>
  <sheetData>
    <row r="2" spans="2:16" x14ac:dyDescent="0.2">
      <c r="B2" s="254" t="s">
        <v>367</v>
      </c>
      <c r="C2" s="254">
        <v>10</v>
      </c>
      <c r="D2" s="255"/>
      <c r="E2" s="255"/>
      <c r="F2" s="255"/>
      <c r="G2" s="255"/>
      <c r="H2" s="255"/>
      <c r="I2" s="255"/>
      <c r="J2" s="255"/>
      <c r="K2" s="255"/>
      <c r="L2" s="255"/>
      <c r="M2" s="9"/>
    </row>
    <row r="3" spans="2:16" s="253" customFormat="1" ht="20" customHeight="1" x14ac:dyDescent="0.2">
      <c r="B3" s="256">
        <v>0.1</v>
      </c>
      <c r="C3" s="256" t="s">
        <v>368</v>
      </c>
      <c r="D3" s="256">
        <f>E3-$C$2</f>
        <v>340</v>
      </c>
      <c r="E3" s="256">
        <f>F3-$C$2</f>
        <v>350</v>
      </c>
      <c r="F3" s="256">
        <f>G3-$C$2</f>
        <v>360</v>
      </c>
      <c r="G3" s="256">
        <f>H3-$C$2</f>
        <v>370</v>
      </c>
      <c r="H3" s="256">
        <v>380</v>
      </c>
      <c r="I3" s="256">
        <f>H3+$C$2</f>
        <v>390</v>
      </c>
      <c r="J3" s="256">
        <f>I3+$C$2</f>
        <v>400</v>
      </c>
      <c r="K3" s="256">
        <f>J3+$C$2</f>
        <v>410</v>
      </c>
      <c r="L3" s="256">
        <f>K3+$C$2</f>
        <v>420</v>
      </c>
      <c r="M3" s="172"/>
    </row>
    <row r="4" spans="2:16" s="253" customFormat="1" ht="20" customHeight="1" x14ac:dyDescent="0.2">
      <c r="B4" s="257"/>
      <c r="C4" s="258">
        <f>C5-$B$3</f>
        <v>5.3000000000000016</v>
      </c>
      <c r="D4" s="259">
        <f t="shared" ref="D4:L14" si="0">($B$7-D$3)*$B$9*$C4*1.3228/1000000</f>
        <v>-10.147733453907344</v>
      </c>
      <c r="E4" s="259">
        <f t="shared" si="0"/>
        <v>-10.849334398194747</v>
      </c>
      <c r="F4" s="259">
        <f t="shared" si="0"/>
        <v>-11.550935342482147</v>
      </c>
      <c r="G4" s="259">
        <f t="shared" si="0"/>
        <v>-12.252536286769548</v>
      </c>
      <c r="H4" s="259">
        <f t="shared" si="0"/>
        <v>-12.954137231056949</v>
      </c>
      <c r="I4" s="259">
        <f t="shared" si="0"/>
        <v>-13.655738175344348</v>
      </c>
      <c r="J4" s="259">
        <f t="shared" si="0"/>
        <v>-14.357339119631749</v>
      </c>
      <c r="K4" s="259">
        <f t="shared" si="0"/>
        <v>-15.058940063919149</v>
      </c>
      <c r="L4" s="259">
        <f t="shared" si="0"/>
        <v>-15.760541008206548</v>
      </c>
      <c r="M4" s="274"/>
      <c r="N4" s="253" t="s">
        <v>390</v>
      </c>
      <c r="O4" s="253">
        <v>132</v>
      </c>
      <c r="P4" s="253" t="s">
        <v>387</v>
      </c>
    </row>
    <row r="5" spans="2:16" s="253" customFormat="1" ht="20" customHeight="1" x14ac:dyDescent="0.2">
      <c r="B5" s="257"/>
      <c r="C5" s="258">
        <f>C6-$B$3</f>
        <v>5.4000000000000012</v>
      </c>
      <c r="D5" s="259">
        <f t="shared" si="0"/>
        <v>-10.339200122848993</v>
      </c>
      <c r="E5" s="259">
        <f t="shared" si="0"/>
        <v>-11.054038820802193</v>
      </c>
      <c r="F5" s="259">
        <f t="shared" si="0"/>
        <v>-11.768877518755392</v>
      </c>
      <c r="G5" s="259">
        <f t="shared" si="0"/>
        <v>-12.483716216708595</v>
      </c>
      <c r="H5" s="259">
        <f t="shared" si="0"/>
        <v>-13.198554914661795</v>
      </c>
      <c r="I5" s="259">
        <f t="shared" si="0"/>
        <v>-13.913393612614993</v>
      </c>
      <c r="J5" s="259">
        <f t="shared" si="0"/>
        <v>-14.628232310568198</v>
      </c>
      <c r="K5" s="259">
        <f t="shared" si="0"/>
        <v>-15.343071008521395</v>
      </c>
      <c r="L5" s="259">
        <f t="shared" si="0"/>
        <v>-16.057909706474593</v>
      </c>
      <c r="M5" s="274"/>
      <c r="N5" s="272" t="s">
        <v>388</v>
      </c>
      <c r="O5" s="253">
        <v>300</v>
      </c>
      <c r="P5" s="253" t="s">
        <v>389</v>
      </c>
    </row>
    <row r="6" spans="2:16" s="253" customFormat="1" ht="20" customHeight="1" x14ac:dyDescent="0.2">
      <c r="B6" s="256" t="s">
        <v>370</v>
      </c>
      <c r="C6" s="258">
        <f>C7-$B$3</f>
        <v>5.5000000000000009</v>
      </c>
      <c r="D6" s="259">
        <f t="shared" si="0"/>
        <v>-10.530666791790642</v>
      </c>
      <c r="E6" s="259">
        <f t="shared" si="0"/>
        <v>-11.258743243409642</v>
      </c>
      <c r="F6" s="259">
        <f t="shared" si="0"/>
        <v>-11.98681969502864</v>
      </c>
      <c r="G6" s="259">
        <f t="shared" si="0"/>
        <v>-12.714896146647641</v>
      </c>
      <c r="H6" s="259">
        <f t="shared" si="0"/>
        <v>-13.442972598266643</v>
      </c>
      <c r="I6" s="259">
        <f t="shared" si="0"/>
        <v>-14.171049049885641</v>
      </c>
      <c r="J6" s="259">
        <f t="shared" si="0"/>
        <v>-14.899125501504644</v>
      </c>
      <c r="K6" s="259">
        <f t="shared" si="0"/>
        <v>-15.627201953123643</v>
      </c>
      <c r="L6" s="259">
        <f t="shared" si="0"/>
        <v>-16.355278404742641</v>
      </c>
      <c r="M6" s="274"/>
    </row>
    <row r="7" spans="2:16" s="253" customFormat="1" ht="20" customHeight="1" x14ac:dyDescent="0.2">
      <c r="B7" s="258">
        <f>(vendas!H140*vendas!G140+vendas!H141*vendas!G141+vendas!H142*vendas!G142)/SUM(vendas!G140:G142)</f>
        <v>195.36317280453258</v>
      </c>
      <c r="C7" s="258">
        <f>C8-$B$3</f>
        <v>5.6000000000000005</v>
      </c>
      <c r="D7" s="259">
        <f t="shared" si="0"/>
        <v>-10.722133460732287</v>
      </c>
      <c r="E7" s="259">
        <f t="shared" si="0"/>
        <v>-11.463447666017087</v>
      </c>
      <c r="F7" s="259">
        <f t="shared" si="0"/>
        <v>-12.204761871301887</v>
      </c>
      <c r="G7" s="259">
        <f t="shared" si="0"/>
        <v>-12.946076076586689</v>
      </c>
      <c r="H7" s="259">
        <f t="shared" si="0"/>
        <v>-13.68739028187149</v>
      </c>
      <c r="I7" s="259">
        <f t="shared" si="0"/>
        <v>-14.428704487156288</v>
      </c>
      <c r="J7" s="259">
        <f t="shared" si="0"/>
        <v>-15.170018692441086</v>
      </c>
      <c r="K7" s="259">
        <f t="shared" si="0"/>
        <v>-15.91133289772589</v>
      </c>
      <c r="L7" s="259">
        <f t="shared" si="0"/>
        <v>-16.65264710301069</v>
      </c>
      <c r="M7" s="274"/>
    </row>
    <row r="8" spans="2:16" s="253" customFormat="1" ht="20" customHeight="1" x14ac:dyDescent="0.2">
      <c r="B8" s="256" t="s">
        <v>372</v>
      </c>
      <c r="C8" s="258">
        <f>C9-$B$3</f>
        <v>5.7</v>
      </c>
      <c r="D8" s="259">
        <f t="shared" si="0"/>
        <v>-10.913600129673936</v>
      </c>
      <c r="E8" s="259">
        <f t="shared" si="0"/>
        <v>-11.668152088624534</v>
      </c>
      <c r="F8" s="259">
        <f t="shared" si="0"/>
        <v>-12.422704047575134</v>
      </c>
      <c r="G8" s="259">
        <f t="shared" si="0"/>
        <v>-13.177256006525734</v>
      </c>
      <c r="H8" s="259">
        <f t="shared" si="0"/>
        <v>-13.931807965476336</v>
      </c>
      <c r="I8" s="259">
        <f t="shared" si="0"/>
        <v>-14.686359924426936</v>
      </c>
      <c r="J8" s="259">
        <f t="shared" si="0"/>
        <v>-15.440911883377535</v>
      </c>
      <c r="K8" s="259">
        <f t="shared" si="0"/>
        <v>-16.195463842328138</v>
      </c>
      <c r="L8" s="259">
        <f t="shared" si="0"/>
        <v>-16.950015801278738</v>
      </c>
      <c r="M8" s="274"/>
    </row>
    <row r="9" spans="2:16" s="253" customFormat="1" ht="20" customHeight="1" x14ac:dyDescent="0.2">
      <c r="B9" s="260">
        <f>SUM(vendas!D140:D142)</f>
        <v>10007.3735</v>
      </c>
      <c r="C9" s="258">
        <v>5.8</v>
      </c>
      <c r="D9" s="259">
        <f t="shared" si="0"/>
        <v>-11.105066798615582</v>
      </c>
      <c r="E9" s="259">
        <f t="shared" si="0"/>
        <v>-11.872856511231983</v>
      </c>
      <c r="F9" s="259">
        <f t="shared" si="0"/>
        <v>-12.640646223848382</v>
      </c>
      <c r="G9" s="259">
        <f t="shared" si="0"/>
        <v>-13.408435936464782</v>
      </c>
      <c r="H9" s="261">
        <f t="shared" si="0"/>
        <v>-14.176225649081184</v>
      </c>
      <c r="I9" s="259">
        <f t="shared" si="0"/>
        <v>-14.944015361697581</v>
      </c>
      <c r="J9" s="259">
        <f t="shared" si="0"/>
        <v>-15.711805074313981</v>
      </c>
      <c r="K9" s="259">
        <f t="shared" si="0"/>
        <v>-16.479594786930381</v>
      </c>
      <c r="L9" s="259">
        <f t="shared" si="0"/>
        <v>-17.247384499546786</v>
      </c>
      <c r="M9" s="274"/>
    </row>
    <row r="10" spans="2:16" s="253" customFormat="1" ht="20" customHeight="1" x14ac:dyDescent="0.2">
      <c r="B10" s="257"/>
      <c r="C10" s="258">
        <f>C9+$B$3</f>
        <v>5.8999999999999995</v>
      </c>
      <c r="D10" s="259">
        <f t="shared" si="0"/>
        <v>-11.296533467557229</v>
      </c>
      <c r="E10" s="259">
        <f t="shared" si="0"/>
        <v>-12.077560933839431</v>
      </c>
      <c r="F10" s="259">
        <f t="shared" si="0"/>
        <v>-12.858588400121629</v>
      </c>
      <c r="G10" s="259">
        <f t="shared" si="0"/>
        <v>-13.63961586640383</v>
      </c>
      <c r="H10" s="259">
        <f t="shared" si="0"/>
        <v>-14.420643332686032</v>
      </c>
      <c r="I10" s="259">
        <f t="shared" si="0"/>
        <v>-15.20167079896823</v>
      </c>
      <c r="J10" s="259">
        <f t="shared" si="0"/>
        <v>-15.982698265250429</v>
      </c>
      <c r="K10" s="259">
        <f t="shared" si="0"/>
        <v>-16.763725731532631</v>
      </c>
      <c r="L10" s="259">
        <f t="shared" si="0"/>
        <v>-17.544753197814831</v>
      </c>
      <c r="M10" s="274"/>
    </row>
    <row r="11" spans="2:16" s="253" customFormat="1" ht="20" customHeight="1" x14ac:dyDescent="0.2">
      <c r="B11" s="257"/>
      <c r="C11" s="258">
        <f>C10+$B$3</f>
        <v>5.9999999999999991</v>
      </c>
      <c r="D11" s="259">
        <f t="shared" si="0"/>
        <v>-11.488000136498878</v>
      </c>
      <c r="E11" s="259">
        <f t="shared" si="0"/>
        <v>-12.28226535644688</v>
      </c>
      <c r="F11" s="259">
        <f t="shared" si="0"/>
        <v>-13.076530576394877</v>
      </c>
      <c r="G11" s="259">
        <f t="shared" si="0"/>
        <v>-13.870795796342875</v>
      </c>
      <c r="H11" s="259">
        <f>($B$7-H$3)*$B$9*$C11*1.3228/1000000</f>
        <v>-14.665061016290879</v>
      </c>
      <c r="I11" s="259">
        <f t="shared" si="0"/>
        <v>-15.459326236238876</v>
      </c>
      <c r="J11" s="259">
        <f t="shared" si="0"/>
        <v>-16.253591456186875</v>
      </c>
      <c r="K11" s="259">
        <f t="shared" si="0"/>
        <v>-17.047856676134877</v>
      </c>
      <c r="L11" s="259">
        <f t="shared" si="0"/>
        <v>-17.84212189608288</v>
      </c>
      <c r="M11" s="274"/>
    </row>
    <row r="12" spans="2:16" s="253" customFormat="1" ht="20" customHeight="1" x14ac:dyDescent="0.2">
      <c r="B12" s="257"/>
      <c r="C12" s="258">
        <f>C11+$B$3</f>
        <v>6.0999999999999988</v>
      </c>
      <c r="D12" s="259">
        <f t="shared" si="0"/>
        <v>-11.679466805440525</v>
      </c>
      <c r="E12" s="259">
        <f t="shared" si="0"/>
        <v>-12.486969779054325</v>
      </c>
      <c r="F12" s="259">
        <f t="shared" si="0"/>
        <v>-13.294472752668124</v>
      </c>
      <c r="G12" s="259">
        <f t="shared" si="0"/>
        <v>-14.101975726281927</v>
      </c>
      <c r="H12" s="259">
        <f t="shared" si="0"/>
        <v>-14.909478699895725</v>
      </c>
      <c r="I12" s="259">
        <f t="shared" si="0"/>
        <v>-15.716981673509522</v>
      </c>
      <c r="J12" s="259">
        <f t="shared" si="0"/>
        <v>-16.524484647123323</v>
      </c>
      <c r="K12" s="259">
        <f t="shared" si="0"/>
        <v>-17.331987620737124</v>
      </c>
      <c r="L12" s="259">
        <f t="shared" si="0"/>
        <v>-18.139490594350924</v>
      </c>
      <c r="M12" s="274"/>
    </row>
    <row r="13" spans="2:16" s="253" customFormat="1" ht="20" customHeight="1" x14ac:dyDescent="0.2">
      <c r="B13" s="257"/>
      <c r="C13" s="258">
        <f>C12+$B$3</f>
        <v>6.1999999999999984</v>
      </c>
      <c r="D13" s="259">
        <f t="shared" si="0"/>
        <v>-11.870933474382172</v>
      </c>
      <c r="E13" s="259">
        <f t="shared" si="0"/>
        <v>-12.691674201661773</v>
      </c>
      <c r="F13" s="259">
        <f t="shared" si="0"/>
        <v>-13.512414928941372</v>
      </c>
      <c r="G13" s="259">
        <f t="shared" si="0"/>
        <v>-14.333155656220972</v>
      </c>
      <c r="H13" s="259">
        <f t="shared" si="0"/>
        <v>-15.153896383500573</v>
      </c>
      <c r="I13" s="259">
        <f t="shared" si="0"/>
        <v>-15.974637110780172</v>
      </c>
      <c r="J13" s="259">
        <f t="shared" si="0"/>
        <v>-16.795377838059771</v>
      </c>
      <c r="K13" s="259">
        <f t="shared" si="0"/>
        <v>-17.61611856533937</v>
      </c>
      <c r="L13" s="259">
        <f t="shared" si="0"/>
        <v>-18.436859292618973</v>
      </c>
      <c r="M13" s="274"/>
    </row>
    <row r="14" spans="2:16" s="253" customFormat="1" ht="20" customHeight="1" x14ac:dyDescent="0.2">
      <c r="B14" s="257"/>
      <c r="C14" s="258">
        <f>C13+$B$3</f>
        <v>6.299999999999998</v>
      </c>
      <c r="D14" s="259">
        <f t="shared" si="0"/>
        <v>-12.062400143323819</v>
      </c>
      <c r="E14" s="259">
        <f t="shared" si="0"/>
        <v>-12.89637862426922</v>
      </c>
      <c r="F14" s="259">
        <f t="shared" si="0"/>
        <v>-13.730357105214619</v>
      </c>
      <c r="G14" s="259">
        <f t="shared" si="0"/>
        <v>-14.56433558616002</v>
      </c>
      <c r="H14" s="259">
        <f t="shared" si="0"/>
        <v>-15.398314067105419</v>
      </c>
      <c r="I14" s="259">
        <f t="shared" si="0"/>
        <v>-16.232292548050818</v>
      </c>
      <c r="J14" s="259">
        <f t="shared" si="0"/>
        <v>-17.066271028996219</v>
      </c>
      <c r="K14" s="259">
        <f t="shared" si="0"/>
        <v>-17.90024950994162</v>
      </c>
      <c r="L14" s="259">
        <f t="shared" si="0"/>
        <v>-18.734227990887018</v>
      </c>
      <c r="M14" s="274"/>
    </row>
    <row r="15" spans="2:16" x14ac:dyDescent="0.2">
      <c r="B15" s="9"/>
      <c r="C15" s="9"/>
      <c r="D15" s="273"/>
      <c r="E15" s="273"/>
      <c r="F15" s="273"/>
      <c r="G15" s="273"/>
      <c r="H15" s="273"/>
      <c r="I15" s="273"/>
      <c r="J15" s="273"/>
      <c r="K15" s="273"/>
      <c r="L15" s="273"/>
      <c r="M15" s="9"/>
    </row>
    <row r="16" spans="2:16" x14ac:dyDescent="0.2">
      <c r="B16" s="9" t="s">
        <v>371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x14ac:dyDescent="0.2">
      <c r="B17" s="9" t="s">
        <v>373</v>
      </c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">
      <c r="B18" s="9"/>
      <c r="E18" s="9"/>
      <c r="F18" s="9"/>
      <c r="G18" s="9"/>
      <c r="H18" s="9"/>
      <c r="I18" s="9"/>
      <c r="J18" s="9"/>
      <c r="K18" s="9"/>
      <c r="L18" s="9"/>
      <c r="M18" s="9"/>
    </row>
    <row r="19" spans="2:13" x14ac:dyDescent="0.2">
      <c r="B19" s="9"/>
      <c r="E19" s="9"/>
      <c r="F19" s="9"/>
      <c r="G19" s="263" t="s">
        <v>374</v>
      </c>
      <c r="H19" s="263"/>
      <c r="I19" s="263" t="s">
        <v>375</v>
      </c>
      <c r="J19" s="262"/>
      <c r="K19" s="263" t="s">
        <v>376</v>
      </c>
      <c r="L19" s="263"/>
      <c r="M19" s="9"/>
    </row>
    <row r="20" spans="2:13" x14ac:dyDescent="0.2">
      <c r="B20" s="9"/>
      <c r="D20" s="51" t="s">
        <v>377</v>
      </c>
      <c r="E20" s="56">
        <v>13000</v>
      </c>
      <c r="F20" s="51" t="s">
        <v>378</v>
      </c>
      <c r="G20" s="9" t="s">
        <v>379</v>
      </c>
      <c r="H20" s="56"/>
      <c r="I20" s="9" t="s">
        <v>379</v>
      </c>
      <c r="J20" s="56"/>
      <c r="K20" s="9" t="s">
        <v>379</v>
      </c>
      <c r="L20" s="56"/>
      <c r="M20" s="9"/>
    </row>
    <row r="21" spans="2:13" x14ac:dyDescent="0.2">
      <c r="B21" s="9"/>
      <c r="D21" s="51" t="s">
        <v>380</v>
      </c>
      <c r="E21" s="265">
        <f>B9</f>
        <v>10007.3735</v>
      </c>
      <c r="F21" s="51" t="s">
        <v>378</v>
      </c>
      <c r="G21" s="121" t="s">
        <v>381</v>
      </c>
      <c r="H21" s="254">
        <v>2000</v>
      </c>
      <c r="I21" s="121" t="s">
        <v>381</v>
      </c>
      <c r="J21" s="254">
        <v>2300</v>
      </c>
      <c r="K21" s="121" t="s">
        <v>381</v>
      </c>
      <c r="L21" s="254">
        <v>2500</v>
      </c>
      <c r="M21" s="9"/>
    </row>
    <row r="22" spans="2:13" x14ac:dyDescent="0.2">
      <c r="B22" s="9"/>
      <c r="C22" s="9"/>
      <c r="D22" s="51" t="s">
        <v>382</v>
      </c>
      <c r="E22" s="265">
        <f>E20-E21</f>
        <v>2992.6265000000003</v>
      </c>
      <c r="F22" s="51" t="s">
        <v>378</v>
      </c>
      <c r="G22" s="266"/>
      <c r="H22" s="267"/>
      <c r="M22" s="9"/>
    </row>
    <row r="23" spans="2:13" x14ac:dyDescent="0.2">
      <c r="G23" s="51" t="s">
        <v>383</v>
      </c>
      <c r="H23" s="268">
        <f>(($E$21*$E$24*1.3228*$E$25)+($E$22*H$21))/1000000</f>
        <v>35.161262079423196</v>
      </c>
      <c r="I23" s="51" t="s">
        <v>383</v>
      </c>
      <c r="J23" s="268">
        <f>(($E$21*$E$24*1.3228*$E$25)+($E$22*J$21))/1000000</f>
        <v>36.059050029423197</v>
      </c>
      <c r="K23" s="51" t="s">
        <v>383</v>
      </c>
      <c r="L23" s="268">
        <f>(($E$21*$E$24*1.3228*$E$25)+($E$22*L$21))/1000000</f>
        <v>36.657575329423196</v>
      </c>
    </row>
    <row r="24" spans="2:13" x14ac:dyDescent="0.2">
      <c r="D24" s="51" t="s">
        <v>384</v>
      </c>
      <c r="E24" s="56">
        <f>H3</f>
        <v>380</v>
      </c>
      <c r="G24" s="269" t="s">
        <v>385</v>
      </c>
      <c r="H24" s="270">
        <f>($B$7-E$24)*$B$9*$E$25*1.3228/1000000</f>
        <v>-14.176225649081184</v>
      </c>
      <c r="I24" s="269" t="s">
        <v>385</v>
      </c>
      <c r="J24" s="270">
        <f>($B$7-E$24)*$B$9*$E$25*1.3228/1000000</f>
        <v>-14.176225649081184</v>
      </c>
      <c r="K24" s="269" t="s">
        <v>385</v>
      </c>
      <c r="L24" s="270">
        <f>($B$7-E$24)*$B$9*$E$25*1.3228/1000000</f>
        <v>-14.176225649081184</v>
      </c>
    </row>
    <row r="25" spans="2:13" x14ac:dyDescent="0.2">
      <c r="D25" s="51" t="s">
        <v>369</v>
      </c>
      <c r="E25" s="271">
        <f>C9</f>
        <v>5.8</v>
      </c>
      <c r="F25" s="262"/>
      <c r="G25" s="51" t="s">
        <v>386</v>
      </c>
      <c r="H25" s="270">
        <f>H23+H24</f>
        <v>20.985036430342014</v>
      </c>
      <c r="I25" s="51" t="s">
        <v>386</v>
      </c>
      <c r="J25" s="270">
        <f>J23+J24</f>
        <v>21.882824380342015</v>
      </c>
      <c r="K25" s="51" t="s">
        <v>386</v>
      </c>
      <c r="L25" s="270">
        <f>L23+L24</f>
        <v>22.481349680342014</v>
      </c>
    </row>
    <row r="26" spans="2:13" x14ac:dyDescent="0.2">
      <c r="D26" s="262"/>
      <c r="E26" s="262"/>
      <c r="F26" s="262"/>
      <c r="G26" s="262"/>
    </row>
    <row r="27" spans="2:13" x14ac:dyDescent="0.2">
      <c r="D27" s="262"/>
      <c r="E27" s="262"/>
      <c r="F27" s="262"/>
      <c r="G27" s="262"/>
    </row>
    <row r="28" spans="2:13" x14ac:dyDescent="0.2">
      <c r="D28" s="263"/>
      <c r="E28" s="262"/>
      <c r="F28" s="262"/>
      <c r="G28" s="262"/>
    </row>
    <row r="29" spans="2:13" x14ac:dyDescent="0.2">
      <c r="D29" s="262"/>
      <c r="E29" s="264"/>
      <c r="F29" s="264"/>
      <c r="G29" s="264"/>
    </row>
  </sheetData>
  <conditionalFormatting sqref="D4:L14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3A3F8-D334-EE4C-BD1E-4C0C06D34B86}">
  <sheetPr codeName="Sheet7"/>
  <dimension ref="B3:O50"/>
  <sheetViews>
    <sheetView zoomScaleNormal="100" workbookViewId="0">
      <selection activeCell="B3" sqref="B3:B4"/>
    </sheetView>
  </sheetViews>
  <sheetFormatPr baseColWidth="10" defaultRowHeight="16" x14ac:dyDescent="0.2"/>
  <cols>
    <col min="2" max="2" width="12.1640625" bestFit="1" customWidth="1"/>
    <col min="3" max="3" width="16.6640625" customWidth="1"/>
    <col min="4" max="4" width="6" customWidth="1"/>
    <col min="5" max="5" width="21" bestFit="1" customWidth="1"/>
    <col min="7" max="7" width="31.1640625" bestFit="1" customWidth="1"/>
    <col min="8" max="8" width="22.83203125" bestFit="1" customWidth="1"/>
    <col min="9" max="9" width="31.1640625" bestFit="1" customWidth="1"/>
    <col min="10" max="10" width="20.6640625" bestFit="1" customWidth="1"/>
    <col min="11" max="11" width="21" bestFit="1" customWidth="1"/>
    <col min="12" max="12" width="13.33203125" customWidth="1"/>
    <col min="13" max="13" width="14.1640625" customWidth="1"/>
    <col min="14" max="14" width="13.1640625" customWidth="1"/>
    <col min="15" max="15" width="12.6640625" bestFit="1" customWidth="1"/>
  </cols>
  <sheetData>
    <row r="3" spans="2:13" x14ac:dyDescent="0.2">
      <c r="B3" s="97" t="s">
        <v>133</v>
      </c>
    </row>
    <row r="4" spans="2:13" x14ac:dyDescent="0.2">
      <c r="B4" s="96">
        <v>45635</v>
      </c>
    </row>
    <row r="8" spans="2:13" ht="17" thickBot="1" x14ac:dyDescent="0.25"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</row>
    <row r="9" spans="2:13" x14ac:dyDescent="0.2">
      <c r="B9" s="339"/>
      <c r="C9" s="340"/>
      <c r="D9" s="53"/>
      <c r="E9" s="53" t="s">
        <v>98</v>
      </c>
      <c r="F9" s="53" t="s">
        <v>99</v>
      </c>
      <c r="G9" s="53" t="s">
        <v>100</v>
      </c>
      <c r="H9" s="53" t="s">
        <v>101</v>
      </c>
      <c r="I9" s="53" t="s">
        <v>102</v>
      </c>
      <c r="J9" s="53" t="s">
        <v>103</v>
      </c>
      <c r="K9" s="53" t="s">
        <v>104</v>
      </c>
      <c r="L9" s="53" t="s">
        <v>105</v>
      </c>
      <c r="M9" s="54" t="s">
        <v>106</v>
      </c>
    </row>
    <row r="10" spans="2:13" x14ac:dyDescent="0.2"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7"/>
    </row>
    <row r="11" spans="2:13" x14ac:dyDescent="0.2">
      <c r="B11" s="55"/>
      <c r="C11" s="56" t="s">
        <v>107</v>
      </c>
      <c r="D11" s="56"/>
      <c r="E11" s="58" t="s">
        <v>108</v>
      </c>
      <c r="F11" s="56"/>
      <c r="G11" s="59" t="s">
        <v>109</v>
      </c>
      <c r="H11" s="56"/>
      <c r="I11" s="60" t="s">
        <v>110</v>
      </c>
      <c r="J11" s="61" t="s">
        <v>111</v>
      </c>
      <c r="K11" s="62" t="s">
        <v>112</v>
      </c>
      <c r="L11" s="56"/>
      <c r="M11" s="57"/>
    </row>
    <row r="12" spans="2:13" x14ac:dyDescent="0.2">
      <c r="B12" s="55"/>
      <c r="C12" s="56"/>
      <c r="D12" s="56"/>
      <c r="E12" s="56"/>
      <c r="F12" s="56"/>
      <c r="G12" s="59" t="s">
        <v>113</v>
      </c>
      <c r="H12" s="56"/>
      <c r="I12" s="63" t="s">
        <v>109</v>
      </c>
      <c r="J12" s="56"/>
      <c r="K12" s="56"/>
      <c r="L12" s="56"/>
      <c r="M12" s="57"/>
    </row>
    <row r="13" spans="2:13" x14ac:dyDescent="0.2">
      <c r="B13" s="55" t="s">
        <v>114</v>
      </c>
      <c r="C13" s="56"/>
      <c r="D13" s="56"/>
      <c r="E13" s="56"/>
      <c r="F13" s="56"/>
      <c r="G13" s="56"/>
      <c r="H13" s="64" t="s">
        <v>112</v>
      </c>
      <c r="I13" s="63" t="s">
        <v>113</v>
      </c>
      <c r="J13" s="56"/>
      <c r="K13" s="56"/>
      <c r="L13" s="56"/>
      <c r="M13" s="57"/>
    </row>
    <row r="14" spans="2:13" x14ac:dyDescent="0.2">
      <c r="B14" s="55"/>
      <c r="C14" s="56"/>
      <c r="D14" s="56"/>
      <c r="E14" s="56"/>
      <c r="F14" s="56"/>
      <c r="G14" s="56"/>
      <c r="H14" s="64" t="s">
        <v>115</v>
      </c>
      <c r="I14" s="56"/>
      <c r="J14" s="56"/>
      <c r="K14" s="56"/>
      <c r="L14" s="56"/>
      <c r="M14" s="57"/>
    </row>
    <row r="15" spans="2:13" x14ac:dyDescent="0.2">
      <c r="B15" s="55"/>
      <c r="C15" s="56"/>
      <c r="D15" s="56"/>
      <c r="E15" s="56"/>
      <c r="F15" s="56"/>
      <c r="G15" s="56"/>
      <c r="H15" s="64" t="s">
        <v>116</v>
      </c>
      <c r="I15" s="56"/>
      <c r="J15" s="56"/>
      <c r="K15" s="56"/>
      <c r="L15" s="56"/>
      <c r="M15" s="57"/>
    </row>
    <row r="16" spans="2:13" x14ac:dyDescent="0.2">
      <c r="B16" s="55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7"/>
    </row>
    <row r="17" spans="2:15" x14ac:dyDescent="0.2">
      <c r="B17" s="55"/>
      <c r="C17" s="56" t="s">
        <v>117</v>
      </c>
      <c r="D17" s="56"/>
      <c r="E17" s="56"/>
      <c r="F17" s="56"/>
      <c r="G17" s="65">
        <v>331504.26</v>
      </c>
      <c r="H17" s="56"/>
      <c r="I17" s="66">
        <v>49771.14</v>
      </c>
      <c r="J17" s="66">
        <v>56755.53</v>
      </c>
      <c r="K17" s="67">
        <v>212418.4</v>
      </c>
      <c r="L17" s="68">
        <v>88964.12</v>
      </c>
      <c r="M17" s="69">
        <v>105049.37</v>
      </c>
      <c r="O17" s="70"/>
    </row>
    <row r="18" spans="2:15" x14ac:dyDescent="0.2">
      <c r="B18" s="55"/>
      <c r="C18" s="56"/>
      <c r="D18" s="56"/>
      <c r="E18" s="56"/>
      <c r="F18" s="56"/>
      <c r="G18" s="70"/>
      <c r="H18" s="56"/>
      <c r="I18" s="71"/>
      <c r="J18" s="72">
        <v>106209.2</v>
      </c>
      <c r="K18" s="73">
        <v>58478.34</v>
      </c>
      <c r="L18" s="73">
        <v>65462.73</v>
      </c>
      <c r="M18" s="57"/>
    </row>
    <row r="19" spans="2:15" x14ac:dyDescent="0.2">
      <c r="B19" s="55"/>
      <c r="C19" s="56"/>
      <c r="D19" s="56"/>
      <c r="E19" s="56"/>
      <c r="F19" s="56"/>
      <c r="G19" s="70"/>
      <c r="H19" s="56"/>
      <c r="I19" s="71"/>
      <c r="J19" s="71"/>
      <c r="K19" s="72">
        <v>123141.04</v>
      </c>
      <c r="L19" s="71"/>
      <c r="M19" s="57"/>
    </row>
    <row r="20" spans="2:15" ht="17" thickBot="1" x14ac:dyDescent="0.25">
      <c r="B20" s="74"/>
      <c r="C20" s="75"/>
      <c r="D20" s="75"/>
      <c r="E20" s="75"/>
      <c r="F20" s="75"/>
      <c r="G20" s="75"/>
      <c r="H20" s="75"/>
      <c r="I20" s="75"/>
      <c r="J20" s="76"/>
      <c r="K20" s="77">
        <v>98589.87</v>
      </c>
      <c r="L20" s="75"/>
      <c r="M20" s="78"/>
    </row>
    <row r="21" spans="2:15" x14ac:dyDescent="0.2">
      <c r="B21" s="55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7"/>
    </row>
    <row r="22" spans="2:15" x14ac:dyDescent="0.2">
      <c r="B22" s="55"/>
      <c r="C22" s="56" t="s">
        <v>107</v>
      </c>
      <c r="D22" s="56"/>
      <c r="E22" s="56"/>
      <c r="F22" s="56"/>
      <c r="G22" s="56"/>
      <c r="H22" s="79" t="s">
        <v>118</v>
      </c>
      <c r="I22" s="56"/>
      <c r="J22" s="56"/>
      <c r="K22" s="56"/>
      <c r="L22" s="56"/>
      <c r="M22" s="57"/>
    </row>
    <row r="23" spans="2:15" x14ac:dyDescent="0.2">
      <c r="B23" s="55" t="s">
        <v>119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7"/>
    </row>
    <row r="24" spans="2:15" x14ac:dyDescent="0.2">
      <c r="B24" s="55"/>
      <c r="C24" s="56" t="s">
        <v>117</v>
      </c>
      <c r="D24" s="56"/>
      <c r="E24" s="56"/>
      <c r="F24" s="56"/>
      <c r="G24" s="71"/>
      <c r="H24" s="80">
        <v>113511.06</v>
      </c>
      <c r="I24" s="56"/>
      <c r="J24" s="56"/>
      <c r="K24" s="56"/>
      <c r="L24" s="56"/>
      <c r="M24" s="57"/>
    </row>
    <row r="25" spans="2:15" ht="17" thickBot="1" x14ac:dyDescent="0.25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8"/>
    </row>
    <row r="26" spans="2:15" x14ac:dyDescent="0.2">
      <c r="B26" s="52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4"/>
    </row>
    <row r="27" spans="2:15" x14ac:dyDescent="0.2">
      <c r="B27" s="55"/>
      <c r="C27" s="56" t="s">
        <v>107</v>
      </c>
      <c r="D27" s="56"/>
      <c r="E27" s="56"/>
      <c r="F27" s="56"/>
      <c r="G27" s="56" t="s">
        <v>120</v>
      </c>
      <c r="H27" s="56"/>
      <c r="I27" s="56" t="s">
        <v>120</v>
      </c>
      <c r="J27" s="56"/>
      <c r="K27" s="56"/>
      <c r="L27" s="56"/>
      <c r="M27" s="57"/>
    </row>
    <row r="28" spans="2:15" x14ac:dyDescent="0.2">
      <c r="B28" s="55" t="s">
        <v>121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7"/>
    </row>
    <row r="29" spans="2:15" x14ac:dyDescent="0.2">
      <c r="B29" s="55"/>
      <c r="C29" s="56" t="s">
        <v>117</v>
      </c>
      <c r="D29" s="56"/>
      <c r="E29" s="56"/>
      <c r="F29" s="56"/>
      <c r="G29" s="56"/>
      <c r="H29" s="81">
        <v>26000</v>
      </c>
      <c r="I29" s="81">
        <v>26000</v>
      </c>
      <c r="J29" s="81">
        <v>26000</v>
      </c>
      <c r="K29" s="81">
        <v>26000</v>
      </c>
      <c r="L29" s="56"/>
      <c r="M29" s="57"/>
    </row>
    <row r="30" spans="2:15" ht="17" thickBot="1" x14ac:dyDescent="0.25">
      <c r="B30" s="74"/>
      <c r="C30" s="75"/>
      <c r="D30" s="75"/>
      <c r="E30" s="75"/>
      <c r="F30" s="75"/>
      <c r="G30" s="75"/>
      <c r="H30" s="75"/>
      <c r="I30" s="75"/>
      <c r="J30" s="82">
        <v>26000</v>
      </c>
      <c r="K30" s="82">
        <v>26000</v>
      </c>
      <c r="L30" s="82">
        <v>26000</v>
      </c>
      <c r="M30" s="83">
        <v>26000</v>
      </c>
    </row>
    <row r="31" spans="2:15" x14ac:dyDescent="0.2"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7"/>
    </row>
    <row r="32" spans="2:15" x14ac:dyDescent="0.2">
      <c r="B32" s="55"/>
      <c r="C32" s="56" t="s">
        <v>107</v>
      </c>
      <c r="D32" s="56"/>
      <c r="E32" s="56"/>
      <c r="F32" s="56"/>
      <c r="G32" s="56"/>
      <c r="H32" s="56"/>
      <c r="I32" s="56"/>
      <c r="J32" s="56"/>
      <c r="K32" s="56"/>
      <c r="L32" s="56"/>
      <c r="M32" s="57"/>
    </row>
    <row r="33" spans="2:15" x14ac:dyDescent="0.2">
      <c r="B33" s="55" t="s">
        <v>122</v>
      </c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7"/>
    </row>
    <row r="34" spans="2:15" x14ac:dyDescent="0.2">
      <c r="B34" s="55"/>
      <c r="C34" s="56" t="s">
        <v>117</v>
      </c>
      <c r="D34" s="56"/>
      <c r="E34" s="56"/>
      <c r="F34" s="56"/>
      <c r="G34" s="56"/>
      <c r="H34" s="56"/>
      <c r="I34" s="56"/>
      <c r="J34" s="71"/>
      <c r="K34" s="56"/>
      <c r="L34" s="56"/>
      <c r="M34" s="57"/>
      <c r="O34" s="70"/>
    </row>
    <row r="35" spans="2:15" ht="17" thickBot="1" x14ac:dyDescent="0.25">
      <c r="B35" s="74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8"/>
    </row>
    <row r="36" spans="2:15" x14ac:dyDescent="0.2">
      <c r="B36" s="52"/>
      <c r="C36" s="56"/>
      <c r="D36" s="53"/>
      <c r="E36" s="53"/>
      <c r="F36" s="53"/>
      <c r="G36" s="53"/>
      <c r="H36" s="53"/>
      <c r="I36" s="53"/>
      <c r="J36" s="53"/>
      <c r="K36" s="53"/>
      <c r="L36" s="53"/>
      <c r="M36" s="54"/>
    </row>
    <row r="37" spans="2:15" x14ac:dyDescent="0.2">
      <c r="B37" s="55"/>
      <c r="C37" s="56" t="s">
        <v>107</v>
      </c>
      <c r="D37" s="56"/>
      <c r="E37" s="56"/>
      <c r="F37" s="56"/>
      <c r="G37" s="56"/>
      <c r="H37" s="56"/>
      <c r="I37" s="56"/>
      <c r="J37" s="56"/>
      <c r="K37" s="56"/>
      <c r="L37" s="56"/>
      <c r="M37" s="57"/>
    </row>
    <row r="38" spans="2:15" x14ac:dyDescent="0.2">
      <c r="B38" s="55" t="s">
        <v>123</v>
      </c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7"/>
    </row>
    <row r="39" spans="2:15" x14ac:dyDescent="0.2">
      <c r="B39" s="55"/>
      <c r="C39" s="56" t="s">
        <v>117</v>
      </c>
      <c r="D39" s="56"/>
      <c r="E39" s="56"/>
      <c r="F39" s="56"/>
      <c r="G39" s="56"/>
      <c r="H39" s="71"/>
      <c r="I39" s="56"/>
      <c r="J39" s="56"/>
      <c r="K39" s="56"/>
      <c r="L39" s="56"/>
      <c r="M39" s="57"/>
    </row>
    <row r="40" spans="2:15" ht="17" thickBot="1" x14ac:dyDescent="0.25">
      <c r="B40" s="74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8"/>
    </row>
    <row r="41" spans="2:15" x14ac:dyDescent="0.2">
      <c r="N41" s="84"/>
      <c r="O41" s="84"/>
    </row>
    <row r="42" spans="2:15" x14ac:dyDescent="0.2">
      <c r="G42" s="85">
        <f>SUM(G17)</f>
        <v>331504.26</v>
      </c>
      <c r="H42" s="85">
        <f>SUM(H24+H29+H39)</f>
        <v>139511.06</v>
      </c>
      <c r="I42" s="85">
        <f>SUM(I17+I18+I29)</f>
        <v>75771.14</v>
      </c>
      <c r="J42" s="85">
        <f>SUM(J17+J18+J20+J29+J30+J34)</f>
        <v>214964.72999999998</v>
      </c>
      <c r="K42" s="85">
        <f>SUM(K17+K18+K29+K30)</f>
        <v>322896.74</v>
      </c>
      <c r="L42" s="85">
        <f>SUM(L17+L18+L30)</f>
        <v>180426.85</v>
      </c>
      <c r="M42" s="85">
        <f>SUM(M17+M30)</f>
        <v>131049.37</v>
      </c>
      <c r="N42" s="86"/>
      <c r="O42" s="87"/>
    </row>
    <row r="43" spans="2:15" x14ac:dyDescent="0.2">
      <c r="B43" s="88"/>
      <c r="C43" s="341" t="s">
        <v>124</v>
      </c>
      <c r="D43" s="341"/>
    </row>
    <row r="44" spans="2:15" x14ac:dyDescent="0.2">
      <c r="B44" s="89"/>
      <c r="C44" t="s">
        <v>125</v>
      </c>
    </row>
    <row r="45" spans="2:15" x14ac:dyDescent="0.2">
      <c r="B45" s="90"/>
      <c r="C45" s="341" t="s">
        <v>126</v>
      </c>
      <c r="D45" s="341"/>
    </row>
    <row r="46" spans="2:15" x14ac:dyDescent="0.2">
      <c r="B46" s="91"/>
      <c r="C46" t="s">
        <v>127</v>
      </c>
      <c r="I46" s="84" t="s">
        <v>128</v>
      </c>
      <c r="J46" s="84" t="s">
        <v>129</v>
      </c>
    </row>
    <row r="47" spans="2:15" x14ac:dyDescent="0.2">
      <c r="B47" s="92"/>
      <c r="C47" t="s">
        <v>130</v>
      </c>
      <c r="I47" s="86">
        <f>SUM(G42:M42)</f>
        <v>1396124.15</v>
      </c>
      <c r="J47" s="86">
        <f>SUM(I47*5.77)</f>
        <v>8055636.3454999989</v>
      </c>
    </row>
    <row r="48" spans="2:15" x14ac:dyDescent="0.2">
      <c r="B48" s="93"/>
      <c r="C48" t="s">
        <v>130</v>
      </c>
    </row>
    <row r="49" spans="2:3" x14ac:dyDescent="0.2">
      <c r="B49" s="94"/>
      <c r="C49" t="s">
        <v>131</v>
      </c>
    </row>
    <row r="50" spans="2:3" x14ac:dyDescent="0.2">
      <c r="B50" s="95"/>
      <c r="C50" t="s">
        <v>132</v>
      </c>
    </row>
  </sheetData>
  <mergeCells count="3">
    <mergeCell ref="B9:C9"/>
    <mergeCell ref="C43:D43"/>
    <mergeCell ref="C45:D45"/>
  </mergeCells>
  <pageMargins left="0.511811024" right="0.511811024" top="0.78740157499999996" bottom="0.78740157499999996" header="0.31496062000000002" footer="0.31496062000000002"/>
  <pageSetup paperSize="9" scale="55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Sheet2</vt:lpstr>
      <vt:lpstr>VENDA CAFÉ 220125</vt:lpstr>
      <vt:lpstr>DU-E</vt:lpstr>
      <vt:lpstr>vendas</vt:lpstr>
      <vt:lpstr>charge</vt:lpstr>
      <vt:lpstr>painel</vt:lpstr>
      <vt:lpstr>hedgedez25</vt:lpstr>
      <vt:lpstr>CashFlow_Edson_Luiz</vt:lpstr>
      <vt:lpstr>'VENDA CAFÉ 220125'!Print_Area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Rodolfo Castro</dc:creator>
  <cp:lastModifiedBy>Rodolfo Castro</cp:lastModifiedBy>
  <cp:lastPrinted>2025-02-25T14:19:35Z</cp:lastPrinted>
  <dcterms:created xsi:type="dcterms:W3CDTF">2024-11-20T00:40:58Z</dcterms:created>
  <dcterms:modified xsi:type="dcterms:W3CDTF">2025-03-06T18:36:34Z</dcterms:modified>
</cp:coreProperties>
</file>