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Desktop/"/>
    </mc:Choice>
  </mc:AlternateContent>
  <xr:revisionPtr revIDLastSave="0" documentId="13_ncr:1_{BC100D7F-6D2F-3948-8AA1-911D30D40FC0}" xr6:coauthVersionLast="47" xr6:coauthVersionMax="47" xr10:uidLastSave="{00000000-0000-0000-0000-000000000000}"/>
  <bookViews>
    <workbookView xWindow="4440" yWindow="740" windowWidth="24960" windowHeight="18220" xr2:uid="{AC82ADC5-E628-F847-8939-89BAF5623AE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3" i="2"/>
  <c r="S2" i="2"/>
  <c r="M12" i="1"/>
  <c r="P28" i="2"/>
  <c r="Q28" i="2"/>
  <c r="R28" i="2"/>
  <c r="S28" i="2"/>
  <c r="T28" i="2"/>
  <c r="U28" i="2"/>
  <c r="V28" i="2"/>
  <c r="W28" i="2"/>
  <c r="X28" i="2"/>
  <c r="N26" i="2"/>
  <c r="N27" i="2"/>
  <c r="N28" i="2"/>
  <c r="N29" i="2"/>
  <c r="N30" i="2"/>
  <c r="N31" i="2"/>
  <c r="N32" i="2"/>
  <c r="N33" i="2"/>
  <c r="N34" i="2"/>
  <c r="N35" i="2"/>
  <c r="N36" i="2"/>
  <c r="M26" i="2"/>
  <c r="M27" i="2"/>
  <c r="M28" i="2"/>
  <c r="M29" i="2"/>
  <c r="M30" i="2"/>
  <c r="M31" i="2"/>
  <c r="M32" i="2"/>
  <c r="M33" i="2"/>
  <c r="M34" i="2"/>
  <c r="M35" i="2"/>
  <c r="M36" i="2"/>
  <c r="J26" i="2"/>
  <c r="J27" i="2"/>
  <c r="J28" i="2"/>
  <c r="J29" i="2"/>
  <c r="J30" i="2"/>
  <c r="J31" i="2"/>
  <c r="J32" i="2"/>
  <c r="J33" i="2"/>
  <c r="J34" i="2"/>
  <c r="J35" i="2"/>
  <c r="J36" i="2"/>
  <c r="H26" i="2"/>
  <c r="H27" i="2"/>
  <c r="H28" i="2"/>
  <c r="H29" i="2"/>
  <c r="H30" i="2"/>
  <c r="H31" i="2"/>
  <c r="H32" i="2"/>
  <c r="H33" i="2"/>
  <c r="H34" i="2"/>
  <c r="H35" i="2"/>
  <c r="H36" i="2"/>
  <c r="G26" i="2"/>
  <c r="G27" i="2"/>
  <c r="G28" i="2"/>
  <c r="G29" i="2"/>
  <c r="G30" i="2"/>
  <c r="G31" i="2"/>
  <c r="G32" i="2"/>
  <c r="G33" i="2"/>
  <c r="G34" i="2"/>
  <c r="G35" i="2"/>
  <c r="G36" i="2"/>
  <c r="F26" i="2"/>
  <c r="F27" i="2"/>
  <c r="F28" i="2"/>
  <c r="F29" i="2"/>
  <c r="F30" i="2"/>
  <c r="F31" i="2"/>
  <c r="F32" i="2"/>
  <c r="F33" i="2"/>
  <c r="F34" i="2"/>
  <c r="F35" i="2"/>
  <c r="F36" i="2"/>
  <c r="E26" i="2"/>
  <c r="E27" i="2"/>
  <c r="E28" i="2"/>
  <c r="E29" i="2"/>
  <c r="E30" i="2"/>
  <c r="E31" i="2"/>
  <c r="E32" i="2"/>
  <c r="E33" i="2"/>
  <c r="E34" i="2"/>
  <c r="E36" i="2"/>
  <c r="C26" i="2"/>
  <c r="C27" i="2"/>
  <c r="C28" i="2"/>
  <c r="C29" i="2"/>
  <c r="C30" i="2"/>
  <c r="C31" i="2"/>
  <c r="C32" i="2"/>
  <c r="C33" i="2"/>
  <c r="C34" i="2"/>
  <c r="C35" i="2"/>
  <c r="C36" i="2"/>
  <c r="M10" i="1"/>
  <c r="R96" i="1" s="1"/>
  <c r="N10" i="1"/>
  <c r="S96" i="1" s="1"/>
  <c r="J10" i="1"/>
  <c r="O96" i="1" s="1"/>
  <c r="K10" i="1"/>
  <c r="P96" i="1" s="1"/>
  <c r="L10" i="1"/>
  <c r="Q96" i="1" s="1"/>
  <c r="K57" i="1"/>
  <c r="K41" i="1"/>
  <c r="K42" i="1"/>
  <c r="K43" i="1"/>
  <c r="K44" i="1"/>
  <c r="K45" i="1"/>
  <c r="K46" i="1"/>
  <c r="K47" i="1"/>
  <c r="K48" i="1"/>
  <c r="K49" i="1"/>
  <c r="K50" i="1"/>
  <c r="K40" i="1"/>
  <c r="I57" i="1"/>
  <c r="J37" i="1"/>
  <c r="H79" i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I36" i="2" s="1"/>
  <c r="I28" i="2" l="1"/>
  <c r="I26" i="2"/>
  <c r="I27" i="2"/>
  <c r="I34" i="2"/>
  <c r="I29" i="2"/>
  <c r="I35" i="2"/>
  <c r="I32" i="2"/>
  <c r="I33" i="2"/>
  <c r="I31" i="2"/>
  <c r="I30" i="2"/>
  <c r="O10" i="1"/>
  <c r="T96" i="1" s="1"/>
  <c r="D89" i="1"/>
  <c r="E35" i="2" s="1"/>
  <c r="D91" i="1"/>
  <c r="H57" i="1"/>
  <c r="P10" i="1" l="1"/>
  <c r="U96" i="1" s="1"/>
  <c r="L43" i="1"/>
  <c r="L44" i="1" s="1"/>
  <c r="G6" i="1"/>
  <c r="G7" i="1"/>
  <c r="G5" i="1"/>
  <c r="D6" i="1"/>
  <c r="D7" i="1"/>
  <c r="D5" i="1"/>
  <c r="N73" i="1"/>
  <c r="Q10" i="1" l="1"/>
  <c r="V96" i="1" s="1"/>
  <c r="J27" i="1"/>
  <c r="K27" i="1"/>
  <c r="L27" i="1"/>
  <c r="M27" i="1"/>
  <c r="N27" i="1"/>
  <c r="P27" i="1"/>
  <c r="R27" i="1"/>
  <c r="J26" i="1"/>
  <c r="K26" i="1"/>
  <c r="M26" i="1"/>
  <c r="N26" i="1"/>
  <c r="O26" i="1"/>
  <c r="P26" i="1"/>
  <c r="Q26" i="1"/>
  <c r="R26" i="1"/>
  <c r="S26" i="1"/>
  <c r="D12" i="1"/>
  <c r="Q2" i="2"/>
  <c r="R2" i="2"/>
  <c r="T2" i="2"/>
  <c r="U2" i="2"/>
  <c r="V2" i="2"/>
  <c r="W2" i="2"/>
  <c r="X2" i="2"/>
  <c r="Y2" i="2"/>
  <c r="Q3" i="2"/>
  <c r="R3" i="2"/>
  <c r="T3" i="2"/>
  <c r="U3" i="2"/>
  <c r="V3" i="2"/>
  <c r="W3" i="2"/>
  <c r="X3" i="2"/>
  <c r="Y3" i="2"/>
  <c r="Q4" i="2"/>
  <c r="R4" i="2"/>
  <c r="T4" i="2"/>
  <c r="U4" i="2"/>
  <c r="V4" i="2"/>
  <c r="W4" i="2"/>
  <c r="X4" i="2"/>
  <c r="Y4" i="2"/>
  <c r="P3" i="2"/>
  <c r="P4" i="2"/>
  <c r="D24" i="2"/>
  <c r="E24" i="2"/>
  <c r="F24" i="2"/>
  <c r="G24" i="2"/>
  <c r="H24" i="2"/>
  <c r="J24" i="2"/>
  <c r="L24" i="2"/>
  <c r="M24" i="2"/>
  <c r="N24" i="2"/>
  <c r="P24" i="2"/>
  <c r="Q24" i="2"/>
  <c r="R24" i="2"/>
  <c r="S24" i="2"/>
  <c r="T24" i="2"/>
  <c r="U24" i="2"/>
  <c r="W24" i="2"/>
  <c r="X24" i="2"/>
  <c r="Y24" i="2"/>
  <c r="C24" i="2"/>
  <c r="K19" i="1"/>
  <c r="L19" i="1"/>
  <c r="M19" i="1"/>
  <c r="N19" i="1"/>
  <c r="O19" i="1"/>
  <c r="Q19" i="1"/>
  <c r="R19" i="1"/>
  <c r="S19" i="1"/>
  <c r="J19" i="1"/>
  <c r="D19" i="1"/>
  <c r="I24" i="2"/>
  <c r="D22" i="2"/>
  <c r="E22" i="2"/>
  <c r="F22" i="2"/>
  <c r="G22" i="2"/>
  <c r="H22" i="2"/>
  <c r="I22" i="2"/>
  <c r="J22" i="2"/>
  <c r="L22" i="2"/>
  <c r="M22" i="2"/>
  <c r="N22" i="2"/>
  <c r="P22" i="2"/>
  <c r="Q22" i="2"/>
  <c r="R22" i="2"/>
  <c r="X22" i="2"/>
  <c r="Y22" i="2"/>
  <c r="D23" i="2"/>
  <c r="E23" i="2"/>
  <c r="F23" i="2"/>
  <c r="G23" i="2"/>
  <c r="H23" i="2"/>
  <c r="I23" i="2"/>
  <c r="J23" i="2"/>
  <c r="L23" i="2"/>
  <c r="M23" i="2"/>
  <c r="N23" i="2"/>
  <c r="P23" i="2"/>
  <c r="Q23" i="2"/>
  <c r="R23" i="2"/>
  <c r="S23" i="2"/>
  <c r="U23" i="2"/>
  <c r="V23" i="2"/>
  <c r="W23" i="2"/>
  <c r="X23" i="2"/>
  <c r="Y23" i="2"/>
  <c r="E25" i="2"/>
  <c r="F25" i="2"/>
  <c r="G25" i="2"/>
  <c r="H25" i="2"/>
  <c r="J25" i="2"/>
  <c r="L25" i="2"/>
  <c r="M25" i="2"/>
  <c r="N25" i="2"/>
  <c r="P25" i="2"/>
  <c r="Q25" i="2"/>
  <c r="R25" i="2"/>
  <c r="T25" i="2"/>
  <c r="U25" i="2"/>
  <c r="V25" i="2"/>
  <c r="C23" i="2"/>
  <c r="C22" i="2"/>
  <c r="K17" i="1"/>
  <c r="L17" i="1"/>
  <c r="R17" i="1"/>
  <c r="S17" i="1"/>
  <c r="K18" i="1"/>
  <c r="L18" i="1"/>
  <c r="O18" i="1"/>
  <c r="P18" i="1"/>
  <c r="Q18" i="1"/>
  <c r="R18" i="1"/>
  <c r="S18" i="1"/>
  <c r="J18" i="1"/>
  <c r="J17" i="1"/>
  <c r="D18" i="1"/>
  <c r="D17" i="1"/>
  <c r="X71" i="1"/>
  <c r="W71" i="1"/>
  <c r="Q71" i="1"/>
  <c r="P71" i="1"/>
  <c r="O71" i="1"/>
  <c r="D71" i="1"/>
  <c r="V71" i="1"/>
  <c r="U71" i="1"/>
  <c r="T71" i="1"/>
  <c r="X68" i="1"/>
  <c r="W68" i="1"/>
  <c r="Q68" i="1"/>
  <c r="P68" i="1"/>
  <c r="O68" i="1"/>
  <c r="D68" i="1"/>
  <c r="J64" i="1"/>
  <c r="D2" i="2"/>
  <c r="E2" i="2"/>
  <c r="F2" i="2"/>
  <c r="G2" i="2"/>
  <c r="H2" i="2"/>
  <c r="I2" i="2"/>
  <c r="J2" i="2"/>
  <c r="L2" i="2"/>
  <c r="M2" i="2"/>
  <c r="N2" i="2"/>
  <c r="P2" i="2"/>
  <c r="D3" i="2"/>
  <c r="E3" i="2"/>
  <c r="F3" i="2"/>
  <c r="G3" i="2"/>
  <c r="H3" i="2"/>
  <c r="I3" i="2"/>
  <c r="J3" i="2"/>
  <c r="L3" i="2"/>
  <c r="M3" i="2"/>
  <c r="N3" i="2"/>
  <c r="D4" i="2"/>
  <c r="E4" i="2"/>
  <c r="F4" i="2"/>
  <c r="G4" i="2"/>
  <c r="H4" i="2"/>
  <c r="I4" i="2"/>
  <c r="J4" i="2"/>
  <c r="L4" i="2"/>
  <c r="M4" i="2"/>
  <c r="N4" i="2"/>
  <c r="D5" i="2"/>
  <c r="E5" i="2"/>
  <c r="F5" i="2"/>
  <c r="G5" i="2"/>
  <c r="H5" i="2"/>
  <c r="J5" i="2"/>
  <c r="L5" i="2"/>
  <c r="M5" i="2"/>
  <c r="N5" i="2"/>
  <c r="P5" i="2"/>
  <c r="Q5" i="2"/>
  <c r="R5" i="2"/>
  <c r="S5" i="2"/>
  <c r="T5" i="2"/>
  <c r="V5" i="2"/>
  <c r="W5" i="2"/>
  <c r="X5" i="2"/>
  <c r="Y5" i="2"/>
  <c r="D6" i="2"/>
  <c r="E6" i="2"/>
  <c r="F6" i="2"/>
  <c r="G6" i="2"/>
  <c r="H6" i="2"/>
  <c r="J6" i="2"/>
  <c r="L6" i="2"/>
  <c r="M6" i="2"/>
  <c r="N6" i="2"/>
  <c r="P6" i="2"/>
  <c r="Q6" i="2"/>
  <c r="R6" i="2"/>
  <c r="S6" i="2"/>
  <c r="U6" i="2"/>
  <c r="V6" i="2"/>
  <c r="W6" i="2"/>
  <c r="X6" i="2"/>
  <c r="Y6" i="2"/>
  <c r="D7" i="2"/>
  <c r="E7" i="2"/>
  <c r="F7" i="2"/>
  <c r="G7" i="2"/>
  <c r="H7" i="2"/>
  <c r="J7" i="2"/>
  <c r="L7" i="2"/>
  <c r="M7" i="2"/>
  <c r="N7" i="2"/>
  <c r="P7" i="2"/>
  <c r="Q7" i="2"/>
  <c r="R7" i="2"/>
  <c r="S7" i="2"/>
  <c r="V7" i="2"/>
  <c r="W7" i="2"/>
  <c r="X7" i="2"/>
  <c r="Y7" i="2"/>
  <c r="D8" i="2"/>
  <c r="E8" i="2"/>
  <c r="F8" i="2"/>
  <c r="G8" i="2"/>
  <c r="H8" i="2"/>
  <c r="J8" i="2"/>
  <c r="L8" i="2"/>
  <c r="M8" i="2"/>
  <c r="N8" i="2"/>
  <c r="P8" i="2"/>
  <c r="Q8" i="2"/>
  <c r="R8" i="2"/>
  <c r="S8" i="2"/>
  <c r="T8" i="2"/>
  <c r="W8" i="2"/>
  <c r="X8" i="2"/>
  <c r="Y8" i="2"/>
  <c r="D9" i="2"/>
  <c r="E9" i="2"/>
  <c r="F9" i="2"/>
  <c r="G9" i="2"/>
  <c r="H9" i="2"/>
  <c r="J9" i="2"/>
  <c r="L9" i="2"/>
  <c r="M9" i="2"/>
  <c r="N9" i="2"/>
  <c r="P9" i="2"/>
  <c r="Q9" i="2"/>
  <c r="R9" i="2"/>
  <c r="S9" i="2"/>
  <c r="T9" i="2"/>
  <c r="W9" i="2"/>
  <c r="X9" i="2"/>
  <c r="Y9" i="2"/>
  <c r="D10" i="2"/>
  <c r="E10" i="2"/>
  <c r="F10" i="2"/>
  <c r="G10" i="2"/>
  <c r="H10" i="2"/>
  <c r="J10" i="2"/>
  <c r="L10" i="2"/>
  <c r="M10" i="2"/>
  <c r="N10" i="2"/>
  <c r="P10" i="2"/>
  <c r="Q10" i="2"/>
  <c r="R10" i="2"/>
  <c r="S10" i="2"/>
  <c r="T10" i="2"/>
  <c r="U10" i="2"/>
  <c r="V10" i="2"/>
  <c r="X10" i="2"/>
  <c r="Y10" i="2"/>
  <c r="D11" i="2"/>
  <c r="E11" i="2"/>
  <c r="F11" i="2"/>
  <c r="G11" i="2"/>
  <c r="H11" i="2"/>
  <c r="J11" i="2"/>
  <c r="L11" i="2"/>
  <c r="M11" i="2"/>
  <c r="N11" i="2"/>
  <c r="P11" i="2"/>
  <c r="Q11" i="2"/>
  <c r="R11" i="2"/>
  <c r="S11" i="2"/>
  <c r="T11" i="2"/>
  <c r="U11" i="2"/>
  <c r="W11" i="2"/>
  <c r="X11" i="2"/>
  <c r="Y11" i="2"/>
  <c r="D12" i="2"/>
  <c r="E12" i="2"/>
  <c r="F12" i="2"/>
  <c r="G12" i="2"/>
  <c r="H12" i="2"/>
  <c r="J12" i="2"/>
  <c r="L12" i="2"/>
  <c r="M12" i="2"/>
  <c r="N12" i="2"/>
  <c r="P12" i="2"/>
  <c r="Q12" i="2"/>
  <c r="R12" i="2"/>
  <c r="S12" i="2"/>
  <c r="T12" i="2"/>
  <c r="U12" i="2"/>
  <c r="W12" i="2"/>
  <c r="X12" i="2"/>
  <c r="Y12" i="2"/>
  <c r="D13" i="2"/>
  <c r="E13" i="2"/>
  <c r="F13" i="2"/>
  <c r="G13" i="2"/>
  <c r="H13" i="2"/>
  <c r="J13" i="2"/>
  <c r="L13" i="2"/>
  <c r="M13" i="2"/>
  <c r="N13" i="2"/>
  <c r="P13" i="2"/>
  <c r="Q13" i="2"/>
  <c r="R13" i="2"/>
  <c r="S13" i="2"/>
  <c r="T13" i="2"/>
  <c r="U13" i="2"/>
  <c r="W13" i="2"/>
  <c r="X13" i="2"/>
  <c r="Y13" i="2"/>
  <c r="D14" i="2"/>
  <c r="E14" i="2"/>
  <c r="F14" i="2"/>
  <c r="G14" i="2"/>
  <c r="H14" i="2"/>
  <c r="J14" i="2"/>
  <c r="L14" i="2"/>
  <c r="M14" i="2"/>
  <c r="N14" i="2"/>
  <c r="P14" i="2"/>
  <c r="Q14" i="2"/>
  <c r="R14" i="2"/>
  <c r="S14" i="2"/>
  <c r="T14" i="2"/>
  <c r="U14" i="2"/>
  <c r="V14" i="2"/>
  <c r="X14" i="2"/>
  <c r="Y14" i="2"/>
  <c r="D15" i="2"/>
  <c r="E15" i="2"/>
  <c r="F15" i="2"/>
  <c r="G15" i="2"/>
  <c r="H15" i="2"/>
  <c r="J15" i="2"/>
  <c r="L15" i="2"/>
  <c r="M15" i="2"/>
  <c r="N15" i="2"/>
  <c r="P15" i="2"/>
  <c r="Q15" i="2"/>
  <c r="R15" i="2"/>
  <c r="S15" i="2"/>
  <c r="T15" i="2"/>
  <c r="U15" i="2"/>
  <c r="V15" i="2"/>
  <c r="W15" i="2"/>
  <c r="Y15" i="2"/>
  <c r="D16" i="2"/>
  <c r="E16" i="2"/>
  <c r="F16" i="2"/>
  <c r="G16" i="2"/>
  <c r="H16" i="2"/>
  <c r="I16" i="2"/>
  <c r="J16" i="2"/>
  <c r="K16" i="2"/>
  <c r="L16" i="2"/>
  <c r="M16" i="2"/>
  <c r="N16" i="2"/>
  <c r="P16" i="2"/>
  <c r="Q16" i="2"/>
  <c r="R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T17" i="2"/>
  <c r="Y17" i="2"/>
  <c r="D18" i="2"/>
  <c r="E18" i="2"/>
  <c r="F18" i="2"/>
  <c r="G18" i="2"/>
  <c r="H18" i="2"/>
  <c r="I18" i="2"/>
  <c r="J18" i="2"/>
  <c r="L18" i="2"/>
  <c r="M18" i="2"/>
  <c r="N18" i="2"/>
  <c r="P18" i="2"/>
  <c r="Q18" i="2"/>
  <c r="R18" i="2"/>
  <c r="U18" i="2"/>
  <c r="V18" i="2"/>
  <c r="W18" i="2"/>
  <c r="X18" i="2"/>
  <c r="Y18" i="2"/>
  <c r="D19" i="2"/>
  <c r="E19" i="2"/>
  <c r="F19" i="2"/>
  <c r="G19" i="2"/>
  <c r="H19" i="2"/>
  <c r="I19" i="2"/>
  <c r="J19" i="2"/>
  <c r="L19" i="2"/>
  <c r="M19" i="2"/>
  <c r="N19" i="2"/>
  <c r="P19" i="2"/>
  <c r="Q19" i="2"/>
  <c r="R19" i="2"/>
  <c r="W19" i="2"/>
  <c r="X19" i="2"/>
  <c r="Y19" i="2"/>
  <c r="D20" i="2"/>
  <c r="E20" i="2"/>
  <c r="F20" i="2"/>
  <c r="G20" i="2"/>
  <c r="H20" i="2"/>
  <c r="I20" i="2"/>
  <c r="J20" i="2"/>
  <c r="L20" i="2"/>
  <c r="N20" i="2"/>
  <c r="P20" i="2"/>
  <c r="Q20" i="2"/>
  <c r="R20" i="2"/>
  <c r="W20" i="2"/>
  <c r="X20" i="2"/>
  <c r="Y20" i="2"/>
  <c r="D21" i="2"/>
  <c r="E21" i="2"/>
  <c r="F21" i="2"/>
  <c r="G21" i="2"/>
  <c r="H21" i="2"/>
  <c r="I21" i="2"/>
  <c r="J21" i="2"/>
  <c r="L21" i="2"/>
  <c r="M21" i="2"/>
  <c r="N21" i="2"/>
  <c r="P21" i="2"/>
  <c r="Q21" i="2"/>
  <c r="R21" i="2"/>
  <c r="T21" i="2"/>
  <c r="U21" i="2"/>
  <c r="V21" i="2"/>
  <c r="W21" i="2"/>
  <c r="X21" i="2"/>
  <c r="Y21" i="2"/>
  <c r="W25" i="2"/>
  <c r="X25" i="2"/>
  <c r="P26" i="2"/>
  <c r="Q26" i="2"/>
  <c r="R26" i="2"/>
  <c r="T26" i="2"/>
  <c r="U26" i="2"/>
  <c r="V26" i="2"/>
  <c r="W26" i="2"/>
  <c r="X26" i="2"/>
  <c r="P27" i="2"/>
  <c r="Q27" i="2"/>
  <c r="R27" i="2"/>
  <c r="T27" i="2"/>
  <c r="U27" i="2"/>
  <c r="V27" i="2"/>
  <c r="W27" i="2"/>
  <c r="X27" i="2"/>
  <c r="P29" i="2"/>
  <c r="Q29" i="2"/>
  <c r="R29" i="2"/>
  <c r="T29" i="2"/>
  <c r="U29" i="2"/>
  <c r="V29" i="2"/>
  <c r="W29" i="2"/>
  <c r="X29" i="2"/>
  <c r="P30" i="2"/>
  <c r="Q30" i="2"/>
  <c r="R30" i="2"/>
  <c r="T30" i="2"/>
  <c r="U30" i="2"/>
  <c r="V30" i="2"/>
  <c r="W30" i="2"/>
  <c r="X30" i="2"/>
  <c r="P31" i="2"/>
  <c r="Q31" i="2"/>
  <c r="R31" i="2"/>
  <c r="T31" i="2"/>
  <c r="U31" i="2"/>
  <c r="V31" i="2"/>
  <c r="W31" i="2"/>
  <c r="X31" i="2"/>
  <c r="P32" i="2"/>
  <c r="Q32" i="2"/>
  <c r="R32" i="2"/>
  <c r="T32" i="2"/>
  <c r="U32" i="2"/>
  <c r="V32" i="2"/>
  <c r="W32" i="2"/>
  <c r="X32" i="2"/>
  <c r="P33" i="2"/>
  <c r="Q33" i="2"/>
  <c r="R33" i="2"/>
  <c r="T33" i="2"/>
  <c r="U33" i="2"/>
  <c r="V33" i="2"/>
  <c r="W33" i="2"/>
  <c r="X33" i="2"/>
  <c r="P34" i="2"/>
  <c r="Q34" i="2"/>
  <c r="R34" i="2"/>
  <c r="T34" i="2"/>
  <c r="U34" i="2"/>
  <c r="V34" i="2"/>
  <c r="W34" i="2"/>
  <c r="X34" i="2"/>
  <c r="P35" i="2"/>
  <c r="Q35" i="2"/>
  <c r="R35" i="2"/>
  <c r="T35" i="2"/>
  <c r="U35" i="2"/>
  <c r="V35" i="2"/>
  <c r="W35" i="2"/>
  <c r="X35" i="2"/>
  <c r="P36" i="2"/>
  <c r="Q36" i="2"/>
  <c r="R36" i="2"/>
  <c r="T36" i="2"/>
  <c r="U36" i="2"/>
  <c r="V36" i="2"/>
  <c r="W36" i="2"/>
  <c r="X36" i="2"/>
  <c r="C19" i="2"/>
  <c r="C20" i="2"/>
  <c r="C21" i="2"/>
  <c r="C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R10" i="1" l="1"/>
  <c r="W96" i="1" s="1"/>
  <c r="O24" i="2"/>
  <c r="J70" i="1"/>
  <c r="J60" i="1"/>
  <c r="N60" i="1" s="1"/>
  <c r="R71" i="1"/>
  <c r="N64" i="1"/>
  <c r="K21" i="2"/>
  <c r="J67" i="1"/>
  <c r="J61" i="1"/>
  <c r="N61" i="1" s="1"/>
  <c r="P51" i="1"/>
  <c r="O51" i="1"/>
  <c r="V62" i="1"/>
  <c r="Q62" i="1"/>
  <c r="L61" i="1"/>
  <c r="M20" i="2" s="1"/>
  <c r="D16" i="1"/>
  <c r="X65" i="1"/>
  <c r="S16" i="1" s="1"/>
  <c r="W65" i="1"/>
  <c r="R16" i="1" s="1"/>
  <c r="V65" i="1"/>
  <c r="Q16" i="1" s="1"/>
  <c r="U65" i="1"/>
  <c r="P16" i="1" s="1"/>
  <c r="P65" i="1"/>
  <c r="K16" i="1" s="1"/>
  <c r="O65" i="1"/>
  <c r="J16" i="1" s="1"/>
  <c r="D65" i="1"/>
  <c r="T65" i="1"/>
  <c r="O16" i="1" s="1"/>
  <c r="I109" i="1"/>
  <c r="I25" i="2"/>
  <c r="K81" i="1"/>
  <c r="L27" i="2" s="1"/>
  <c r="I112" i="1"/>
  <c r="I113" i="1" s="1"/>
  <c r="I114" i="1" s="1"/>
  <c r="K82" i="1" l="1"/>
  <c r="J81" i="1"/>
  <c r="K27" i="2" s="1"/>
  <c r="S10" i="1"/>
  <c r="X96" i="1" s="1"/>
  <c r="K24" i="2"/>
  <c r="U73" i="1"/>
  <c r="K19" i="2"/>
  <c r="N70" i="1"/>
  <c r="K23" i="2"/>
  <c r="N67" i="1"/>
  <c r="K22" i="2"/>
  <c r="K20" i="2"/>
  <c r="R64" i="1"/>
  <c r="S21" i="2" s="1"/>
  <c r="O21" i="2"/>
  <c r="Q65" i="1"/>
  <c r="L16" i="1" s="1"/>
  <c r="S65" i="1"/>
  <c r="N16" i="1" s="1"/>
  <c r="N65" i="1"/>
  <c r="W91" i="1"/>
  <c r="V91" i="1"/>
  <c r="S91" i="1"/>
  <c r="Q91" i="1"/>
  <c r="P91" i="1"/>
  <c r="O91" i="1"/>
  <c r="J79" i="1"/>
  <c r="K25" i="2" s="1"/>
  <c r="O20" i="2"/>
  <c r="O19" i="2"/>
  <c r="J82" i="1" l="1"/>
  <c r="K28" i="2" s="1"/>
  <c r="L28" i="2"/>
  <c r="P19" i="1"/>
  <c r="C19" i="1" s="1"/>
  <c r="E19" i="1" s="1"/>
  <c r="V24" i="2"/>
  <c r="N68" i="1"/>
  <c r="Q74" i="1"/>
  <c r="M18" i="1"/>
  <c r="N71" i="1"/>
  <c r="O23" i="2"/>
  <c r="S70" i="1"/>
  <c r="O22" i="2"/>
  <c r="R67" i="1"/>
  <c r="S22" i="2" s="1"/>
  <c r="R65" i="1"/>
  <c r="M16" i="1" s="1"/>
  <c r="C16" i="1" s="1"/>
  <c r="E16" i="1" s="1"/>
  <c r="N81" i="1"/>
  <c r="X62" i="1"/>
  <c r="P62" i="1"/>
  <c r="O62" i="1"/>
  <c r="D62" i="1"/>
  <c r="D74" i="1" s="1"/>
  <c r="R61" i="1"/>
  <c r="R60" i="1"/>
  <c r="X81" i="1" l="1"/>
  <c r="Y27" i="2" s="1"/>
  <c r="O27" i="2"/>
  <c r="S27" i="2"/>
  <c r="V67" i="1"/>
  <c r="W22" i="2" s="1"/>
  <c r="U67" i="1"/>
  <c r="V22" i="2" s="1"/>
  <c r="S15" i="1"/>
  <c r="X74" i="1"/>
  <c r="J15" i="1"/>
  <c r="O74" i="1"/>
  <c r="K15" i="1"/>
  <c r="P74" i="1"/>
  <c r="T67" i="1"/>
  <c r="U22" i="2" s="1"/>
  <c r="N18" i="1"/>
  <c r="C18" i="1" s="1"/>
  <c r="E18" i="1" s="1"/>
  <c r="T23" i="2"/>
  <c r="S71" i="1"/>
  <c r="S67" i="1"/>
  <c r="T22" i="2" s="1"/>
  <c r="M17" i="1"/>
  <c r="R68" i="1"/>
  <c r="R62" i="1"/>
  <c r="S19" i="2"/>
  <c r="S61" i="1"/>
  <c r="S20" i="2"/>
  <c r="L15" i="1"/>
  <c r="Q15" i="1"/>
  <c r="S60" i="1"/>
  <c r="T19" i="2" s="1"/>
  <c r="N62" i="1"/>
  <c r="D21" i="1"/>
  <c r="D15" i="1"/>
  <c r="J21" i="1"/>
  <c r="K21" i="1"/>
  <c r="L21" i="1"/>
  <c r="N21" i="1"/>
  <c r="Q21" i="1"/>
  <c r="R21" i="1"/>
  <c r="K80" i="1"/>
  <c r="L26" i="2" s="1"/>
  <c r="V68" i="1" l="1"/>
  <c r="V74" i="1" s="1"/>
  <c r="Q17" i="1"/>
  <c r="R74" i="1"/>
  <c r="O17" i="1"/>
  <c r="T68" i="1"/>
  <c r="N74" i="1"/>
  <c r="P17" i="1"/>
  <c r="U68" i="1"/>
  <c r="N17" i="1"/>
  <c r="S68" i="1"/>
  <c r="T61" i="1"/>
  <c r="T20" i="2"/>
  <c r="M15" i="1"/>
  <c r="S62" i="1"/>
  <c r="T60" i="1"/>
  <c r="U19" i="2" s="1"/>
  <c r="J57" i="1"/>
  <c r="N54" i="1"/>
  <c r="O17" i="2" s="1"/>
  <c r="N53" i="1"/>
  <c r="O16" i="2" s="1"/>
  <c r="J39" i="1"/>
  <c r="J38" i="1"/>
  <c r="C17" i="1" l="1"/>
  <c r="E17" i="1" s="1"/>
  <c r="S74" i="1"/>
  <c r="N39" i="1"/>
  <c r="O4" i="2" s="1"/>
  <c r="K4" i="2"/>
  <c r="N57" i="1"/>
  <c r="K18" i="2"/>
  <c r="N37" i="1"/>
  <c r="O2" i="2" s="1"/>
  <c r="K2" i="2"/>
  <c r="N38" i="1"/>
  <c r="O3" i="2" s="1"/>
  <c r="K3" i="2"/>
  <c r="U20" i="2"/>
  <c r="U61" i="1"/>
  <c r="N15" i="1"/>
  <c r="T62" i="1"/>
  <c r="T74" i="1" s="1"/>
  <c r="U60" i="1"/>
  <c r="O18" i="2" l="1"/>
  <c r="S57" i="1"/>
  <c r="T18" i="2" s="1"/>
  <c r="K83" i="1"/>
  <c r="L29" i="2" s="1"/>
  <c r="V19" i="2"/>
  <c r="W62" i="1"/>
  <c r="V20" i="2"/>
  <c r="U62" i="1"/>
  <c r="O15" i="1"/>
  <c r="J83" i="1" l="1"/>
  <c r="K29" i="2" s="1"/>
  <c r="K84" i="1"/>
  <c r="L30" i="2" s="1"/>
  <c r="R15" i="1"/>
  <c r="W74" i="1"/>
  <c r="P15" i="1"/>
  <c r="U74" i="1"/>
  <c r="C15" i="1" l="1"/>
  <c r="E15" i="1" s="1"/>
  <c r="K85" i="1"/>
  <c r="K86" i="1" l="1"/>
  <c r="L32" i="2" s="1"/>
  <c r="L31" i="2"/>
  <c r="K87" i="1"/>
  <c r="L33" i="2" s="1"/>
  <c r="J87" i="1" l="1"/>
  <c r="K33" i="2" s="1"/>
  <c r="K88" i="1"/>
  <c r="L34" i="2" s="1"/>
  <c r="J88" i="1" l="1"/>
  <c r="K34" i="2" s="1"/>
  <c r="K89" i="1"/>
  <c r="L35" i="2" s="1"/>
  <c r="J89" i="1" l="1"/>
  <c r="K35" i="2" s="1"/>
  <c r="K90" i="1"/>
  <c r="L36" i="2" s="1"/>
  <c r="J90" i="1" l="1"/>
  <c r="K36" i="2" s="1"/>
  <c r="L110" i="1"/>
  <c r="I111" i="1"/>
  <c r="I110" i="1"/>
  <c r="P97" i="1"/>
  <c r="Q97" i="1"/>
  <c r="R97" i="1"/>
  <c r="S97" i="1"/>
  <c r="T97" i="1"/>
  <c r="U97" i="1"/>
  <c r="V97" i="1"/>
  <c r="W97" i="1"/>
  <c r="X97" i="1"/>
  <c r="D96" i="1"/>
  <c r="L111" i="1" l="1"/>
  <c r="L112" i="1" s="1"/>
  <c r="L113" i="1" s="1"/>
  <c r="L114" i="1" s="1"/>
  <c r="L109" i="1"/>
  <c r="D102" i="1"/>
  <c r="N102" i="1" s="1"/>
  <c r="Q102" i="1" s="1"/>
  <c r="D109" i="1"/>
  <c r="D111" i="1"/>
  <c r="N111" i="1" s="1"/>
  <c r="V111" i="1" s="1"/>
  <c r="D98" i="1"/>
  <c r="N98" i="1" s="1"/>
  <c r="D110" i="1"/>
  <c r="N110" i="1" s="1"/>
  <c r="T110" i="1" s="1"/>
  <c r="D100" i="1"/>
  <c r="N100" i="1" s="1"/>
  <c r="Q100" i="1" s="1"/>
  <c r="D103" i="1"/>
  <c r="N103" i="1" s="1"/>
  <c r="Q103" i="1" s="1"/>
  <c r="D99" i="1"/>
  <c r="N99" i="1" s="1"/>
  <c r="D101" i="1"/>
  <c r="N101" i="1" s="1"/>
  <c r="Q101" i="1" s="1"/>
  <c r="D113" i="1"/>
  <c r="D112" i="1"/>
  <c r="N112" i="1" s="1"/>
  <c r="X112" i="1" s="1"/>
  <c r="D114" i="1"/>
  <c r="D104" i="1"/>
  <c r="N104" i="1" s="1"/>
  <c r="Q104" i="1" s="1"/>
  <c r="O97" i="1"/>
  <c r="O58" i="1"/>
  <c r="J14" i="1" s="1"/>
  <c r="P58" i="1"/>
  <c r="K14" i="1" s="1"/>
  <c r="Q58" i="1"/>
  <c r="L14" i="1" s="1"/>
  <c r="S58" i="1"/>
  <c r="N14" i="1" s="1"/>
  <c r="T58" i="1"/>
  <c r="O14" i="1" s="1"/>
  <c r="U58" i="1"/>
  <c r="P14" i="1" s="1"/>
  <c r="V58" i="1"/>
  <c r="Q14" i="1" s="1"/>
  <c r="W58" i="1"/>
  <c r="R14" i="1" s="1"/>
  <c r="X58" i="1"/>
  <c r="S14" i="1" s="1"/>
  <c r="O55" i="1"/>
  <c r="J13" i="1" s="1"/>
  <c r="P55" i="1"/>
  <c r="K13" i="1" s="1"/>
  <c r="Q55" i="1"/>
  <c r="L13" i="1" s="1"/>
  <c r="X55" i="1"/>
  <c r="S13" i="1" s="1"/>
  <c r="X51" i="1"/>
  <c r="S12" i="1" s="1"/>
  <c r="K12" i="1"/>
  <c r="J12" i="1"/>
  <c r="D58" i="1"/>
  <c r="D55" i="1"/>
  <c r="D51" i="1"/>
  <c r="D13" i="1"/>
  <c r="D14" i="1"/>
  <c r="T54" i="1"/>
  <c r="U17" i="2" s="1"/>
  <c r="J85" i="1"/>
  <c r="K31" i="2" s="1"/>
  <c r="H50" i="1"/>
  <c r="H49" i="1"/>
  <c r="H48" i="1"/>
  <c r="H47" i="1"/>
  <c r="H46" i="1"/>
  <c r="H45" i="1"/>
  <c r="I10" i="2" s="1"/>
  <c r="H44" i="1"/>
  <c r="H43" i="1"/>
  <c r="H42" i="1"/>
  <c r="H41" i="1"/>
  <c r="H40" i="1"/>
  <c r="J40" i="1" s="1"/>
  <c r="K20" i="1" l="1"/>
  <c r="D20" i="1"/>
  <c r="D22" i="1" s="1"/>
  <c r="J20" i="1"/>
  <c r="S20" i="1"/>
  <c r="N109" i="1"/>
  <c r="T109" i="1" s="1"/>
  <c r="J46" i="1"/>
  <c r="I11" i="2"/>
  <c r="J48" i="1"/>
  <c r="I13" i="2"/>
  <c r="J47" i="1"/>
  <c r="I12" i="2"/>
  <c r="J49" i="1"/>
  <c r="I14" i="2"/>
  <c r="J50" i="1"/>
  <c r="I15" i="2"/>
  <c r="J44" i="1"/>
  <c r="I9" i="2"/>
  <c r="J43" i="1"/>
  <c r="I8" i="2"/>
  <c r="J41" i="1"/>
  <c r="I6" i="2"/>
  <c r="J80" i="1"/>
  <c r="K26" i="2" s="1"/>
  <c r="I5" i="2"/>
  <c r="J42" i="1"/>
  <c r="I7" i="2"/>
  <c r="D115" i="1"/>
  <c r="D27" i="1" s="1"/>
  <c r="J45" i="1"/>
  <c r="N113" i="1"/>
  <c r="X113" i="1" s="1"/>
  <c r="D105" i="1"/>
  <c r="D26" i="1" s="1"/>
  <c r="N114" i="1"/>
  <c r="X114" i="1" s="1"/>
  <c r="N55" i="1"/>
  <c r="U54" i="1"/>
  <c r="V17" i="2" s="1"/>
  <c r="S53" i="1"/>
  <c r="D24" i="1" l="1"/>
  <c r="S16" i="2"/>
  <c r="T53" i="1"/>
  <c r="U53" i="1" s="1"/>
  <c r="V53" i="1" s="1"/>
  <c r="K22" i="1"/>
  <c r="J22" i="1"/>
  <c r="N45" i="1"/>
  <c r="K10" i="2"/>
  <c r="N49" i="1"/>
  <c r="O14" i="2" s="1"/>
  <c r="K14" i="2"/>
  <c r="N48" i="1"/>
  <c r="O13" i="2" s="1"/>
  <c r="K13" i="2"/>
  <c r="N47" i="1"/>
  <c r="O12" i="2" s="1"/>
  <c r="K12" i="2"/>
  <c r="N50" i="1"/>
  <c r="O15" i="2" s="1"/>
  <c r="K15" i="2"/>
  <c r="N46" i="1"/>
  <c r="O11" i="2" s="1"/>
  <c r="K11" i="2"/>
  <c r="N41" i="1"/>
  <c r="K6" i="2"/>
  <c r="N43" i="1"/>
  <c r="K8" i="2"/>
  <c r="N42" i="1"/>
  <c r="K7" i="2"/>
  <c r="N40" i="1"/>
  <c r="O5" i="2" s="1"/>
  <c r="K5" i="2"/>
  <c r="N44" i="1"/>
  <c r="K9" i="2"/>
  <c r="V54" i="1"/>
  <c r="W17" i="2" s="1"/>
  <c r="R55" i="1"/>
  <c r="M13" i="1" s="1"/>
  <c r="T16" i="2" l="1"/>
  <c r="J29" i="1"/>
  <c r="J30" i="1" s="1"/>
  <c r="J24" i="1"/>
  <c r="K29" i="1"/>
  <c r="K30" i="1" s="1"/>
  <c r="K24" i="1"/>
  <c r="O6" i="2"/>
  <c r="S41" i="1"/>
  <c r="O9" i="2"/>
  <c r="U44" i="1"/>
  <c r="V9" i="2" s="1"/>
  <c r="O7" i="2"/>
  <c r="T42" i="1"/>
  <c r="U7" i="2" s="1"/>
  <c r="O8" i="2"/>
  <c r="U43" i="1"/>
  <c r="V8" i="2" s="1"/>
  <c r="V45" i="1"/>
  <c r="W10" i="2" s="1"/>
  <c r="O10" i="2"/>
  <c r="V55" i="1"/>
  <c r="Q13" i="1" s="1"/>
  <c r="W54" i="1"/>
  <c r="X17" i="2" s="1"/>
  <c r="U16" i="2"/>
  <c r="S55" i="1"/>
  <c r="N13" i="1" s="1"/>
  <c r="W55" i="1" l="1"/>
  <c r="R13" i="1" s="1"/>
  <c r="V16" i="2"/>
  <c r="T55" i="1"/>
  <c r="O13" i="1" s="1"/>
  <c r="U55" i="1" l="1"/>
  <c r="P13" i="1" l="1"/>
  <c r="C13" i="1" s="1"/>
  <c r="E13" i="1" s="1"/>
  <c r="V115" i="1" l="1"/>
  <c r="Q27" i="1" s="1"/>
  <c r="N79" i="1"/>
  <c r="X79" i="1" s="1"/>
  <c r="Y25" i="2" s="1"/>
  <c r="N80" i="1"/>
  <c r="U91" i="1"/>
  <c r="P21" i="1" s="1"/>
  <c r="N82" i="1"/>
  <c r="N83" i="1"/>
  <c r="N85" i="1"/>
  <c r="X85" i="1" l="1"/>
  <c r="Y32" i="2" s="1"/>
  <c r="O31" i="2"/>
  <c r="X82" i="1"/>
  <c r="O28" i="2"/>
  <c r="X83" i="1"/>
  <c r="Y30" i="2" s="1"/>
  <c r="O29" i="2"/>
  <c r="X80" i="1"/>
  <c r="Y26" i="2" s="1"/>
  <c r="O26" i="2"/>
  <c r="O25" i="2"/>
  <c r="S26" i="2"/>
  <c r="S30" i="2"/>
  <c r="S33" i="2"/>
  <c r="S32" i="2"/>
  <c r="S29" i="2"/>
  <c r="S25" i="2"/>
  <c r="S31" i="2"/>
  <c r="T91" i="1"/>
  <c r="O21" i="1" s="1"/>
  <c r="N51" i="1"/>
  <c r="T115" i="1"/>
  <c r="O27" i="1" s="1"/>
  <c r="N115" i="1"/>
  <c r="N105" i="1"/>
  <c r="Q105" i="1"/>
  <c r="X115" i="1"/>
  <c r="S27" i="1" s="1"/>
  <c r="S18" i="2"/>
  <c r="T40" i="1"/>
  <c r="U5" i="2" s="1"/>
  <c r="R39" i="1"/>
  <c r="R37" i="1"/>
  <c r="T6" i="2"/>
  <c r="R38" i="1"/>
  <c r="U46" i="1"/>
  <c r="W50" i="1"/>
  <c r="X15" i="2" s="1"/>
  <c r="V49" i="1"/>
  <c r="W14" i="2" s="1"/>
  <c r="U48" i="1"/>
  <c r="U47" i="1"/>
  <c r="Y29" i="2" l="1"/>
  <c r="Y28" i="2"/>
  <c r="L26" i="1"/>
  <c r="C26" i="1"/>
  <c r="C27" i="1"/>
  <c r="R51" i="1"/>
  <c r="Q51" i="1"/>
  <c r="L12" i="1" s="1"/>
  <c r="V13" i="2"/>
  <c r="V11" i="2"/>
  <c r="V12" i="2"/>
  <c r="U9" i="2"/>
  <c r="U8" i="2"/>
  <c r="T7" i="2"/>
  <c r="N87" i="1"/>
  <c r="T51" i="1"/>
  <c r="O12" i="1" s="1"/>
  <c r="S51" i="1"/>
  <c r="N12" i="1" s="1"/>
  <c r="R58" i="1"/>
  <c r="M14" i="1" s="1"/>
  <c r="C14" i="1" s="1"/>
  <c r="N58" i="1"/>
  <c r="V51" i="1"/>
  <c r="Q12" i="1" s="1"/>
  <c r="W51" i="1"/>
  <c r="R12" i="1" s="1"/>
  <c r="U51" i="1"/>
  <c r="P12" i="1" s="1"/>
  <c r="X87" i="1" l="1"/>
  <c r="Y34" i="2" s="1"/>
  <c r="O33" i="2"/>
  <c r="C12" i="1"/>
  <c r="E12" i="1" s="1"/>
  <c r="J84" i="1"/>
  <c r="K30" i="2" s="1"/>
  <c r="O20" i="1"/>
  <c r="M20" i="1"/>
  <c r="P20" i="1"/>
  <c r="R20" i="1"/>
  <c r="R22" i="1" s="1"/>
  <c r="Q20" i="1"/>
  <c r="N20" i="1"/>
  <c r="L20" i="1"/>
  <c r="N89" i="1"/>
  <c r="O35" i="2" s="1"/>
  <c r="N88" i="1"/>
  <c r="E14" i="1"/>
  <c r="X88" i="1" l="1"/>
  <c r="Y35" i="2" s="1"/>
  <c r="O34" i="2"/>
  <c r="R24" i="1"/>
  <c r="R29" i="1"/>
  <c r="R30" i="1" s="1"/>
  <c r="L22" i="1"/>
  <c r="L29" i="1" s="1"/>
  <c r="L30" i="1" s="1"/>
  <c r="C20" i="1"/>
  <c r="O22" i="1"/>
  <c r="S36" i="2"/>
  <c r="X89" i="1"/>
  <c r="Y36" i="2" s="1"/>
  <c r="N84" i="1"/>
  <c r="O30" i="2" s="1"/>
  <c r="P22" i="1"/>
  <c r="N22" i="1"/>
  <c r="Q22" i="1"/>
  <c r="N90" i="1"/>
  <c r="O36" i="2" s="1"/>
  <c r="S35" i="2"/>
  <c r="S34" i="2"/>
  <c r="O29" i="1" l="1"/>
  <c r="O30" i="1" s="1"/>
  <c r="O24" i="1"/>
  <c r="Q24" i="1"/>
  <c r="Q29" i="1"/>
  <c r="Q30" i="1" s="1"/>
  <c r="E20" i="1"/>
  <c r="N29" i="1"/>
  <c r="N30" i="1" s="1"/>
  <c r="N24" i="1"/>
  <c r="L24" i="1"/>
  <c r="P24" i="1"/>
  <c r="P29" i="1"/>
  <c r="P30" i="1" s="1"/>
  <c r="X90" i="1"/>
  <c r="J86" i="1"/>
  <c r="K32" i="2" s="1"/>
  <c r="X84" i="1"/>
  <c r="Y31" i="2" l="1"/>
  <c r="N86" i="1"/>
  <c r="O32" i="2" s="1"/>
  <c r="R91" i="1"/>
  <c r="M21" i="1" s="1"/>
  <c r="M22" i="1" l="1"/>
  <c r="N91" i="1"/>
  <c r="X86" i="1"/>
  <c r="M29" i="1" l="1"/>
  <c r="M30" i="1" s="1"/>
  <c r="M24" i="1"/>
  <c r="Y33" i="2"/>
  <c r="X91" i="1"/>
  <c r="S21" i="1" s="1"/>
  <c r="S22" i="1" l="1"/>
  <c r="S29" i="1" s="1"/>
  <c r="S30" i="1" s="1"/>
  <c r="C30" i="1" s="1"/>
  <c r="C21" i="1"/>
  <c r="C22" i="1" l="1"/>
  <c r="E22" i="1" s="1"/>
  <c r="E21" i="1"/>
  <c r="S24" i="1"/>
  <c r="C24" i="1" s="1"/>
  <c r="E24" i="1" s="1"/>
  <c r="C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tc={9A6E298F-0F30-634E-B3E7-67B0B20F7499}</author>
  </authors>
  <commentList>
    <comment ref="M12" authorId="0" shapeId="0" xr:uid="{9A6E298F-0F30-634E-B3E7-67B0B20F7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Foi pago um valor a mais de USD 342,869.76 ao invés de USD 331,504. O valor será abatido numa futura venda.</t>
      </text>
    </comment>
  </commentList>
</comments>
</file>

<file path=xl/sharedStrings.xml><?xml version="1.0" encoding="utf-8"?>
<sst xmlns="http://schemas.openxmlformats.org/spreadsheetml/2006/main" count="313" uniqueCount="115">
  <si>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</si>
  <si>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</si>
  <si>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</si>
  <si>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</si>
  <si>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</si>
  <si>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</si>
  <si>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</si>
  <si>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</si>
  <si>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</si>
  <si>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</si>
  <si>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</si>
  <si>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</si>
  <si>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</si>
  <si>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</si>
  <si>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</si>
  <si>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</si>
  <si>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</si>
  <si>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</si>
  <si>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</si>
  <si>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</si>
  <si>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</si>
  <si>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</si>
  <si>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Preço (cts/lb) *</t>
  </si>
  <si>
    <t>Xorxos</t>
  </si>
  <si>
    <t>Southland</t>
  </si>
  <si>
    <t>031/24</t>
  </si>
  <si>
    <t>032/24</t>
  </si>
  <si>
    <t>-</t>
  </si>
  <si>
    <t>4x</t>
  </si>
  <si>
    <t>021/24</t>
  </si>
  <si>
    <t>Estimativa</t>
  </si>
  <si>
    <t>em aberto</t>
  </si>
  <si>
    <t>Preços NY</t>
  </si>
  <si>
    <t>TOTAL</t>
  </si>
  <si>
    <t>Sub-total Unroasted</t>
  </si>
  <si>
    <t>Sub-total Southland</t>
  </si>
  <si>
    <t>Sub-total Xorxos</t>
  </si>
  <si>
    <t>Sub-total Estimativa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</si>
  <si>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</si>
  <si>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</si>
  <si>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</si>
  <si>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</si>
  <si>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</si>
  <si>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</si>
  <si>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</si>
  <si>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</si>
  <si>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</si>
  <si>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</si>
  <si>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</si>
  <si>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Result. (U$)</t>
  </si>
  <si>
    <t>Média (U$/sc)</t>
  </si>
  <si>
    <t>Vendas contratadas</t>
  </si>
  <si>
    <t>Vendas estimadas</t>
  </si>
  <si>
    <t>Hedges liquidados</t>
  </si>
  <si>
    <t xml:space="preserve">Hedges em aberto </t>
  </si>
  <si>
    <t>Sub-total Hedge Liquidado</t>
  </si>
  <si>
    <t>Sub-total Hedge Ativos</t>
  </si>
  <si>
    <t>referência</t>
  </si>
  <si>
    <t>preço</t>
  </si>
  <si>
    <t>Vendas Contratadas</t>
  </si>
  <si>
    <t>Los Baristas</t>
  </si>
  <si>
    <t>033/24</t>
  </si>
  <si>
    <t>034/24</t>
  </si>
  <si>
    <t>1+3</t>
  </si>
  <si>
    <t>* em reais</t>
  </si>
  <si>
    <t>obs. (1) o preço refere-se ao preço em que o contrato foi liquidado ou contrato futuro mais próximo.</t>
  </si>
  <si>
    <t>17/18</t>
  </si>
  <si>
    <t>16/18</t>
  </si>
  <si>
    <t>14/16</t>
  </si>
  <si>
    <t>14/15</t>
  </si>
  <si>
    <t>Bica</t>
  </si>
  <si>
    <t>FVR</t>
  </si>
  <si>
    <t>Grinders</t>
  </si>
  <si>
    <t>Fundo</t>
  </si>
  <si>
    <t>Escolha</t>
  </si>
  <si>
    <t>Resíduo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</si>
  <si>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</si>
  <si>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</si>
  <si>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</si>
  <si>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</si>
  <si>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</si>
  <si>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</si>
  <si>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</si>
  <si>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</si>
  <si>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</si>
  <si>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</si>
  <si>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</si>
  <si>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</si>
  <si>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</si>
  <si>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</si>
  <si>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</si>
  <si>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</si>
  <si>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</si>
  <si>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</si>
  <si>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Interno</t>
  </si>
  <si>
    <t>Mundo Novo Café</t>
  </si>
  <si>
    <t>037/24</t>
  </si>
  <si>
    <t>50% + 4</t>
  </si>
  <si>
    <t>Melitta</t>
  </si>
  <si>
    <t>45 dias</t>
  </si>
  <si>
    <t>038/24</t>
  </si>
  <si>
    <t>Quadro Resumo</t>
  </si>
  <si>
    <t>Emporia GMBH</t>
  </si>
  <si>
    <t>039/24</t>
  </si>
  <si>
    <t>us/sc</t>
  </si>
  <si>
    <t>obs. (1) o preço refere-se ao preço fixado pelo cliente ou contrato futuro mais próximo ou hedge; (2) última estimativa enviada em 10/12/24.</t>
  </si>
  <si>
    <t>hedge</t>
  </si>
  <si>
    <t>referência:</t>
  </si>
  <si>
    <t>TOTAL (R$)</t>
  </si>
  <si>
    <t>Resultado Líquido</t>
  </si>
  <si>
    <t>Resultado Líquido (R$)</t>
  </si>
  <si>
    <t>Hedges Liquidad. (US)</t>
  </si>
  <si>
    <t>Hedges Abertos (U$)</t>
  </si>
  <si>
    <t>Data de fechamento:</t>
  </si>
  <si>
    <t>Controle de Vendas - Fazenda São Pedro da Canastra - Safra 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</si>
</sst>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/yy"/>
    <numFmt numFmtId="165" formatCode="0.0000"/>
    <numFmt numFmtId="166" formatCode="0.000"/>
    <numFmt numFmtId="167" formatCode="#,##0_ ;[Red]\-#,##0\ "/>
    <numFmt numFmtId="168" formatCode="0.0"/>
    <numFmt numFmtId="169" formatCode="[$]dd/mm/yy;@" x16r2:formatCode16="[$-en-BR,1]dd/mm/yy;@"/>
  </numFmts>
  <fonts count="11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  <font>
      <sz val="10"/>
      <color theme="0" tint="-0.34998626667073579"/>
      <name val="Aptos Narrow"/>
      <scheme val="minor"/>
    </font>
    <font>
      <b/>
      <sz val="10"/>
      <color theme="0"/>
      <name val="Aptos Narrow"/>
      <scheme val="minor"/>
    </font>
    <font>
      <sz val="10"/>
      <color theme="6" tint="0.59999389629810485"/>
      <name val="Aptos Narrow"/>
      <scheme val="minor"/>
    </font>
    <font>
      <b/>
      <sz val="10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5" borderId="0" xfId="0" applyFont="1" applyFill="1"/>
    <xf numFmtId="3" fontId="3" fillId="5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67" fontId="1" fillId="4" borderId="0" xfId="0" applyNumberFormat="1" applyFont="1" applyFill="1" applyAlignment="1">
      <alignment horizontal="center"/>
    </xf>
    <xf numFmtId="168" fontId="1" fillId="4" borderId="0" xfId="0" applyNumberFormat="1" applyFont="1" applyFill="1" applyAlignment="1">
      <alignment horizontal="center"/>
    </xf>
    <xf numFmtId="0" fontId="3" fillId="0" borderId="0" xfId="0" applyFont="1"/>
    <xf numFmtId="0" fontId="1" fillId="7" borderId="0" xfId="0" applyFont="1" applyFill="1"/>
    <xf numFmtId="3" fontId="1" fillId="7" borderId="0" xfId="0" applyNumberFormat="1" applyFont="1" applyFill="1" applyAlignment="1">
      <alignment horizontal="center"/>
    </xf>
    <xf numFmtId="3" fontId="1" fillId="8" borderId="0" xfId="0" applyNumberFormat="1" applyFont="1" applyFill="1" applyAlignment="1">
      <alignment horizontal="center"/>
    </xf>
    <xf numFmtId="0" fontId="8" fillId="9" borderId="0" xfId="0" applyFont="1" applyFill="1"/>
    <xf numFmtId="3" fontId="8" fillId="9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4" fontId="2" fillId="11" borderId="0" xfId="0" applyNumberFormat="1" applyFont="1" applyFill="1" applyAlignment="1">
      <alignment horizontal="center"/>
    </xf>
    <xf numFmtId="169" fontId="3" fillId="2" borderId="0" xfId="0" applyNumberFormat="1" applyFont="1" applyFill="1" applyAlignment="1">
      <alignment horizontal="center"/>
    </xf>
    <xf numFmtId="169" fontId="3" fillId="5" borderId="0" xfId="0" applyNumberFormat="1" applyFont="1" applyFill="1" applyAlignment="1">
      <alignment horizontal="center"/>
    </xf>
    <xf numFmtId="169" fontId="1" fillId="4" borderId="0" xfId="0" applyNumberFormat="1" applyFont="1" applyFill="1"/>
    <xf numFmtId="169" fontId="1" fillId="2" borderId="0" xfId="0" applyNumberFormat="1" applyFont="1" applyFill="1"/>
    <xf numFmtId="169" fontId="1" fillId="4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3" fontId="8" fillId="2" borderId="0" xfId="0" applyNumberFormat="1" applyFont="1" applyFill="1" applyAlignment="1">
      <alignment horizontal="center"/>
    </xf>
    <xf numFmtId="0" fontId="3" fillId="8" borderId="0" xfId="0" applyFont="1" applyFill="1"/>
    <xf numFmtId="3" fontId="3" fillId="8" borderId="0" xfId="0" applyNumberFormat="1" applyFont="1" applyFill="1" applyAlignment="1">
      <alignment horizontal="center"/>
    </xf>
    <xf numFmtId="3" fontId="10" fillId="10" borderId="0" xfId="0" applyNumberFormat="1" applyFont="1" applyFill="1" applyAlignment="1">
      <alignment horizontal="center"/>
    </xf>
    <xf numFmtId="0" fontId="1" fillId="10" borderId="0" xfId="0" applyFont="1" applyFill="1"/>
    <xf numFmtId="3" fontId="1" fillId="10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4-12-10T18:14:29.52" personId="{13DA6435-8028-7E4E-8BAC-E13216844B55}" id="{9A6E298F-0F30-634E-B3E7-67B0B20F7499}">
    <text>Foi pago um valor a mais de USD 342,869.76 ao invés de USD 331,504. O valor será abatido numa futura venda.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dimension ref="A1:Y36"/>
  <sheetViews>
    <sheetView tabSelected="1" zoomScale="80" zoomScaleNormal="80" workbookViewId="0">
      <selection activeCell="I42" sqref="I42"/>
    </sheetView>
  </sheetViews>
  <sheetFormatPr baseColWidth="10" defaultRowHeight="14" x14ac:dyDescent="0.2"/>
  <cols>
    <col min="1" max="16384" width="10.83203125" style="45"/>
  </cols>
  <sheetData>
    <row r="1" spans="1:25" x14ac:dyDescent="0.2">
      <c r="A1" s="13" t="s">
        <v>79</v>
      </c>
      <c r="B1" s="13" t="s">
        <v>92</v>
      </c>
      <c r="C1" s="13" t="s">
        <v>16</v>
      </c>
      <c r="D1" s="13" t="s">
        <v>15</v>
      </c>
      <c r="E1" s="8" t="s">
        <v>14</v>
      </c>
      <c r="F1" s="8" t="s">
        <v>80</v>
      </c>
      <c r="G1" s="8" t="s">
        <v>81</v>
      </c>
      <c r="H1" s="8" t="s">
        <v>13</v>
      </c>
      <c r="I1" s="8" t="s">
        <v>22</v>
      </c>
      <c r="J1" s="8" t="s">
        <v>17</v>
      </c>
      <c r="K1" s="8" t="s">
        <v>18</v>
      </c>
      <c r="L1" s="8" t="s">
        <v>57</v>
      </c>
      <c r="M1" s="29" t="s">
        <v>20</v>
      </c>
      <c r="N1" s="14" t="s">
        <v>21</v>
      </c>
      <c r="O1" s="14" t="s">
        <v>19</v>
      </c>
      <c r="P1" s="14">
        <v>45536</v>
      </c>
      <c r="Q1" s="14">
        <v>45566</v>
      </c>
      <c r="R1" s="14">
        <v>45597</v>
      </c>
      <c r="S1" s="14">
        <v>45627</v>
      </c>
      <c r="T1" s="14">
        <v>45658</v>
      </c>
      <c r="U1" s="14">
        <v>45689</v>
      </c>
      <c r="V1" s="14">
        <v>45717</v>
      </c>
      <c r="W1" s="14">
        <v>45748</v>
      </c>
      <c r="X1" s="14">
        <v>45778</v>
      </c>
      <c r="Y1" s="14" t="s">
        <v>31</v>
      </c>
    </row>
    <row r="2" spans="1:25" x14ac:dyDescent="0.2">
      <c r="A2" s="10">
        <v>2024</v>
      </c>
      <c r="B2" s="9" t="s">
        <v>93</v>
      </c>
      <c r="C2" s="9" t="str">
        <f>Sheet1!B37</f>
        <v>Unroasted</v>
      </c>
      <c r="D2" s="10" t="str">
        <f>Sheet1!C37</f>
        <v>018/24</v>
      </c>
      <c r="E2" s="10">
        <f>Sheet1!D37</f>
        <v>320</v>
      </c>
      <c r="F2" s="10" t="str">
        <f>Sheet1!E37</f>
        <v>16/18</v>
      </c>
      <c r="G2" s="10" t="str">
        <f>Sheet1!F37</f>
        <v>Fine Cup</v>
      </c>
      <c r="H2" s="10">
        <f>Sheet1!G37</f>
        <v>10</v>
      </c>
      <c r="I2" s="12">
        <f>Sheet1!H37</f>
        <v>251.05</v>
      </c>
      <c r="J2" s="12">
        <f>Sheet1!I37</f>
        <v>245</v>
      </c>
      <c r="K2" s="12">
        <f>Sheet1!J37</f>
        <v>345.31693999999999</v>
      </c>
      <c r="L2" s="10" t="str">
        <f>Sheet1!K37</f>
        <v>preço</v>
      </c>
      <c r="M2" s="18">
        <f>Sheet1!L37</f>
        <v>45564</v>
      </c>
      <c r="N2" s="10">
        <f>Sheet1!M37</f>
        <v>60</v>
      </c>
      <c r="O2" s="15">
        <f>Sheet1!N37</f>
        <v>110501.42079999999</v>
      </c>
      <c r="P2" s="15">
        <f>Sheet1!O37</f>
        <v>0</v>
      </c>
      <c r="Q2" s="15">
        <f>Sheet1!P37</f>
        <v>0</v>
      </c>
      <c r="R2" s="15">
        <f>Sheet1!Q37</f>
        <v>0</v>
      </c>
      <c r="S2" s="15">
        <f>342869.76/3</f>
        <v>114289.92</v>
      </c>
      <c r="T2" s="15">
        <f>Sheet1!S37</f>
        <v>0</v>
      </c>
      <c r="U2" s="15">
        <f>Sheet1!T37</f>
        <v>0</v>
      </c>
      <c r="V2" s="15">
        <f>Sheet1!U37</f>
        <v>0</v>
      </c>
      <c r="W2" s="15">
        <f>Sheet1!V37</f>
        <v>0</v>
      </c>
      <c r="X2" s="15">
        <f>Sheet1!W37</f>
        <v>0</v>
      </c>
      <c r="Y2" s="15">
        <f>Sheet1!X37</f>
        <v>0</v>
      </c>
    </row>
    <row r="3" spans="1:25" x14ac:dyDescent="0.2">
      <c r="A3" s="20">
        <v>2024</v>
      </c>
      <c r="B3" s="16" t="s">
        <v>93</v>
      </c>
      <c r="C3" s="16" t="str">
        <f>Sheet1!B38</f>
        <v>Unroasted</v>
      </c>
      <c r="D3" s="20" t="str">
        <f>Sheet1!C38</f>
        <v>019/24</v>
      </c>
      <c r="E3" s="20">
        <f>Sheet1!D38</f>
        <v>320</v>
      </c>
      <c r="F3" s="20" t="str">
        <f>Sheet1!E38</f>
        <v>16/18</v>
      </c>
      <c r="G3" s="20" t="str">
        <f>Sheet1!F38</f>
        <v>Fine Cup</v>
      </c>
      <c r="H3" s="20">
        <f>Sheet1!G38</f>
        <v>10</v>
      </c>
      <c r="I3" s="21">
        <f>Sheet1!H38</f>
        <v>251.05</v>
      </c>
      <c r="J3" s="21">
        <f>Sheet1!I38</f>
        <v>245</v>
      </c>
      <c r="K3" s="21">
        <f>Sheet1!J38</f>
        <v>345.31693999999999</v>
      </c>
      <c r="L3" s="20" t="str">
        <f>Sheet1!K38</f>
        <v>preço</v>
      </c>
      <c r="M3" s="22">
        <f>Sheet1!L38</f>
        <v>45564</v>
      </c>
      <c r="N3" s="20">
        <f>Sheet1!M38</f>
        <v>60</v>
      </c>
      <c r="O3" s="17">
        <f>Sheet1!N38</f>
        <v>110501.42079999999</v>
      </c>
      <c r="P3" s="17">
        <f>Sheet1!O38</f>
        <v>0</v>
      </c>
      <c r="Q3" s="17">
        <f>Sheet1!P38</f>
        <v>0</v>
      </c>
      <c r="R3" s="17">
        <f>Sheet1!Q38</f>
        <v>0</v>
      </c>
      <c r="S3" s="17">
        <f>342869.76/3</f>
        <v>114289.92</v>
      </c>
      <c r="T3" s="17">
        <f>Sheet1!S38</f>
        <v>0</v>
      </c>
      <c r="U3" s="17">
        <f>Sheet1!T38</f>
        <v>0</v>
      </c>
      <c r="V3" s="17">
        <f>Sheet1!U38</f>
        <v>0</v>
      </c>
      <c r="W3" s="17">
        <f>Sheet1!V38</f>
        <v>0</v>
      </c>
      <c r="X3" s="17">
        <f>Sheet1!W38</f>
        <v>0</v>
      </c>
      <c r="Y3" s="17">
        <f>Sheet1!X38</f>
        <v>0</v>
      </c>
    </row>
    <row r="4" spans="1:25" x14ac:dyDescent="0.2">
      <c r="A4" s="10">
        <v>2024</v>
      </c>
      <c r="B4" s="9" t="s">
        <v>93</v>
      </c>
      <c r="C4" s="9" t="str">
        <f>Sheet1!B39</f>
        <v>Unroasted</v>
      </c>
      <c r="D4" s="10" t="str">
        <f>Sheet1!C39</f>
        <v>022/24</v>
      </c>
      <c r="E4" s="10">
        <f>Sheet1!D39</f>
        <v>320</v>
      </c>
      <c r="F4" s="10" t="str">
        <f>Sheet1!E39</f>
        <v>16/18</v>
      </c>
      <c r="G4" s="10" t="str">
        <f>Sheet1!F39</f>
        <v>Benedictos</v>
      </c>
      <c r="H4" s="10">
        <f>Sheet1!G39</f>
        <v>10</v>
      </c>
      <c r="I4" s="12">
        <f>Sheet1!H39</f>
        <v>251.05</v>
      </c>
      <c r="J4" s="12">
        <f>Sheet1!I39</f>
        <v>231.1</v>
      </c>
      <c r="K4" s="12">
        <f>Sheet1!J39</f>
        <v>345.31693999999999</v>
      </c>
      <c r="L4" s="10" t="str">
        <f>Sheet1!K39</f>
        <v>preço</v>
      </c>
      <c r="M4" s="18">
        <f>Sheet1!L39</f>
        <v>45564</v>
      </c>
      <c r="N4" s="10">
        <f>Sheet1!M39</f>
        <v>60</v>
      </c>
      <c r="O4" s="15">
        <f>Sheet1!N39</f>
        <v>110501.42079999999</v>
      </c>
      <c r="P4" s="15">
        <f>Sheet1!O39</f>
        <v>0</v>
      </c>
      <c r="Q4" s="15">
        <f>Sheet1!P39</f>
        <v>0</v>
      </c>
      <c r="R4" s="15">
        <f>Sheet1!Q39</f>
        <v>0</v>
      </c>
      <c r="S4" s="15">
        <f>342869.76/3</f>
        <v>114289.92</v>
      </c>
      <c r="T4" s="15">
        <f>Sheet1!S39</f>
        <v>0</v>
      </c>
      <c r="U4" s="15">
        <f>Sheet1!T39</f>
        <v>0</v>
      </c>
      <c r="V4" s="15">
        <f>Sheet1!U39</f>
        <v>0</v>
      </c>
      <c r="W4" s="15">
        <f>Sheet1!V39</f>
        <v>0</v>
      </c>
      <c r="X4" s="15">
        <f>Sheet1!W39</f>
        <v>0</v>
      </c>
      <c r="Y4" s="15">
        <f>Sheet1!X39</f>
        <v>0</v>
      </c>
    </row>
    <row r="5" spans="1:25" x14ac:dyDescent="0.2">
      <c r="A5" s="20">
        <v>2024</v>
      </c>
      <c r="B5" s="16" t="s">
        <v>93</v>
      </c>
      <c r="C5" s="16" t="str">
        <f>Sheet1!B40</f>
        <v>Unroasted</v>
      </c>
      <c r="D5" s="20" t="str">
        <f>Sheet1!C40</f>
        <v>027/24</v>
      </c>
      <c r="E5" s="20">
        <f>Sheet1!D40</f>
        <v>160</v>
      </c>
      <c r="F5" s="20" t="str">
        <f>Sheet1!E40</f>
        <v>16/18</v>
      </c>
      <c r="G5" s="20" t="str">
        <f>Sheet1!F40</f>
        <v>Ortu Sollis</v>
      </c>
      <c r="H5" s="20">
        <f>Sheet1!G40</f>
        <v>25</v>
      </c>
      <c r="I5" s="21">
        <f>Sheet1!H40</f>
        <v>335.65</v>
      </c>
      <c r="J5" s="21">
        <f>Sheet1!I40</f>
        <v>243.16</v>
      </c>
      <c r="K5" s="21">
        <f>Sheet1!J40</f>
        <v>477.06781999999998</v>
      </c>
      <c r="L5" s="20" t="str">
        <f>Sheet1!K40</f>
        <v>preço</v>
      </c>
      <c r="M5" s="22">
        <f>Sheet1!L40</f>
        <v>45599</v>
      </c>
      <c r="N5" s="20">
        <f>Sheet1!M40</f>
        <v>90</v>
      </c>
      <c r="O5" s="17">
        <f>Sheet1!N40</f>
        <v>76330.851200000005</v>
      </c>
      <c r="P5" s="17">
        <f>Sheet1!O40</f>
        <v>0</v>
      </c>
      <c r="Q5" s="17">
        <f>Sheet1!P40</f>
        <v>0</v>
      </c>
      <c r="R5" s="17">
        <f>Sheet1!Q40</f>
        <v>0</v>
      </c>
      <c r="S5" s="17">
        <f>Sheet1!R40</f>
        <v>0</v>
      </c>
      <c r="T5" s="17">
        <f>Sheet1!S40</f>
        <v>0</v>
      </c>
      <c r="U5" s="17">
        <f>Sheet1!T40</f>
        <v>76330.851200000005</v>
      </c>
      <c r="V5" s="17">
        <f>Sheet1!U40</f>
        <v>0</v>
      </c>
      <c r="W5" s="17">
        <f>Sheet1!V40</f>
        <v>0</v>
      </c>
      <c r="X5" s="17">
        <f>Sheet1!W40</f>
        <v>0</v>
      </c>
      <c r="Y5" s="17">
        <f>Sheet1!X40</f>
        <v>0</v>
      </c>
    </row>
    <row r="6" spans="1:25" x14ac:dyDescent="0.2">
      <c r="A6" s="10">
        <v>2024</v>
      </c>
      <c r="B6" s="9" t="s">
        <v>93</v>
      </c>
      <c r="C6" s="9" t="str">
        <f>Sheet1!B41</f>
        <v>Unroasted</v>
      </c>
      <c r="D6" s="10" t="str">
        <f>Sheet1!C41</f>
        <v>028/24</v>
      </c>
      <c r="E6" s="10">
        <f>Sheet1!D41</f>
        <v>160</v>
      </c>
      <c r="F6" s="10" t="str">
        <f>Sheet1!E41</f>
        <v>14/16</v>
      </c>
      <c r="G6" s="10" t="str">
        <f>Sheet1!F41</f>
        <v>Petrus</v>
      </c>
      <c r="H6" s="10">
        <f>Sheet1!G41</f>
        <v>-8</v>
      </c>
      <c r="I6" s="12">
        <f>Sheet1!H41</f>
        <v>335.65</v>
      </c>
      <c r="J6" s="12">
        <f>Sheet1!I41</f>
        <v>243.16</v>
      </c>
      <c r="K6" s="12">
        <f>Sheet1!J41</f>
        <v>433.41541999999998</v>
      </c>
      <c r="L6" s="10" t="str">
        <f>Sheet1!K41</f>
        <v>preço</v>
      </c>
      <c r="M6" s="18">
        <f>Sheet1!L41</f>
        <v>45599</v>
      </c>
      <c r="N6" s="10">
        <f>Sheet1!M41</f>
        <v>60</v>
      </c>
      <c r="O6" s="15">
        <f>Sheet1!N41</f>
        <v>69346.467199999999</v>
      </c>
      <c r="P6" s="15">
        <f>Sheet1!O41</f>
        <v>0</v>
      </c>
      <c r="Q6" s="15">
        <f>Sheet1!P41</f>
        <v>0</v>
      </c>
      <c r="R6" s="15">
        <f>Sheet1!Q41</f>
        <v>0</v>
      </c>
      <c r="S6" s="15">
        <f>Sheet1!R41</f>
        <v>0</v>
      </c>
      <c r="T6" s="15">
        <f>Sheet1!S41</f>
        <v>69346.467199999999</v>
      </c>
      <c r="U6" s="15">
        <f>Sheet1!T41</f>
        <v>0</v>
      </c>
      <c r="V6" s="15">
        <f>Sheet1!U41</f>
        <v>0</v>
      </c>
      <c r="W6" s="15">
        <f>Sheet1!V41</f>
        <v>0</v>
      </c>
      <c r="X6" s="15">
        <f>Sheet1!W41</f>
        <v>0</v>
      </c>
      <c r="Y6" s="15">
        <f>Sheet1!X41</f>
        <v>0</v>
      </c>
    </row>
    <row r="7" spans="1:25" x14ac:dyDescent="0.2">
      <c r="A7" s="20">
        <v>2024</v>
      </c>
      <c r="B7" s="16" t="s">
        <v>93</v>
      </c>
      <c r="C7" s="16" t="str">
        <f>Sheet1!B42</f>
        <v>Unroasted</v>
      </c>
      <c r="D7" s="20" t="str">
        <f>Sheet1!C42</f>
        <v>024/24</v>
      </c>
      <c r="E7" s="20">
        <f>Sheet1!D42</f>
        <v>320</v>
      </c>
      <c r="F7" s="20" t="str">
        <f>Sheet1!E42</f>
        <v>16/18</v>
      </c>
      <c r="G7" s="20" t="str">
        <f>Sheet1!F42</f>
        <v>Petrus</v>
      </c>
      <c r="H7" s="20">
        <f>Sheet1!G42</f>
        <v>10</v>
      </c>
      <c r="I7" s="21">
        <f>Sheet1!H42</f>
        <v>335.65</v>
      </c>
      <c r="J7" s="21">
        <f>Sheet1!I42</f>
        <v>240.91</v>
      </c>
      <c r="K7" s="21">
        <f>Sheet1!J42</f>
        <v>457.22581999999994</v>
      </c>
      <c r="L7" s="20" t="str">
        <f>Sheet1!K42</f>
        <v>preço</v>
      </c>
      <c r="M7" s="22">
        <f>Sheet1!L42</f>
        <v>45630</v>
      </c>
      <c r="N7" s="20">
        <f>Sheet1!M42</f>
        <v>60</v>
      </c>
      <c r="O7" s="17">
        <f>Sheet1!N42</f>
        <v>146312.26239999998</v>
      </c>
      <c r="P7" s="17">
        <f>Sheet1!O42</f>
        <v>0</v>
      </c>
      <c r="Q7" s="17">
        <f>Sheet1!P42</f>
        <v>0</v>
      </c>
      <c r="R7" s="17">
        <f>Sheet1!Q42</f>
        <v>0</v>
      </c>
      <c r="S7" s="17">
        <f>Sheet1!R42</f>
        <v>0</v>
      </c>
      <c r="T7" s="17">
        <f>Sheet1!S42</f>
        <v>0</v>
      </c>
      <c r="U7" s="17">
        <f>Sheet1!T42</f>
        <v>146312.26239999998</v>
      </c>
      <c r="V7" s="17">
        <f>Sheet1!U42</f>
        <v>0</v>
      </c>
      <c r="W7" s="17">
        <f>Sheet1!V42</f>
        <v>0</v>
      </c>
      <c r="X7" s="17">
        <f>Sheet1!W42</f>
        <v>0</v>
      </c>
      <c r="Y7" s="17">
        <f>Sheet1!X42</f>
        <v>0</v>
      </c>
    </row>
    <row r="8" spans="1:25" x14ac:dyDescent="0.2">
      <c r="A8" s="10">
        <v>2024</v>
      </c>
      <c r="B8" s="9" t="s">
        <v>93</v>
      </c>
      <c r="C8" s="9" t="str">
        <f>Sheet1!B43</f>
        <v>Unroasted</v>
      </c>
      <c r="D8" s="10" t="str">
        <f>Sheet1!C43</f>
        <v>030/24</v>
      </c>
      <c r="E8" s="10">
        <f>Sheet1!D43</f>
        <v>320</v>
      </c>
      <c r="F8" s="10" t="str">
        <f>Sheet1!E43</f>
        <v>16/18</v>
      </c>
      <c r="G8" s="10" t="str">
        <f>Sheet1!F43</f>
        <v>Brasilis</v>
      </c>
      <c r="H8" s="10">
        <f>Sheet1!G43</f>
        <v>50</v>
      </c>
      <c r="I8" s="12">
        <f>Sheet1!H43</f>
        <v>335.65</v>
      </c>
      <c r="J8" s="12">
        <f>Sheet1!I43</f>
        <v>240.91</v>
      </c>
      <c r="K8" s="12">
        <f>Sheet1!J43</f>
        <v>510.13781999999998</v>
      </c>
      <c r="L8" s="10" t="str">
        <f>Sheet1!K43</f>
        <v>preço</v>
      </c>
      <c r="M8" s="18">
        <f>Sheet1!L43</f>
        <v>45630</v>
      </c>
      <c r="N8" s="10">
        <f>Sheet1!M43</f>
        <v>90</v>
      </c>
      <c r="O8" s="15">
        <f>Sheet1!N43</f>
        <v>163244.1024</v>
      </c>
      <c r="P8" s="15">
        <f>Sheet1!O43</f>
        <v>0</v>
      </c>
      <c r="Q8" s="15">
        <f>Sheet1!P43</f>
        <v>0</v>
      </c>
      <c r="R8" s="15">
        <f>Sheet1!Q43</f>
        <v>0</v>
      </c>
      <c r="S8" s="15">
        <f>Sheet1!R43</f>
        <v>0</v>
      </c>
      <c r="T8" s="15">
        <f>Sheet1!S43</f>
        <v>0</v>
      </c>
      <c r="U8" s="15">
        <f>Sheet1!T43</f>
        <v>0</v>
      </c>
      <c r="V8" s="15">
        <f>Sheet1!U43</f>
        <v>163244.1024</v>
      </c>
      <c r="W8" s="15">
        <f>Sheet1!V43</f>
        <v>0</v>
      </c>
      <c r="X8" s="15">
        <f>Sheet1!W43</f>
        <v>0</v>
      </c>
      <c r="Y8" s="15">
        <f>Sheet1!X43</f>
        <v>0</v>
      </c>
    </row>
    <row r="9" spans="1:25" x14ac:dyDescent="0.2">
      <c r="A9" s="20">
        <v>2024</v>
      </c>
      <c r="B9" s="16" t="s">
        <v>93</v>
      </c>
      <c r="C9" s="16" t="str">
        <f>Sheet1!B44</f>
        <v>Unroasted</v>
      </c>
      <c r="D9" s="20" t="str">
        <f>Sheet1!C44</f>
        <v>035/24</v>
      </c>
      <c r="E9" s="20">
        <f>Sheet1!D44</f>
        <v>320</v>
      </c>
      <c r="F9" s="20" t="str">
        <f>Sheet1!E44</f>
        <v>14/16</v>
      </c>
      <c r="G9" s="20" t="str">
        <f>Sheet1!F44</f>
        <v>Essentia</v>
      </c>
      <c r="H9" s="20">
        <f>Sheet1!G44</f>
        <v>-8</v>
      </c>
      <c r="I9" s="21">
        <f>Sheet1!H44</f>
        <v>335.65</v>
      </c>
      <c r="J9" s="21">
        <f>Sheet1!I44</f>
        <v>240.91</v>
      </c>
      <c r="K9" s="21">
        <f>Sheet1!J44</f>
        <v>433.41541999999998</v>
      </c>
      <c r="L9" s="20" t="str">
        <f>Sheet1!K44</f>
        <v>preço</v>
      </c>
      <c r="M9" s="22">
        <f>Sheet1!L44</f>
        <v>45630</v>
      </c>
      <c r="N9" s="20">
        <f>Sheet1!M44</f>
        <v>90</v>
      </c>
      <c r="O9" s="17">
        <f>Sheet1!N44</f>
        <v>138692.9344</v>
      </c>
      <c r="P9" s="17">
        <f>Sheet1!O44</f>
        <v>0</v>
      </c>
      <c r="Q9" s="17">
        <f>Sheet1!P44</f>
        <v>0</v>
      </c>
      <c r="R9" s="17">
        <f>Sheet1!Q44</f>
        <v>0</v>
      </c>
      <c r="S9" s="17">
        <f>Sheet1!R44</f>
        <v>0</v>
      </c>
      <c r="T9" s="17">
        <f>Sheet1!S44</f>
        <v>0</v>
      </c>
      <c r="U9" s="17">
        <f>Sheet1!T44</f>
        <v>0</v>
      </c>
      <c r="V9" s="17">
        <f>Sheet1!U44</f>
        <v>138692.9344</v>
      </c>
      <c r="W9" s="17">
        <f>Sheet1!V44</f>
        <v>0</v>
      </c>
      <c r="X9" s="17">
        <f>Sheet1!W44</f>
        <v>0</v>
      </c>
      <c r="Y9" s="17">
        <f>Sheet1!X44</f>
        <v>0</v>
      </c>
    </row>
    <row r="10" spans="1:25" x14ac:dyDescent="0.2">
      <c r="A10" s="10">
        <v>2024</v>
      </c>
      <c r="B10" s="9" t="s">
        <v>93</v>
      </c>
      <c r="C10" s="9" t="str">
        <f>Sheet1!B45</f>
        <v>Unroasted</v>
      </c>
      <c r="D10" s="10" t="str">
        <f>Sheet1!C45</f>
        <v>027/24</v>
      </c>
      <c r="E10" s="10">
        <f>Sheet1!D45</f>
        <v>160</v>
      </c>
      <c r="F10" s="10" t="str">
        <f>Sheet1!E45</f>
        <v>16/18</v>
      </c>
      <c r="G10" s="10" t="str">
        <f>Sheet1!F45</f>
        <v>Ortu Sollis</v>
      </c>
      <c r="H10" s="10">
        <f>Sheet1!G45</f>
        <v>25</v>
      </c>
      <c r="I10" s="12">
        <f>Sheet1!H45</f>
        <v>325.55</v>
      </c>
      <c r="J10" s="12">
        <f>Sheet1!I45</f>
        <v>0</v>
      </c>
      <c r="K10" s="12">
        <f>Sheet1!J45</f>
        <v>463.70753999999999</v>
      </c>
      <c r="L10" s="10" t="str">
        <f>Sheet1!K45</f>
        <v>preço</v>
      </c>
      <c r="M10" s="18">
        <f>Sheet1!L45</f>
        <v>45687</v>
      </c>
      <c r="N10" s="10">
        <f>Sheet1!M45</f>
        <v>90</v>
      </c>
      <c r="O10" s="15">
        <f>Sheet1!N45</f>
        <v>74193.206399999995</v>
      </c>
      <c r="P10" s="15">
        <f>Sheet1!O45</f>
        <v>0</v>
      </c>
      <c r="Q10" s="15">
        <f>Sheet1!P45</f>
        <v>0</v>
      </c>
      <c r="R10" s="15">
        <f>Sheet1!Q45</f>
        <v>0</v>
      </c>
      <c r="S10" s="15">
        <f>Sheet1!R45</f>
        <v>0</v>
      </c>
      <c r="T10" s="15">
        <f>Sheet1!S45</f>
        <v>0</v>
      </c>
      <c r="U10" s="15">
        <f>Sheet1!T45</f>
        <v>0</v>
      </c>
      <c r="V10" s="15">
        <f>Sheet1!U45</f>
        <v>0</v>
      </c>
      <c r="W10" s="15">
        <f>Sheet1!V45</f>
        <v>74193.206399999995</v>
      </c>
      <c r="X10" s="15">
        <f>Sheet1!W45</f>
        <v>0</v>
      </c>
      <c r="Y10" s="15">
        <f>Sheet1!X45</f>
        <v>0</v>
      </c>
    </row>
    <row r="11" spans="1:25" x14ac:dyDescent="0.2">
      <c r="A11" s="20">
        <v>2024</v>
      </c>
      <c r="B11" s="16" t="s">
        <v>93</v>
      </c>
      <c r="C11" s="16" t="str">
        <f>Sheet1!B46</f>
        <v>Unroasted</v>
      </c>
      <c r="D11" s="20" t="str">
        <f>Sheet1!C46</f>
        <v>028/24</v>
      </c>
      <c r="E11" s="20">
        <f>Sheet1!D46</f>
        <v>160</v>
      </c>
      <c r="F11" s="20" t="str">
        <f>Sheet1!E46</f>
        <v>16/18</v>
      </c>
      <c r="G11" s="20" t="str">
        <f>Sheet1!F46</f>
        <v>Petrus</v>
      </c>
      <c r="H11" s="20">
        <f>Sheet1!G46</f>
        <v>-8</v>
      </c>
      <c r="I11" s="21">
        <f>Sheet1!H46</f>
        <v>325.55</v>
      </c>
      <c r="J11" s="21">
        <f>Sheet1!I46</f>
        <v>0</v>
      </c>
      <c r="K11" s="21">
        <f>Sheet1!J46</f>
        <v>420.05513999999999</v>
      </c>
      <c r="L11" s="20" t="str">
        <f>Sheet1!K46</f>
        <v>preço</v>
      </c>
      <c r="M11" s="22">
        <f>Sheet1!L46</f>
        <v>45687</v>
      </c>
      <c r="N11" s="20">
        <f>Sheet1!M46</f>
        <v>60</v>
      </c>
      <c r="O11" s="17">
        <f>Sheet1!N46</f>
        <v>67208.822400000005</v>
      </c>
      <c r="P11" s="17">
        <f>Sheet1!O46</f>
        <v>0</v>
      </c>
      <c r="Q11" s="17">
        <f>Sheet1!P46</f>
        <v>0</v>
      </c>
      <c r="R11" s="17">
        <f>Sheet1!Q46</f>
        <v>0</v>
      </c>
      <c r="S11" s="17">
        <f>Sheet1!R46</f>
        <v>0</v>
      </c>
      <c r="T11" s="17">
        <f>Sheet1!S46</f>
        <v>0</v>
      </c>
      <c r="U11" s="17">
        <f>Sheet1!T46</f>
        <v>0</v>
      </c>
      <c r="V11" s="17">
        <f>Sheet1!U46</f>
        <v>67208.822400000005</v>
      </c>
      <c r="W11" s="17">
        <f>Sheet1!V46</f>
        <v>0</v>
      </c>
      <c r="X11" s="17">
        <f>Sheet1!W46</f>
        <v>0</v>
      </c>
      <c r="Y11" s="17">
        <f>Sheet1!X46</f>
        <v>0</v>
      </c>
    </row>
    <row r="12" spans="1:25" x14ac:dyDescent="0.2">
      <c r="A12" s="10">
        <v>2024</v>
      </c>
      <c r="B12" s="9" t="s">
        <v>93</v>
      </c>
      <c r="C12" s="9" t="str">
        <f>Sheet1!B47</f>
        <v>Unroasted</v>
      </c>
      <c r="D12" s="10" t="str">
        <f>Sheet1!C47</f>
        <v>025/24</v>
      </c>
      <c r="E12" s="10">
        <f>Sheet1!D47</f>
        <v>320</v>
      </c>
      <c r="F12" s="10" t="str">
        <f>Sheet1!E47</f>
        <v>16/18</v>
      </c>
      <c r="G12" s="10" t="str">
        <f>Sheet1!F47</f>
        <v>Petrus</v>
      </c>
      <c r="H12" s="10">
        <f>Sheet1!G47</f>
        <v>10</v>
      </c>
      <c r="I12" s="12">
        <f>Sheet1!H47</f>
        <v>325.55</v>
      </c>
      <c r="J12" s="12">
        <f>Sheet1!I47</f>
        <v>240.91</v>
      </c>
      <c r="K12" s="12">
        <f>Sheet1!J47</f>
        <v>443.86554000000001</v>
      </c>
      <c r="L12" s="10" t="str">
        <f>Sheet1!K47</f>
        <v>preço</v>
      </c>
      <c r="M12" s="18">
        <f>Sheet1!L47</f>
        <v>45687</v>
      </c>
      <c r="N12" s="10">
        <f>Sheet1!M47</f>
        <v>60</v>
      </c>
      <c r="O12" s="15">
        <f>Sheet1!N47</f>
        <v>142036.97279999999</v>
      </c>
      <c r="P12" s="15">
        <f>Sheet1!O47</f>
        <v>0</v>
      </c>
      <c r="Q12" s="15">
        <f>Sheet1!P47</f>
        <v>0</v>
      </c>
      <c r="R12" s="15">
        <f>Sheet1!Q47</f>
        <v>0</v>
      </c>
      <c r="S12" s="15">
        <f>Sheet1!R47</f>
        <v>0</v>
      </c>
      <c r="T12" s="15">
        <f>Sheet1!S47</f>
        <v>0</v>
      </c>
      <c r="U12" s="15">
        <f>Sheet1!T47</f>
        <v>0</v>
      </c>
      <c r="V12" s="15">
        <f>Sheet1!U47</f>
        <v>142036.97279999999</v>
      </c>
      <c r="W12" s="15">
        <f>Sheet1!V47</f>
        <v>0</v>
      </c>
      <c r="X12" s="15">
        <f>Sheet1!W47</f>
        <v>0</v>
      </c>
      <c r="Y12" s="15">
        <f>Sheet1!X47</f>
        <v>0</v>
      </c>
    </row>
    <row r="13" spans="1:25" x14ac:dyDescent="0.2">
      <c r="A13" s="20">
        <v>2024</v>
      </c>
      <c r="B13" s="16" t="s">
        <v>93</v>
      </c>
      <c r="C13" s="16" t="str">
        <f>Sheet1!B48</f>
        <v>Unroasted</v>
      </c>
      <c r="D13" s="20" t="str">
        <f>Sheet1!C48</f>
        <v>023/24</v>
      </c>
      <c r="E13" s="20">
        <f>Sheet1!D48</f>
        <v>320</v>
      </c>
      <c r="F13" s="20" t="str">
        <f>Sheet1!E48</f>
        <v>16/18</v>
      </c>
      <c r="G13" s="20" t="str">
        <f>Sheet1!F48</f>
        <v>Benedictos</v>
      </c>
      <c r="H13" s="20">
        <f>Sheet1!G48</f>
        <v>10</v>
      </c>
      <c r="I13" s="21">
        <f>Sheet1!H48</f>
        <v>325.55</v>
      </c>
      <c r="J13" s="21">
        <f>Sheet1!I48</f>
        <v>240.91</v>
      </c>
      <c r="K13" s="21">
        <f>Sheet1!J48</f>
        <v>443.86554000000001</v>
      </c>
      <c r="L13" s="20" t="str">
        <f>Sheet1!K48</f>
        <v>preço</v>
      </c>
      <c r="M13" s="22">
        <f>Sheet1!L48</f>
        <v>45687</v>
      </c>
      <c r="N13" s="20">
        <f>Sheet1!M48</f>
        <v>60</v>
      </c>
      <c r="O13" s="17">
        <f>Sheet1!N48</f>
        <v>142036.97279999999</v>
      </c>
      <c r="P13" s="17">
        <f>Sheet1!O48</f>
        <v>0</v>
      </c>
      <c r="Q13" s="17">
        <f>Sheet1!P48</f>
        <v>0</v>
      </c>
      <c r="R13" s="17">
        <f>Sheet1!Q48</f>
        <v>0</v>
      </c>
      <c r="S13" s="17">
        <f>Sheet1!R48</f>
        <v>0</v>
      </c>
      <c r="T13" s="17">
        <f>Sheet1!S48</f>
        <v>0</v>
      </c>
      <c r="U13" s="17">
        <f>Sheet1!T48</f>
        <v>0</v>
      </c>
      <c r="V13" s="17">
        <f>Sheet1!U48</f>
        <v>142036.97279999999</v>
      </c>
      <c r="W13" s="17">
        <f>Sheet1!V48</f>
        <v>0</v>
      </c>
      <c r="X13" s="17">
        <f>Sheet1!W48</f>
        <v>0</v>
      </c>
      <c r="Y13" s="17">
        <f>Sheet1!X48</f>
        <v>0</v>
      </c>
    </row>
    <row r="14" spans="1:25" x14ac:dyDescent="0.2">
      <c r="A14" s="10">
        <v>2024</v>
      </c>
      <c r="B14" s="9" t="s">
        <v>93</v>
      </c>
      <c r="C14" s="9" t="str">
        <f>Sheet1!B49</f>
        <v>Unroasted</v>
      </c>
      <c r="D14" s="10" t="str">
        <f>Sheet1!C49</f>
        <v>029/24</v>
      </c>
      <c r="E14" s="10">
        <f>Sheet1!D49</f>
        <v>320</v>
      </c>
      <c r="F14" s="10" t="str">
        <f>Sheet1!E49</f>
        <v>Grinders</v>
      </c>
      <c r="G14" s="10" t="str">
        <f>Sheet1!F49</f>
        <v>Essentia</v>
      </c>
      <c r="H14" s="10">
        <f>Sheet1!G49</f>
        <v>-28</v>
      </c>
      <c r="I14" s="12">
        <f>Sheet1!H49</f>
        <v>325.55</v>
      </c>
      <c r="J14" s="12">
        <f>Sheet1!I49</f>
        <v>238.17</v>
      </c>
      <c r="K14" s="12">
        <f>Sheet1!J49</f>
        <v>393.59914000000003</v>
      </c>
      <c r="L14" s="10" t="str">
        <f>Sheet1!K49</f>
        <v>preço</v>
      </c>
      <c r="M14" s="18">
        <f>Sheet1!L49</f>
        <v>45716</v>
      </c>
      <c r="N14" s="10">
        <f>Sheet1!M49</f>
        <v>60</v>
      </c>
      <c r="O14" s="15">
        <f>Sheet1!N49</f>
        <v>125951.72480000001</v>
      </c>
      <c r="P14" s="15">
        <f>Sheet1!O49</f>
        <v>0</v>
      </c>
      <c r="Q14" s="15">
        <f>Sheet1!P49</f>
        <v>0</v>
      </c>
      <c r="R14" s="15">
        <f>Sheet1!Q49</f>
        <v>0</v>
      </c>
      <c r="S14" s="15">
        <f>Sheet1!R49</f>
        <v>0</v>
      </c>
      <c r="T14" s="15">
        <f>Sheet1!S49</f>
        <v>0</v>
      </c>
      <c r="U14" s="15">
        <f>Sheet1!T49</f>
        <v>0</v>
      </c>
      <c r="V14" s="15">
        <f>Sheet1!U49</f>
        <v>0</v>
      </c>
      <c r="W14" s="15">
        <f>Sheet1!V49</f>
        <v>125951.72480000001</v>
      </c>
      <c r="X14" s="15">
        <f>Sheet1!W49</f>
        <v>0</v>
      </c>
      <c r="Y14" s="15">
        <f>Sheet1!X49</f>
        <v>0</v>
      </c>
    </row>
    <row r="15" spans="1:25" x14ac:dyDescent="0.2">
      <c r="A15" s="20">
        <v>2024</v>
      </c>
      <c r="B15" s="16" t="s">
        <v>93</v>
      </c>
      <c r="C15" s="16" t="str">
        <f>Sheet1!B50</f>
        <v>Unroasted</v>
      </c>
      <c r="D15" s="20" t="str">
        <f>Sheet1!C50</f>
        <v>026/24</v>
      </c>
      <c r="E15" s="20">
        <f>Sheet1!D50</f>
        <v>320</v>
      </c>
      <c r="F15" s="20" t="str">
        <f>Sheet1!E50</f>
        <v>16/18</v>
      </c>
      <c r="G15" s="20" t="str">
        <f>Sheet1!F50</f>
        <v>Petrus</v>
      </c>
      <c r="H15" s="20">
        <f>Sheet1!G50</f>
        <v>10</v>
      </c>
      <c r="I15" s="21">
        <f>Sheet1!H50</f>
        <v>325.55</v>
      </c>
      <c r="J15" s="21">
        <f>Sheet1!I50</f>
        <v>238.17</v>
      </c>
      <c r="K15" s="21">
        <f>Sheet1!J50</f>
        <v>443.86554000000001</v>
      </c>
      <c r="L15" s="20" t="str">
        <f>Sheet1!K50</f>
        <v>preço</v>
      </c>
      <c r="M15" s="22">
        <f>Sheet1!L50</f>
        <v>45746</v>
      </c>
      <c r="N15" s="20">
        <f>Sheet1!M50</f>
        <v>60</v>
      </c>
      <c r="O15" s="17">
        <f>Sheet1!N50</f>
        <v>142036.97279999999</v>
      </c>
      <c r="P15" s="17">
        <f>Sheet1!O50</f>
        <v>0</v>
      </c>
      <c r="Q15" s="17">
        <f>Sheet1!P50</f>
        <v>0</v>
      </c>
      <c r="R15" s="17">
        <f>Sheet1!Q50</f>
        <v>0</v>
      </c>
      <c r="S15" s="17">
        <f>Sheet1!R50</f>
        <v>0</v>
      </c>
      <c r="T15" s="17">
        <f>Sheet1!S50</f>
        <v>0</v>
      </c>
      <c r="U15" s="17">
        <f>Sheet1!T50</f>
        <v>0</v>
      </c>
      <c r="V15" s="17">
        <f>Sheet1!U50</f>
        <v>0</v>
      </c>
      <c r="W15" s="17">
        <f>Sheet1!V50</f>
        <v>0</v>
      </c>
      <c r="X15" s="17">
        <f>Sheet1!W50</f>
        <v>142036.97279999999</v>
      </c>
      <c r="Y15" s="17">
        <f>Sheet1!X50</f>
        <v>0</v>
      </c>
    </row>
    <row r="16" spans="1:25" x14ac:dyDescent="0.2">
      <c r="A16" s="10">
        <v>2024</v>
      </c>
      <c r="B16" s="9" t="s">
        <v>93</v>
      </c>
      <c r="C16" s="9" t="str">
        <f>Sheet1!B53</f>
        <v>Southland</v>
      </c>
      <c r="D16" s="10" t="str">
        <f>Sheet1!C53</f>
        <v>031/24</v>
      </c>
      <c r="E16" s="10">
        <f>Sheet1!D53</f>
        <v>320</v>
      </c>
      <c r="F16" s="10" t="str">
        <f>Sheet1!E53</f>
        <v>16/18</v>
      </c>
      <c r="G16" s="10" t="str">
        <f>Sheet1!F53</f>
        <v>Petrus</v>
      </c>
      <c r="H16" s="10" t="str">
        <f>Sheet1!G53</f>
        <v>-</v>
      </c>
      <c r="I16" s="12" t="str">
        <f>Sheet1!H53</f>
        <v>-</v>
      </c>
      <c r="J16" s="12">
        <f>Sheet1!I53</f>
        <v>243.16</v>
      </c>
      <c r="K16" s="12">
        <f>Sheet1!J53</f>
        <v>325</v>
      </c>
      <c r="L16" s="10">
        <f>Sheet1!K53</f>
        <v>0</v>
      </c>
      <c r="M16" s="18">
        <f>Sheet1!L53</f>
        <v>46021</v>
      </c>
      <c r="N16" s="10" t="str">
        <f>Sheet1!M53</f>
        <v>4x</v>
      </c>
      <c r="O16" s="15">
        <f>Sheet1!N53</f>
        <v>104000</v>
      </c>
      <c r="P16" s="15">
        <f>Sheet1!O53</f>
        <v>0</v>
      </c>
      <c r="Q16" s="15">
        <f>Sheet1!P53</f>
        <v>0</v>
      </c>
      <c r="R16" s="15">
        <f>Sheet1!Q53</f>
        <v>0</v>
      </c>
      <c r="S16" s="15">
        <f>Sheet1!S53</f>
        <v>26000</v>
      </c>
      <c r="T16" s="15">
        <f>Sheet1!T53</f>
        <v>26000</v>
      </c>
      <c r="U16" s="15">
        <f>Sheet1!U53</f>
        <v>26000</v>
      </c>
      <c r="V16" s="15">
        <f>Sheet1!V53</f>
        <v>26000</v>
      </c>
      <c r="W16" s="15" t="e">
        <f>Sheet1!#REF!</f>
        <v>#REF!</v>
      </c>
      <c r="X16" s="15">
        <f>Sheet1!W53</f>
        <v>0</v>
      </c>
      <c r="Y16" s="15">
        <f>Sheet1!X53</f>
        <v>0</v>
      </c>
    </row>
    <row r="17" spans="1:25" x14ac:dyDescent="0.2">
      <c r="A17" s="20">
        <v>2024</v>
      </c>
      <c r="B17" s="16" t="s">
        <v>93</v>
      </c>
      <c r="C17" s="16" t="str">
        <f>Sheet1!B54</f>
        <v>Southland</v>
      </c>
      <c r="D17" s="20" t="str">
        <f>Sheet1!C54</f>
        <v>032/24</v>
      </c>
      <c r="E17" s="20">
        <f>Sheet1!D54</f>
        <v>320</v>
      </c>
      <c r="F17" s="20" t="str">
        <f>Sheet1!E54</f>
        <v>Vários</v>
      </c>
      <c r="G17" s="20" t="str">
        <f>Sheet1!F54</f>
        <v>Vários</v>
      </c>
      <c r="H17" s="20" t="str">
        <f>Sheet1!G54</f>
        <v>-</v>
      </c>
      <c r="I17" s="21" t="str">
        <f>Sheet1!H54</f>
        <v>-</v>
      </c>
      <c r="J17" s="21">
        <f>Sheet1!I54</f>
        <v>243.16</v>
      </c>
      <c r="K17" s="21">
        <f>Sheet1!J54</f>
        <v>325</v>
      </c>
      <c r="L17" s="20">
        <f>Sheet1!K54</f>
        <v>0</v>
      </c>
      <c r="M17" s="22">
        <f>Sheet1!L54</f>
        <v>45687</v>
      </c>
      <c r="N17" s="20" t="str">
        <f>Sheet1!M54</f>
        <v>4x</v>
      </c>
      <c r="O17" s="17">
        <f>Sheet1!N54</f>
        <v>104000</v>
      </c>
      <c r="P17" s="17">
        <f>Sheet1!O54</f>
        <v>0</v>
      </c>
      <c r="Q17" s="17">
        <f>Sheet1!P54</f>
        <v>0</v>
      </c>
      <c r="R17" s="17">
        <f>Sheet1!Q54</f>
        <v>0</v>
      </c>
      <c r="S17" s="17">
        <f>Sheet1!R54</f>
        <v>0</v>
      </c>
      <c r="T17" s="17">
        <f>Sheet1!S54</f>
        <v>0</v>
      </c>
      <c r="U17" s="17">
        <f>Sheet1!T54</f>
        <v>26000</v>
      </c>
      <c r="V17" s="17">
        <f>Sheet1!U54</f>
        <v>26000</v>
      </c>
      <c r="W17" s="17">
        <f>Sheet1!V54</f>
        <v>26000</v>
      </c>
      <c r="X17" s="17">
        <f>Sheet1!W54</f>
        <v>26000</v>
      </c>
      <c r="Y17" s="17">
        <f>Sheet1!X54</f>
        <v>0</v>
      </c>
    </row>
    <row r="18" spans="1:25" x14ac:dyDescent="0.2">
      <c r="A18" s="10">
        <v>2024</v>
      </c>
      <c r="B18" s="9" t="s">
        <v>93</v>
      </c>
      <c r="C18" s="9" t="str">
        <f>Sheet1!B57</f>
        <v>Xorxos</v>
      </c>
      <c r="D18" s="10" t="str">
        <f>Sheet1!C57</f>
        <v>021/24</v>
      </c>
      <c r="E18" s="10">
        <f>Sheet1!D57</f>
        <v>320</v>
      </c>
      <c r="F18" s="10" t="str">
        <f>Sheet1!E57</f>
        <v>16/18</v>
      </c>
      <c r="G18" s="10" t="str">
        <f>Sheet1!F57</f>
        <v>Natural</v>
      </c>
      <c r="H18" s="10">
        <f>Sheet1!G57</f>
        <v>25</v>
      </c>
      <c r="I18" s="12">
        <f>Sheet1!H57</f>
        <v>325.55</v>
      </c>
      <c r="J18" s="12">
        <f>Sheet1!I57</f>
        <v>293.60000000000002</v>
      </c>
      <c r="K18" s="12">
        <f>Sheet1!J57</f>
        <v>463.70753999999999</v>
      </c>
      <c r="L18" s="10" t="str">
        <f>Sheet1!K57</f>
        <v>preço</v>
      </c>
      <c r="M18" s="18">
        <f>Sheet1!L57</f>
        <v>45321</v>
      </c>
      <c r="N18" s="10">
        <f>Sheet1!M57</f>
        <v>0</v>
      </c>
      <c r="O18" s="15">
        <f>Sheet1!N57</f>
        <v>148386.41279999999</v>
      </c>
      <c r="P18" s="15">
        <f>Sheet1!O57</f>
        <v>0</v>
      </c>
      <c r="Q18" s="15">
        <f>Sheet1!P57</f>
        <v>0</v>
      </c>
      <c r="R18" s="15">
        <f>Sheet1!Q57</f>
        <v>0</v>
      </c>
      <c r="S18" s="15">
        <f>Sheet1!R57</f>
        <v>0</v>
      </c>
      <c r="T18" s="15">
        <f>Sheet1!S57</f>
        <v>148386.41279999999</v>
      </c>
      <c r="U18" s="15">
        <f>Sheet1!T57</f>
        <v>0</v>
      </c>
      <c r="V18" s="15">
        <f>Sheet1!U57</f>
        <v>0</v>
      </c>
      <c r="W18" s="15">
        <f>Sheet1!V57</f>
        <v>0</v>
      </c>
      <c r="X18" s="15">
        <f>Sheet1!W57</f>
        <v>0</v>
      </c>
      <c r="Y18" s="15">
        <f>Sheet1!X57</f>
        <v>0</v>
      </c>
    </row>
    <row r="19" spans="1:25" x14ac:dyDescent="0.2">
      <c r="A19" s="20">
        <v>2024</v>
      </c>
      <c r="B19" s="16" t="s">
        <v>94</v>
      </c>
      <c r="C19" s="16" t="str">
        <f>Sheet1!B60</f>
        <v>Los Baristas</v>
      </c>
      <c r="D19" s="20" t="str">
        <f>Sheet1!C60</f>
        <v>033/24</v>
      </c>
      <c r="E19" s="20">
        <f>Sheet1!D60</f>
        <v>4</v>
      </c>
      <c r="F19" s="20" t="str">
        <f>Sheet1!E60</f>
        <v>Vários</v>
      </c>
      <c r="G19" s="20" t="str">
        <f>Sheet1!F60</f>
        <v>Vários</v>
      </c>
      <c r="H19" s="20" t="str">
        <f>Sheet1!G60</f>
        <v>-</v>
      </c>
      <c r="I19" s="21" t="str">
        <f>Sheet1!H60</f>
        <v>-</v>
      </c>
      <c r="J19" s="21">
        <f>Sheet1!I60</f>
        <v>2500</v>
      </c>
      <c r="K19" s="21">
        <f>Sheet1!J60</f>
        <v>413.22314049586777</v>
      </c>
      <c r="L19" s="20">
        <f>Sheet1!K60</f>
        <v>0</v>
      </c>
      <c r="M19" s="22">
        <f>Sheet1!L60</f>
        <v>45656</v>
      </c>
      <c r="N19" s="20" t="str">
        <f>Sheet1!M60</f>
        <v>1+3</v>
      </c>
      <c r="O19" s="17">
        <f>Sheet1!N60</f>
        <v>1652.8925619834711</v>
      </c>
      <c r="P19" s="17">
        <f>Sheet1!O60</f>
        <v>0</v>
      </c>
      <c r="Q19" s="17">
        <f>Sheet1!P60</f>
        <v>0</v>
      </c>
      <c r="R19" s="17">
        <f>Sheet1!Q60</f>
        <v>0</v>
      </c>
      <c r="S19" s="17">
        <f>Sheet1!R60</f>
        <v>413.22314049586777</v>
      </c>
      <c r="T19" s="17">
        <f>Sheet1!S60</f>
        <v>413.22314049586777</v>
      </c>
      <c r="U19" s="17">
        <f>Sheet1!T60</f>
        <v>413.22314049586777</v>
      </c>
      <c r="V19" s="17">
        <f>Sheet1!U60</f>
        <v>413.22314049586777</v>
      </c>
      <c r="W19" s="17">
        <f>Sheet1!V60</f>
        <v>0</v>
      </c>
      <c r="X19" s="17">
        <f>Sheet1!W60</f>
        <v>0</v>
      </c>
      <c r="Y19" s="17">
        <f>Sheet1!X60</f>
        <v>0</v>
      </c>
    </row>
    <row r="20" spans="1:25" x14ac:dyDescent="0.2">
      <c r="A20" s="10">
        <v>2024</v>
      </c>
      <c r="B20" s="9" t="s">
        <v>94</v>
      </c>
      <c r="C20" s="9" t="str">
        <f>Sheet1!B61</f>
        <v>Los Baristas</v>
      </c>
      <c r="D20" s="10" t="str">
        <f>Sheet1!C61</f>
        <v>034/24</v>
      </c>
      <c r="E20" s="10">
        <f>Sheet1!D61</f>
        <v>4</v>
      </c>
      <c r="F20" s="10" t="str">
        <f>Sheet1!E61</f>
        <v>Vários</v>
      </c>
      <c r="G20" s="10" t="str">
        <f>Sheet1!F61</f>
        <v>Vários</v>
      </c>
      <c r="H20" s="10" t="str">
        <f>Sheet1!G61</f>
        <v>-</v>
      </c>
      <c r="I20" s="12" t="str">
        <f>Sheet1!H61</f>
        <v>-</v>
      </c>
      <c r="J20" s="12">
        <f>Sheet1!I61</f>
        <v>2137</v>
      </c>
      <c r="K20" s="12">
        <f>Sheet1!J61</f>
        <v>353.22314049586777</v>
      </c>
      <c r="L20" s="10">
        <f>Sheet1!K61</f>
        <v>0</v>
      </c>
      <c r="M20" s="18">
        <f>Sheet1!L61</f>
        <v>45656</v>
      </c>
      <c r="N20" s="10" t="str">
        <f>Sheet1!M61</f>
        <v>1+3</v>
      </c>
      <c r="O20" s="15">
        <f>Sheet1!N61</f>
        <v>1412.8925619834711</v>
      </c>
      <c r="P20" s="15">
        <f>Sheet1!O61</f>
        <v>0</v>
      </c>
      <c r="Q20" s="15">
        <f>Sheet1!P61</f>
        <v>0</v>
      </c>
      <c r="R20" s="15">
        <f>Sheet1!Q61</f>
        <v>0</v>
      </c>
      <c r="S20" s="15">
        <f>Sheet1!R61</f>
        <v>353.22314049586777</v>
      </c>
      <c r="T20" s="15">
        <f>Sheet1!S61</f>
        <v>353.22314049586777</v>
      </c>
      <c r="U20" s="15">
        <f>Sheet1!T61</f>
        <v>353.22314049586777</v>
      </c>
      <c r="V20" s="15">
        <f>Sheet1!U61</f>
        <v>353.22314049586777</v>
      </c>
      <c r="W20" s="15">
        <f>Sheet1!V61</f>
        <v>0</v>
      </c>
      <c r="X20" s="15">
        <f>Sheet1!W61</f>
        <v>0</v>
      </c>
      <c r="Y20" s="15">
        <f>Sheet1!X61</f>
        <v>0</v>
      </c>
    </row>
    <row r="21" spans="1:25" x14ac:dyDescent="0.2">
      <c r="A21" s="20">
        <v>2024</v>
      </c>
      <c r="B21" s="16" t="s">
        <v>94</v>
      </c>
      <c r="C21" s="16" t="str">
        <f>Sheet1!B64</f>
        <v>Louis Dreyfus</v>
      </c>
      <c r="D21" s="20" t="str">
        <f>Sheet1!C64</f>
        <v>036/24</v>
      </c>
      <c r="E21" s="20">
        <f>Sheet1!D64</f>
        <v>500</v>
      </c>
      <c r="F21" s="20" t="str">
        <f>Sheet1!E64</f>
        <v>Moka</v>
      </c>
      <c r="G21" s="20" t="str">
        <f>Sheet1!F64</f>
        <v>Natural</v>
      </c>
      <c r="H21" s="20" t="str">
        <f>Sheet1!G64</f>
        <v>-</v>
      </c>
      <c r="I21" s="21" t="str">
        <f>Sheet1!H64</f>
        <v>-</v>
      </c>
      <c r="J21" s="21">
        <f>Sheet1!I64</f>
        <v>2105</v>
      </c>
      <c r="K21" s="21">
        <f>Sheet1!J64</f>
        <v>347.93388429752065</v>
      </c>
      <c r="L21" s="20">
        <f>Sheet1!K64</f>
        <v>0</v>
      </c>
      <c r="M21" s="22">
        <f>Sheet1!L64</f>
        <v>45631</v>
      </c>
      <c r="N21" s="20">
        <f>Sheet1!M64</f>
        <v>0</v>
      </c>
      <c r="O21" s="17">
        <f>Sheet1!N64</f>
        <v>173966.94214876031</v>
      </c>
      <c r="P21" s="17">
        <f>Sheet1!O64</f>
        <v>0</v>
      </c>
      <c r="Q21" s="17">
        <f>Sheet1!P64</f>
        <v>0</v>
      </c>
      <c r="R21" s="17">
        <f>Sheet1!Q64</f>
        <v>0</v>
      </c>
      <c r="S21" s="17">
        <f>Sheet1!R64</f>
        <v>173966.94214876031</v>
      </c>
      <c r="T21" s="17">
        <f>Sheet1!S64</f>
        <v>0</v>
      </c>
      <c r="U21" s="17">
        <f>Sheet1!T64</f>
        <v>0</v>
      </c>
      <c r="V21" s="17">
        <f>Sheet1!U64</f>
        <v>0</v>
      </c>
      <c r="W21" s="17">
        <f>Sheet1!V64</f>
        <v>0</v>
      </c>
      <c r="X21" s="17">
        <f>Sheet1!W64</f>
        <v>0</v>
      </c>
      <c r="Y21" s="17">
        <f>Sheet1!X64</f>
        <v>0</v>
      </c>
    </row>
    <row r="22" spans="1:25" x14ac:dyDescent="0.2">
      <c r="A22" s="10">
        <v>2024</v>
      </c>
      <c r="B22" s="9" t="s">
        <v>94</v>
      </c>
      <c r="C22" s="9" t="str">
        <f>Sheet1!B67</f>
        <v>Mundo Novo Café</v>
      </c>
      <c r="D22" s="10" t="str">
        <f>Sheet1!C67</f>
        <v>037/24</v>
      </c>
      <c r="E22" s="10">
        <f>Sheet1!D67</f>
        <v>20</v>
      </c>
      <c r="F22" s="10" t="str">
        <f>Sheet1!E67</f>
        <v>Moka</v>
      </c>
      <c r="G22" s="10" t="str">
        <f>Sheet1!F67</f>
        <v>Fine Cup</v>
      </c>
      <c r="H22" s="10" t="str">
        <f>Sheet1!G67</f>
        <v>-</v>
      </c>
      <c r="I22" s="10" t="str">
        <f>Sheet1!H67</f>
        <v>-</v>
      </c>
      <c r="J22" s="10">
        <f>Sheet1!I67</f>
        <v>2200</v>
      </c>
      <c r="K22" s="12">
        <f>Sheet1!J67</f>
        <v>363.63636363636363</v>
      </c>
      <c r="L22" s="10">
        <f>Sheet1!K67</f>
        <v>0</v>
      </c>
      <c r="M22" s="18">
        <f>Sheet1!L67</f>
        <v>45632</v>
      </c>
      <c r="N22" s="10" t="str">
        <f>Sheet1!M67</f>
        <v>50% + 4</v>
      </c>
      <c r="O22" s="15">
        <f>Sheet1!N67</f>
        <v>7272.7272727272721</v>
      </c>
      <c r="P22" s="15">
        <f>Sheet1!O67</f>
        <v>0</v>
      </c>
      <c r="Q22" s="15">
        <f>Sheet1!P67</f>
        <v>0</v>
      </c>
      <c r="R22" s="15">
        <f>Sheet1!Q67</f>
        <v>0</v>
      </c>
      <c r="S22" s="15">
        <f>Sheet1!R67</f>
        <v>3636.363636363636</v>
      </c>
      <c r="T22" s="15">
        <f>Sheet1!S67</f>
        <v>909.09090909090901</v>
      </c>
      <c r="U22" s="15">
        <f>Sheet1!T67</f>
        <v>909.09090909090901</v>
      </c>
      <c r="V22" s="15">
        <f>Sheet1!U67</f>
        <v>909.09090909090901</v>
      </c>
      <c r="W22" s="15">
        <f>Sheet1!V67</f>
        <v>909.09090909090901</v>
      </c>
      <c r="X22" s="15">
        <f>Sheet1!W67</f>
        <v>0</v>
      </c>
      <c r="Y22" s="15">
        <f>Sheet1!X67</f>
        <v>0</v>
      </c>
    </row>
    <row r="23" spans="1:25" x14ac:dyDescent="0.2">
      <c r="A23" s="20">
        <v>2024</v>
      </c>
      <c r="B23" s="16" t="s">
        <v>94</v>
      </c>
      <c r="C23" s="16" t="str">
        <f>Sheet1!B70</f>
        <v>Melitta</v>
      </c>
      <c r="D23" s="20" t="str">
        <f>Sheet1!C70</f>
        <v>038/24</v>
      </c>
      <c r="E23" s="20">
        <f>Sheet1!D70</f>
        <v>500</v>
      </c>
      <c r="F23" s="20" t="str">
        <f>Sheet1!E70</f>
        <v>Escolha</v>
      </c>
      <c r="G23" s="20" t="str">
        <f>Sheet1!F70</f>
        <v>Vários</v>
      </c>
      <c r="H23" s="20" t="str">
        <f>Sheet1!G70</f>
        <v>-</v>
      </c>
      <c r="I23" s="20" t="str">
        <f>Sheet1!H70</f>
        <v>-</v>
      </c>
      <c r="J23" s="20">
        <f>Sheet1!I70</f>
        <v>2000</v>
      </c>
      <c r="K23" s="21">
        <f>Sheet1!J70</f>
        <v>330.57851239669424</v>
      </c>
      <c r="L23" s="20">
        <f>Sheet1!K70</f>
        <v>0</v>
      </c>
      <c r="M23" s="22">
        <f>Sheet1!L70</f>
        <v>45639</v>
      </c>
      <c r="N23" s="20" t="str">
        <f>Sheet1!M70</f>
        <v>45 dias</v>
      </c>
      <c r="O23" s="17">
        <f>Sheet1!N70</f>
        <v>165289.25619834711</v>
      </c>
      <c r="P23" s="17">
        <f>Sheet1!O70</f>
        <v>0</v>
      </c>
      <c r="Q23" s="17">
        <f>Sheet1!P70</f>
        <v>0</v>
      </c>
      <c r="R23" s="17">
        <f>Sheet1!Q70</f>
        <v>0</v>
      </c>
      <c r="S23" s="17">
        <f>Sheet1!R70</f>
        <v>0</v>
      </c>
      <c r="T23" s="17">
        <f>Sheet1!S70</f>
        <v>165289.25619834711</v>
      </c>
      <c r="U23" s="17">
        <f>Sheet1!T70</f>
        <v>0</v>
      </c>
      <c r="V23" s="17">
        <f>Sheet1!U70</f>
        <v>0</v>
      </c>
      <c r="W23" s="17">
        <f>Sheet1!V70</f>
        <v>0</v>
      </c>
      <c r="X23" s="17">
        <f>Sheet1!W70</f>
        <v>0</v>
      </c>
      <c r="Y23" s="17">
        <f>Sheet1!X70</f>
        <v>0</v>
      </c>
    </row>
    <row r="24" spans="1:25" x14ac:dyDescent="0.2">
      <c r="A24" s="10">
        <v>2024</v>
      </c>
      <c r="B24" s="9" t="s">
        <v>93</v>
      </c>
      <c r="C24" s="9" t="str">
        <f>Sheet1!B73</f>
        <v>Emporia GMBH</v>
      </c>
      <c r="D24" s="10" t="str">
        <f>Sheet1!C73</f>
        <v>039/24</v>
      </c>
      <c r="E24" s="10">
        <f>Sheet1!D73</f>
        <v>320</v>
      </c>
      <c r="F24" s="10" t="str">
        <f>Sheet1!E73</f>
        <v>16/18</v>
      </c>
      <c r="G24" s="10" t="str">
        <f>Sheet1!F73</f>
        <v>Vários</v>
      </c>
      <c r="H24" s="10">
        <f>Sheet1!G73</f>
        <v>0</v>
      </c>
      <c r="I24" s="10">
        <f>Sheet1!H73</f>
        <v>0</v>
      </c>
      <c r="J24" s="10">
        <f>Sheet1!I73</f>
        <v>0</v>
      </c>
      <c r="K24" s="12">
        <f>Sheet1!J73</f>
        <v>413</v>
      </c>
      <c r="L24" s="10">
        <f>Sheet1!K73</f>
        <v>0</v>
      </c>
      <c r="M24" s="18">
        <f>Sheet1!L73</f>
        <v>45687</v>
      </c>
      <c r="N24" s="10">
        <f>Sheet1!M73</f>
        <v>60</v>
      </c>
      <c r="O24" s="15">
        <f>Sheet1!N73</f>
        <v>132160</v>
      </c>
      <c r="P24" s="15">
        <f>Sheet1!O73</f>
        <v>0</v>
      </c>
      <c r="Q24" s="15">
        <f>Sheet1!P73</f>
        <v>0</v>
      </c>
      <c r="R24" s="15">
        <f>Sheet1!Q73</f>
        <v>0</v>
      </c>
      <c r="S24" s="15">
        <f>Sheet1!R73</f>
        <v>0</v>
      </c>
      <c r="T24" s="15">
        <f>Sheet1!S73</f>
        <v>0</v>
      </c>
      <c r="U24" s="15">
        <f>Sheet1!T73</f>
        <v>0</v>
      </c>
      <c r="V24" s="15">
        <f>Sheet1!U73</f>
        <v>132160</v>
      </c>
      <c r="W24" s="15">
        <f>Sheet1!V73</f>
        <v>0</v>
      </c>
      <c r="X24" s="15">
        <f>Sheet1!W73</f>
        <v>0</v>
      </c>
      <c r="Y24" s="15">
        <f>Sheet1!X73</f>
        <v>0</v>
      </c>
    </row>
    <row r="25" spans="1:25" x14ac:dyDescent="0.2">
      <c r="A25" s="20">
        <v>2024</v>
      </c>
      <c r="B25" s="16" t="s">
        <v>93</v>
      </c>
      <c r="C25" s="16" t="str">
        <f>Sheet1!B79</f>
        <v>Estimativa</v>
      </c>
      <c r="D25" s="20"/>
      <c r="E25" s="20">
        <f>Sheet1!D79</f>
        <v>36.93</v>
      </c>
      <c r="F25" s="20">
        <f>Sheet1!E79</f>
        <v>19</v>
      </c>
      <c r="G25" s="20" t="str">
        <f>Sheet1!F79</f>
        <v>Vários</v>
      </c>
      <c r="H25" s="20">
        <f>Sheet1!G79</f>
        <v>10</v>
      </c>
      <c r="I25" s="20">
        <f>Sheet1!H79</f>
        <v>297.3</v>
      </c>
      <c r="J25" s="20">
        <f>Sheet1!I79</f>
        <v>0</v>
      </c>
      <c r="K25" s="21">
        <f>Sheet1!J79</f>
        <v>406.49644000000001</v>
      </c>
      <c r="L25" s="20" t="str">
        <f>Sheet1!K79</f>
        <v>preço</v>
      </c>
      <c r="M25" s="22">
        <f>Sheet1!L79</f>
        <v>0</v>
      </c>
      <c r="N25" s="20">
        <f>Sheet1!M79</f>
        <v>0</v>
      </c>
      <c r="O25" s="17">
        <f>Sheet1!N79</f>
        <v>15011.913529200001</v>
      </c>
      <c r="P25" s="17">
        <f>Sheet1!O79</f>
        <v>0</v>
      </c>
      <c r="Q25" s="17">
        <f>Sheet1!P79</f>
        <v>0</v>
      </c>
      <c r="R25" s="17">
        <f>Sheet1!Q79</f>
        <v>0</v>
      </c>
      <c r="S25" s="17">
        <f>Sheet1!R79</f>
        <v>0</v>
      </c>
      <c r="T25" s="17">
        <f>Sheet1!S79</f>
        <v>0</v>
      </c>
      <c r="U25" s="17">
        <f>Sheet1!T79</f>
        <v>0</v>
      </c>
      <c r="V25" s="17">
        <f>Sheet1!U79</f>
        <v>0</v>
      </c>
      <c r="W25" s="17">
        <f>Sheet1!V79</f>
        <v>0</v>
      </c>
      <c r="X25" s="17">
        <f>Sheet1!W79</f>
        <v>0</v>
      </c>
      <c r="Y25" s="17">
        <f>Sheet1!X79</f>
        <v>15011.913529200001</v>
      </c>
    </row>
    <row r="26" spans="1:25" x14ac:dyDescent="0.2">
      <c r="A26" s="10">
        <v>2024</v>
      </c>
      <c r="B26" s="9" t="s">
        <v>93</v>
      </c>
      <c r="C26" s="9" t="str">
        <f>Sheet1!B80</f>
        <v>Estimativa</v>
      </c>
      <c r="D26" s="10"/>
      <c r="E26" s="10">
        <f>Sheet1!D80</f>
        <v>174.4</v>
      </c>
      <c r="F26" s="10" t="str">
        <f>Sheet1!E80</f>
        <v>17/18</v>
      </c>
      <c r="G26" s="10" t="str">
        <f>Sheet1!F80</f>
        <v>Vários</v>
      </c>
      <c r="H26" s="10">
        <f>Sheet1!G80</f>
        <v>-5</v>
      </c>
      <c r="I26" s="10">
        <f>Sheet1!H80</f>
        <v>297.3</v>
      </c>
      <c r="J26" s="10">
        <f>Sheet1!I80</f>
        <v>0</v>
      </c>
      <c r="K26" s="12">
        <f>Sheet1!J80</f>
        <v>386.65444000000002</v>
      </c>
      <c r="L26" s="10" t="str">
        <f>Sheet1!K80</f>
        <v>preço</v>
      </c>
      <c r="M26" s="18">
        <f>Sheet1!L80</f>
        <v>0</v>
      </c>
      <c r="N26" s="10">
        <f>Sheet1!M80</f>
        <v>0</v>
      </c>
      <c r="O26" s="15">
        <f>Sheet1!N80</f>
        <v>67432.534336000012</v>
      </c>
      <c r="P26" s="15">
        <f>Sheet1!O80</f>
        <v>0</v>
      </c>
      <c r="Q26" s="15">
        <f>Sheet1!P80</f>
        <v>0</v>
      </c>
      <c r="R26" s="15">
        <f>Sheet1!Q80</f>
        <v>0</v>
      </c>
      <c r="S26" s="15">
        <f>Sheet1!R80</f>
        <v>0</v>
      </c>
      <c r="T26" s="15">
        <f>Sheet1!S80</f>
        <v>0</v>
      </c>
      <c r="U26" s="15">
        <f>Sheet1!T80</f>
        <v>0</v>
      </c>
      <c r="V26" s="15">
        <f>Sheet1!U80</f>
        <v>0</v>
      </c>
      <c r="W26" s="15">
        <f>Sheet1!V80</f>
        <v>0</v>
      </c>
      <c r="X26" s="15">
        <f>Sheet1!W80</f>
        <v>0</v>
      </c>
      <c r="Y26" s="15">
        <f>Sheet1!X80</f>
        <v>67432.534336000012</v>
      </c>
    </row>
    <row r="27" spans="1:25" x14ac:dyDescent="0.2">
      <c r="A27" s="20">
        <v>2024</v>
      </c>
      <c r="B27" s="16" t="s">
        <v>93</v>
      </c>
      <c r="C27" s="16" t="str">
        <f>Sheet1!B81</f>
        <v>Estimativa</v>
      </c>
      <c r="D27" s="20"/>
      <c r="E27" s="20">
        <f>Sheet1!D81</f>
        <v>118.03</v>
      </c>
      <c r="F27" s="20" t="str">
        <f>Sheet1!E81</f>
        <v>16/18</v>
      </c>
      <c r="G27" s="20" t="str">
        <f>Sheet1!F81</f>
        <v>Vários</v>
      </c>
      <c r="H27" s="20">
        <f>Sheet1!G81</f>
        <v>5</v>
      </c>
      <c r="I27" s="20">
        <f>Sheet1!H81</f>
        <v>297.3</v>
      </c>
      <c r="J27" s="20">
        <f>Sheet1!I81</f>
        <v>0</v>
      </c>
      <c r="K27" s="21">
        <f>Sheet1!J81</f>
        <v>399.88244000000003</v>
      </c>
      <c r="L27" s="20" t="str">
        <f>Sheet1!K81</f>
        <v>preço</v>
      </c>
      <c r="M27" s="22">
        <f>Sheet1!L81</f>
        <v>0</v>
      </c>
      <c r="N27" s="20">
        <f>Sheet1!M81</f>
        <v>0</v>
      </c>
      <c r="O27" s="17">
        <f>Sheet1!N81</f>
        <v>47198.124393200007</v>
      </c>
      <c r="P27" s="17">
        <f>Sheet1!O81</f>
        <v>0</v>
      </c>
      <c r="Q27" s="17">
        <f>Sheet1!P81</f>
        <v>0</v>
      </c>
      <c r="R27" s="17">
        <f>Sheet1!Q81</f>
        <v>0</v>
      </c>
      <c r="S27" s="17">
        <f>Sheet1!R81</f>
        <v>0</v>
      </c>
      <c r="T27" s="17">
        <f>Sheet1!S81</f>
        <v>0</v>
      </c>
      <c r="U27" s="17">
        <f>Sheet1!T81</f>
        <v>0</v>
      </c>
      <c r="V27" s="17">
        <f>Sheet1!U81</f>
        <v>0</v>
      </c>
      <c r="W27" s="17">
        <f>Sheet1!V81</f>
        <v>0</v>
      </c>
      <c r="X27" s="17">
        <f>Sheet1!W81</f>
        <v>0</v>
      </c>
      <c r="Y27" s="17">
        <f>Sheet1!X81</f>
        <v>47198.124393200007</v>
      </c>
    </row>
    <row r="28" spans="1:25" x14ac:dyDescent="0.2">
      <c r="A28" s="10">
        <v>2024</v>
      </c>
      <c r="B28" s="9" t="s">
        <v>93</v>
      </c>
      <c r="C28" s="9" t="str">
        <f>Sheet1!B82</f>
        <v>Estimativa</v>
      </c>
      <c r="D28" s="10"/>
      <c r="E28" s="10">
        <f>Sheet1!D82</f>
        <v>78.900000000000006</v>
      </c>
      <c r="F28" s="10" t="str">
        <f>Sheet1!E82</f>
        <v>14/16</v>
      </c>
      <c r="G28" s="10" t="str">
        <f>Sheet1!F82</f>
        <v>Vários</v>
      </c>
      <c r="H28" s="10">
        <f>Sheet1!G82</f>
        <v>-25</v>
      </c>
      <c r="I28" s="10">
        <f>Sheet1!H82</f>
        <v>297.3</v>
      </c>
      <c r="J28" s="10">
        <f>Sheet1!I82</f>
        <v>0</v>
      </c>
      <c r="K28" s="12">
        <f>Sheet1!J82</f>
        <v>360.19844000000001</v>
      </c>
      <c r="L28" s="10" t="str">
        <f>Sheet1!K82</f>
        <v>preço</v>
      </c>
      <c r="M28" s="18">
        <f>Sheet1!L82</f>
        <v>0</v>
      </c>
      <c r="N28" s="10">
        <f>Sheet1!M82</f>
        <v>0</v>
      </c>
      <c r="O28" s="15">
        <f>Sheet1!N82</f>
        <v>28419.656916000004</v>
      </c>
      <c r="P28" s="15">
        <f>Sheet1!O82</f>
        <v>0</v>
      </c>
      <c r="Q28" s="15">
        <f>Sheet1!P82</f>
        <v>0</v>
      </c>
      <c r="R28" s="15">
        <f>Sheet1!Q82</f>
        <v>0</v>
      </c>
      <c r="S28" s="15">
        <f>Sheet1!R82</f>
        <v>0</v>
      </c>
      <c r="T28" s="15">
        <f>Sheet1!S82</f>
        <v>0</v>
      </c>
      <c r="U28" s="15">
        <f>Sheet1!T82</f>
        <v>0</v>
      </c>
      <c r="V28" s="15">
        <f>Sheet1!U82</f>
        <v>0</v>
      </c>
      <c r="W28" s="15">
        <f>Sheet1!V82</f>
        <v>0</v>
      </c>
      <c r="X28" s="15">
        <f>Sheet1!W82</f>
        <v>0</v>
      </c>
      <c r="Y28" s="15">
        <f>Sheet1!X82</f>
        <v>28419.656916000004</v>
      </c>
    </row>
    <row r="29" spans="1:25" x14ac:dyDescent="0.2">
      <c r="A29" s="20">
        <v>2024</v>
      </c>
      <c r="B29" s="16" t="s">
        <v>93</v>
      </c>
      <c r="C29" s="16" t="str">
        <f>Sheet1!B83</f>
        <v>Estimativa</v>
      </c>
      <c r="D29" s="20"/>
      <c r="E29" s="20">
        <f>Sheet1!D83</f>
        <v>10.3</v>
      </c>
      <c r="F29" s="20" t="str">
        <f>Sheet1!E83</f>
        <v>14/15</v>
      </c>
      <c r="G29" s="20" t="str">
        <f>Sheet1!F83</f>
        <v>Vários</v>
      </c>
      <c r="H29" s="20">
        <f>Sheet1!G83</f>
        <v>-25</v>
      </c>
      <c r="I29" s="20">
        <f>Sheet1!H83</f>
        <v>297.3</v>
      </c>
      <c r="J29" s="20">
        <f>Sheet1!I83</f>
        <v>0</v>
      </c>
      <c r="K29" s="21">
        <f>Sheet1!J83</f>
        <v>360.19844000000001</v>
      </c>
      <c r="L29" s="20" t="str">
        <f>Sheet1!K83</f>
        <v>preço</v>
      </c>
      <c r="M29" s="22">
        <f>Sheet1!L83</f>
        <v>0</v>
      </c>
      <c r="N29" s="20">
        <f>Sheet1!M83</f>
        <v>0</v>
      </c>
      <c r="O29" s="17">
        <f>Sheet1!N83</f>
        <v>3710.0439320000005</v>
      </c>
      <c r="P29" s="17">
        <f>Sheet1!O82</f>
        <v>0</v>
      </c>
      <c r="Q29" s="17">
        <f>Sheet1!P82</f>
        <v>0</v>
      </c>
      <c r="R29" s="17">
        <f>Sheet1!Q82</f>
        <v>0</v>
      </c>
      <c r="S29" s="17">
        <f>Sheet1!R82</f>
        <v>0</v>
      </c>
      <c r="T29" s="17">
        <f>Sheet1!S82</f>
        <v>0</v>
      </c>
      <c r="U29" s="17">
        <f>Sheet1!T82</f>
        <v>0</v>
      </c>
      <c r="V29" s="17">
        <f>Sheet1!U82</f>
        <v>0</v>
      </c>
      <c r="W29" s="17">
        <f>Sheet1!V82</f>
        <v>0</v>
      </c>
      <c r="X29" s="17">
        <f>Sheet1!W82</f>
        <v>0</v>
      </c>
      <c r="Y29" s="17">
        <f>Sheet1!X82</f>
        <v>28419.656916000004</v>
      </c>
    </row>
    <row r="30" spans="1:25" x14ac:dyDescent="0.2">
      <c r="A30" s="10">
        <v>2024</v>
      </c>
      <c r="B30" s="9" t="s">
        <v>93</v>
      </c>
      <c r="C30" s="9" t="str">
        <f>Sheet1!B84</f>
        <v>Estimativa</v>
      </c>
      <c r="D30" s="10"/>
      <c r="E30" s="10">
        <f>Sheet1!D84</f>
        <v>111.67</v>
      </c>
      <c r="F30" s="10" t="str">
        <f>Sheet1!E84</f>
        <v>Bica</v>
      </c>
      <c r="G30" s="10" t="str">
        <f>Sheet1!F84</f>
        <v>Vários</v>
      </c>
      <c r="H30" s="10">
        <f>Sheet1!G84</f>
        <v>-20</v>
      </c>
      <c r="I30" s="10">
        <f>Sheet1!H84</f>
        <v>297.3</v>
      </c>
      <c r="J30" s="10">
        <f>Sheet1!I84</f>
        <v>0</v>
      </c>
      <c r="K30" s="12">
        <f>Sheet1!J84</f>
        <v>366.81243999999998</v>
      </c>
      <c r="L30" s="10" t="str">
        <f>Sheet1!K84</f>
        <v>preço</v>
      </c>
      <c r="M30" s="18">
        <f>Sheet1!L84</f>
        <v>0</v>
      </c>
      <c r="N30" s="10">
        <f>Sheet1!M84</f>
        <v>0</v>
      </c>
      <c r="O30" s="15">
        <f>Sheet1!N84</f>
        <v>40961.945174799999</v>
      </c>
      <c r="P30" s="15">
        <f>Sheet1!O83</f>
        <v>0</v>
      </c>
      <c r="Q30" s="15">
        <f>Sheet1!P83</f>
        <v>0</v>
      </c>
      <c r="R30" s="15">
        <f>Sheet1!Q83</f>
        <v>0</v>
      </c>
      <c r="S30" s="15">
        <f>Sheet1!R83</f>
        <v>0</v>
      </c>
      <c r="T30" s="15">
        <f>Sheet1!S83</f>
        <v>0</v>
      </c>
      <c r="U30" s="15">
        <f>Sheet1!T83</f>
        <v>0</v>
      </c>
      <c r="V30" s="15">
        <f>Sheet1!U83</f>
        <v>0</v>
      </c>
      <c r="W30" s="15">
        <f>Sheet1!V83</f>
        <v>0</v>
      </c>
      <c r="X30" s="15">
        <f>Sheet1!W83</f>
        <v>0</v>
      </c>
      <c r="Y30" s="15">
        <f>Sheet1!X83</f>
        <v>3710.0439320000005</v>
      </c>
    </row>
    <row r="31" spans="1:25" x14ac:dyDescent="0.2">
      <c r="A31" s="20">
        <v>2024</v>
      </c>
      <c r="B31" s="16" t="s">
        <v>93</v>
      </c>
      <c r="C31" s="16" t="str">
        <f>Sheet1!B85</f>
        <v>Estimativa</v>
      </c>
      <c r="D31" s="20"/>
      <c r="E31" s="20">
        <f>Sheet1!D85</f>
        <v>27.3</v>
      </c>
      <c r="F31" s="20" t="str">
        <f>Sheet1!E85</f>
        <v>FVR</v>
      </c>
      <c r="G31" s="20" t="str">
        <f>Sheet1!F85</f>
        <v>Vários</v>
      </c>
      <c r="H31" s="20">
        <f>Sheet1!G85</f>
        <v>-80</v>
      </c>
      <c r="I31" s="20">
        <f>Sheet1!H85</f>
        <v>297.3</v>
      </c>
      <c r="J31" s="20">
        <f>Sheet1!I85</f>
        <v>0</v>
      </c>
      <c r="K31" s="21">
        <f>Sheet1!J85</f>
        <v>287.44443999999999</v>
      </c>
      <c r="L31" s="20" t="str">
        <f>Sheet1!K85</f>
        <v>preço</v>
      </c>
      <c r="M31" s="22">
        <f>Sheet1!L85</f>
        <v>0</v>
      </c>
      <c r="N31" s="20">
        <f>Sheet1!M85</f>
        <v>0</v>
      </c>
      <c r="O31" s="17">
        <f>Sheet1!N85</f>
        <v>7847.2332120000001</v>
      </c>
      <c r="P31" s="17">
        <f>Sheet1!O84</f>
        <v>0</v>
      </c>
      <c r="Q31" s="17">
        <f>Sheet1!P84</f>
        <v>0</v>
      </c>
      <c r="R31" s="17">
        <f>Sheet1!Q84</f>
        <v>0</v>
      </c>
      <c r="S31" s="17">
        <f>Sheet1!R84</f>
        <v>0</v>
      </c>
      <c r="T31" s="17">
        <f>Sheet1!S84</f>
        <v>0</v>
      </c>
      <c r="U31" s="17">
        <f>Sheet1!T84</f>
        <v>0</v>
      </c>
      <c r="V31" s="17">
        <f>Sheet1!U84</f>
        <v>0</v>
      </c>
      <c r="W31" s="17">
        <f>Sheet1!V84</f>
        <v>0</v>
      </c>
      <c r="X31" s="17">
        <f>Sheet1!W84</f>
        <v>0</v>
      </c>
      <c r="Y31" s="17">
        <f>Sheet1!X84</f>
        <v>40961.945174799999</v>
      </c>
    </row>
    <row r="32" spans="1:25" x14ac:dyDescent="0.2">
      <c r="A32" s="10">
        <v>2024</v>
      </c>
      <c r="B32" s="9" t="s">
        <v>93</v>
      </c>
      <c r="C32" s="9" t="str">
        <f>Sheet1!B86</f>
        <v>Estimativa</v>
      </c>
      <c r="D32" s="10"/>
      <c r="E32" s="10">
        <f>Sheet1!D86</f>
        <v>249.95</v>
      </c>
      <c r="F32" s="10" t="str">
        <f>Sheet1!E86</f>
        <v>Grinders</v>
      </c>
      <c r="G32" s="10" t="str">
        <f>Sheet1!F86</f>
        <v>Vários</v>
      </c>
      <c r="H32" s="10">
        <f>Sheet1!G86</f>
        <v>-30</v>
      </c>
      <c r="I32" s="10">
        <f>Sheet1!H86</f>
        <v>297.3</v>
      </c>
      <c r="J32" s="10">
        <f>Sheet1!I86</f>
        <v>0</v>
      </c>
      <c r="K32" s="12">
        <f>Sheet1!J86</f>
        <v>353.58444000000003</v>
      </c>
      <c r="L32" s="10" t="str">
        <f>Sheet1!K86</f>
        <v>preço</v>
      </c>
      <c r="M32" s="18">
        <f>Sheet1!L86</f>
        <v>0</v>
      </c>
      <c r="N32" s="10">
        <f>Sheet1!M86</f>
        <v>0</v>
      </c>
      <c r="O32" s="15">
        <f>Sheet1!N86</f>
        <v>88378.430778000009</v>
      </c>
      <c r="P32" s="15">
        <f>Sheet1!O85</f>
        <v>0</v>
      </c>
      <c r="Q32" s="15">
        <f>Sheet1!P85</f>
        <v>0</v>
      </c>
      <c r="R32" s="15">
        <f>Sheet1!Q85</f>
        <v>0</v>
      </c>
      <c r="S32" s="15">
        <f>Sheet1!R85</f>
        <v>0</v>
      </c>
      <c r="T32" s="15">
        <f>Sheet1!S85</f>
        <v>0</v>
      </c>
      <c r="U32" s="15">
        <f>Sheet1!T85</f>
        <v>0</v>
      </c>
      <c r="V32" s="15">
        <f>Sheet1!U85</f>
        <v>0</v>
      </c>
      <c r="W32" s="15">
        <f>Sheet1!V85</f>
        <v>0</v>
      </c>
      <c r="X32" s="15">
        <f>Sheet1!W85</f>
        <v>0</v>
      </c>
      <c r="Y32" s="15">
        <f>Sheet1!X85</f>
        <v>7847.2332120000001</v>
      </c>
    </row>
    <row r="33" spans="1:25" x14ac:dyDescent="0.2">
      <c r="A33" s="20">
        <v>2024</v>
      </c>
      <c r="B33" s="16" t="s">
        <v>93</v>
      </c>
      <c r="C33" s="16" t="str">
        <f>Sheet1!B87</f>
        <v>Estimativa</v>
      </c>
      <c r="D33" s="20"/>
      <c r="E33" s="20">
        <f>Sheet1!D87</f>
        <v>85.42</v>
      </c>
      <c r="F33" s="20" t="str">
        <f>Sheet1!E87</f>
        <v>Moka</v>
      </c>
      <c r="G33" s="20" t="str">
        <f>Sheet1!F87</f>
        <v>Vários</v>
      </c>
      <c r="H33" s="20">
        <f>Sheet1!G87</f>
        <v>-25</v>
      </c>
      <c r="I33" s="20">
        <f>Sheet1!H87</f>
        <v>297.3</v>
      </c>
      <c r="J33" s="20">
        <f>Sheet1!I87</f>
        <v>0</v>
      </c>
      <c r="K33" s="21">
        <f>Sheet1!J87</f>
        <v>360.19844000000001</v>
      </c>
      <c r="L33" s="20" t="str">
        <f>Sheet1!K87</f>
        <v>preço</v>
      </c>
      <c r="M33" s="22">
        <f>Sheet1!L87</f>
        <v>0</v>
      </c>
      <c r="N33" s="20">
        <f>Sheet1!M87</f>
        <v>0</v>
      </c>
      <c r="O33" s="17">
        <f>Sheet1!N87</f>
        <v>30768.150744800001</v>
      </c>
      <c r="P33" s="17">
        <f>Sheet1!O86</f>
        <v>0</v>
      </c>
      <c r="Q33" s="17">
        <f>Sheet1!P86</f>
        <v>0</v>
      </c>
      <c r="R33" s="17">
        <f>Sheet1!Q86</f>
        <v>0</v>
      </c>
      <c r="S33" s="17">
        <f>Sheet1!R86</f>
        <v>0</v>
      </c>
      <c r="T33" s="17">
        <f>Sheet1!S86</f>
        <v>0</v>
      </c>
      <c r="U33" s="17">
        <f>Sheet1!T86</f>
        <v>0</v>
      </c>
      <c r="V33" s="17">
        <f>Sheet1!U86</f>
        <v>0</v>
      </c>
      <c r="W33" s="17">
        <f>Sheet1!V86</f>
        <v>0</v>
      </c>
      <c r="X33" s="17">
        <f>Sheet1!W86</f>
        <v>0</v>
      </c>
      <c r="Y33" s="17">
        <f>Sheet1!X86</f>
        <v>88378.430778000009</v>
      </c>
    </row>
    <row r="34" spans="1:25" x14ac:dyDescent="0.2">
      <c r="A34" s="10">
        <v>2024</v>
      </c>
      <c r="B34" s="9" t="s">
        <v>93</v>
      </c>
      <c r="C34" s="9" t="str">
        <f>Sheet1!B88</f>
        <v>Estimativa</v>
      </c>
      <c r="D34" s="10"/>
      <c r="E34" s="10">
        <f>Sheet1!D88</f>
        <v>92.13</v>
      </c>
      <c r="F34" s="10" t="str">
        <f>Sheet1!E88</f>
        <v>Fundo</v>
      </c>
      <c r="G34" s="10" t="str">
        <f>Sheet1!F88</f>
        <v>Vários</v>
      </c>
      <c r="H34" s="10">
        <f>Sheet1!G88</f>
        <v>-120</v>
      </c>
      <c r="I34" s="10">
        <f>Sheet1!H88</f>
        <v>297.3</v>
      </c>
      <c r="J34" s="10">
        <f>Sheet1!I88</f>
        <v>0</v>
      </c>
      <c r="K34" s="12">
        <f>Sheet1!J88</f>
        <v>234.53244000000001</v>
      </c>
      <c r="L34" s="10" t="str">
        <f>Sheet1!K88</f>
        <v>preço</v>
      </c>
      <c r="M34" s="18">
        <f>Sheet1!L88</f>
        <v>0</v>
      </c>
      <c r="N34" s="10">
        <f>Sheet1!M88</f>
        <v>0</v>
      </c>
      <c r="O34" s="15">
        <f>Sheet1!N88</f>
        <v>21607.473697199999</v>
      </c>
      <c r="P34" s="15">
        <f>Sheet1!O87</f>
        <v>0</v>
      </c>
      <c r="Q34" s="15">
        <f>Sheet1!P87</f>
        <v>0</v>
      </c>
      <c r="R34" s="15">
        <f>Sheet1!Q87</f>
        <v>0</v>
      </c>
      <c r="S34" s="15">
        <f>Sheet1!R87</f>
        <v>0</v>
      </c>
      <c r="T34" s="15">
        <f>Sheet1!S87</f>
        <v>0</v>
      </c>
      <c r="U34" s="15">
        <f>Sheet1!T87</f>
        <v>0</v>
      </c>
      <c r="V34" s="15">
        <f>Sheet1!U87</f>
        <v>0</v>
      </c>
      <c r="W34" s="15">
        <f>Sheet1!V87</f>
        <v>0</v>
      </c>
      <c r="X34" s="15">
        <f>Sheet1!W87</f>
        <v>0</v>
      </c>
      <c r="Y34" s="15">
        <f>Sheet1!X87</f>
        <v>30768.150744800001</v>
      </c>
    </row>
    <row r="35" spans="1:25" x14ac:dyDescent="0.2">
      <c r="A35" s="20">
        <v>2024</v>
      </c>
      <c r="B35" s="16" t="s">
        <v>93</v>
      </c>
      <c r="C35" s="16" t="str">
        <f>Sheet1!B89</f>
        <v>Estimativa</v>
      </c>
      <c r="D35" s="20"/>
      <c r="E35" s="20">
        <f>Sheet1!D89</f>
        <v>846.17</v>
      </c>
      <c r="F35" s="20" t="str">
        <f>Sheet1!E89</f>
        <v>Escolha</v>
      </c>
      <c r="G35" s="20" t="str">
        <f>Sheet1!F89</f>
        <v>Vários</v>
      </c>
      <c r="H35" s="20">
        <f>Sheet1!G89</f>
        <v>-150</v>
      </c>
      <c r="I35" s="20">
        <f>Sheet1!H89</f>
        <v>297.3</v>
      </c>
      <c r="J35" s="20">
        <f>Sheet1!I89</f>
        <v>0</v>
      </c>
      <c r="K35" s="21">
        <f>Sheet1!J89</f>
        <v>194.84844000000001</v>
      </c>
      <c r="L35" s="20" t="str">
        <f>Sheet1!K89</f>
        <v>preço</v>
      </c>
      <c r="M35" s="22">
        <f>Sheet1!L89</f>
        <v>0</v>
      </c>
      <c r="N35" s="20">
        <f>Sheet1!M89</f>
        <v>0</v>
      </c>
      <c r="O35" s="17">
        <f>Sheet1!N89</f>
        <v>164874.90447479999</v>
      </c>
      <c r="P35" s="17">
        <f>Sheet1!O88</f>
        <v>0</v>
      </c>
      <c r="Q35" s="17">
        <f>Sheet1!P88</f>
        <v>0</v>
      </c>
      <c r="R35" s="17">
        <f>Sheet1!Q88</f>
        <v>0</v>
      </c>
      <c r="S35" s="17">
        <f>Sheet1!R88</f>
        <v>0</v>
      </c>
      <c r="T35" s="17">
        <f>Sheet1!S88</f>
        <v>0</v>
      </c>
      <c r="U35" s="17">
        <f>Sheet1!T88</f>
        <v>0</v>
      </c>
      <c r="V35" s="17">
        <f>Sheet1!U88</f>
        <v>0</v>
      </c>
      <c r="W35" s="17">
        <f>Sheet1!V88</f>
        <v>0</v>
      </c>
      <c r="X35" s="17">
        <f>Sheet1!W88</f>
        <v>0</v>
      </c>
      <c r="Y35" s="17">
        <f>Sheet1!X88</f>
        <v>21607.473697199999</v>
      </c>
    </row>
    <row r="36" spans="1:25" x14ac:dyDescent="0.2">
      <c r="A36" s="10">
        <v>2024</v>
      </c>
      <c r="B36" s="9" t="s">
        <v>93</v>
      </c>
      <c r="C36" s="9" t="str">
        <f>Sheet1!B90</f>
        <v>Estimativa</v>
      </c>
      <c r="D36" s="10"/>
      <c r="E36" s="10">
        <f>Sheet1!D90</f>
        <v>281.38</v>
      </c>
      <c r="F36" s="10" t="str">
        <f>Sheet1!E90</f>
        <v>Resíduo</v>
      </c>
      <c r="G36" s="10" t="str">
        <f>Sheet1!F90</f>
        <v>Vários</v>
      </c>
      <c r="H36" s="10">
        <f>Sheet1!G90</f>
        <v>-80</v>
      </c>
      <c r="I36" s="10">
        <f>Sheet1!H90</f>
        <v>297.3</v>
      </c>
      <c r="J36" s="10">
        <f>Sheet1!I90</f>
        <v>0</v>
      </c>
      <c r="K36" s="12">
        <f>Sheet1!J90</f>
        <v>287.44443999999999</v>
      </c>
      <c r="L36" s="10" t="str">
        <f>Sheet1!K90</f>
        <v>preço</v>
      </c>
      <c r="M36" s="18">
        <f>Sheet1!L90</f>
        <v>0</v>
      </c>
      <c r="N36" s="10">
        <f>Sheet1!M90</f>
        <v>0</v>
      </c>
      <c r="O36" s="15">
        <f>Sheet1!N90</f>
        <v>80881.116527199993</v>
      </c>
      <c r="P36" s="15">
        <f>Sheet1!O89</f>
        <v>0</v>
      </c>
      <c r="Q36" s="15">
        <f>Sheet1!P89</f>
        <v>0</v>
      </c>
      <c r="R36" s="15">
        <f>Sheet1!Q89</f>
        <v>0</v>
      </c>
      <c r="S36" s="15">
        <f>Sheet1!R89</f>
        <v>0</v>
      </c>
      <c r="T36" s="15">
        <f>Sheet1!S89</f>
        <v>0</v>
      </c>
      <c r="U36" s="15">
        <f>Sheet1!T89</f>
        <v>0</v>
      </c>
      <c r="V36" s="15">
        <f>Sheet1!U89</f>
        <v>0</v>
      </c>
      <c r="W36" s="15">
        <f>Sheet1!V89</f>
        <v>0</v>
      </c>
      <c r="X36" s="15">
        <f>Sheet1!W89</f>
        <v>0</v>
      </c>
      <c r="Y36" s="15">
        <f>Sheet1!X89</f>
        <v>164874.90447479999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>
    <pageSetUpPr fitToPage="1"/>
  </sheetPr>
  <dimension ref="B2:Y134"/>
  <sheetViews>
    <sheetView topLeftCell="B3" zoomScale="90" zoomScaleNormal="90" workbookViewId="0">
      <selection activeCell="M13" sqref="M13"/>
    </sheetView>
  </sheetViews>
  <sheetFormatPr baseColWidth="10" defaultRowHeight="14" x14ac:dyDescent="0.2"/>
  <cols>
    <col min="1" max="1" width="10.83203125" style="9"/>
    <col min="2" max="2" width="16.1640625" style="9" customWidth="1"/>
    <col min="3" max="5" width="10.83203125" style="9"/>
    <col min="6" max="8" width="11.5" style="9" customWidth="1"/>
    <col min="9" max="9" width="16" style="9" customWidth="1"/>
    <col min="10" max="16" width="11.5" style="9" customWidth="1"/>
    <col min="17" max="16384" width="10.83203125" style="9"/>
  </cols>
  <sheetData>
    <row r="2" spans="2:22" x14ac:dyDescent="0.2">
      <c r="B2" s="26" t="s">
        <v>114</v>
      </c>
      <c r="C2" s="6"/>
      <c r="D2" s="6"/>
      <c r="E2" s="6"/>
      <c r="G2" s="27" t="s">
        <v>113</v>
      </c>
      <c r="H2" s="25">
        <v>45636</v>
      </c>
      <c r="J2" s="26"/>
    </row>
    <row r="4" spans="2:22" x14ac:dyDescent="0.2">
      <c r="B4" s="23" t="s">
        <v>32</v>
      </c>
      <c r="C4" s="24" t="s">
        <v>39</v>
      </c>
      <c r="D4" s="53" t="s">
        <v>104</v>
      </c>
      <c r="E4" s="23" t="s">
        <v>32</v>
      </c>
      <c r="F4" s="24" t="s">
        <v>39</v>
      </c>
      <c r="G4" s="53" t="s">
        <v>104</v>
      </c>
      <c r="V4" s="10"/>
    </row>
    <row r="5" spans="2:22" x14ac:dyDescent="0.2">
      <c r="B5" s="11">
        <v>45627</v>
      </c>
      <c r="C5" s="12">
        <v>335.65</v>
      </c>
      <c r="D5" s="12">
        <f>C5*$J$35</f>
        <v>443.99781999999999</v>
      </c>
      <c r="E5" s="11">
        <v>45839</v>
      </c>
      <c r="F5" s="12">
        <v>317.45</v>
      </c>
      <c r="G5" s="12">
        <f>F5*$J$35</f>
        <v>419.92285999999996</v>
      </c>
    </row>
    <row r="6" spans="2:22" x14ac:dyDescent="0.2">
      <c r="B6" s="11">
        <v>45717</v>
      </c>
      <c r="C6" s="12">
        <v>325.55</v>
      </c>
      <c r="D6" s="12">
        <f>C6*$J$35</f>
        <v>430.63754</v>
      </c>
      <c r="E6" s="11">
        <v>45901</v>
      </c>
      <c r="F6" s="12">
        <v>310.05</v>
      </c>
      <c r="G6" s="12">
        <f>F6*$J$35</f>
        <v>410.13414</v>
      </c>
    </row>
    <row r="7" spans="2:22" x14ac:dyDescent="0.2">
      <c r="B7" s="11">
        <v>45778</v>
      </c>
      <c r="C7" s="12">
        <v>322.8</v>
      </c>
      <c r="D7" s="12">
        <f>C7*$J$35</f>
        <v>426.99984000000001</v>
      </c>
      <c r="E7" s="11">
        <v>45992</v>
      </c>
      <c r="F7" s="12">
        <v>297.3</v>
      </c>
      <c r="G7" s="12">
        <f>F7*$J$35</f>
        <v>393.26844</v>
      </c>
    </row>
    <row r="9" spans="2:22" x14ac:dyDescent="0.2">
      <c r="C9" s="63" t="s">
        <v>107</v>
      </c>
      <c r="D9" s="10" t="s">
        <v>58</v>
      </c>
      <c r="J9" s="65" t="s">
        <v>38</v>
      </c>
      <c r="K9" s="66">
        <v>6.05</v>
      </c>
    </row>
    <row r="10" spans="2:22" x14ac:dyDescent="0.2">
      <c r="C10" s="40" t="s">
        <v>58</v>
      </c>
      <c r="D10" s="40" t="s">
        <v>106</v>
      </c>
      <c r="J10" s="64">
        <f>5.5497</f>
        <v>5.5496999999999996</v>
      </c>
      <c r="K10" s="64">
        <f>5.6048</f>
        <v>5.6048</v>
      </c>
      <c r="L10" s="64">
        <f>5.7834</f>
        <v>5.7834000000000003</v>
      </c>
      <c r="M10" s="64">
        <f>K9</f>
        <v>6.05</v>
      </c>
      <c r="N10" s="64">
        <f>K9</f>
        <v>6.05</v>
      </c>
      <c r="O10" s="64">
        <f>N10</f>
        <v>6.05</v>
      </c>
      <c r="P10" s="64">
        <f t="shared" ref="P10:S10" si="0">O10</f>
        <v>6.05</v>
      </c>
      <c r="Q10" s="64">
        <f t="shared" si="0"/>
        <v>6.05</v>
      </c>
      <c r="R10" s="64">
        <f t="shared" si="0"/>
        <v>6.05</v>
      </c>
      <c r="S10" s="64">
        <f t="shared" si="0"/>
        <v>6.05</v>
      </c>
    </row>
    <row r="11" spans="2:22" x14ac:dyDescent="0.2">
      <c r="B11" s="13" t="s">
        <v>101</v>
      </c>
      <c r="C11" s="8" t="s">
        <v>49</v>
      </c>
      <c r="D11" s="8" t="s">
        <v>14</v>
      </c>
      <c r="E11" s="8" t="s">
        <v>50</v>
      </c>
      <c r="F11" s="62"/>
      <c r="I11" s="13" t="s">
        <v>101</v>
      </c>
      <c r="J11" s="14">
        <v>45536</v>
      </c>
      <c r="K11" s="14">
        <v>45566</v>
      </c>
      <c r="L11" s="14">
        <v>45597</v>
      </c>
      <c r="M11" s="14">
        <v>45627</v>
      </c>
      <c r="N11" s="14">
        <v>45658</v>
      </c>
      <c r="O11" s="14">
        <v>45689</v>
      </c>
      <c r="P11" s="14">
        <v>45717</v>
      </c>
      <c r="Q11" s="14">
        <v>45748</v>
      </c>
      <c r="R11" s="14">
        <v>45778</v>
      </c>
      <c r="S11" s="14" t="s">
        <v>31</v>
      </c>
    </row>
    <row r="12" spans="2:22" x14ac:dyDescent="0.2">
      <c r="B12" s="9" t="s">
        <v>1</v>
      </c>
      <c r="C12" s="15">
        <f t="shared" ref="C12:C21" si="1">SUM(J12:S12)</f>
        <v>1630261.0496</v>
      </c>
      <c r="D12" s="15">
        <f t="shared" ref="D12:D19" si="2">SUMIFS(D$36:D$90,$B$36:$B$90,B12)</f>
        <v>3840</v>
      </c>
      <c r="E12" s="15">
        <f t="shared" ref="E12:E21" si="3">C12/D12</f>
        <v>424.54714833333333</v>
      </c>
      <c r="F12" s="15"/>
      <c r="I12" s="9" t="s">
        <v>1</v>
      </c>
      <c r="J12" s="15">
        <f>O51</f>
        <v>0</v>
      </c>
      <c r="K12" s="15">
        <f>P51</f>
        <v>0</v>
      </c>
      <c r="L12" s="15">
        <f>Q51</f>
        <v>0</v>
      </c>
      <c r="M12" s="15">
        <f>342869.76</f>
        <v>342869.76000000001</v>
      </c>
      <c r="N12" s="15">
        <f t="shared" ref="N12:S12" si="4">S51</f>
        <v>69346.467199999999</v>
      </c>
      <c r="O12" s="15">
        <f t="shared" si="4"/>
        <v>222643.11359999998</v>
      </c>
      <c r="P12" s="15">
        <f t="shared" si="4"/>
        <v>653219.80480000004</v>
      </c>
      <c r="Q12" s="15">
        <f t="shared" si="4"/>
        <v>200144.93119999999</v>
      </c>
      <c r="R12" s="15">
        <f t="shared" si="4"/>
        <v>142036.97279999999</v>
      </c>
      <c r="S12" s="15">
        <f t="shared" si="4"/>
        <v>0</v>
      </c>
    </row>
    <row r="13" spans="2:22" x14ac:dyDescent="0.2">
      <c r="B13" s="16" t="s">
        <v>24</v>
      </c>
      <c r="C13" s="17">
        <f t="shared" si="1"/>
        <v>208000</v>
      </c>
      <c r="D13" s="17">
        <f t="shared" si="2"/>
        <v>640</v>
      </c>
      <c r="E13" s="17">
        <f t="shared" si="3"/>
        <v>325</v>
      </c>
      <c r="F13" s="15"/>
      <c r="I13" s="16" t="s">
        <v>24</v>
      </c>
      <c r="J13" s="17">
        <f t="shared" ref="J13:S13" si="5">O55</f>
        <v>0</v>
      </c>
      <c r="K13" s="17">
        <f t="shared" si="5"/>
        <v>0</v>
      </c>
      <c r="L13" s="17">
        <f t="shared" si="5"/>
        <v>0</v>
      </c>
      <c r="M13" s="17">
        <f t="shared" si="5"/>
        <v>0</v>
      </c>
      <c r="N13" s="17">
        <f t="shared" si="5"/>
        <v>26000</v>
      </c>
      <c r="O13" s="17">
        <f t="shared" si="5"/>
        <v>52000</v>
      </c>
      <c r="P13" s="17">
        <f t="shared" si="5"/>
        <v>52000</v>
      </c>
      <c r="Q13" s="17">
        <f t="shared" si="5"/>
        <v>52000</v>
      </c>
      <c r="R13" s="17">
        <f t="shared" si="5"/>
        <v>26000</v>
      </c>
      <c r="S13" s="17">
        <f t="shared" si="5"/>
        <v>0</v>
      </c>
    </row>
    <row r="14" spans="2:22" x14ac:dyDescent="0.2">
      <c r="B14" s="9" t="s">
        <v>23</v>
      </c>
      <c r="C14" s="15">
        <f t="shared" si="1"/>
        <v>148386.41279999999</v>
      </c>
      <c r="D14" s="15">
        <f t="shared" si="2"/>
        <v>320</v>
      </c>
      <c r="E14" s="15">
        <f t="shared" si="3"/>
        <v>463.70753999999999</v>
      </c>
      <c r="F14" s="15"/>
      <c r="I14" s="9" t="s">
        <v>23</v>
      </c>
      <c r="J14" s="15">
        <f t="shared" ref="J14:S14" si="6">O58</f>
        <v>0</v>
      </c>
      <c r="K14" s="15">
        <f t="shared" si="6"/>
        <v>0</v>
      </c>
      <c r="L14" s="15">
        <f t="shared" si="6"/>
        <v>0</v>
      </c>
      <c r="M14" s="15">
        <f t="shared" si="6"/>
        <v>0</v>
      </c>
      <c r="N14" s="15">
        <f t="shared" si="6"/>
        <v>148386.41279999999</v>
      </c>
      <c r="O14" s="15">
        <f t="shared" si="6"/>
        <v>0</v>
      </c>
      <c r="P14" s="15">
        <f t="shared" si="6"/>
        <v>0</v>
      </c>
      <c r="Q14" s="15">
        <f t="shared" si="6"/>
        <v>0</v>
      </c>
      <c r="R14" s="15">
        <f t="shared" si="6"/>
        <v>0</v>
      </c>
      <c r="S14" s="15">
        <f t="shared" si="6"/>
        <v>0</v>
      </c>
    </row>
    <row r="15" spans="2:22" x14ac:dyDescent="0.2">
      <c r="B15" s="16" t="s">
        <v>60</v>
      </c>
      <c r="C15" s="17">
        <f t="shared" si="1"/>
        <v>3065.7851239669421</v>
      </c>
      <c r="D15" s="17">
        <f t="shared" si="2"/>
        <v>8</v>
      </c>
      <c r="E15" s="17">
        <f t="shared" si="3"/>
        <v>383.22314049586777</v>
      </c>
      <c r="F15" s="15"/>
      <c r="I15" s="16" t="s">
        <v>60</v>
      </c>
      <c r="J15" s="17">
        <f t="shared" ref="J15:S15" si="7">O62</f>
        <v>0</v>
      </c>
      <c r="K15" s="17">
        <f t="shared" si="7"/>
        <v>0</v>
      </c>
      <c r="L15" s="17">
        <f t="shared" si="7"/>
        <v>0</v>
      </c>
      <c r="M15" s="17">
        <f t="shared" si="7"/>
        <v>766.44628099173553</v>
      </c>
      <c r="N15" s="17">
        <f t="shared" si="7"/>
        <v>766.44628099173553</v>
      </c>
      <c r="O15" s="17">
        <f t="shared" si="7"/>
        <v>766.44628099173553</v>
      </c>
      <c r="P15" s="17">
        <f t="shared" si="7"/>
        <v>766.44628099173553</v>
      </c>
      <c r="Q15" s="17">
        <f t="shared" si="7"/>
        <v>0</v>
      </c>
      <c r="R15" s="17">
        <f t="shared" si="7"/>
        <v>0</v>
      </c>
      <c r="S15" s="17">
        <f t="shared" si="7"/>
        <v>0</v>
      </c>
    </row>
    <row r="16" spans="2:22" x14ac:dyDescent="0.2">
      <c r="B16" s="9" t="s">
        <v>78</v>
      </c>
      <c r="C16" s="15">
        <f t="shared" si="1"/>
        <v>173966.94214876031</v>
      </c>
      <c r="D16" s="15">
        <f t="shared" si="2"/>
        <v>500</v>
      </c>
      <c r="E16" s="15">
        <f t="shared" si="3"/>
        <v>347.93388429752065</v>
      </c>
      <c r="F16" s="15"/>
      <c r="I16" s="9" t="s">
        <v>78</v>
      </c>
      <c r="J16" s="15">
        <f t="shared" ref="J16:S16" si="8">O65</f>
        <v>0</v>
      </c>
      <c r="K16" s="15">
        <f t="shared" si="8"/>
        <v>0</v>
      </c>
      <c r="L16" s="15">
        <f t="shared" si="8"/>
        <v>0</v>
      </c>
      <c r="M16" s="15">
        <f t="shared" si="8"/>
        <v>173966.94214876031</v>
      </c>
      <c r="N16" s="15">
        <f t="shared" si="8"/>
        <v>0</v>
      </c>
      <c r="O16" s="15">
        <f t="shared" si="8"/>
        <v>0</v>
      </c>
      <c r="P16" s="15">
        <f t="shared" si="8"/>
        <v>0</v>
      </c>
      <c r="Q16" s="15">
        <f t="shared" si="8"/>
        <v>0</v>
      </c>
      <c r="R16" s="15">
        <f t="shared" si="8"/>
        <v>0</v>
      </c>
      <c r="S16" s="15">
        <f t="shared" si="8"/>
        <v>0</v>
      </c>
    </row>
    <row r="17" spans="2:24" x14ac:dyDescent="0.2">
      <c r="B17" s="16" t="s">
        <v>95</v>
      </c>
      <c r="C17" s="17">
        <f t="shared" si="1"/>
        <v>7272.7272727272721</v>
      </c>
      <c r="D17" s="17">
        <f t="shared" si="2"/>
        <v>20</v>
      </c>
      <c r="E17" s="17">
        <f t="shared" ref="E17:E18" si="9">C17/D17</f>
        <v>363.63636363636363</v>
      </c>
      <c r="F17" s="15"/>
      <c r="I17" s="16" t="s">
        <v>95</v>
      </c>
      <c r="J17" s="17">
        <f t="shared" ref="J17:S17" si="10">O67</f>
        <v>0</v>
      </c>
      <c r="K17" s="17">
        <f t="shared" si="10"/>
        <v>0</v>
      </c>
      <c r="L17" s="17">
        <f t="shared" si="10"/>
        <v>0</v>
      </c>
      <c r="M17" s="17">
        <f t="shared" si="10"/>
        <v>3636.363636363636</v>
      </c>
      <c r="N17" s="17">
        <f t="shared" si="10"/>
        <v>909.09090909090901</v>
      </c>
      <c r="O17" s="17">
        <f t="shared" si="10"/>
        <v>909.09090909090901</v>
      </c>
      <c r="P17" s="17">
        <f t="shared" si="10"/>
        <v>909.09090909090901</v>
      </c>
      <c r="Q17" s="17">
        <f t="shared" si="10"/>
        <v>909.09090909090901</v>
      </c>
      <c r="R17" s="17">
        <f t="shared" si="10"/>
        <v>0</v>
      </c>
      <c r="S17" s="17">
        <f t="shared" si="10"/>
        <v>0</v>
      </c>
    </row>
    <row r="18" spans="2:24" x14ac:dyDescent="0.2">
      <c r="B18" s="9" t="s">
        <v>98</v>
      </c>
      <c r="C18" s="15">
        <f t="shared" si="1"/>
        <v>165289.25619834711</v>
      </c>
      <c r="D18" s="15">
        <f t="shared" si="2"/>
        <v>500</v>
      </c>
      <c r="E18" s="15">
        <f t="shared" si="9"/>
        <v>330.57851239669424</v>
      </c>
      <c r="F18" s="15"/>
      <c r="I18" s="9" t="s">
        <v>98</v>
      </c>
      <c r="J18" s="15">
        <f t="shared" ref="J18:S18" si="11">O70</f>
        <v>0</v>
      </c>
      <c r="K18" s="15">
        <f t="shared" si="11"/>
        <v>0</v>
      </c>
      <c r="L18" s="15">
        <f t="shared" si="11"/>
        <v>0</v>
      </c>
      <c r="M18" s="15">
        <f t="shared" si="11"/>
        <v>0</v>
      </c>
      <c r="N18" s="15">
        <f t="shared" si="11"/>
        <v>165289.25619834711</v>
      </c>
      <c r="O18" s="15">
        <f t="shared" si="11"/>
        <v>0</v>
      </c>
      <c r="P18" s="15">
        <f t="shared" si="11"/>
        <v>0</v>
      </c>
      <c r="Q18" s="15">
        <f t="shared" si="11"/>
        <v>0</v>
      </c>
      <c r="R18" s="15">
        <f t="shared" si="11"/>
        <v>0</v>
      </c>
      <c r="S18" s="15">
        <f t="shared" si="11"/>
        <v>0</v>
      </c>
    </row>
    <row r="19" spans="2:24" x14ac:dyDescent="0.2">
      <c r="B19" s="16" t="s">
        <v>102</v>
      </c>
      <c r="C19" s="17">
        <f t="shared" si="1"/>
        <v>132160</v>
      </c>
      <c r="D19" s="17">
        <f t="shared" si="2"/>
        <v>320</v>
      </c>
      <c r="E19" s="17">
        <f t="shared" ref="E19" si="12">C19/D19</f>
        <v>413</v>
      </c>
      <c r="F19" s="15"/>
      <c r="I19" s="16" t="s">
        <v>102</v>
      </c>
      <c r="J19" s="17">
        <f t="shared" ref="J19:S19" si="13">O73</f>
        <v>0</v>
      </c>
      <c r="K19" s="17">
        <f t="shared" si="13"/>
        <v>0</v>
      </c>
      <c r="L19" s="17">
        <f t="shared" si="13"/>
        <v>0</v>
      </c>
      <c r="M19" s="17">
        <f t="shared" si="13"/>
        <v>0</v>
      </c>
      <c r="N19" s="17">
        <f t="shared" si="13"/>
        <v>0</v>
      </c>
      <c r="O19" s="17">
        <f t="shared" si="13"/>
        <v>0</v>
      </c>
      <c r="P19" s="17">
        <f t="shared" si="13"/>
        <v>132160</v>
      </c>
      <c r="Q19" s="17">
        <f t="shared" si="13"/>
        <v>0</v>
      </c>
      <c r="R19" s="17">
        <f t="shared" si="13"/>
        <v>0</v>
      </c>
      <c r="S19" s="17">
        <f t="shared" si="13"/>
        <v>0</v>
      </c>
    </row>
    <row r="20" spans="2:24" x14ac:dyDescent="0.2">
      <c r="B20" s="3" t="s">
        <v>59</v>
      </c>
      <c r="C20" s="7">
        <f t="shared" si="1"/>
        <v>2468402.1731438017</v>
      </c>
      <c r="D20" s="7">
        <f>SUM(D12:D19)</f>
        <v>6148</v>
      </c>
      <c r="E20" s="4">
        <f>C20/D20</f>
        <v>401.49677507218638</v>
      </c>
      <c r="F20" s="30"/>
      <c r="I20" s="3" t="s">
        <v>59</v>
      </c>
      <c r="J20" s="7">
        <f t="shared" ref="J20:S20" si="14">SUM(J12:J19)</f>
        <v>0</v>
      </c>
      <c r="K20" s="7">
        <f t="shared" si="14"/>
        <v>0</v>
      </c>
      <c r="L20" s="7">
        <f t="shared" si="14"/>
        <v>0</v>
      </c>
      <c r="M20" s="7">
        <f t="shared" si="14"/>
        <v>521239.51206611568</v>
      </c>
      <c r="N20" s="7">
        <f t="shared" si="14"/>
        <v>410697.6733884298</v>
      </c>
      <c r="O20" s="7">
        <f t="shared" si="14"/>
        <v>276318.65079008258</v>
      </c>
      <c r="P20" s="7">
        <f t="shared" si="14"/>
        <v>839055.34199008276</v>
      </c>
      <c r="Q20" s="7">
        <f t="shared" si="14"/>
        <v>253054.0221090909</v>
      </c>
      <c r="R20" s="7">
        <f t="shared" si="14"/>
        <v>168036.97279999999</v>
      </c>
      <c r="S20" s="7">
        <f t="shared" si="14"/>
        <v>0</v>
      </c>
    </row>
    <row r="21" spans="2:24" x14ac:dyDescent="0.2">
      <c r="B21" s="16" t="s">
        <v>30</v>
      </c>
      <c r="C21" s="17">
        <f t="shared" si="1"/>
        <v>597091.52771519998</v>
      </c>
      <c r="D21" s="17">
        <f>SUMIFS(D$36:D$90,$B$36:$B$90,B21)</f>
        <v>2112.58</v>
      </c>
      <c r="E21" s="17">
        <f t="shared" si="3"/>
        <v>282.636173643223</v>
      </c>
      <c r="F21" s="15"/>
      <c r="I21" s="16" t="s">
        <v>30</v>
      </c>
      <c r="J21" s="17">
        <f t="shared" ref="J21:S21" si="15">O91</f>
        <v>0</v>
      </c>
      <c r="K21" s="17">
        <f t="shared" si="15"/>
        <v>0</v>
      </c>
      <c r="L21" s="17">
        <f t="shared" si="15"/>
        <v>0</v>
      </c>
      <c r="M21" s="17">
        <f t="shared" si="15"/>
        <v>0</v>
      </c>
      <c r="N21" s="17">
        <f t="shared" si="15"/>
        <v>0</v>
      </c>
      <c r="O21" s="17">
        <f t="shared" si="15"/>
        <v>0</v>
      </c>
      <c r="P21" s="17">
        <f t="shared" si="15"/>
        <v>0</v>
      </c>
      <c r="Q21" s="17">
        <f t="shared" si="15"/>
        <v>0</v>
      </c>
      <c r="R21" s="17">
        <f t="shared" si="15"/>
        <v>0</v>
      </c>
      <c r="S21" s="17">
        <f t="shared" si="15"/>
        <v>597091.52771519998</v>
      </c>
    </row>
    <row r="22" spans="2:24" x14ac:dyDescent="0.2">
      <c r="B22" s="3" t="s">
        <v>33</v>
      </c>
      <c r="C22" s="7">
        <f>C20+C21</f>
        <v>3065493.7008590018</v>
      </c>
      <c r="D22" s="7">
        <f>D20+D21</f>
        <v>8260.58</v>
      </c>
      <c r="E22" s="7">
        <f>C22/D22</f>
        <v>371.09908757726475</v>
      </c>
      <c r="F22" s="30"/>
      <c r="I22" s="3" t="s">
        <v>33</v>
      </c>
      <c r="J22" s="7">
        <f t="shared" ref="J22:S22" si="16">J20+J21</f>
        <v>0</v>
      </c>
      <c r="K22" s="7">
        <f t="shared" si="16"/>
        <v>0</v>
      </c>
      <c r="L22" s="7">
        <f t="shared" si="16"/>
        <v>0</v>
      </c>
      <c r="M22" s="7">
        <f t="shared" si="16"/>
        <v>521239.51206611568</v>
      </c>
      <c r="N22" s="7">
        <f t="shared" si="16"/>
        <v>410697.6733884298</v>
      </c>
      <c r="O22" s="7">
        <f t="shared" si="16"/>
        <v>276318.65079008258</v>
      </c>
      <c r="P22" s="7">
        <f t="shared" si="16"/>
        <v>839055.34199008276</v>
      </c>
      <c r="Q22" s="7">
        <f t="shared" si="16"/>
        <v>253054.0221090909</v>
      </c>
      <c r="R22" s="7">
        <f t="shared" si="16"/>
        <v>168036.97279999999</v>
      </c>
      <c r="S22" s="7">
        <f t="shared" si="16"/>
        <v>597091.52771519998</v>
      </c>
    </row>
    <row r="23" spans="2:24" x14ac:dyDescent="0.2">
      <c r="B23" s="1"/>
      <c r="C23" s="30"/>
      <c r="D23" s="30"/>
      <c r="E23" s="30"/>
      <c r="F23" s="30"/>
      <c r="I23" s="1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2:24" x14ac:dyDescent="0.2">
      <c r="B24" s="71" t="s">
        <v>108</v>
      </c>
      <c r="C24" s="72">
        <f>SUM(J24:S24)</f>
        <v>18546236.89019696</v>
      </c>
      <c r="D24" s="72">
        <f>D22</f>
        <v>8260.58</v>
      </c>
      <c r="E24" s="72">
        <f>C24/D24</f>
        <v>2245.1494798424519</v>
      </c>
      <c r="F24" s="15"/>
      <c r="I24" s="71" t="s">
        <v>108</v>
      </c>
      <c r="J24" s="70">
        <f t="shared" ref="J24:S24" si="17">J22*J10</f>
        <v>0</v>
      </c>
      <c r="K24" s="70">
        <f t="shared" si="17"/>
        <v>0</v>
      </c>
      <c r="L24" s="70">
        <f t="shared" si="17"/>
        <v>0</v>
      </c>
      <c r="M24" s="70">
        <f t="shared" si="17"/>
        <v>3153499.048</v>
      </c>
      <c r="N24" s="70">
        <f t="shared" si="17"/>
        <v>2484720.9240000001</v>
      </c>
      <c r="O24" s="70">
        <f t="shared" si="17"/>
        <v>1671727.8372799996</v>
      </c>
      <c r="P24" s="70">
        <f t="shared" si="17"/>
        <v>5076284.8190400004</v>
      </c>
      <c r="Q24" s="70">
        <f t="shared" si="17"/>
        <v>1530976.8337599998</v>
      </c>
      <c r="R24" s="70">
        <f t="shared" si="17"/>
        <v>1016623.6854399999</v>
      </c>
      <c r="S24" s="70">
        <f t="shared" si="17"/>
        <v>3612403.7426769598</v>
      </c>
      <c r="T24" s="15"/>
      <c r="U24" s="15"/>
      <c r="V24" s="15"/>
      <c r="W24" s="15"/>
      <c r="X24" s="15"/>
    </row>
    <row r="25" spans="2:24" x14ac:dyDescent="0.2">
      <c r="O25" s="36"/>
      <c r="T25" s="30"/>
      <c r="U25" s="30"/>
      <c r="V25" s="30"/>
      <c r="W25" s="30"/>
      <c r="X25" s="30"/>
    </row>
    <row r="26" spans="2:24" x14ac:dyDescent="0.2">
      <c r="B26" s="68" t="s">
        <v>111</v>
      </c>
      <c r="C26" s="69">
        <f>Q105</f>
        <v>-1284396.7811905716</v>
      </c>
      <c r="D26" s="69">
        <f>-D105</f>
        <v>-11694.374999999998</v>
      </c>
      <c r="E26" s="51"/>
      <c r="I26" s="68" t="s">
        <v>111</v>
      </c>
      <c r="J26" s="48">
        <f t="shared" ref="J26:S26" si="18">O105</f>
        <v>0</v>
      </c>
      <c r="K26" s="48">
        <f t="shared" si="18"/>
        <v>0</v>
      </c>
      <c r="L26" s="48">
        <f t="shared" si="18"/>
        <v>-1284396.7811905716</v>
      </c>
      <c r="M26" s="48">
        <f t="shared" si="18"/>
        <v>0</v>
      </c>
      <c r="N26" s="48">
        <f t="shared" si="18"/>
        <v>0</v>
      </c>
      <c r="O26" s="48">
        <f t="shared" si="18"/>
        <v>0</v>
      </c>
      <c r="P26" s="48">
        <f t="shared" si="18"/>
        <v>0</v>
      </c>
      <c r="Q26" s="48">
        <f t="shared" si="18"/>
        <v>0</v>
      </c>
      <c r="R26" s="48">
        <f t="shared" si="18"/>
        <v>0</v>
      </c>
      <c r="S26" s="48">
        <f t="shared" si="18"/>
        <v>0</v>
      </c>
    </row>
    <row r="27" spans="2:24" x14ac:dyDescent="0.2">
      <c r="B27" s="46" t="s">
        <v>112</v>
      </c>
      <c r="C27" s="47">
        <f>N115</f>
        <v>-1641120.5035121399</v>
      </c>
      <c r="D27" s="47">
        <f>-D115</f>
        <v>-12250.035</v>
      </c>
      <c r="E27" s="51"/>
      <c r="I27" s="46" t="s">
        <v>112</v>
      </c>
      <c r="J27" s="47">
        <f t="shared" ref="J27:S27" si="19">O115</f>
        <v>0</v>
      </c>
      <c r="K27" s="47">
        <f t="shared" si="19"/>
        <v>0</v>
      </c>
      <c r="L27" s="47">
        <f t="shared" si="19"/>
        <v>0</v>
      </c>
      <c r="M27" s="47">
        <f t="shared" si="19"/>
        <v>0</v>
      </c>
      <c r="N27" s="47">
        <f t="shared" si="19"/>
        <v>0</v>
      </c>
      <c r="O27" s="47">
        <f t="shared" si="19"/>
        <v>-219955.53156570002</v>
      </c>
      <c r="P27" s="47">
        <f t="shared" si="19"/>
        <v>0</v>
      </c>
      <c r="Q27" s="47">
        <f t="shared" si="19"/>
        <v>-71726.564440440008</v>
      </c>
      <c r="R27" s="47">
        <f t="shared" si="19"/>
        <v>0</v>
      </c>
      <c r="S27" s="47">
        <f t="shared" si="19"/>
        <v>-1349438.4075060003</v>
      </c>
    </row>
    <row r="28" spans="2:24" x14ac:dyDescent="0.2">
      <c r="B28" s="1"/>
      <c r="C28" s="30"/>
      <c r="D28" s="30"/>
      <c r="E28" s="30"/>
      <c r="F28" s="30"/>
      <c r="I28" s="1"/>
      <c r="J28" s="30"/>
      <c r="K28" s="30"/>
      <c r="O28" s="73"/>
      <c r="P28" s="73"/>
      <c r="Q28" s="73"/>
      <c r="R28" s="73"/>
      <c r="S28" s="73"/>
    </row>
    <row r="29" spans="2:24" x14ac:dyDescent="0.2">
      <c r="B29" s="49" t="s">
        <v>109</v>
      </c>
      <c r="C29" s="50">
        <f>SUM(J29:S29)</f>
        <v>139976.41615628975</v>
      </c>
      <c r="D29" s="67"/>
      <c r="I29" s="49" t="s">
        <v>109</v>
      </c>
      <c r="J29" s="50">
        <f t="shared" ref="J29:S29" si="20">J22+J26+J27</f>
        <v>0</v>
      </c>
      <c r="K29" s="50">
        <f t="shared" si="20"/>
        <v>0</v>
      </c>
      <c r="L29" s="50">
        <f t="shared" si="20"/>
        <v>-1284396.7811905716</v>
      </c>
      <c r="M29" s="50">
        <f t="shared" si="20"/>
        <v>521239.51206611568</v>
      </c>
      <c r="N29" s="50">
        <f t="shared" si="20"/>
        <v>410697.6733884298</v>
      </c>
      <c r="O29" s="50">
        <f t="shared" si="20"/>
        <v>56363.119224382564</v>
      </c>
      <c r="P29" s="50">
        <f t="shared" si="20"/>
        <v>839055.34199008276</v>
      </c>
      <c r="Q29" s="50">
        <f t="shared" si="20"/>
        <v>181327.4576686509</v>
      </c>
      <c r="R29" s="50">
        <f t="shared" si="20"/>
        <v>168036.97279999999</v>
      </c>
      <c r="S29" s="50">
        <f t="shared" si="20"/>
        <v>-752346.87979080027</v>
      </c>
    </row>
    <row r="30" spans="2:24" x14ac:dyDescent="0.2">
      <c r="B30" s="71" t="s">
        <v>110</v>
      </c>
      <c r="C30" s="72">
        <f>SUM(J30:S30)</f>
        <v>1189277.4996109586</v>
      </c>
      <c r="D30" s="30"/>
      <c r="E30" s="30"/>
      <c r="F30" s="30"/>
      <c r="I30" s="71" t="s">
        <v>110</v>
      </c>
      <c r="J30" s="70">
        <f t="shared" ref="J30:S30" si="21">J29*J10</f>
        <v>0</v>
      </c>
      <c r="K30" s="70">
        <f t="shared" si="21"/>
        <v>0</v>
      </c>
      <c r="L30" s="70">
        <f t="shared" si="21"/>
        <v>-7428180.3443375519</v>
      </c>
      <c r="M30" s="70">
        <f t="shared" si="21"/>
        <v>3153499.048</v>
      </c>
      <c r="N30" s="70">
        <f t="shared" si="21"/>
        <v>2484720.9240000001</v>
      </c>
      <c r="O30" s="70">
        <f t="shared" si="21"/>
        <v>340996.87130751449</v>
      </c>
      <c r="P30" s="70">
        <f t="shared" si="21"/>
        <v>5076284.8190400004</v>
      </c>
      <c r="Q30" s="70">
        <f t="shared" si="21"/>
        <v>1097031.1188953379</v>
      </c>
      <c r="R30" s="70">
        <f t="shared" si="21"/>
        <v>1016623.6854399999</v>
      </c>
      <c r="S30" s="70">
        <f t="shared" si="21"/>
        <v>-4551698.6227343418</v>
      </c>
    </row>
    <row r="31" spans="2:24" x14ac:dyDescent="0.2">
      <c r="B31" s="1"/>
      <c r="C31" s="30"/>
      <c r="D31" s="30"/>
      <c r="E31" s="30"/>
      <c r="F31" s="30"/>
      <c r="G31" s="30"/>
      <c r="H31" s="30"/>
      <c r="K31" s="51"/>
      <c r="R31" s="15"/>
      <c r="S31" s="15"/>
    </row>
    <row r="32" spans="2:24" x14ac:dyDescent="0.2">
      <c r="B32" s="1"/>
      <c r="C32" s="30"/>
      <c r="D32" s="30"/>
      <c r="E32" s="30"/>
      <c r="F32" s="30"/>
      <c r="G32" s="30"/>
      <c r="H32" s="30"/>
      <c r="K32" s="51"/>
      <c r="R32" s="15"/>
      <c r="S32" s="15"/>
    </row>
    <row r="33" spans="2:25" x14ac:dyDescent="0.2">
      <c r="B33" s="1"/>
      <c r="C33" s="30"/>
      <c r="D33" s="30"/>
      <c r="E33" s="30"/>
      <c r="F33" s="30"/>
      <c r="G33" s="30"/>
      <c r="H33" s="30"/>
      <c r="J33" s="30"/>
      <c r="K33" s="1"/>
      <c r="M33" s="1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2:25" x14ac:dyDescent="0.2">
      <c r="B34" s="37" t="s">
        <v>51</v>
      </c>
      <c r="C34" s="39"/>
      <c r="D34" s="39"/>
      <c r="E34" s="39"/>
      <c r="F34" s="39"/>
      <c r="G34" s="39"/>
      <c r="H34" s="39"/>
      <c r="I34" s="38"/>
      <c r="N34" s="10"/>
      <c r="R34" s="10"/>
    </row>
    <row r="35" spans="2:25" x14ac:dyDescent="0.2">
      <c r="J35" s="28">
        <v>1.3228</v>
      </c>
      <c r="R35" s="61"/>
    </row>
    <row r="36" spans="2:25" x14ac:dyDescent="0.2">
      <c r="B36" s="13" t="s">
        <v>16</v>
      </c>
      <c r="C36" s="13" t="s">
        <v>15</v>
      </c>
      <c r="D36" s="8" t="s">
        <v>14</v>
      </c>
      <c r="E36" s="8" t="s">
        <v>80</v>
      </c>
      <c r="F36" s="8" t="s">
        <v>81</v>
      </c>
      <c r="G36" s="8" t="s">
        <v>13</v>
      </c>
      <c r="H36" s="8" t="s">
        <v>22</v>
      </c>
      <c r="I36" s="8" t="s">
        <v>17</v>
      </c>
      <c r="J36" s="8" t="s">
        <v>18</v>
      </c>
      <c r="K36" s="8" t="s">
        <v>57</v>
      </c>
      <c r="L36" s="8" t="s">
        <v>20</v>
      </c>
      <c r="M36" s="8" t="s">
        <v>21</v>
      </c>
      <c r="N36" s="29" t="s">
        <v>19</v>
      </c>
      <c r="O36" s="14">
        <v>45536</v>
      </c>
      <c r="P36" s="14">
        <v>45566</v>
      </c>
      <c r="Q36" s="14">
        <v>45597</v>
      </c>
      <c r="R36" s="14">
        <v>45627</v>
      </c>
      <c r="S36" s="14">
        <v>45658</v>
      </c>
      <c r="T36" s="14">
        <v>45689</v>
      </c>
      <c r="U36" s="14">
        <v>45717</v>
      </c>
      <c r="V36" s="14">
        <v>45748</v>
      </c>
      <c r="W36" s="14">
        <v>45778</v>
      </c>
      <c r="X36" s="29" t="s">
        <v>31</v>
      </c>
      <c r="Y36" s="40"/>
    </row>
    <row r="37" spans="2:25" x14ac:dyDescent="0.2">
      <c r="B37" s="9" t="s">
        <v>1</v>
      </c>
      <c r="C37" s="10" t="s">
        <v>12</v>
      </c>
      <c r="D37" s="10">
        <v>320</v>
      </c>
      <c r="E37" s="10" t="s">
        <v>67</v>
      </c>
      <c r="F37" s="10" t="s">
        <v>84</v>
      </c>
      <c r="G37" s="10">
        <v>10</v>
      </c>
      <c r="H37" s="12">
        <v>251.05</v>
      </c>
      <c r="I37" s="12">
        <v>245</v>
      </c>
      <c r="J37" s="12">
        <f>IF(K37="preço",(H37+G37)*$J$35,(I37+G37)*$J$35)</f>
        <v>345.31693999999999</v>
      </c>
      <c r="K37" s="10" t="s">
        <v>58</v>
      </c>
      <c r="L37" s="54">
        <v>45564</v>
      </c>
      <c r="M37" s="10">
        <v>60</v>
      </c>
      <c r="N37" s="15">
        <f>J37*D37</f>
        <v>110501.42079999999</v>
      </c>
      <c r="O37" s="15"/>
      <c r="P37" s="15"/>
      <c r="Q37" s="15"/>
      <c r="R37" s="15">
        <f>N37</f>
        <v>110501.42079999999</v>
      </c>
      <c r="S37" s="15"/>
      <c r="T37" s="15"/>
      <c r="U37" s="15"/>
      <c r="V37" s="15"/>
      <c r="W37" s="15"/>
      <c r="X37" s="15"/>
      <c r="Y37" s="41"/>
    </row>
    <row r="38" spans="2:25" x14ac:dyDescent="0.2">
      <c r="B38" s="16" t="s">
        <v>1</v>
      </c>
      <c r="C38" s="20" t="s">
        <v>11</v>
      </c>
      <c r="D38" s="20">
        <v>320</v>
      </c>
      <c r="E38" s="20" t="s">
        <v>67</v>
      </c>
      <c r="F38" s="20" t="s">
        <v>84</v>
      </c>
      <c r="G38" s="20">
        <v>10</v>
      </c>
      <c r="H38" s="21">
        <v>251.05</v>
      </c>
      <c r="I38" s="21">
        <v>245</v>
      </c>
      <c r="J38" s="21">
        <f t="shared" ref="J38:J50" si="22">IF(K38="preço",(H38+G38)*$J$35,(I38+G38)*$J$35)</f>
        <v>345.31693999999999</v>
      </c>
      <c r="K38" s="20" t="s">
        <v>58</v>
      </c>
      <c r="L38" s="55">
        <v>45564</v>
      </c>
      <c r="M38" s="20">
        <v>60</v>
      </c>
      <c r="N38" s="17">
        <f t="shared" ref="N38:N50" si="23">J38*D38</f>
        <v>110501.42079999999</v>
      </c>
      <c r="O38" s="17"/>
      <c r="P38" s="17"/>
      <c r="Q38" s="17"/>
      <c r="R38" s="17">
        <f>N38</f>
        <v>110501.42079999999</v>
      </c>
      <c r="S38" s="17"/>
      <c r="T38" s="17"/>
      <c r="U38" s="17"/>
      <c r="V38" s="17"/>
      <c r="W38" s="17"/>
      <c r="X38" s="17"/>
      <c r="Y38" s="41"/>
    </row>
    <row r="39" spans="2:25" x14ac:dyDescent="0.2">
      <c r="B39" s="9" t="s">
        <v>1</v>
      </c>
      <c r="C39" s="10" t="s">
        <v>10</v>
      </c>
      <c r="D39" s="10">
        <v>320</v>
      </c>
      <c r="E39" s="10" t="s">
        <v>67</v>
      </c>
      <c r="F39" s="10" t="s">
        <v>85</v>
      </c>
      <c r="G39" s="10">
        <v>10</v>
      </c>
      <c r="H39" s="12">
        <v>251.05</v>
      </c>
      <c r="I39" s="12">
        <v>231.1</v>
      </c>
      <c r="J39" s="12">
        <f t="shared" si="22"/>
        <v>345.31693999999999</v>
      </c>
      <c r="K39" s="10" t="s">
        <v>58</v>
      </c>
      <c r="L39" s="54">
        <v>45564</v>
      </c>
      <c r="M39" s="10">
        <v>60</v>
      </c>
      <c r="N39" s="15">
        <f t="shared" si="23"/>
        <v>110501.42079999999</v>
      </c>
      <c r="O39" s="15"/>
      <c r="P39" s="15"/>
      <c r="Q39" s="15"/>
      <c r="R39" s="15">
        <f>N39</f>
        <v>110501.42079999999</v>
      </c>
      <c r="S39" s="15"/>
      <c r="T39" s="15"/>
      <c r="U39" s="15"/>
      <c r="V39" s="15"/>
      <c r="W39" s="15"/>
      <c r="X39" s="15"/>
      <c r="Y39" s="41"/>
    </row>
    <row r="40" spans="2:25" x14ac:dyDescent="0.2">
      <c r="B40" s="16" t="s">
        <v>1</v>
      </c>
      <c r="C40" s="20" t="s">
        <v>5</v>
      </c>
      <c r="D40" s="20">
        <v>160</v>
      </c>
      <c r="E40" s="20" t="s">
        <v>67</v>
      </c>
      <c r="F40" s="20" t="s">
        <v>86</v>
      </c>
      <c r="G40" s="20">
        <v>25</v>
      </c>
      <c r="H40" s="21">
        <f>C5</f>
        <v>335.65</v>
      </c>
      <c r="I40" s="21">
        <v>243.16</v>
      </c>
      <c r="J40" s="21">
        <f>IF(K40="preço",(H40+G40)*$J$35,(I40+G40)*$J$35)</f>
        <v>477.06781999999998</v>
      </c>
      <c r="K40" s="20" t="str">
        <f t="shared" ref="K40:K50" si="24">$D$9</f>
        <v>preço</v>
      </c>
      <c r="L40" s="55">
        <v>45599</v>
      </c>
      <c r="M40" s="20">
        <v>90</v>
      </c>
      <c r="N40" s="17">
        <f t="shared" si="23"/>
        <v>76330.851200000005</v>
      </c>
      <c r="O40" s="17"/>
      <c r="P40" s="17"/>
      <c r="Q40" s="17"/>
      <c r="R40" s="17"/>
      <c r="S40" s="17"/>
      <c r="T40" s="17">
        <f>N40</f>
        <v>76330.851200000005</v>
      </c>
      <c r="U40" s="17"/>
      <c r="V40" s="17"/>
      <c r="W40" s="17"/>
      <c r="X40" s="17"/>
      <c r="Y40" s="41"/>
    </row>
    <row r="41" spans="2:25" x14ac:dyDescent="0.2">
      <c r="B41" s="9" t="s">
        <v>1</v>
      </c>
      <c r="C41" s="10" t="s">
        <v>4</v>
      </c>
      <c r="D41" s="10">
        <v>160</v>
      </c>
      <c r="E41" s="10" t="s">
        <v>68</v>
      </c>
      <c r="F41" s="10" t="s">
        <v>87</v>
      </c>
      <c r="G41" s="10">
        <v>-8</v>
      </c>
      <c r="H41" s="12">
        <f>C5</f>
        <v>335.65</v>
      </c>
      <c r="I41" s="12">
        <v>243.16</v>
      </c>
      <c r="J41" s="12">
        <f t="shared" si="22"/>
        <v>433.41541999999998</v>
      </c>
      <c r="K41" s="10" t="str">
        <f t="shared" si="24"/>
        <v>preço</v>
      </c>
      <c r="L41" s="54">
        <v>45599</v>
      </c>
      <c r="M41" s="10">
        <v>60</v>
      </c>
      <c r="N41" s="15">
        <f t="shared" si="23"/>
        <v>69346.467199999999</v>
      </c>
      <c r="O41" s="15"/>
      <c r="P41" s="15"/>
      <c r="Q41" s="15"/>
      <c r="R41" s="15"/>
      <c r="S41" s="15">
        <f>N41</f>
        <v>69346.467199999999</v>
      </c>
      <c r="T41" s="15"/>
      <c r="U41" s="15"/>
      <c r="V41" s="15"/>
      <c r="W41" s="15"/>
      <c r="X41" s="15"/>
      <c r="Y41" s="41"/>
    </row>
    <row r="42" spans="2:25" x14ac:dyDescent="0.2">
      <c r="B42" s="16" t="s">
        <v>1</v>
      </c>
      <c r="C42" s="20" t="s">
        <v>9</v>
      </c>
      <c r="D42" s="20">
        <v>320</v>
      </c>
      <c r="E42" s="20" t="s">
        <v>67</v>
      </c>
      <c r="F42" s="20" t="s">
        <v>87</v>
      </c>
      <c r="G42" s="20">
        <v>10</v>
      </c>
      <c r="H42" s="21">
        <f>C5</f>
        <v>335.65</v>
      </c>
      <c r="I42" s="21">
        <v>240.91</v>
      </c>
      <c r="J42" s="21">
        <f t="shared" si="22"/>
        <v>457.22581999999994</v>
      </c>
      <c r="K42" s="20" t="str">
        <f t="shared" si="24"/>
        <v>preço</v>
      </c>
      <c r="L42" s="55">
        <v>45630</v>
      </c>
      <c r="M42" s="20">
        <v>60</v>
      </c>
      <c r="N42" s="17">
        <f t="shared" si="23"/>
        <v>146312.26239999998</v>
      </c>
      <c r="O42" s="17"/>
      <c r="P42" s="17"/>
      <c r="Q42" s="17"/>
      <c r="R42" s="17"/>
      <c r="S42" s="17"/>
      <c r="T42" s="17">
        <f>N42</f>
        <v>146312.26239999998</v>
      </c>
      <c r="U42" s="17"/>
      <c r="V42" s="17"/>
      <c r="W42" s="17"/>
      <c r="X42" s="17"/>
      <c r="Y42" s="41"/>
    </row>
    <row r="43" spans="2:25" x14ac:dyDescent="0.2">
      <c r="B43" s="9" t="s">
        <v>1</v>
      </c>
      <c r="C43" s="10" t="s">
        <v>8</v>
      </c>
      <c r="D43" s="10">
        <v>320</v>
      </c>
      <c r="E43" s="10" t="s">
        <v>67</v>
      </c>
      <c r="F43" s="10" t="s">
        <v>88</v>
      </c>
      <c r="G43" s="10">
        <v>50</v>
      </c>
      <c r="H43" s="12">
        <f>C5</f>
        <v>335.65</v>
      </c>
      <c r="I43" s="12">
        <v>240.91</v>
      </c>
      <c r="J43" s="12">
        <f t="shared" si="22"/>
        <v>510.13781999999998</v>
      </c>
      <c r="K43" s="10" t="str">
        <f t="shared" si="24"/>
        <v>preço</v>
      </c>
      <c r="L43" s="54">
        <f>L42</f>
        <v>45630</v>
      </c>
      <c r="M43" s="10">
        <v>90</v>
      </c>
      <c r="N43" s="15">
        <f t="shared" si="23"/>
        <v>163244.1024</v>
      </c>
      <c r="O43" s="15"/>
      <c r="P43" s="15"/>
      <c r="Q43" s="15"/>
      <c r="R43" s="15"/>
      <c r="S43" s="15"/>
      <c r="T43" s="15"/>
      <c r="U43" s="15">
        <f>N43</f>
        <v>163244.1024</v>
      </c>
      <c r="V43" s="15"/>
      <c r="W43" s="15"/>
      <c r="X43" s="15"/>
      <c r="Y43" s="41"/>
    </row>
    <row r="44" spans="2:25" x14ac:dyDescent="0.2">
      <c r="B44" s="16" t="s">
        <v>1</v>
      </c>
      <c r="C44" s="20" t="s">
        <v>7</v>
      </c>
      <c r="D44" s="20">
        <v>320</v>
      </c>
      <c r="E44" s="20" t="s">
        <v>68</v>
      </c>
      <c r="F44" s="20" t="s">
        <v>89</v>
      </c>
      <c r="G44" s="20">
        <v>-8</v>
      </c>
      <c r="H44" s="21">
        <f>C5</f>
        <v>335.65</v>
      </c>
      <c r="I44" s="21">
        <v>240.91</v>
      </c>
      <c r="J44" s="21">
        <f t="shared" si="22"/>
        <v>433.41541999999998</v>
      </c>
      <c r="K44" s="20" t="str">
        <f t="shared" si="24"/>
        <v>preço</v>
      </c>
      <c r="L44" s="55">
        <f>L43</f>
        <v>45630</v>
      </c>
      <c r="M44" s="20">
        <v>90</v>
      </c>
      <c r="N44" s="17">
        <f t="shared" si="23"/>
        <v>138692.9344</v>
      </c>
      <c r="O44" s="17"/>
      <c r="P44" s="17"/>
      <c r="Q44" s="17"/>
      <c r="R44" s="17"/>
      <c r="S44" s="17"/>
      <c r="T44" s="17"/>
      <c r="U44" s="17">
        <f>N44</f>
        <v>138692.9344</v>
      </c>
      <c r="V44" s="17"/>
      <c r="W44" s="17"/>
      <c r="X44" s="17"/>
      <c r="Y44" s="41"/>
    </row>
    <row r="45" spans="2:25" x14ac:dyDescent="0.2">
      <c r="B45" s="9" t="s">
        <v>1</v>
      </c>
      <c r="C45" s="10" t="s">
        <v>5</v>
      </c>
      <c r="D45" s="10">
        <v>160</v>
      </c>
      <c r="E45" s="10" t="s">
        <v>67</v>
      </c>
      <c r="F45" s="10" t="s">
        <v>86</v>
      </c>
      <c r="G45" s="10">
        <v>25</v>
      </c>
      <c r="H45" s="12">
        <f>C6</f>
        <v>325.55</v>
      </c>
      <c r="I45" s="12"/>
      <c r="J45" s="12">
        <f t="shared" si="22"/>
        <v>463.70753999999999</v>
      </c>
      <c r="K45" s="10" t="str">
        <f t="shared" si="24"/>
        <v>preço</v>
      </c>
      <c r="L45" s="54">
        <v>45687</v>
      </c>
      <c r="M45" s="10">
        <v>90</v>
      </c>
      <c r="N45" s="15">
        <f t="shared" si="23"/>
        <v>74193.206399999995</v>
      </c>
      <c r="O45" s="15"/>
      <c r="P45" s="15"/>
      <c r="Q45" s="15"/>
      <c r="R45" s="15"/>
      <c r="S45" s="15"/>
      <c r="T45" s="15"/>
      <c r="U45" s="15"/>
      <c r="V45" s="15">
        <f>N45</f>
        <v>74193.206399999995</v>
      </c>
      <c r="W45" s="15"/>
      <c r="X45" s="15"/>
      <c r="Y45" s="41"/>
    </row>
    <row r="46" spans="2:25" x14ac:dyDescent="0.2">
      <c r="B46" s="16" t="s">
        <v>1</v>
      </c>
      <c r="C46" s="20" t="s">
        <v>4</v>
      </c>
      <c r="D46" s="20">
        <v>160</v>
      </c>
      <c r="E46" s="20" t="s">
        <v>67</v>
      </c>
      <c r="F46" s="20" t="s">
        <v>87</v>
      </c>
      <c r="G46" s="20">
        <v>-8</v>
      </c>
      <c r="H46" s="21">
        <f>C6</f>
        <v>325.55</v>
      </c>
      <c r="I46" s="21"/>
      <c r="J46" s="21">
        <f t="shared" si="22"/>
        <v>420.05513999999999</v>
      </c>
      <c r="K46" s="20" t="str">
        <f t="shared" si="24"/>
        <v>preço</v>
      </c>
      <c r="L46" s="55">
        <v>45687</v>
      </c>
      <c r="M46" s="20">
        <v>60</v>
      </c>
      <c r="N46" s="17">
        <f t="shared" si="23"/>
        <v>67208.822400000005</v>
      </c>
      <c r="O46" s="17"/>
      <c r="P46" s="17"/>
      <c r="Q46" s="17"/>
      <c r="R46" s="17"/>
      <c r="S46" s="17"/>
      <c r="T46" s="17"/>
      <c r="U46" s="17">
        <f>N46</f>
        <v>67208.822400000005</v>
      </c>
      <c r="V46" s="17"/>
      <c r="W46" s="17"/>
      <c r="X46" s="17"/>
      <c r="Y46" s="41"/>
    </row>
    <row r="47" spans="2:25" x14ac:dyDescent="0.2">
      <c r="B47" s="9" t="s">
        <v>1</v>
      </c>
      <c r="C47" s="10" t="s">
        <v>6</v>
      </c>
      <c r="D47" s="10">
        <v>320</v>
      </c>
      <c r="E47" s="10" t="s">
        <v>67</v>
      </c>
      <c r="F47" s="10" t="s">
        <v>87</v>
      </c>
      <c r="G47" s="10">
        <v>10</v>
      </c>
      <c r="H47" s="12">
        <f>C6</f>
        <v>325.55</v>
      </c>
      <c r="I47" s="12">
        <v>240.91</v>
      </c>
      <c r="J47" s="12">
        <f t="shared" si="22"/>
        <v>443.86554000000001</v>
      </c>
      <c r="K47" s="10" t="str">
        <f t="shared" si="24"/>
        <v>preço</v>
      </c>
      <c r="L47" s="54">
        <v>45687</v>
      </c>
      <c r="M47" s="10">
        <v>60</v>
      </c>
      <c r="N47" s="15">
        <f t="shared" si="23"/>
        <v>142036.97279999999</v>
      </c>
      <c r="O47" s="15"/>
      <c r="P47" s="15"/>
      <c r="Q47" s="15"/>
      <c r="R47" s="15"/>
      <c r="S47" s="15"/>
      <c r="T47" s="15"/>
      <c r="U47" s="15">
        <f>N47</f>
        <v>142036.97279999999</v>
      </c>
      <c r="V47" s="15"/>
      <c r="W47" s="15"/>
      <c r="X47" s="15"/>
      <c r="Y47" s="41"/>
    </row>
    <row r="48" spans="2:25" x14ac:dyDescent="0.2">
      <c r="B48" s="16" t="s">
        <v>1</v>
      </c>
      <c r="C48" s="20" t="s">
        <v>3</v>
      </c>
      <c r="D48" s="20">
        <v>320</v>
      </c>
      <c r="E48" s="20" t="s">
        <v>67</v>
      </c>
      <c r="F48" s="20" t="s">
        <v>85</v>
      </c>
      <c r="G48" s="20">
        <v>10</v>
      </c>
      <c r="H48" s="21">
        <f>C6</f>
        <v>325.55</v>
      </c>
      <c r="I48" s="21">
        <v>240.91</v>
      </c>
      <c r="J48" s="21">
        <f t="shared" si="22"/>
        <v>443.86554000000001</v>
      </c>
      <c r="K48" s="20" t="str">
        <f t="shared" si="24"/>
        <v>preço</v>
      </c>
      <c r="L48" s="55">
        <v>45687</v>
      </c>
      <c r="M48" s="20">
        <v>60</v>
      </c>
      <c r="N48" s="17">
        <f t="shared" si="23"/>
        <v>142036.97279999999</v>
      </c>
      <c r="O48" s="17"/>
      <c r="P48" s="17"/>
      <c r="Q48" s="17"/>
      <c r="R48" s="17"/>
      <c r="S48" s="17"/>
      <c r="T48" s="17"/>
      <c r="U48" s="17">
        <f>N48</f>
        <v>142036.97279999999</v>
      </c>
      <c r="V48" s="17"/>
      <c r="W48" s="17"/>
      <c r="X48" s="17"/>
      <c r="Y48" s="41"/>
    </row>
    <row r="49" spans="2:25" x14ac:dyDescent="0.2">
      <c r="B49" s="9" t="s">
        <v>1</v>
      </c>
      <c r="C49" s="10" t="s">
        <v>2</v>
      </c>
      <c r="D49" s="10">
        <v>320</v>
      </c>
      <c r="E49" s="10" t="s">
        <v>72</v>
      </c>
      <c r="F49" s="10" t="s">
        <v>89</v>
      </c>
      <c r="G49" s="10">
        <v>-28</v>
      </c>
      <c r="H49" s="12">
        <f>C6</f>
        <v>325.55</v>
      </c>
      <c r="I49" s="12">
        <v>238.17</v>
      </c>
      <c r="J49" s="12">
        <f t="shared" si="22"/>
        <v>393.59914000000003</v>
      </c>
      <c r="K49" s="10" t="str">
        <f t="shared" si="24"/>
        <v>preço</v>
      </c>
      <c r="L49" s="54">
        <v>45716</v>
      </c>
      <c r="M49" s="10">
        <v>60</v>
      </c>
      <c r="N49" s="15">
        <f t="shared" si="23"/>
        <v>125951.72480000001</v>
      </c>
      <c r="O49" s="15"/>
      <c r="P49" s="15"/>
      <c r="Q49" s="15"/>
      <c r="R49" s="15"/>
      <c r="S49" s="15"/>
      <c r="T49" s="15"/>
      <c r="U49" s="15"/>
      <c r="V49" s="15">
        <f>N49</f>
        <v>125951.72480000001</v>
      </c>
      <c r="W49" s="15"/>
      <c r="X49" s="15"/>
      <c r="Y49" s="41"/>
    </row>
    <row r="50" spans="2:25" x14ac:dyDescent="0.2">
      <c r="B50" s="16" t="s">
        <v>1</v>
      </c>
      <c r="C50" s="20" t="s">
        <v>0</v>
      </c>
      <c r="D50" s="20">
        <v>320</v>
      </c>
      <c r="E50" s="20" t="s">
        <v>67</v>
      </c>
      <c r="F50" s="20" t="s">
        <v>87</v>
      </c>
      <c r="G50" s="20">
        <v>10</v>
      </c>
      <c r="H50" s="21">
        <f>C6</f>
        <v>325.55</v>
      </c>
      <c r="I50" s="21">
        <v>238.17</v>
      </c>
      <c r="J50" s="21">
        <f t="shared" si="22"/>
        <v>443.86554000000001</v>
      </c>
      <c r="K50" s="20" t="str">
        <f t="shared" si="24"/>
        <v>preço</v>
      </c>
      <c r="L50" s="55">
        <v>45746</v>
      </c>
      <c r="M50" s="20">
        <v>60</v>
      </c>
      <c r="N50" s="17">
        <f t="shared" si="23"/>
        <v>142036.97279999999</v>
      </c>
      <c r="O50" s="17"/>
      <c r="P50" s="17"/>
      <c r="Q50" s="17"/>
      <c r="R50" s="17"/>
      <c r="S50" s="17"/>
      <c r="T50" s="17"/>
      <c r="U50" s="17"/>
      <c r="V50" s="17"/>
      <c r="W50" s="17">
        <f>N50</f>
        <v>142036.97279999999</v>
      </c>
      <c r="X50" s="17"/>
      <c r="Y50" s="41"/>
    </row>
    <row r="51" spans="2:25" x14ac:dyDescent="0.2">
      <c r="B51" s="3" t="s">
        <v>34</v>
      </c>
      <c r="C51" s="3"/>
      <c r="D51" s="5">
        <f>SUM(D37:D50)</f>
        <v>3840</v>
      </c>
      <c r="E51" s="5"/>
      <c r="F51" s="5"/>
      <c r="G51" s="3"/>
      <c r="H51" s="3"/>
      <c r="I51" s="3"/>
      <c r="J51" s="3"/>
      <c r="K51" s="3"/>
      <c r="L51" s="56"/>
      <c r="M51" s="3"/>
      <c r="N51" s="7">
        <f t="shared" ref="N51:X51" si="25">SUM(N37:N50)</f>
        <v>1618895.5520000001</v>
      </c>
      <c r="O51" s="7">
        <f t="shared" ref="O51:T51" si="26">SUM(O37:O50)</f>
        <v>0</v>
      </c>
      <c r="P51" s="7">
        <f t="shared" si="26"/>
        <v>0</v>
      </c>
      <c r="Q51" s="7">
        <f t="shared" si="26"/>
        <v>0</v>
      </c>
      <c r="R51" s="7">
        <f>SUM(R37:R50)</f>
        <v>331504.26240000001</v>
      </c>
      <c r="S51" s="7">
        <f t="shared" si="26"/>
        <v>69346.467199999999</v>
      </c>
      <c r="T51" s="7">
        <f t="shared" si="26"/>
        <v>222643.11359999998</v>
      </c>
      <c r="U51" s="7">
        <f t="shared" si="25"/>
        <v>653219.80480000004</v>
      </c>
      <c r="V51" s="7">
        <f t="shared" si="25"/>
        <v>200144.93119999999</v>
      </c>
      <c r="W51" s="7">
        <f t="shared" si="25"/>
        <v>142036.97279999999</v>
      </c>
      <c r="X51" s="7">
        <f t="shared" si="25"/>
        <v>0</v>
      </c>
      <c r="Y51" s="41"/>
    </row>
    <row r="52" spans="2:25" x14ac:dyDescent="0.2">
      <c r="B52" s="1"/>
      <c r="C52" s="1"/>
      <c r="D52" s="6"/>
      <c r="E52" s="6"/>
      <c r="F52" s="6"/>
      <c r="G52" s="1"/>
      <c r="H52" s="1"/>
      <c r="I52" s="1"/>
      <c r="J52" s="1"/>
      <c r="K52" s="1"/>
      <c r="L52" s="57"/>
      <c r="M52" s="1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41"/>
    </row>
    <row r="53" spans="2:25" x14ac:dyDescent="0.2">
      <c r="B53" s="9" t="s">
        <v>24</v>
      </c>
      <c r="C53" s="10" t="s">
        <v>25</v>
      </c>
      <c r="D53" s="10">
        <v>320</v>
      </c>
      <c r="E53" s="10" t="s">
        <v>67</v>
      </c>
      <c r="F53" s="10" t="s">
        <v>87</v>
      </c>
      <c r="G53" s="10" t="s">
        <v>27</v>
      </c>
      <c r="H53" s="12" t="s">
        <v>27</v>
      </c>
      <c r="I53" s="12">
        <v>243.16</v>
      </c>
      <c r="J53" s="12">
        <v>325</v>
      </c>
      <c r="K53" s="10"/>
      <c r="L53" s="54">
        <v>46021</v>
      </c>
      <c r="M53" s="10" t="s">
        <v>28</v>
      </c>
      <c r="N53" s="15">
        <f>J53*D53</f>
        <v>104000</v>
      </c>
      <c r="O53" s="15"/>
      <c r="P53" s="15"/>
      <c r="Q53" s="15"/>
      <c r="S53" s="15">
        <f>N53/4</f>
        <v>26000</v>
      </c>
      <c r="T53" s="15">
        <f>S53</f>
        <v>26000</v>
      </c>
      <c r="U53" s="15">
        <f>T53</f>
        <v>26000</v>
      </c>
      <c r="V53" s="15">
        <f>U53</f>
        <v>26000</v>
      </c>
      <c r="W53" s="15"/>
      <c r="X53" s="15"/>
      <c r="Y53" s="41"/>
    </row>
    <row r="54" spans="2:25" x14ac:dyDescent="0.2">
      <c r="B54" s="16" t="s">
        <v>24</v>
      </c>
      <c r="C54" s="20" t="s">
        <v>26</v>
      </c>
      <c r="D54" s="20">
        <v>320</v>
      </c>
      <c r="E54" s="20" t="s">
        <v>82</v>
      </c>
      <c r="F54" s="20" t="s">
        <v>82</v>
      </c>
      <c r="G54" s="20" t="s">
        <v>27</v>
      </c>
      <c r="H54" s="21" t="s">
        <v>27</v>
      </c>
      <c r="I54" s="21">
        <v>243.16</v>
      </c>
      <c r="J54" s="21">
        <v>325</v>
      </c>
      <c r="K54" s="20"/>
      <c r="L54" s="55">
        <v>45687</v>
      </c>
      <c r="M54" s="20" t="s">
        <v>28</v>
      </c>
      <c r="N54" s="17">
        <f>J54*D54</f>
        <v>104000</v>
      </c>
      <c r="O54" s="17"/>
      <c r="P54" s="17"/>
      <c r="Q54" s="17"/>
      <c r="R54" s="17"/>
      <c r="S54" s="17"/>
      <c r="T54" s="17">
        <f>N54/4</f>
        <v>26000</v>
      </c>
      <c r="U54" s="17">
        <f>T54</f>
        <v>26000</v>
      </c>
      <c r="V54" s="17">
        <f>U54</f>
        <v>26000</v>
      </c>
      <c r="W54" s="17">
        <f>V54</f>
        <v>26000</v>
      </c>
      <c r="X54" s="17"/>
      <c r="Y54" s="41"/>
    </row>
    <row r="55" spans="2:25" x14ac:dyDescent="0.2">
      <c r="B55" s="3" t="s">
        <v>35</v>
      </c>
      <c r="C55" s="3"/>
      <c r="D55" s="5">
        <f>SUM(D53:D54)</f>
        <v>640</v>
      </c>
      <c r="E55" s="5"/>
      <c r="F55" s="5"/>
      <c r="G55" s="5"/>
      <c r="H55" s="5"/>
      <c r="I55" s="5"/>
      <c r="J55" s="5"/>
      <c r="K55" s="5"/>
      <c r="L55" s="58"/>
      <c r="M55" s="5"/>
      <c r="N55" s="7">
        <f t="shared" ref="N55:X55" si="27">SUM(N53:N54)</f>
        <v>208000</v>
      </c>
      <c r="O55" s="7">
        <f t="shared" si="27"/>
        <v>0</v>
      </c>
      <c r="P55" s="7">
        <f t="shared" si="27"/>
        <v>0</v>
      </c>
      <c r="Q55" s="7">
        <f t="shared" si="27"/>
        <v>0</v>
      </c>
      <c r="R55" s="7">
        <f t="shared" si="27"/>
        <v>0</v>
      </c>
      <c r="S55" s="7">
        <f t="shared" si="27"/>
        <v>26000</v>
      </c>
      <c r="T55" s="7">
        <f t="shared" si="27"/>
        <v>52000</v>
      </c>
      <c r="U55" s="7">
        <f t="shared" si="27"/>
        <v>52000</v>
      </c>
      <c r="V55" s="7">
        <f>SUM(V53:V54)</f>
        <v>52000</v>
      </c>
      <c r="W55" s="7">
        <f t="shared" si="27"/>
        <v>26000</v>
      </c>
      <c r="X55" s="7">
        <f t="shared" si="27"/>
        <v>0</v>
      </c>
      <c r="Y55" s="41"/>
    </row>
    <row r="56" spans="2:25" x14ac:dyDescent="0.2">
      <c r="B56" s="1"/>
      <c r="C56" s="1"/>
      <c r="D56" s="6"/>
      <c r="E56" s="6"/>
      <c r="F56" s="6"/>
      <c r="G56" s="6"/>
      <c r="H56" s="6"/>
      <c r="I56" s="6"/>
      <c r="J56" s="6"/>
      <c r="K56" s="6"/>
      <c r="L56" s="59"/>
      <c r="M56" s="6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41"/>
    </row>
    <row r="57" spans="2:25" x14ac:dyDescent="0.2">
      <c r="B57" s="9" t="s">
        <v>23</v>
      </c>
      <c r="C57" s="10" t="s">
        <v>29</v>
      </c>
      <c r="D57" s="10">
        <v>320</v>
      </c>
      <c r="E57" s="10" t="s">
        <v>67</v>
      </c>
      <c r="F57" s="10" t="s">
        <v>90</v>
      </c>
      <c r="G57" s="10">
        <v>25</v>
      </c>
      <c r="H57" s="12">
        <f>C6</f>
        <v>325.55</v>
      </c>
      <c r="I57" s="12">
        <f>H109</f>
        <v>293.60000000000002</v>
      </c>
      <c r="J57" s="12">
        <f>IF(K57="preço",(H57+G57)*$J$35,(I57+G57)*$J$35)</f>
        <v>463.70753999999999</v>
      </c>
      <c r="K57" s="10" t="str">
        <f>$D$9</f>
        <v>preço</v>
      </c>
      <c r="L57" s="54">
        <v>45321</v>
      </c>
      <c r="M57" s="10"/>
      <c r="N57" s="15">
        <f>J57*D57</f>
        <v>148386.41279999999</v>
      </c>
      <c r="O57" s="15"/>
      <c r="P57" s="15"/>
      <c r="Q57" s="15"/>
      <c r="R57" s="15"/>
      <c r="S57" s="15">
        <f>N57</f>
        <v>148386.41279999999</v>
      </c>
      <c r="T57" s="15"/>
      <c r="U57" s="15"/>
      <c r="V57" s="15"/>
      <c r="W57" s="15"/>
      <c r="X57" s="15"/>
      <c r="Y57" s="41"/>
    </row>
    <row r="58" spans="2:25" x14ac:dyDescent="0.2">
      <c r="B58" s="3" t="s">
        <v>36</v>
      </c>
      <c r="C58" s="3"/>
      <c r="D58" s="5">
        <f>D57</f>
        <v>320</v>
      </c>
      <c r="E58" s="5"/>
      <c r="F58" s="5"/>
      <c r="G58" s="5"/>
      <c r="H58" s="5"/>
      <c r="I58" s="5"/>
      <c r="J58" s="5"/>
      <c r="K58" s="5"/>
      <c r="L58" s="58"/>
      <c r="M58" s="5"/>
      <c r="N58" s="7">
        <f t="shared" ref="N58:X58" si="28">N57</f>
        <v>148386.41279999999</v>
      </c>
      <c r="O58" s="7">
        <f t="shared" si="28"/>
        <v>0</v>
      </c>
      <c r="P58" s="7">
        <f t="shared" si="28"/>
        <v>0</v>
      </c>
      <c r="Q58" s="7">
        <f t="shared" si="28"/>
        <v>0</v>
      </c>
      <c r="R58" s="7">
        <f t="shared" si="28"/>
        <v>0</v>
      </c>
      <c r="S58" s="7">
        <f t="shared" si="28"/>
        <v>148386.41279999999</v>
      </c>
      <c r="T58" s="7">
        <f t="shared" si="28"/>
        <v>0</v>
      </c>
      <c r="U58" s="7">
        <f t="shared" si="28"/>
        <v>0</v>
      </c>
      <c r="V58" s="7">
        <f t="shared" si="28"/>
        <v>0</v>
      </c>
      <c r="W58" s="7">
        <f t="shared" si="28"/>
        <v>0</v>
      </c>
      <c r="X58" s="7">
        <f t="shared" si="28"/>
        <v>0</v>
      </c>
      <c r="Y58" s="41"/>
    </row>
    <row r="59" spans="2:25" x14ac:dyDescent="0.2">
      <c r="B59" s="1"/>
      <c r="C59" s="1"/>
      <c r="D59" s="6"/>
      <c r="E59" s="6"/>
      <c r="F59" s="6"/>
      <c r="G59" s="6"/>
      <c r="H59" s="6"/>
      <c r="I59" s="6"/>
      <c r="J59" s="6"/>
      <c r="K59" s="6"/>
      <c r="L59" s="59"/>
      <c r="M59" s="6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41"/>
    </row>
    <row r="60" spans="2:25" x14ac:dyDescent="0.2">
      <c r="B60" s="9" t="s">
        <v>60</v>
      </c>
      <c r="C60" s="10" t="s">
        <v>61</v>
      </c>
      <c r="D60" s="10">
        <v>4</v>
      </c>
      <c r="E60" s="10" t="s">
        <v>82</v>
      </c>
      <c r="F60" s="10" t="s">
        <v>82</v>
      </c>
      <c r="G60" s="10" t="s">
        <v>27</v>
      </c>
      <c r="H60" s="12" t="s">
        <v>27</v>
      </c>
      <c r="I60" s="10">
        <v>2500</v>
      </c>
      <c r="J60" s="12">
        <f>I60/$K$9</f>
        <v>413.22314049586777</v>
      </c>
      <c r="K60" s="10"/>
      <c r="L60" s="54">
        <v>45656</v>
      </c>
      <c r="M60" s="10" t="s">
        <v>63</v>
      </c>
      <c r="N60" s="15">
        <f>J60*D60</f>
        <v>1652.8925619834711</v>
      </c>
      <c r="O60" s="15"/>
      <c r="P60" s="15"/>
      <c r="R60" s="15">
        <f>N60/4</f>
        <v>413.22314049586777</v>
      </c>
      <c r="S60" s="15">
        <f t="shared" ref="S60:U61" si="29">R60</f>
        <v>413.22314049586777</v>
      </c>
      <c r="T60" s="15">
        <f t="shared" si="29"/>
        <v>413.22314049586777</v>
      </c>
      <c r="U60" s="15">
        <f t="shared" si="29"/>
        <v>413.22314049586777</v>
      </c>
      <c r="V60" s="15"/>
      <c r="W60" s="15"/>
      <c r="X60" s="15"/>
      <c r="Y60" s="41"/>
    </row>
    <row r="61" spans="2:25" x14ac:dyDescent="0.2">
      <c r="B61" s="16" t="s">
        <v>60</v>
      </c>
      <c r="C61" s="20" t="s">
        <v>62</v>
      </c>
      <c r="D61" s="20">
        <v>4</v>
      </c>
      <c r="E61" s="20" t="s">
        <v>82</v>
      </c>
      <c r="F61" s="20" t="s">
        <v>82</v>
      </c>
      <c r="G61" s="20" t="s">
        <v>27</v>
      </c>
      <c r="H61" s="21" t="s">
        <v>27</v>
      </c>
      <c r="I61" s="20">
        <v>2137</v>
      </c>
      <c r="J61" s="21">
        <f>I61/$K$9</f>
        <v>353.22314049586777</v>
      </c>
      <c r="K61" s="20"/>
      <c r="L61" s="55">
        <f>L60</f>
        <v>45656</v>
      </c>
      <c r="M61" s="20" t="s">
        <v>63</v>
      </c>
      <c r="N61" s="17">
        <f>J61*D61</f>
        <v>1412.8925619834711</v>
      </c>
      <c r="O61" s="17"/>
      <c r="P61" s="17"/>
      <c r="Q61" s="17"/>
      <c r="R61" s="17">
        <f>N61/4</f>
        <v>353.22314049586777</v>
      </c>
      <c r="S61" s="17">
        <f t="shared" si="29"/>
        <v>353.22314049586777</v>
      </c>
      <c r="T61" s="17">
        <f t="shared" si="29"/>
        <v>353.22314049586777</v>
      </c>
      <c r="U61" s="17">
        <f t="shared" si="29"/>
        <v>353.22314049586777</v>
      </c>
      <c r="V61" s="17"/>
      <c r="W61" s="17"/>
      <c r="X61" s="17"/>
      <c r="Y61" s="41"/>
    </row>
    <row r="62" spans="2:25" x14ac:dyDescent="0.2">
      <c r="B62" s="3" t="s">
        <v>76</v>
      </c>
      <c r="C62" s="3"/>
      <c r="D62" s="5">
        <f>SUM(D60:D61)</f>
        <v>8</v>
      </c>
      <c r="E62" s="5"/>
      <c r="F62" s="5"/>
      <c r="G62" s="5"/>
      <c r="H62" s="5"/>
      <c r="I62" s="5" t="s">
        <v>64</v>
      </c>
      <c r="J62" s="5"/>
      <c r="K62" s="5"/>
      <c r="L62" s="58"/>
      <c r="M62" s="5"/>
      <c r="N62" s="7">
        <f t="shared" ref="N62" si="30">SUM(N60:N61)</f>
        <v>3065.7851239669421</v>
      </c>
      <c r="O62" s="7">
        <f t="shared" ref="O62" si="31">SUM(O60:O61)</f>
        <v>0</v>
      </c>
      <c r="P62" s="7">
        <f t="shared" ref="P62" si="32">SUM(P60:P61)</f>
        <v>0</v>
      </c>
      <c r="Q62" s="7">
        <f t="shared" ref="Q62:V62" si="33">SUM(Q60:Q61)</f>
        <v>0</v>
      </c>
      <c r="R62" s="7">
        <f t="shared" si="33"/>
        <v>766.44628099173553</v>
      </c>
      <c r="S62" s="7">
        <f t="shared" si="33"/>
        <v>766.44628099173553</v>
      </c>
      <c r="T62" s="7">
        <f t="shared" si="33"/>
        <v>766.44628099173553</v>
      </c>
      <c r="U62" s="7">
        <f t="shared" si="33"/>
        <v>766.44628099173553</v>
      </c>
      <c r="V62" s="7">
        <f t="shared" si="33"/>
        <v>0</v>
      </c>
      <c r="W62" s="7">
        <f t="shared" ref="W62" si="34">SUM(W60:W61)</f>
        <v>0</v>
      </c>
      <c r="X62" s="7">
        <f t="shared" ref="X62" si="35">SUM(X60:X61)</f>
        <v>0</v>
      </c>
      <c r="Y62" s="41"/>
    </row>
    <row r="63" spans="2:25" x14ac:dyDescent="0.2">
      <c r="B63" s="1"/>
      <c r="C63" s="1"/>
      <c r="D63" s="6"/>
      <c r="E63" s="6"/>
      <c r="F63" s="6"/>
      <c r="G63" s="6"/>
      <c r="H63" s="6"/>
      <c r="I63" s="6"/>
      <c r="J63" s="6"/>
      <c r="K63" s="6"/>
      <c r="L63" s="59"/>
      <c r="M63" s="6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41"/>
    </row>
    <row r="64" spans="2:25" x14ac:dyDescent="0.2">
      <c r="B64" s="9" t="s">
        <v>78</v>
      </c>
      <c r="C64" s="10" t="s">
        <v>91</v>
      </c>
      <c r="D64" s="10">
        <v>500</v>
      </c>
      <c r="E64" s="10" t="s">
        <v>83</v>
      </c>
      <c r="F64" s="10" t="s">
        <v>90</v>
      </c>
      <c r="G64" s="10" t="s">
        <v>27</v>
      </c>
      <c r="H64" s="12" t="s">
        <v>27</v>
      </c>
      <c r="I64" s="10">
        <v>2105</v>
      </c>
      <c r="J64" s="12">
        <f>I64/$K$9</f>
        <v>347.93388429752065</v>
      </c>
      <c r="K64" s="10"/>
      <c r="L64" s="54">
        <v>45631</v>
      </c>
      <c r="M64" s="10"/>
      <c r="N64" s="15">
        <f>J64*D64</f>
        <v>173966.94214876031</v>
      </c>
      <c r="O64" s="15"/>
      <c r="P64" s="15"/>
      <c r="Q64" s="15"/>
      <c r="R64" s="15">
        <f>N64</f>
        <v>173966.94214876031</v>
      </c>
      <c r="S64" s="15"/>
      <c r="T64" s="15"/>
      <c r="V64" s="15"/>
      <c r="W64" s="15"/>
      <c r="X64" s="15"/>
      <c r="Y64" s="41"/>
    </row>
    <row r="65" spans="2:25" x14ac:dyDescent="0.2">
      <c r="B65" s="3" t="s">
        <v>77</v>
      </c>
      <c r="C65" s="3"/>
      <c r="D65" s="5">
        <f>SUM(D63:D64)</f>
        <v>500</v>
      </c>
      <c r="E65" s="5"/>
      <c r="F65" s="5"/>
      <c r="G65" s="5"/>
      <c r="H65" s="5"/>
      <c r="I65" s="5" t="s">
        <v>64</v>
      </c>
      <c r="J65" s="5"/>
      <c r="K65" s="5"/>
      <c r="L65" s="58"/>
      <c r="M65" s="5"/>
      <c r="N65" s="7">
        <f t="shared" ref="N65:P65" si="36">SUM(N63:N64)</f>
        <v>173966.94214876031</v>
      </c>
      <c r="O65" s="7">
        <f t="shared" si="36"/>
        <v>0</v>
      </c>
      <c r="P65" s="7">
        <f t="shared" si="36"/>
        <v>0</v>
      </c>
      <c r="Q65" s="7">
        <f>SUM(Q63:Q64)</f>
        <v>0</v>
      </c>
      <c r="R65" s="7">
        <f>SUM(R63:R64)</f>
        <v>173966.94214876031</v>
      </c>
      <c r="S65" s="7">
        <f>SUM(S63:S64)</f>
        <v>0</v>
      </c>
      <c r="T65" s="7">
        <f t="shared" ref="T65:X65" si="37">SUM(T63:T64)</f>
        <v>0</v>
      </c>
      <c r="U65" s="7">
        <f t="shared" si="37"/>
        <v>0</v>
      </c>
      <c r="V65" s="7">
        <f t="shared" si="37"/>
        <v>0</v>
      </c>
      <c r="W65" s="7">
        <f t="shared" si="37"/>
        <v>0</v>
      </c>
      <c r="X65" s="7">
        <f t="shared" si="37"/>
        <v>0</v>
      </c>
      <c r="Y65" s="41"/>
    </row>
    <row r="66" spans="2:25" x14ac:dyDescent="0.2">
      <c r="B66" s="1"/>
      <c r="C66" s="1"/>
      <c r="D66" s="6"/>
      <c r="E66" s="6"/>
      <c r="F66" s="6"/>
      <c r="G66" s="6"/>
      <c r="H66" s="6"/>
      <c r="I66" s="6"/>
      <c r="J66" s="6"/>
      <c r="K66" s="6"/>
      <c r="L66" s="59"/>
      <c r="M66" s="6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41"/>
    </row>
    <row r="67" spans="2:25" x14ac:dyDescent="0.2">
      <c r="B67" s="9" t="s">
        <v>95</v>
      </c>
      <c r="C67" s="10" t="s">
        <v>96</v>
      </c>
      <c r="D67" s="10">
        <v>20</v>
      </c>
      <c r="E67" s="10" t="s">
        <v>83</v>
      </c>
      <c r="F67" s="10" t="s">
        <v>84</v>
      </c>
      <c r="G67" s="10" t="s">
        <v>27</v>
      </c>
      <c r="H67" s="12" t="s">
        <v>27</v>
      </c>
      <c r="I67" s="10">
        <v>2200</v>
      </c>
      <c r="J67" s="12">
        <f>I67/$K$9</f>
        <v>363.63636363636363</v>
      </c>
      <c r="K67" s="10"/>
      <c r="L67" s="54">
        <v>45632</v>
      </c>
      <c r="M67" s="10" t="s">
        <v>97</v>
      </c>
      <c r="N67" s="15">
        <f>J67*D67</f>
        <v>7272.7272727272721</v>
      </c>
      <c r="O67" s="15"/>
      <c r="P67" s="15"/>
      <c r="Q67" s="15"/>
      <c r="R67" s="15">
        <f>N67*0.5</f>
        <v>3636.363636363636</v>
      </c>
      <c r="S67" s="15">
        <f>($N$67-$R$67)/4</f>
        <v>909.09090909090901</v>
      </c>
      <c r="T67" s="15">
        <f>($N$67-$R$67)/4</f>
        <v>909.09090909090901</v>
      </c>
      <c r="U67" s="15">
        <f>($N$67-$R$67)/4</f>
        <v>909.09090909090901</v>
      </c>
      <c r="V67" s="15">
        <f>($N$67-$R$67)/4</f>
        <v>909.09090909090901</v>
      </c>
      <c r="W67" s="15"/>
      <c r="X67" s="15"/>
      <c r="Y67" s="41"/>
    </row>
    <row r="68" spans="2:25" x14ac:dyDescent="0.2">
      <c r="B68" s="3" t="s">
        <v>77</v>
      </c>
      <c r="C68" s="3"/>
      <c r="D68" s="5">
        <f>SUM(D66:D67)</f>
        <v>20</v>
      </c>
      <c r="E68" s="5"/>
      <c r="F68" s="5"/>
      <c r="G68" s="5"/>
      <c r="H68" s="5"/>
      <c r="I68" s="5" t="s">
        <v>64</v>
      </c>
      <c r="J68" s="5"/>
      <c r="K68" s="5"/>
      <c r="L68" s="58"/>
      <c r="M68" s="5"/>
      <c r="N68" s="7">
        <f t="shared" ref="N68:P68" si="38">SUM(N66:N67)</f>
        <v>7272.7272727272721</v>
      </c>
      <c r="O68" s="7">
        <f t="shared" si="38"/>
        <v>0</v>
      </c>
      <c r="P68" s="7">
        <f t="shared" si="38"/>
        <v>0</v>
      </c>
      <c r="Q68" s="7">
        <f>SUM(Q66:Q67)</f>
        <v>0</v>
      </c>
      <c r="R68" s="7">
        <f>SUM(R66:R67)</f>
        <v>3636.363636363636</v>
      </c>
      <c r="S68" s="7">
        <f>SUM(S66:S67)</f>
        <v>909.09090909090901</v>
      </c>
      <c r="T68" s="7">
        <f t="shared" ref="T68:X68" si="39">SUM(T66:T67)</f>
        <v>909.09090909090901</v>
      </c>
      <c r="U68" s="7">
        <f t="shared" si="39"/>
        <v>909.09090909090901</v>
      </c>
      <c r="V68" s="7">
        <f t="shared" si="39"/>
        <v>909.09090909090901</v>
      </c>
      <c r="W68" s="7">
        <f t="shared" si="39"/>
        <v>0</v>
      </c>
      <c r="X68" s="7">
        <f t="shared" si="39"/>
        <v>0</v>
      </c>
      <c r="Y68" s="41"/>
    </row>
    <row r="69" spans="2:25" x14ac:dyDescent="0.2">
      <c r="B69" s="1"/>
      <c r="C69" s="1"/>
      <c r="D69" s="6"/>
      <c r="E69" s="6"/>
      <c r="F69" s="6"/>
      <c r="G69" s="6"/>
      <c r="H69" s="6"/>
      <c r="I69" s="6"/>
      <c r="J69" s="6"/>
      <c r="K69" s="6"/>
      <c r="L69" s="59"/>
      <c r="M69" s="6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41"/>
    </row>
    <row r="70" spans="2:25" x14ac:dyDescent="0.2">
      <c r="B70" s="9" t="s">
        <v>98</v>
      </c>
      <c r="C70" s="74" t="s">
        <v>100</v>
      </c>
      <c r="D70" s="10">
        <v>500</v>
      </c>
      <c r="E70" s="10" t="s">
        <v>74</v>
      </c>
      <c r="F70" s="10" t="s">
        <v>82</v>
      </c>
      <c r="G70" s="10" t="s">
        <v>27</v>
      </c>
      <c r="H70" s="12" t="s">
        <v>27</v>
      </c>
      <c r="I70" s="10">
        <v>2000</v>
      </c>
      <c r="J70" s="12">
        <f>I70/$K$9</f>
        <v>330.57851239669424</v>
      </c>
      <c r="K70" s="10"/>
      <c r="L70" s="54">
        <v>45639</v>
      </c>
      <c r="M70" s="10" t="s">
        <v>99</v>
      </c>
      <c r="N70" s="15">
        <f>J70*D70</f>
        <v>165289.25619834711</v>
      </c>
      <c r="O70" s="15"/>
      <c r="P70" s="15"/>
      <c r="Q70" s="15"/>
      <c r="R70" s="15">
        <v>0</v>
      </c>
      <c r="S70" s="15">
        <f>N70</f>
        <v>165289.25619834711</v>
      </c>
      <c r="T70" s="15"/>
      <c r="U70" s="15"/>
      <c r="V70" s="15"/>
      <c r="W70" s="15"/>
      <c r="X70" s="15"/>
      <c r="Y70" s="41"/>
    </row>
    <row r="71" spans="2:25" x14ac:dyDescent="0.2">
      <c r="B71" s="3" t="s">
        <v>77</v>
      </c>
      <c r="C71" s="3"/>
      <c r="D71" s="5">
        <f>SUM(D69:D70)</f>
        <v>500</v>
      </c>
      <c r="E71" s="5"/>
      <c r="F71" s="5"/>
      <c r="G71" s="5"/>
      <c r="H71" s="5"/>
      <c r="I71" s="5" t="s">
        <v>64</v>
      </c>
      <c r="J71" s="5"/>
      <c r="K71" s="5"/>
      <c r="L71" s="58"/>
      <c r="M71" s="5"/>
      <c r="N71" s="7">
        <f t="shared" ref="N71:P71" si="40">SUM(N69:N70)</f>
        <v>165289.25619834711</v>
      </c>
      <c r="O71" s="7">
        <f t="shared" si="40"/>
        <v>0</v>
      </c>
      <c r="P71" s="7">
        <f t="shared" si="40"/>
        <v>0</v>
      </c>
      <c r="Q71" s="7">
        <f>SUM(Q69:Q70)</f>
        <v>0</v>
      </c>
      <c r="R71" s="7">
        <f>SUM(R69:R70)</f>
        <v>0</v>
      </c>
      <c r="S71" s="7">
        <f>SUM(S69:S70)</f>
        <v>165289.25619834711</v>
      </c>
      <c r="T71" s="7">
        <f t="shared" ref="T71:X71" si="41">SUM(T69:T70)</f>
        <v>0</v>
      </c>
      <c r="U71" s="7">
        <f t="shared" si="41"/>
        <v>0</v>
      </c>
      <c r="V71" s="7">
        <f t="shared" si="41"/>
        <v>0</v>
      </c>
      <c r="W71" s="7">
        <f t="shared" si="41"/>
        <v>0</v>
      </c>
      <c r="X71" s="7">
        <f t="shared" si="41"/>
        <v>0</v>
      </c>
      <c r="Y71" s="41"/>
    </row>
    <row r="72" spans="2:25" x14ac:dyDescent="0.2">
      <c r="B72" s="1"/>
      <c r="C72" s="1"/>
      <c r="D72" s="6"/>
      <c r="E72" s="6"/>
      <c r="F72" s="6"/>
      <c r="G72" s="6"/>
      <c r="H72" s="6"/>
      <c r="I72" s="6"/>
      <c r="J72" s="6"/>
      <c r="K72" s="6"/>
      <c r="L72" s="59"/>
      <c r="M72" s="6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41"/>
    </row>
    <row r="73" spans="2:25" x14ac:dyDescent="0.2">
      <c r="B73" s="16" t="s">
        <v>102</v>
      </c>
      <c r="C73" s="52" t="s">
        <v>103</v>
      </c>
      <c r="D73" s="20">
        <v>320</v>
      </c>
      <c r="E73" s="20" t="s">
        <v>67</v>
      </c>
      <c r="F73" s="20" t="s">
        <v>82</v>
      </c>
      <c r="G73" s="20"/>
      <c r="H73" s="21"/>
      <c r="I73" s="21"/>
      <c r="J73" s="21">
        <v>413</v>
      </c>
      <c r="K73" s="20"/>
      <c r="L73" s="55">
        <v>45687</v>
      </c>
      <c r="M73" s="20">
        <v>60</v>
      </c>
      <c r="N73" s="17">
        <f>J73*D73</f>
        <v>132160</v>
      </c>
      <c r="O73" s="17"/>
      <c r="P73" s="17"/>
      <c r="Q73" s="17"/>
      <c r="R73" s="17"/>
      <c r="S73" s="17"/>
      <c r="T73" s="17"/>
      <c r="U73" s="17">
        <f>N73</f>
        <v>132160</v>
      </c>
      <c r="V73" s="17"/>
      <c r="W73" s="17"/>
      <c r="X73" s="17"/>
      <c r="Y73" s="41"/>
    </row>
    <row r="74" spans="2:25" x14ac:dyDescent="0.2">
      <c r="B74" s="3" t="s">
        <v>34</v>
      </c>
      <c r="C74" s="3"/>
      <c r="D74" s="5">
        <f>SUM(D62:D73)</f>
        <v>2368</v>
      </c>
      <c r="E74" s="5"/>
      <c r="F74" s="5"/>
      <c r="G74" s="3"/>
      <c r="H74" s="3"/>
      <c r="I74" s="3"/>
      <c r="J74" s="3"/>
      <c r="K74" s="3"/>
      <c r="L74" s="3"/>
      <c r="M74" s="3"/>
      <c r="N74" s="7">
        <f t="shared" ref="N74:X74" si="42">SUM(N62:N73)</f>
        <v>828283.63636363635</v>
      </c>
      <c r="O74" s="7">
        <f t="shared" si="42"/>
        <v>0</v>
      </c>
      <c r="P74" s="7">
        <f t="shared" si="42"/>
        <v>0</v>
      </c>
      <c r="Q74" s="7">
        <f t="shared" si="42"/>
        <v>0</v>
      </c>
      <c r="R74" s="7">
        <f t="shared" si="42"/>
        <v>355973.05785123969</v>
      </c>
      <c r="S74" s="7">
        <f t="shared" si="42"/>
        <v>333163.14049586776</v>
      </c>
      <c r="T74" s="7">
        <f t="shared" si="42"/>
        <v>2584.6280991735534</v>
      </c>
      <c r="U74" s="7">
        <f t="shared" si="42"/>
        <v>134744.62809917354</v>
      </c>
      <c r="V74" s="7">
        <f t="shared" si="42"/>
        <v>1818.181818181818</v>
      </c>
      <c r="W74" s="7">
        <f t="shared" si="42"/>
        <v>0</v>
      </c>
      <c r="X74" s="7">
        <f t="shared" si="42"/>
        <v>0</v>
      </c>
      <c r="Y74" s="41"/>
    </row>
    <row r="75" spans="2:25" x14ac:dyDescent="0.2">
      <c r="B75" s="1"/>
      <c r="C75" s="1"/>
      <c r="D75" s="6"/>
      <c r="E75" s="6"/>
      <c r="F75" s="6"/>
      <c r="G75" s="1"/>
      <c r="H75" s="1"/>
      <c r="I75" s="1"/>
      <c r="J75" s="1"/>
      <c r="K75" s="1"/>
      <c r="L75" s="1"/>
      <c r="M75" s="1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41"/>
    </row>
    <row r="76" spans="2:25" x14ac:dyDescent="0.2">
      <c r="B76" s="1"/>
      <c r="C76" s="1"/>
      <c r="D76" s="6"/>
      <c r="E76" s="6"/>
      <c r="F76" s="6"/>
      <c r="G76" s="1"/>
      <c r="H76" s="1"/>
      <c r="I76" s="1"/>
      <c r="J76" s="1"/>
      <c r="K76" s="1"/>
      <c r="L76" s="1"/>
      <c r="M76" s="1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41"/>
    </row>
    <row r="77" spans="2:25" x14ac:dyDescent="0.2">
      <c r="B77" s="1"/>
      <c r="C77" s="1"/>
      <c r="D77" s="6"/>
      <c r="E77" s="6"/>
      <c r="F77" s="6"/>
      <c r="G77" s="1"/>
      <c r="H77" s="1"/>
      <c r="I77" s="1"/>
      <c r="J77" s="1"/>
      <c r="K77" s="1"/>
      <c r="L77" s="1"/>
      <c r="M77" s="1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41"/>
    </row>
    <row r="78" spans="2:25" x14ac:dyDescent="0.2">
      <c r="B78" s="37" t="s">
        <v>52</v>
      </c>
      <c r="C78" s="39"/>
      <c r="D78" s="39"/>
      <c r="E78" s="39"/>
      <c r="F78" s="39"/>
      <c r="G78" s="39"/>
      <c r="H78" s="39"/>
      <c r="I78" s="38"/>
      <c r="J78" s="39"/>
      <c r="K78" s="6"/>
      <c r="M78" s="6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41"/>
    </row>
    <row r="79" spans="2:25" x14ac:dyDescent="0.2">
      <c r="B79" s="9" t="s">
        <v>30</v>
      </c>
      <c r="C79" s="10"/>
      <c r="D79" s="19">
        <v>36.93</v>
      </c>
      <c r="E79" s="10">
        <v>19</v>
      </c>
      <c r="F79" s="10" t="s">
        <v>82</v>
      </c>
      <c r="G79" s="10">
        <v>10</v>
      </c>
      <c r="H79" s="12">
        <f>F7</f>
        <v>297.3</v>
      </c>
      <c r="I79" s="12"/>
      <c r="J79" s="12">
        <f t="shared" ref="J79:J80" si="43">IF(K79="preço",(H79+G79)*$J$35,(I79+G79)*$J$35)</f>
        <v>406.49644000000001</v>
      </c>
      <c r="K79" s="10" t="s">
        <v>58</v>
      </c>
      <c r="L79" s="18"/>
      <c r="M79" s="10"/>
      <c r="N79" s="15">
        <f>IF(K79="preço",J79*D79,(I79+G79)*$J$35*D79)</f>
        <v>15011.913529200001</v>
      </c>
      <c r="O79" s="15"/>
      <c r="P79" s="15"/>
      <c r="Q79" s="15"/>
      <c r="R79" s="15"/>
      <c r="S79" s="15"/>
      <c r="T79" s="15"/>
      <c r="U79" s="15"/>
      <c r="V79" s="15"/>
      <c r="W79" s="15"/>
      <c r="X79" s="15">
        <f>N79</f>
        <v>15011.913529200001</v>
      </c>
      <c r="Y79" s="41"/>
    </row>
    <row r="80" spans="2:25" x14ac:dyDescent="0.2">
      <c r="B80" s="16" t="s">
        <v>30</v>
      </c>
      <c r="C80" s="20"/>
      <c r="D80" s="60">
        <v>174.4</v>
      </c>
      <c r="E80" s="20" t="s">
        <v>66</v>
      </c>
      <c r="F80" s="20" t="s">
        <v>82</v>
      </c>
      <c r="G80" s="20">
        <v>-5</v>
      </c>
      <c r="H80" s="21">
        <f>H79</f>
        <v>297.3</v>
      </c>
      <c r="I80" s="21"/>
      <c r="J80" s="21">
        <f t="shared" si="43"/>
        <v>386.65444000000002</v>
      </c>
      <c r="K80" s="20" t="str">
        <f>K79</f>
        <v>preço</v>
      </c>
      <c r="L80" s="22"/>
      <c r="M80" s="20"/>
      <c r="N80" s="17">
        <f t="shared" ref="N80:N90" si="44">IF(K80="preço",J80*D80,(I80+G80)*$J$35*D80)</f>
        <v>67432.534336000012</v>
      </c>
      <c r="O80" s="17"/>
      <c r="P80" s="17"/>
      <c r="Q80" s="17"/>
      <c r="R80" s="17"/>
      <c r="S80" s="17"/>
      <c r="T80" s="17"/>
      <c r="U80" s="17"/>
      <c r="V80" s="17"/>
      <c r="W80" s="17"/>
      <c r="X80" s="17">
        <f t="shared" ref="X80:X90" si="45">N80</f>
        <v>67432.534336000012</v>
      </c>
      <c r="Y80" s="41"/>
    </row>
    <row r="81" spans="2:25" x14ac:dyDescent="0.2">
      <c r="B81" s="9" t="s">
        <v>30</v>
      </c>
      <c r="C81" s="10"/>
      <c r="D81" s="19">
        <v>118.03</v>
      </c>
      <c r="E81" s="10" t="s">
        <v>67</v>
      </c>
      <c r="F81" s="10" t="s">
        <v>82</v>
      </c>
      <c r="G81" s="10">
        <v>5</v>
      </c>
      <c r="H81" s="12">
        <f>H80</f>
        <v>297.3</v>
      </c>
      <c r="I81" s="12"/>
      <c r="J81" s="12">
        <f>IF(K81="preço",(H81+G81)*$J$35,(I81+G81)*$J$35)</f>
        <v>399.88244000000003</v>
      </c>
      <c r="K81" s="10" t="str">
        <f>K79</f>
        <v>preço</v>
      </c>
      <c r="L81" s="18"/>
      <c r="M81" s="10"/>
      <c r="N81" s="15">
        <f t="shared" ref="N81" si="46">IF(K81="preço",J81*D81,(I81+G81)*$J$35*D81)</f>
        <v>47198.124393200007</v>
      </c>
      <c r="O81" s="15"/>
      <c r="P81" s="15"/>
      <c r="Q81" s="15"/>
      <c r="R81" s="15"/>
      <c r="S81" s="15"/>
      <c r="T81" s="15"/>
      <c r="U81" s="15"/>
      <c r="V81" s="15"/>
      <c r="W81" s="15"/>
      <c r="X81" s="15">
        <f t="shared" si="45"/>
        <v>47198.124393200007</v>
      </c>
      <c r="Y81" s="41"/>
    </row>
    <row r="82" spans="2:25" x14ac:dyDescent="0.2">
      <c r="B82" s="9" t="s">
        <v>30</v>
      </c>
      <c r="C82" s="10"/>
      <c r="D82" s="19">
        <v>78.900000000000006</v>
      </c>
      <c r="E82" s="10" t="s">
        <v>68</v>
      </c>
      <c r="F82" s="10" t="s">
        <v>82</v>
      </c>
      <c r="G82" s="10">
        <v>-25</v>
      </c>
      <c r="H82" s="12">
        <f>H81</f>
        <v>297.3</v>
      </c>
      <c r="I82" s="12"/>
      <c r="J82" s="12">
        <f t="shared" ref="J82:J90" si="47">IF(K82="preço",(H82+G82)*$J$35,(I82+G82)*$J$35)</f>
        <v>360.19844000000001</v>
      </c>
      <c r="K82" s="10" t="str">
        <f>K81</f>
        <v>preço</v>
      </c>
      <c r="L82" s="18"/>
      <c r="M82" s="10"/>
      <c r="N82" s="15">
        <f t="shared" si="44"/>
        <v>28419.656916000004</v>
      </c>
      <c r="O82" s="15"/>
      <c r="P82" s="15"/>
      <c r="Q82" s="15"/>
      <c r="R82" s="15"/>
      <c r="S82" s="15"/>
      <c r="T82" s="15"/>
      <c r="U82" s="15"/>
      <c r="V82" s="15"/>
      <c r="W82" s="15"/>
      <c r="X82" s="15">
        <f t="shared" si="45"/>
        <v>28419.656916000004</v>
      </c>
      <c r="Y82" s="41"/>
    </row>
    <row r="83" spans="2:25" x14ac:dyDescent="0.2">
      <c r="B83" s="16" t="s">
        <v>30</v>
      </c>
      <c r="C83" s="20"/>
      <c r="D83" s="60">
        <v>10.3</v>
      </c>
      <c r="E83" s="20" t="s">
        <v>69</v>
      </c>
      <c r="F83" s="20" t="s">
        <v>82</v>
      </c>
      <c r="G83" s="20">
        <v>-25</v>
      </c>
      <c r="H83" s="21">
        <f t="shared" ref="H83:H87" si="48">H82</f>
        <v>297.3</v>
      </c>
      <c r="I83" s="21"/>
      <c r="J83" s="21">
        <f t="shared" si="47"/>
        <v>360.19844000000001</v>
      </c>
      <c r="K83" s="20" t="str">
        <f t="shared" ref="K83:K90" si="49">K82</f>
        <v>preço</v>
      </c>
      <c r="L83" s="22"/>
      <c r="M83" s="20"/>
      <c r="N83" s="17">
        <f t="shared" si="44"/>
        <v>3710.0439320000005</v>
      </c>
      <c r="O83" s="17"/>
      <c r="P83" s="17"/>
      <c r="Q83" s="17"/>
      <c r="R83" s="17"/>
      <c r="S83" s="17"/>
      <c r="T83" s="17"/>
      <c r="U83" s="17"/>
      <c r="V83" s="17"/>
      <c r="W83" s="17"/>
      <c r="X83" s="17">
        <f t="shared" si="45"/>
        <v>3710.0439320000005</v>
      </c>
      <c r="Y83" s="41"/>
    </row>
    <row r="84" spans="2:25" x14ac:dyDescent="0.2">
      <c r="B84" s="9" t="s">
        <v>30</v>
      </c>
      <c r="C84" s="10"/>
      <c r="D84" s="19">
        <v>111.67</v>
      </c>
      <c r="E84" s="10" t="s">
        <v>70</v>
      </c>
      <c r="F84" s="10" t="s">
        <v>82</v>
      </c>
      <c r="G84" s="10">
        <v>-20</v>
      </c>
      <c r="H84" s="12">
        <f t="shared" si="48"/>
        <v>297.3</v>
      </c>
      <c r="I84" s="12"/>
      <c r="J84" s="12">
        <f t="shared" si="47"/>
        <v>366.81243999999998</v>
      </c>
      <c r="K84" s="10" t="str">
        <f t="shared" si="49"/>
        <v>preço</v>
      </c>
      <c r="L84" s="18"/>
      <c r="M84" s="10"/>
      <c r="N84" s="15">
        <f t="shared" si="44"/>
        <v>40961.945174799999</v>
      </c>
      <c r="O84" s="15"/>
      <c r="P84" s="15"/>
      <c r="Q84" s="15"/>
      <c r="R84" s="15"/>
      <c r="S84" s="15"/>
      <c r="T84" s="15"/>
      <c r="U84" s="15"/>
      <c r="V84" s="15"/>
      <c r="W84" s="15"/>
      <c r="X84" s="15">
        <f t="shared" si="45"/>
        <v>40961.945174799999</v>
      </c>
      <c r="Y84" s="41"/>
    </row>
    <row r="85" spans="2:25" x14ac:dyDescent="0.2">
      <c r="B85" s="16" t="s">
        <v>30</v>
      </c>
      <c r="C85" s="20"/>
      <c r="D85" s="60">
        <v>27.3</v>
      </c>
      <c r="E85" s="20" t="s">
        <v>71</v>
      </c>
      <c r="F85" s="20" t="s">
        <v>82</v>
      </c>
      <c r="G85" s="20">
        <v>-80</v>
      </c>
      <c r="H85" s="21">
        <f t="shared" si="48"/>
        <v>297.3</v>
      </c>
      <c r="I85" s="21"/>
      <c r="J85" s="21">
        <f t="shared" si="47"/>
        <v>287.44443999999999</v>
      </c>
      <c r="K85" s="20" t="str">
        <f t="shared" si="49"/>
        <v>preço</v>
      </c>
      <c r="L85" s="22"/>
      <c r="M85" s="20"/>
      <c r="N85" s="17">
        <f t="shared" si="44"/>
        <v>7847.2332120000001</v>
      </c>
      <c r="O85" s="17"/>
      <c r="P85" s="17"/>
      <c r="Q85" s="17"/>
      <c r="R85" s="17"/>
      <c r="S85" s="17"/>
      <c r="T85" s="17"/>
      <c r="U85" s="17"/>
      <c r="V85" s="17"/>
      <c r="W85" s="17"/>
      <c r="X85" s="17">
        <f t="shared" si="45"/>
        <v>7847.2332120000001</v>
      </c>
      <c r="Y85" s="41"/>
    </row>
    <row r="86" spans="2:25" x14ac:dyDescent="0.2">
      <c r="B86" s="9" t="s">
        <v>30</v>
      </c>
      <c r="C86" s="10"/>
      <c r="D86" s="19">
        <v>249.95</v>
      </c>
      <c r="E86" s="10" t="s">
        <v>72</v>
      </c>
      <c r="F86" s="10" t="s">
        <v>82</v>
      </c>
      <c r="G86" s="10">
        <v>-30</v>
      </c>
      <c r="H86" s="12">
        <f t="shared" si="48"/>
        <v>297.3</v>
      </c>
      <c r="I86" s="12"/>
      <c r="J86" s="12">
        <f t="shared" si="47"/>
        <v>353.58444000000003</v>
      </c>
      <c r="K86" s="10" t="str">
        <f t="shared" si="49"/>
        <v>preço</v>
      </c>
      <c r="L86" s="18"/>
      <c r="M86" s="10"/>
      <c r="N86" s="15">
        <f t="shared" si="44"/>
        <v>88378.430778000009</v>
      </c>
      <c r="O86" s="15"/>
      <c r="P86" s="15"/>
      <c r="Q86" s="15"/>
      <c r="R86" s="15"/>
      <c r="S86" s="15"/>
      <c r="T86" s="15"/>
      <c r="U86" s="15"/>
      <c r="V86" s="15"/>
      <c r="W86" s="15"/>
      <c r="X86" s="15">
        <f t="shared" si="45"/>
        <v>88378.430778000009</v>
      </c>
      <c r="Y86" s="41"/>
    </row>
    <row r="87" spans="2:25" x14ac:dyDescent="0.2">
      <c r="B87" s="16" t="s">
        <v>30</v>
      </c>
      <c r="C87" s="20"/>
      <c r="D87" s="60">
        <v>85.42</v>
      </c>
      <c r="E87" s="20" t="s">
        <v>83</v>
      </c>
      <c r="F87" s="20" t="s">
        <v>82</v>
      </c>
      <c r="G87" s="20">
        <v>-25</v>
      </c>
      <c r="H87" s="21">
        <f t="shared" si="48"/>
        <v>297.3</v>
      </c>
      <c r="I87" s="21"/>
      <c r="J87" s="21">
        <f t="shared" si="47"/>
        <v>360.19844000000001</v>
      </c>
      <c r="K87" s="20" t="str">
        <f t="shared" si="49"/>
        <v>preço</v>
      </c>
      <c r="L87" s="22"/>
      <c r="M87" s="20"/>
      <c r="N87" s="17">
        <f t="shared" si="44"/>
        <v>30768.150744800001</v>
      </c>
      <c r="O87" s="17"/>
      <c r="P87" s="17"/>
      <c r="Q87" s="17"/>
      <c r="R87" s="17"/>
      <c r="S87" s="17"/>
      <c r="T87" s="17"/>
      <c r="U87" s="17"/>
      <c r="V87" s="17"/>
      <c r="W87" s="17"/>
      <c r="X87" s="17">
        <f t="shared" si="45"/>
        <v>30768.150744800001</v>
      </c>
      <c r="Y87" s="41"/>
    </row>
    <row r="88" spans="2:25" x14ac:dyDescent="0.2">
      <c r="B88" s="9" t="s">
        <v>30</v>
      </c>
      <c r="C88" s="10"/>
      <c r="D88" s="19">
        <v>92.13</v>
      </c>
      <c r="E88" s="10" t="s">
        <v>73</v>
      </c>
      <c r="F88" s="10" t="s">
        <v>82</v>
      </c>
      <c r="G88" s="10">
        <v>-120</v>
      </c>
      <c r="H88" s="12">
        <f>H87</f>
        <v>297.3</v>
      </c>
      <c r="I88" s="12"/>
      <c r="J88" s="12">
        <f t="shared" si="47"/>
        <v>234.53244000000001</v>
      </c>
      <c r="K88" s="10" t="str">
        <f t="shared" si="49"/>
        <v>preço</v>
      </c>
      <c r="L88" s="18"/>
      <c r="M88" s="10"/>
      <c r="N88" s="15">
        <f t="shared" si="44"/>
        <v>21607.473697199999</v>
      </c>
      <c r="O88" s="15"/>
      <c r="P88" s="15"/>
      <c r="Q88" s="15"/>
      <c r="R88" s="15"/>
      <c r="S88" s="15"/>
      <c r="T88" s="15"/>
      <c r="U88" s="15"/>
      <c r="V88" s="15"/>
      <c r="W88" s="15"/>
      <c r="X88" s="15">
        <f t="shared" si="45"/>
        <v>21607.473697199999</v>
      </c>
      <c r="Y88" s="41"/>
    </row>
    <row r="89" spans="2:25" x14ac:dyDescent="0.2">
      <c r="B89" s="16" t="s">
        <v>30</v>
      </c>
      <c r="C89" s="20"/>
      <c r="D89" s="60">
        <f>867.17-21</f>
        <v>846.17</v>
      </c>
      <c r="E89" s="20" t="s">
        <v>74</v>
      </c>
      <c r="F89" s="20" t="s">
        <v>82</v>
      </c>
      <c r="G89" s="20">
        <v>-150</v>
      </c>
      <c r="H89" s="21">
        <f>H88</f>
        <v>297.3</v>
      </c>
      <c r="I89" s="21"/>
      <c r="J89" s="21">
        <f t="shared" si="47"/>
        <v>194.84844000000001</v>
      </c>
      <c r="K89" s="20" t="str">
        <f t="shared" si="49"/>
        <v>preço</v>
      </c>
      <c r="L89" s="22"/>
      <c r="M89" s="20"/>
      <c r="N89" s="17">
        <f t="shared" si="44"/>
        <v>164874.90447479999</v>
      </c>
      <c r="O89" s="17"/>
      <c r="P89" s="17"/>
      <c r="Q89" s="17"/>
      <c r="R89" s="17"/>
      <c r="S89" s="17"/>
      <c r="T89" s="17"/>
      <c r="U89" s="17"/>
      <c r="V89" s="17"/>
      <c r="W89" s="17"/>
      <c r="X89" s="17">
        <f t="shared" si="45"/>
        <v>164874.90447479999</v>
      </c>
      <c r="Y89" s="41"/>
    </row>
    <row r="90" spans="2:25" x14ac:dyDescent="0.2">
      <c r="B90" s="9" t="s">
        <v>30</v>
      </c>
      <c r="C90" s="10"/>
      <c r="D90" s="19">
        <v>281.38</v>
      </c>
      <c r="E90" s="10" t="s">
        <v>75</v>
      </c>
      <c r="F90" s="10" t="s">
        <v>82</v>
      </c>
      <c r="G90" s="10">
        <v>-80</v>
      </c>
      <c r="H90" s="12">
        <f>H89</f>
        <v>297.3</v>
      </c>
      <c r="I90" s="12"/>
      <c r="J90" s="12">
        <f t="shared" si="47"/>
        <v>287.44443999999999</v>
      </c>
      <c r="K90" s="10" t="str">
        <f t="shared" si="49"/>
        <v>preço</v>
      </c>
      <c r="L90" s="18"/>
      <c r="M90" s="10"/>
      <c r="N90" s="15">
        <f t="shared" si="44"/>
        <v>80881.116527199993</v>
      </c>
      <c r="O90" s="15"/>
      <c r="P90" s="15"/>
      <c r="Q90" s="15"/>
      <c r="R90" s="15"/>
      <c r="S90" s="15"/>
      <c r="T90" s="15"/>
      <c r="U90" s="15"/>
      <c r="V90" s="15"/>
      <c r="W90" s="15"/>
      <c r="X90" s="15">
        <f t="shared" si="45"/>
        <v>80881.116527199993</v>
      </c>
      <c r="Y90" s="41"/>
    </row>
    <row r="91" spans="2:25" x14ac:dyDescent="0.2">
      <c r="B91" s="3" t="s">
        <v>37</v>
      </c>
      <c r="C91" s="3"/>
      <c r="D91" s="4">
        <f>SUM(D79:D90)</f>
        <v>2112.58</v>
      </c>
      <c r="E91" s="5"/>
      <c r="F91" s="5"/>
      <c r="G91" s="5"/>
      <c r="H91" s="5"/>
      <c r="I91" s="5"/>
      <c r="J91" s="44"/>
      <c r="K91" s="5"/>
      <c r="L91" s="5"/>
      <c r="M91" s="5"/>
      <c r="N91" s="7">
        <f t="shared" ref="N91:X91" si="50">SUM(N79:N90)</f>
        <v>597091.52771519998</v>
      </c>
      <c r="O91" s="7">
        <f t="shared" si="50"/>
        <v>0</v>
      </c>
      <c r="P91" s="7">
        <f t="shared" si="50"/>
        <v>0</v>
      </c>
      <c r="Q91" s="7">
        <f t="shared" si="50"/>
        <v>0</v>
      </c>
      <c r="R91" s="7">
        <f t="shared" si="50"/>
        <v>0</v>
      </c>
      <c r="S91" s="7">
        <f t="shared" si="50"/>
        <v>0</v>
      </c>
      <c r="T91" s="7">
        <f t="shared" si="50"/>
        <v>0</v>
      </c>
      <c r="U91" s="7">
        <f t="shared" si="50"/>
        <v>0</v>
      </c>
      <c r="V91" s="7">
        <f t="shared" si="50"/>
        <v>0</v>
      </c>
      <c r="W91" s="7">
        <f t="shared" si="50"/>
        <v>0</v>
      </c>
      <c r="X91" s="7">
        <f t="shared" si="50"/>
        <v>597091.52771519998</v>
      </c>
      <c r="Y91" s="42"/>
    </row>
    <row r="93" spans="2:25" x14ac:dyDescent="0.2">
      <c r="B93" s="9" t="s">
        <v>105</v>
      </c>
    </row>
    <row r="95" spans="2:25" x14ac:dyDescent="0.2">
      <c r="B95" s="37" t="s">
        <v>53</v>
      </c>
      <c r="C95" s="38"/>
      <c r="D95" s="38"/>
      <c r="E95" s="38"/>
      <c r="F95" s="38"/>
      <c r="G95" s="38"/>
      <c r="H95" s="38"/>
      <c r="I95" s="38"/>
      <c r="J95" s="38"/>
    </row>
    <row r="96" spans="2:25" x14ac:dyDescent="0.2">
      <c r="D96" s="32">
        <f>37500/60*0.4536</f>
        <v>283.5</v>
      </c>
      <c r="E96" s="32"/>
      <c r="F96" s="32"/>
      <c r="O96" s="64">
        <f t="shared" ref="O96:X96" si="51">J10</f>
        <v>5.5496999999999996</v>
      </c>
      <c r="P96" s="64">
        <f t="shared" si="51"/>
        <v>5.6048</v>
      </c>
      <c r="Q96" s="64">
        <f t="shared" si="51"/>
        <v>5.7834000000000003</v>
      </c>
      <c r="R96" s="64">
        <f t="shared" si="51"/>
        <v>6.05</v>
      </c>
      <c r="S96" s="64">
        <f t="shared" si="51"/>
        <v>6.05</v>
      </c>
      <c r="T96" s="64">
        <f t="shared" si="51"/>
        <v>6.05</v>
      </c>
      <c r="U96" s="64">
        <f t="shared" si="51"/>
        <v>6.05</v>
      </c>
      <c r="V96" s="64">
        <f t="shared" si="51"/>
        <v>6.05</v>
      </c>
      <c r="W96" s="64">
        <f t="shared" si="51"/>
        <v>6.05</v>
      </c>
      <c r="X96" s="64">
        <f t="shared" si="51"/>
        <v>6.05</v>
      </c>
    </row>
    <row r="97" spans="2:25" x14ac:dyDescent="0.2">
      <c r="B97" s="13" t="s">
        <v>16</v>
      </c>
      <c r="C97" s="8" t="s">
        <v>15</v>
      </c>
      <c r="D97" s="8" t="s">
        <v>14</v>
      </c>
      <c r="E97" s="8"/>
      <c r="F97" s="8"/>
      <c r="G97" s="8" t="s">
        <v>42</v>
      </c>
      <c r="H97" s="8" t="s">
        <v>22</v>
      </c>
      <c r="I97" s="8" t="s">
        <v>47</v>
      </c>
      <c r="J97" s="8" t="s">
        <v>46</v>
      </c>
      <c r="K97" s="8"/>
      <c r="L97" s="8" t="s">
        <v>48</v>
      </c>
      <c r="M97" s="8" t="s">
        <v>45</v>
      </c>
      <c r="N97" s="29" t="s">
        <v>19</v>
      </c>
      <c r="O97" s="14">
        <f t="shared" ref="O97:X97" si="52">O36</f>
        <v>45536</v>
      </c>
      <c r="P97" s="14">
        <f t="shared" si="52"/>
        <v>45566</v>
      </c>
      <c r="Q97" s="14">
        <f t="shared" si="52"/>
        <v>45597</v>
      </c>
      <c r="R97" s="14">
        <f t="shared" si="52"/>
        <v>45627</v>
      </c>
      <c r="S97" s="14">
        <f t="shared" si="52"/>
        <v>45658</v>
      </c>
      <c r="T97" s="14">
        <f t="shared" si="52"/>
        <v>45689</v>
      </c>
      <c r="U97" s="14">
        <f t="shared" si="52"/>
        <v>45717</v>
      </c>
      <c r="V97" s="14">
        <f t="shared" si="52"/>
        <v>45748</v>
      </c>
      <c r="W97" s="14">
        <f t="shared" si="52"/>
        <v>45778</v>
      </c>
      <c r="X97" s="14" t="str">
        <f t="shared" si="52"/>
        <v>em aberto</v>
      </c>
      <c r="Y97" s="40"/>
    </row>
    <row r="98" spans="2:25" x14ac:dyDescent="0.2">
      <c r="B98" s="9" t="s">
        <v>44</v>
      </c>
      <c r="C98" s="10" t="s">
        <v>41</v>
      </c>
      <c r="D98" s="19">
        <f t="shared" ref="D98:D104" si="53">$D$96*G98</f>
        <v>1304.0999999999999</v>
      </c>
      <c r="E98" s="19"/>
      <c r="F98" s="19"/>
      <c r="G98" s="12">
        <v>4.5999999999999996</v>
      </c>
      <c r="H98" s="12">
        <v>191.55</v>
      </c>
      <c r="I98" s="12">
        <v>241.4</v>
      </c>
      <c r="J98" s="10"/>
      <c r="K98" s="31"/>
      <c r="L98" s="33">
        <v>5.2268999999999997</v>
      </c>
      <c r="M98" s="31">
        <v>45405</v>
      </c>
      <c r="N98" s="34">
        <f t="shared" ref="N98:N104" si="54">IF(J98&gt;0,(H98*J98-I98*L98)*$J$35*D98,(H98-I98)*$J$35*L98*D98)/$K$9</f>
        <v>-74294.909923150102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41"/>
    </row>
    <row r="99" spans="2:25" x14ac:dyDescent="0.2">
      <c r="B99" s="9" t="s">
        <v>43</v>
      </c>
      <c r="C99" s="10" t="s">
        <v>40</v>
      </c>
      <c r="D99" s="19">
        <f t="shared" si="53"/>
        <v>567</v>
      </c>
      <c r="E99" s="19"/>
      <c r="F99" s="19"/>
      <c r="G99" s="12">
        <v>2</v>
      </c>
      <c r="H99" s="12">
        <v>226.05</v>
      </c>
      <c r="I99" s="12">
        <v>239.9</v>
      </c>
      <c r="J99" s="10"/>
      <c r="K99" s="31"/>
      <c r="L99" s="33">
        <v>5.4650999999999996</v>
      </c>
      <c r="M99" s="31">
        <v>45520</v>
      </c>
      <c r="N99" s="34">
        <f t="shared" si="54"/>
        <v>-9383.6058411778467</v>
      </c>
      <c r="O99" s="10"/>
      <c r="P99" s="10"/>
      <c r="Q99" s="35"/>
      <c r="R99" s="10"/>
      <c r="S99" s="10"/>
      <c r="T99" s="10"/>
      <c r="U99" s="10"/>
      <c r="V99" s="10"/>
      <c r="W99" s="10"/>
      <c r="X99" s="10"/>
      <c r="Y99" s="41"/>
    </row>
    <row r="100" spans="2:25" x14ac:dyDescent="0.2">
      <c r="B100" s="9" t="s">
        <v>43</v>
      </c>
      <c r="C100" s="10">
        <v>507185025</v>
      </c>
      <c r="D100" s="19">
        <f t="shared" si="53"/>
        <v>3118.5</v>
      </c>
      <c r="E100" s="19"/>
      <c r="F100" s="19"/>
      <c r="G100" s="12">
        <v>11</v>
      </c>
      <c r="H100" s="12">
        <v>183.6</v>
      </c>
      <c r="I100" s="10">
        <v>263.55</v>
      </c>
      <c r="J100" s="10">
        <v>4.9850000000000003</v>
      </c>
      <c r="K100" s="31"/>
      <c r="L100" s="33">
        <v>5.7694000000000001</v>
      </c>
      <c r="M100" s="31">
        <v>45608</v>
      </c>
      <c r="N100" s="34">
        <f t="shared" si="54"/>
        <v>-412705.66655510193</v>
      </c>
      <c r="O100" s="19"/>
      <c r="P100" s="10"/>
      <c r="Q100" s="35">
        <f>$N100*$K$9/Q$96</f>
        <v>-431730.3459311765</v>
      </c>
      <c r="R100" s="10"/>
      <c r="S100" s="10"/>
      <c r="T100" s="10"/>
      <c r="U100" s="10"/>
      <c r="V100" s="10"/>
      <c r="W100" s="10"/>
      <c r="X100" s="10"/>
      <c r="Y100" s="41"/>
    </row>
    <row r="101" spans="2:25" x14ac:dyDescent="0.2">
      <c r="B101" s="9" t="s">
        <v>43</v>
      </c>
      <c r="C101" s="10">
        <v>507224803</v>
      </c>
      <c r="D101" s="19">
        <f t="shared" si="53"/>
        <v>5103</v>
      </c>
      <c r="E101" s="19"/>
      <c r="F101" s="19"/>
      <c r="G101" s="12">
        <v>18</v>
      </c>
      <c r="H101" s="12">
        <v>158.4</v>
      </c>
      <c r="I101" s="10">
        <v>263.55</v>
      </c>
      <c r="J101" s="10">
        <v>4.9850000000000003</v>
      </c>
      <c r="K101" s="31"/>
      <c r="L101" s="33">
        <v>5.7694000000000001</v>
      </c>
      <c r="M101" s="31">
        <v>45608</v>
      </c>
      <c r="N101" s="34">
        <f t="shared" si="54"/>
        <v>-815498.47990087757</v>
      </c>
      <c r="O101" s="19"/>
      <c r="P101" s="10"/>
      <c r="Q101" s="35">
        <f>$N101*$K$9/Q$96</f>
        <v>-853090.88138470601</v>
      </c>
      <c r="R101" s="10"/>
      <c r="S101" s="10"/>
      <c r="T101" s="10"/>
      <c r="U101" s="10"/>
      <c r="V101" s="10"/>
      <c r="W101" s="10"/>
      <c r="X101" s="10"/>
      <c r="Y101" s="41"/>
    </row>
    <row r="102" spans="2:25" x14ac:dyDescent="0.2">
      <c r="B102" s="9" t="s">
        <v>44</v>
      </c>
      <c r="C102" s="10">
        <v>43136</v>
      </c>
      <c r="D102" s="19">
        <f t="shared" si="53"/>
        <v>640.70999999999992</v>
      </c>
      <c r="E102" s="19"/>
      <c r="F102" s="19"/>
      <c r="G102" s="12">
        <v>2.2599999999999998</v>
      </c>
      <c r="H102" s="12">
        <v>245</v>
      </c>
      <c r="I102" s="10">
        <v>251.05</v>
      </c>
      <c r="J102" s="10"/>
      <c r="K102" s="31"/>
      <c r="L102" s="33">
        <v>5.726</v>
      </c>
      <c r="M102" s="31">
        <v>45615</v>
      </c>
      <c r="N102" s="34">
        <f t="shared" si="54"/>
        <v>-4852.9635824880079</v>
      </c>
      <c r="O102" s="19"/>
      <c r="P102" s="10"/>
      <c r="Q102" s="35">
        <f>$N102*$K$9/Q$96</f>
        <v>-5076.6728350196154</v>
      </c>
      <c r="R102" s="10"/>
      <c r="S102" s="10"/>
      <c r="T102" s="10"/>
      <c r="U102" s="10"/>
      <c r="V102" s="10"/>
      <c r="W102" s="10"/>
      <c r="X102" s="10"/>
      <c r="Y102" s="41"/>
    </row>
    <row r="103" spans="2:25" x14ac:dyDescent="0.2">
      <c r="B103" s="9" t="s">
        <v>44</v>
      </c>
      <c r="C103" s="10">
        <v>44564</v>
      </c>
      <c r="D103" s="19">
        <f t="shared" si="53"/>
        <v>320.35499999999996</v>
      </c>
      <c r="E103" s="19"/>
      <c r="F103" s="19"/>
      <c r="G103" s="12">
        <v>1.1299999999999999</v>
      </c>
      <c r="H103" s="12">
        <v>231.1</v>
      </c>
      <c r="I103" s="10">
        <v>251.05</v>
      </c>
      <c r="J103" s="10"/>
      <c r="K103" s="31"/>
      <c r="L103" s="33">
        <v>5.726</v>
      </c>
      <c r="M103" s="31">
        <v>45615</v>
      </c>
      <c r="N103" s="34">
        <f t="shared" si="54"/>
        <v>-8001.3738405484037</v>
      </c>
      <c r="O103" s="19"/>
      <c r="P103" s="10"/>
      <c r="Q103" s="35">
        <f>$N103*$K$9/Q$96</f>
        <v>-8370.2167817058889</v>
      </c>
      <c r="R103" s="10"/>
      <c r="S103" s="10"/>
      <c r="T103" s="10"/>
      <c r="U103" s="10"/>
      <c r="V103" s="10"/>
      <c r="W103" s="10"/>
      <c r="X103" s="10"/>
      <c r="Y103" s="41"/>
    </row>
    <row r="104" spans="2:25" x14ac:dyDescent="0.2">
      <c r="B104" s="9" t="s">
        <v>44</v>
      </c>
      <c r="C104" s="10">
        <v>47900</v>
      </c>
      <c r="D104" s="19">
        <f t="shared" si="53"/>
        <v>640.70999999999992</v>
      </c>
      <c r="E104" s="19"/>
      <c r="F104" s="19"/>
      <c r="G104" s="12">
        <v>2.2599999999999998</v>
      </c>
      <c r="H104" s="12">
        <v>243.16</v>
      </c>
      <c r="I104" s="10">
        <v>280.75</v>
      </c>
      <c r="J104" s="10"/>
      <c r="K104" s="31"/>
      <c r="L104" s="33">
        <v>5.7603</v>
      </c>
      <c r="M104" s="31">
        <v>45615</v>
      </c>
      <c r="N104" s="34">
        <f t="shared" si="54"/>
        <v>-30333.166014060538</v>
      </c>
      <c r="O104" s="19"/>
      <c r="P104" s="10"/>
      <c r="Q104" s="35">
        <f>$N104*$K$9/Q$96</f>
        <v>-31731.447657963523</v>
      </c>
      <c r="R104" s="10"/>
      <c r="S104" s="10"/>
      <c r="T104" s="10"/>
      <c r="U104" s="10"/>
      <c r="V104" s="10"/>
      <c r="W104" s="10"/>
      <c r="X104" s="10"/>
      <c r="Y104" s="41"/>
    </row>
    <row r="105" spans="2:25" x14ac:dyDescent="0.2">
      <c r="B105" s="3" t="s">
        <v>55</v>
      </c>
      <c r="C105" s="3"/>
      <c r="D105" s="4">
        <f>SUM(D98:D104)</f>
        <v>11694.374999999998</v>
      </c>
      <c r="E105" s="4"/>
      <c r="F105" s="4"/>
      <c r="G105" s="5"/>
      <c r="H105" s="5"/>
      <c r="I105" s="5"/>
      <c r="J105" s="5"/>
      <c r="K105" s="5"/>
      <c r="L105" s="5"/>
      <c r="M105" s="5"/>
      <c r="N105" s="7">
        <f t="shared" ref="N105" si="55">SUM(N95:N104)</f>
        <v>-1355070.1656574043</v>
      </c>
      <c r="O105" s="7"/>
      <c r="P105" s="7"/>
      <c r="Q105" s="7">
        <f t="shared" ref="Q105" si="56">SUM(Q95:Q104)</f>
        <v>-1284396.7811905716</v>
      </c>
      <c r="R105" s="7"/>
      <c r="S105" s="7"/>
      <c r="T105" s="7"/>
      <c r="U105" s="7"/>
      <c r="V105" s="7"/>
      <c r="W105" s="7"/>
      <c r="X105" s="7"/>
      <c r="Y105" s="41"/>
    </row>
    <row r="106" spans="2:25" x14ac:dyDescent="0.2">
      <c r="B106" s="1"/>
      <c r="C106" s="1"/>
      <c r="D106" s="2"/>
      <c r="E106" s="2"/>
      <c r="F106" s="2"/>
      <c r="G106" s="6"/>
      <c r="H106" s="6"/>
      <c r="I106" s="6"/>
      <c r="J106" s="6"/>
      <c r="K106" s="6"/>
      <c r="L106" s="10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2:25" x14ac:dyDescent="0.2">
      <c r="B107" s="37" t="s">
        <v>54</v>
      </c>
      <c r="C107" s="39"/>
      <c r="D107" s="39"/>
      <c r="E107" s="39"/>
      <c r="F107" s="39"/>
      <c r="G107" s="39"/>
      <c r="H107" s="39"/>
      <c r="I107" s="38"/>
      <c r="J107" s="39"/>
      <c r="K107" s="31"/>
      <c r="M107" s="31"/>
      <c r="N107" s="34"/>
      <c r="O107" s="10"/>
      <c r="P107" s="10"/>
      <c r="Q107" s="35"/>
      <c r="R107" s="10"/>
      <c r="S107" s="10"/>
      <c r="T107" s="10"/>
      <c r="U107" s="10"/>
      <c r="V107" s="10"/>
      <c r="W107" s="10"/>
      <c r="X107" s="10"/>
      <c r="Y107" s="41"/>
    </row>
    <row r="108" spans="2:25" x14ac:dyDescent="0.2">
      <c r="C108" s="10"/>
      <c r="D108" s="19"/>
      <c r="E108" s="19"/>
      <c r="F108" s="19"/>
      <c r="G108" s="12"/>
      <c r="H108" s="10"/>
      <c r="I108" s="10"/>
      <c r="J108" s="10"/>
      <c r="K108" s="31"/>
      <c r="L108" s="10"/>
      <c r="M108" s="31"/>
      <c r="N108" s="34"/>
      <c r="O108" s="10"/>
      <c r="P108" s="10"/>
      <c r="Q108" s="35"/>
      <c r="R108" s="10"/>
      <c r="S108" s="10"/>
      <c r="T108" s="10"/>
      <c r="U108" s="10"/>
      <c r="V108" s="10"/>
      <c r="W108" s="10"/>
      <c r="X108" s="10"/>
      <c r="Y108" s="41"/>
    </row>
    <row r="109" spans="2:25" x14ac:dyDescent="0.2">
      <c r="B109" s="9" t="s">
        <v>44</v>
      </c>
      <c r="C109" s="10"/>
      <c r="D109" s="19">
        <f t="shared" ref="D109:D114" si="57">$D$96*G109</f>
        <v>961.06500000000005</v>
      </c>
      <c r="E109" s="19"/>
      <c r="F109" s="19"/>
      <c r="G109" s="12">
        <v>3.39</v>
      </c>
      <c r="H109" s="12">
        <v>293.60000000000002</v>
      </c>
      <c r="I109" s="12">
        <f>C6</f>
        <v>325.55</v>
      </c>
      <c r="J109" s="10"/>
      <c r="K109" s="31"/>
      <c r="L109" s="33">
        <f>L110</f>
        <v>6.05</v>
      </c>
      <c r="M109" s="31">
        <v>45708</v>
      </c>
      <c r="N109" s="34">
        <f t="shared" ref="N109:N114" si="58">IF(J109&gt;0,(H109*J109-I109*L109)*$J$35*D109,(H109-I109)*$J$35*L109*D109)/$K$9</f>
        <v>-40617.932184899983</v>
      </c>
      <c r="O109" s="10"/>
      <c r="P109" s="10"/>
      <c r="Q109" s="35"/>
      <c r="R109" s="10"/>
      <c r="S109" s="10"/>
      <c r="T109" s="35">
        <f>$N109*$K$9/T$96</f>
        <v>-40617.932184899983</v>
      </c>
      <c r="U109" s="35"/>
      <c r="V109" s="10"/>
      <c r="W109" s="10"/>
      <c r="X109" s="10"/>
      <c r="Y109" s="41"/>
    </row>
    <row r="110" spans="2:25" x14ac:dyDescent="0.2">
      <c r="B110" s="9" t="s">
        <v>44</v>
      </c>
      <c r="C110" s="10">
        <v>47898</v>
      </c>
      <c r="D110" s="19">
        <f t="shared" si="57"/>
        <v>1601.7750000000001</v>
      </c>
      <c r="E110" s="19"/>
      <c r="F110" s="19"/>
      <c r="G110" s="12">
        <v>5.65</v>
      </c>
      <c r="H110" s="12">
        <v>240.91</v>
      </c>
      <c r="I110" s="12">
        <f>C6</f>
        <v>325.55</v>
      </c>
      <c r="J110" s="10"/>
      <c r="K110" s="31"/>
      <c r="L110" s="33">
        <f>K9</f>
        <v>6.05</v>
      </c>
      <c r="M110" s="31">
        <v>45708</v>
      </c>
      <c r="N110" s="34">
        <f t="shared" si="58"/>
        <v>-179337.59938080003</v>
      </c>
      <c r="O110" s="10"/>
      <c r="P110" s="10"/>
      <c r="Q110" s="10"/>
      <c r="R110" s="10"/>
      <c r="S110" s="10"/>
      <c r="T110" s="35">
        <f>$N110*$K$9/T$96</f>
        <v>-179337.59938080003</v>
      </c>
      <c r="U110" s="10"/>
      <c r="V110" s="10"/>
      <c r="W110" s="10"/>
      <c r="X110" s="10"/>
      <c r="Y110" s="41"/>
    </row>
    <row r="111" spans="2:25" x14ac:dyDescent="0.2">
      <c r="B111" s="9" t="s">
        <v>44</v>
      </c>
      <c r="C111" s="10">
        <v>47899</v>
      </c>
      <c r="D111" s="19">
        <f t="shared" si="57"/>
        <v>640.70999999999992</v>
      </c>
      <c r="E111" s="19"/>
      <c r="F111" s="19"/>
      <c r="G111" s="12">
        <v>2.2599999999999998</v>
      </c>
      <c r="H111" s="12">
        <v>238.17</v>
      </c>
      <c r="I111" s="12">
        <f>C7</f>
        <v>322.8</v>
      </c>
      <c r="J111" s="10"/>
      <c r="K111" s="31"/>
      <c r="L111" s="33">
        <f>L110</f>
        <v>6.05</v>
      </c>
      <c r="M111" s="31">
        <v>45769</v>
      </c>
      <c r="N111" s="34">
        <f t="shared" si="58"/>
        <v>-71726.564440440008</v>
      </c>
      <c r="O111" s="10"/>
      <c r="P111" s="10"/>
      <c r="Q111" s="10"/>
      <c r="R111" s="10"/>
      <c r="S111" s="10"/>
      <c r="T111" s="10"/>
      <c r="U111" s="10"/>
      <c r="V111" s="35">
        <f>$N111*$K$9/V$96</f>
        <v>-71726.564440440008</v>
      </c>
      <c r="W111" s="10"/>
      <c r="X111" s="10"/>
      <c r="Y111" s="41"/>
    </row>
    <row r="112" spans="2:25" x14ac:dyDescent="0.2">
      <c r="B112" s="9" t="s">
        <v>44</v>
      </c>
      <c r="C112" s="10">
        <v>25852</v>
      </c>
      <c r="D112" s="19">
        <f t="shared" si="57"/>
        <v>5017.95</v>
      </c>
      <c r="E112" s="19"/>
      <c r="F112" s="19"/>
      <c r="G112" s="12">
        <v>17.7</v>
      </c>
      <c r="H112" s="12">
        <v>179</v>
      </c>
      <c r="I112" s="12">
        <f>F7</f>
        <v>297.3</v>
      </c>
      <c r="J112" s="10"/>
      <c r="K112" s="31"/>
      <c r="L112" s="33">
        <f>L111</f>
        <v>6.05</v>
      </c>
      <c r="M112" s="31">
        <v>45973</v>
      </c>
      <c r="N112" s="34">
        <f t="shared" si="58"/>
        <v>-785245.1459580001</v>
      </c>
      <c r="O112" s="10"/>
      <c r="P112" s="10"/>
      <c r="Q112" s="10"/>
      <c r="R112" s="10"/>
      <c r="S112" s="10"/>
      <c r="T112" s="10"/>
      <c r="U112" s="10"/>
      <c r="V112" s="10"/>
      <c r="W112" s="10"/>
      <c r="X112" s="35">
        <f>$N112*$K$9/X$96</f>
        <v>-785245.1459580001</v>
      </c>
      <c r="Y112" s="41"/>
    </row>
    <row r="113" spans="2:25" x14ac:dyDescent="0.2">
      <c r="B113" s="9" t="s">
        <v>43</v>
      </c>
      <c r="C113" s="10">
        <v>507931308</v>
      </c>
      <c r="D113" s="19">
        <f t="shared" si="57"/>
        <v>1984.5</v>
      </c>
      <c r="E113" s="19"/>
      <c r="F113" s="19"/>
      <c r="G113" s="12">
        <v>7</v>
      </c>
      <c r="H113" s="12">
        <v>196.1</v>
      </c>
      <c r="I113" s="12">
        <f>I112</f>
        <v>297.3</v>
      </c>
      <c r="J113" s="10"/>
      <c r="K113" s="31"/>
      <c r="L113" s="33">
        <f>L112</f>
        <v>6.05</v>
      </c>
      <c r="M113" s="31">
        <v>45973</v>
      </c>
      <c r="N113" s="34">
        <f t="shared" si="58"/>
        <v>-265659.77592000004</v>
      </c>
      <c r="O113" s="10"/>
      <c r="P113" s="10"/>
      <c r="Q113" s="10"/>
      <c r="R113" s="10"/>
      <c r="S113" s="10"/>
      <c r="T113" s="10"/>
      <c r="U113" s="10"/>
      <c r="V113" s="10"/>
      <c r="W113" s="10"/>
      <c r="X113" s="35">
        <f>$N113*$K$9/X$96</f>
        <v>-265659.77592000004</v>
      </c>
      <c r="Y113" s="41"/>
    </row>
    <row r="114" spans="2:25" x14ac:dyDescent="0.2">
      <c r="B114" s="9" t="s">
        <v>44</v>
      </c>
      <c r="C114" s="10">
        <v>47616</v>
      </c>
      <c r="D114" s="19">
        <f t="shared" si="57"/>
        <v>3005.1</v>
      </c>
      <c r="E114" s="19"/>
      <c r="F114" s="19"/>
      <c r="G114" s="12">
        <v>10.6</v>
      </c>
      <c r="H114" s="12">
        <v>222.2</v>
      </c>
      <c r="I114" s="12">
        <f>I113</f>
        <v>297.3</v>
      </c>
      <c r="J114" s="10"/>
      <c r="K114" s="31"/>
      <c r="L114" s="33">
        <f>L113</f>
        <v>6.05</v>
      </c>
      <c r="M114" s="31">
        <v>45980</v>
      </c>
      <c r="N114" s="34">
        <f t="shared" si="58"/>
        <v>-298533.48562800005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35">
        <f>$N114*$K$9/X$96</f>
        <v>-298533.48562800005</v>
      </c>
      <c r="Y114" s="41"/>
    </row>
    <row r="115" spans="2:25" x14ac:dyDescent="0.2">
      <c r="B115" s="3" t="s">
        <v>56</v>
      </c>
      <c r="C115" s="3"/>
      <c r="D115" s="4">
        <f>SUM(D110:D114)</f>
        <v>12250.035</v>
      </c>
      <c r="E115" s="4"/>
      <c r="F115" s="4"/>
      <c r="G115" s="5"/>
      <c r="H115" s="5"/>
      <c r="I115" s="43"/>
      <c r="J115" s="5"/>
      <c r="K115" s="5"/>
      <c r="L115" s="5"/>
      <c r="M115" s="5"/>
      <c r="N115" s="7">
        <f>SUM(N108:N114)</f>
        <v>-1641120.5035121399</v>
      </c>
      <c r="O115" s="7"/>
      <c r="P115" s="7"/>
      <c r="Q115" s="7"/>
      <c r="R115" s="7"/>
      <c r="S115" s="7"/>
      <c r="T115" s="7">
        <f>SUM(T108:T114)</f>
        <v>-219955.53156570002</v>
      </c>
      <c r="U115" s="7"/>
      <c r="V115" s="7">
        <f>SUM(V108:V114)</f>
        <v>-71726.564440440008</v>
      </c>
      <c r="W115" s="7"/>
      <c r="X115" s="7">
        <f>SUM(X108:X114)</f>
        <v>-1349438.4075060003</v>
      </c>
      <c r="Y115" s="41"/>
    </row>
    <row r="116" spans="2:25" x14ac:dyDescent="0.2">
      <c r="L116" s="10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1"/>
    </row>
    <row r="117" spans="2:25" x14ac:dyDescent="0.2">
      <c r="B117" s="9" t="s">
        <v>65</v>
      </c>
      <c r="Y117" s="41"/>
    </row>
    <row r="118" spans="2:25" x14ac:dyDescent="0.2">
      <c r="Y118" s="41"/>
    </row>
    <row r="119" spans="2:25" x14ac:dyDescent="0.2">
      <c r="Y119" s="41"/>
    </row>
    <row r="120" spans="2:25" x14ac:dyDescent="0.2">
      <c r="I120" s="36"/>
      <c r="J120" s="36"/>
      <c r="Y120" s="41"/>
    </row>
    <row r="121" spans="2:25" x14ac:dyDescent="0.2">
      <c r="J121" s="36"/>
      <c r="Y121" s="41"/>
    </row>
    <row r="122" spans="2:25" x14ac:dyDescent="0.2">
      <c r="Y122" s="41"/>
    </row>
    <row r="123" spans="2:25" x14ac:dyDescent="0.2">
      <c r="Y123" s="41"/>
    </row>
    <row r="124" spans="2:25" x14ac:dyDescent="0.2">
      <c r="Y124" s="41"/>
    </row>
    <row r="125" spans="2:25" x14ac:dyDescent="0.2">
      <c r="Y125" s="41"/>
    </row>
    <row r="126" spans="2:25" x14ac:dyDescent="0.2">
      <c r="Y126" s="41"/>
    </row>
    <row r="127" spans="2:25" x14ac:dyDescent="0.2">
      <c r="Y127" s="41"/>
    </row>
    <row r="128" spans="2:25" x14ac:dyDescent="0.2">
      <c r="Y128" s="41"/>
    </row>
    <row r="129" spans="25:25" x14ac:dyDescent="0.2">
      <c r="Y129" s="41"/>
    </row>
    <row r="130" spans="25:25" x14ac:dyDescent="0.2">
      <c r="Y130" s="41"/>
    </row>
    <row r="131" spans="25:25" x14ac:dyDescent="0.2">
      <c r="Y131" s="41"/>
    </row>
    <row r="132" spans="25:25" x14ac:dyDescent="0.2">
      <c r="Y132" s="41"/>
    </row>
    <row r="133" spans="25:25" x14ac:dyDescent="0.2">
      <c r="Y133" s="42"/>
    </row>
    <row r="134" spans="25:25" x14ac:dyDescent="0.2">
      <c r="Y134" s="42"/>
    </row>
  </sheetData>
  <dataValidations count="1">
    <dataValidation type="list" allowBlank="1" showInputMessage="1" showErrorMessage="1" sqref="D9" xr:uid="{625FEE8B-60A4-434A-9B6F-DB94869B6CC0}">
      <formula1>$C$10:$D$10</formula1>
    </dataValidation>
  </dataValidations>
  <pageMargins left="0.7" right="0.7" top="0.75" bottom="0.75" header="0.3" footer="0.3"/>
  <pageSetup paperSize="9" scale="43" fitToHeight="4" orientation="landscape" horizontalDpi="0" verticalDpi="0"/>
  <ignoredErrors>
    <ignoredError sqref="D20 E20 K81 C22" formula="1"/>
    <ignoredError sqref="O51:Q51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2024-12-04T18:06:43Z</cp:lastPrinted>
  <dcterms:created xsi:type="dcterms:W3CDTF">2024-11-20T00:40:58Z</dcterms:created>
  <dcterms:modified xsi:type="dcterms:W3CDTF">2024-12-11T12:36:13Z</dcterms:modified>
</cp:coreProperties>
</file>