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6E13DC9-3C7A-4211-95D9-AE239AFDAE56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MY 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2">
      <go:sheetsCustomData xmlns:go="http://customooxmlschemas.google.com/" r:id="rId9" roundtripDataChecksum="Ju8TppyxX2LxE8qPauJXgEIvwA6Us9G/heYZYAuIps0="/>
    </ext>
  </extLst>
</workbook>
</file>

<file path=xl/calcChain.xml><?xml version="1.0" encoding="utf-8"?>
<calcChain xmlns="http://schemas.openxmlformats.org/spreadsheetml/2006/main">
  <c r="N36" i="1" l="1"/>
  <c r="R4" i="1" s="1"/>
  <c r="L36" i="1"/>
  <c r="K4" i="1" s="1"/>
  <c r="J36" i="1"/>
  <c r="D4" i="1" s="1"/>
  <c r="D36" i="1"/>
  <c r="N35" i="1"/>
  <c r="O35" i="1" s="1"/>
  <c r="L35" i="1"/>
  <c r="M35" i="1" s="1"/>
  <c r="J35" i="1"/>
  <c r="K35" i="1" s="1"/>
  <c r="B35" i="1"/>
  <c r="N34" i="1"/>
  <c r="O34" i="1" s="1"/>
  <c r="L34" i="1"/>
  <c r="M34" i="1" s="1"/>
  <c r="J34" i="1"/>
  <c r="K34" i="1" s="1"/>
  <c r="B34" i="1"/>
  <c r="N33" i="1"/>
  <c r="O33" i="1" s="1"/>
  <c r="L33" i="1"/>
  <c r="M33" i="1" s="1"/>
  <c r="J33" i="1"/>
  <c r="K33" i="1" s="1"/>
  <c r="B33" i="1"/>
  <c r="N32" i="1"/>
  <c r="O32" i="1" s="1"/>
  <c r="L32" i="1"/>
  <c r="M32" i="1" s="1"/>
  <c r="J32" i="1"/>
  <c r="K32" i="1" s="1"/>
  <c r="B32" i="1"/>
  <c r="N31" i="1"/>
  <c r="O31" i="1" s="1"/>
  <c r="L31" i="1"/>
  <c r="M31" i="1" s="1"/>
  <c r="J31" i="1"/>
  <c r="K31" i="1" s="1"/>
  <c r="B31" i="1"/>
  <c r="N30" i="1"/>
  <c r="O30" i="1" s="1"/>
  <c r="L30" i="1"/>
  <c r="M30" i="1" s="1"/>
  <c r="J30" i="1"/>
  <c r="K30" i="1" s="1"/>
  <c r="B30" i="1"/>
  <c r="N29" i="1"/>
  <c r="O29" i="1" s="1"/>
  <c r="L29" i="1"/>
  <c r="M29" i="1" s="1"/>
  <c r="J29" i="1"/>
  <c r="K29" i="1" s="1"/>
  <c r="B29" i="1"/>
  <c r="N28" i="1"/>
  <c r="O28" i="1" s="1"/>
  <c r="L28" i="1"/>
  <c r="M28" i="1" s="1"/>
  <c r="J28" i="1"/>
  <c r="K28" i="1" s="1"/>
  <c r="B28" i="1"/>
  <c r="N27" i="1"/>
  <c r="O27" i="1" s="1"/>
  <c r="L27" i="1"/>
  <c r="M27" i="1" s="1"/>
  <c r="J27" i="1"/>
  <c r="K27" i="1" s="1"/>
  <c r="B27" i="1"/>
  <c r="N26" i="1"/>
  <c r="O26" i="1" s="1"/>
  <c r="L26" i="1"/>
  <c r="M26" i="1" s="1"/>
  <c r="J26" i="1"/>
  <c r="K26" i="1" s="1"/>
  <c r="B26" i="1"/>
  <c r="U22" i="1" a="1"/>
  <c r="U22" i="1" s="1"/>
  <c r="S22" i="1"/>
  <c r="R22" i="1"/>
  <c r="Q22" i="1"/>
  <c r="P22" i="1"/>
  <c r="O22" i="1"/>
  <c r="N22" i="1"/>
  <c r="M22" i="1"/>
  <c r="L22" i="1"/>
  <c r="K22" i="1"/>
  <c r="J22" i="1"/>
  <c r="I22" i="1"/>
  <c r="H22" i="1"/>
  <c r="C35" i="1" s="1"/>
  <c r="G35" i="1" s="1"/>
  <c r="G22" i="1"/>
  <c r="F22" i="1"/>
  <c r="E22" i="1"/>
  <c r="D22" i="1"/>
  <c r="C22" i="1"/>
  <c r="U21" i="1" a="1"/>
  <c r="U21" i="1" s="1"/>
  <c r="S21" i="1"/>
  <c r="R21" i="1"/>
  <c r="Q21" i="1"/>
  <c r="P21" i="1"/>
  <c r="O21" i="1"/>
  <c r="N21" i="1"/>
  <c r="M21" i="1"/>
  <c r="L21" i="1"/>
  <c r="K21" i="1"/>
  <c r="J21" i="1"/>
  <c r="I21" i="1"/>
  <c r="H21" i="1"/>
  <c r="C34" i="1" s="1"/>
  <c r="G34" i="1" s="1"/>
  <c r="G21" i="1"/>
  <c r="F21" i="1"/>
  <c r="E21" i="1"/>
  <c r="D21" i="1"/>
  <c r="C21" i="1"/>
  <c r="U20" i="1" a="1"/>
  <c r="U20" i="1" s="1"/>
  <c r="S20" i="1"/>
  <c r="R20" i="1"/>
  <c r="Q20" i="1"/>
  <c r="P20" i="1"/>
  <c r="O20" i="1"/>
  <c r="N20" i="1"/>
  <c r="M20" i="1"/>
  <c r="L20" i="1"/>
  <c r="K20" i="1"/>
  <c r="J20" i="1"/>
  <c r="I20" i="1"/>
  <c r="H20" i="1"/>
  <c r="C33" i="1" s="1"/>
  <c r="G33" i="1" s="1"/>
  <c r="G20" i="1"/>
  <c r="F20" i="1"/>
  <c r="E20" i="1"/>
  <c r="D20" i="1"/>
  <c r="C20" i="1"/>
  <c r="U19" i="1" a="1"/>
  <c r="U19" i="1" s="1"/>
  <c r="S19" i="1"/>
  <c r="R19" i="1"/>
  <c r="Q19" i="1"/>
  <c r="P19" i="1"/>
  <c r="O19" i="1"/>
  <c r="N19" i="1"/>
  <c r="M19" i="1"/>
  <c r="L19" i="1"/>
  <c r="K19" i="1"/>
  <c r="J19" i="1"/>
  <c r="I19" i="1"/>
  <c r="H19" i="1"/>
  <c r="C32" i="1" s="1"/>
  <c r="G32" i="1" s="1"/>
  <c r="G19" i="1"/>
  <c r="F19" i="1"/>
  <c r="E19" i="1"/>
  <c r="D19" i="1"/>
  <c r="C19" i="1"/>
  <c r="U18" i="1" a="1"/>
  <c r="U18" i="1" s="1"/>
  <c r="S18" i="1"/>
  <c r="R18" i="1"/>
  <c r="Q18" i="1"/>
  <c r="P18" i="1"/>
  <c r="O18" i="1"/>
  <c r="N18" i="1"/>
  <c r="M18" i="1"/>
  <c r="L18" i="1"/>
  <c r="K18" i="1"/>
  <c r="J18" i="1"/>
  <c r="I18" i="1"/>
  <c r="H18" i="1"/>
  <c r="C31" i="1" s="1"/>
  <c r="G31" i="1" s="1"/>
  <c r="G18" i="1"/>
  <c r="F18" i="1"/>
  <c r="E18" i="1"/>
  <c r="D18" i="1"/>
  <c r="C18" i="1"/>
  <c r="U17" i="1" a="1"/>
  <c r="U17" i="1" s="1"/>
  <c r="S17" i="1"/>
  <c r="R17" i="1"/>
  <c r="Q17" i="1"/>
  <c r="P17" i="1"/>
  <c r="O17" i="1"/>
  <c r="N17" i="1"/>
  <c r="M17" i="1"/>
  <c r="L17" i="1"/>
  <c r="K17" i="1"/>
  <c r="J17" i="1"/>
  <c r="I17" i="1"/>
  <c r="H17" i="1"/>
  <c r="C30" i="1" s="1"/>
  <c r="G30" i="1" s="1"/>
  <c r="G17" i="1"/>
  <c r="F17" i="1"/>
  <c r="E17" i="1"/>
  <c r="D17" i="1"/>
  <c r="C17" i="1"/>
  <c r="U16" i="1" a="1"/>
  <c r="U16" i="1" s="1"/>
  <c r="W16" i="1" s="1"/>
  <c r="S16" i="1"/>
  <c r="R16" i="1"/>
  <c r="Q16" i="1"/>
  <c r="P16" i="1"/>
  <c r="O16" i="1"/>
  <c r="N16" i="1"/>
  <c r="M16" i="1"/>
  <c r="L16" i="1"/>
  <c r="K16" i="1"/>
  <c r="J16" i="1"/>
  <c r="I16" i="1"/>
  <c r="H16" i="1"/>
  <c r="C29" i="1" s="1"/>
  <c r="G29" i="1" s="1"/>
  <c r="G16" i="1"/>
  <c r="F16" i="1"/>
  <c r="E16" i="1"/>
  <c r="D16" i="1"/>
  <c r="C16" i="1"/>
  <c r="U15" i="1" a="1"/>
  <c r="U15" i="1" s="1"/>
  <c r="X15" i="1" s="1"/>
  <c r="S15" i="1"/>
  <c r="R15" i="1"/>
  <c r="Q15" i="1"/>
  <c r="P15" i="1"/>
  <c r="O15" i="1"/>
  <c r="N15" i="1"/>
  <c r="M15" i="1"/>
  <c r="L15" i="1"/>
  <c r="K15" i="1"/>
  <c r="J15" i="1"/>
  <c r="I15" i="1"/>
  <c r="H15" i="1"/>
  <c r="C28" i="1" s="1"/>
  <c r="G28" i="1" s="1"/>
  <c r="G15" i="1"/>
  <c r="F15" i="1"/>
  <c r="E15" i="1"/>
  <c r="D15" i="1"/>
  <c r="C15" i="1"/>
  <c r="U14" i="1" a="1"/>
  <c r="U14" i="1" s="1"/>
  <c r="H27" i="1" s="1"/>
  <c r="S14" i="1"/>
  <c r="R14" i="1"/>
  <c r="Q14" i="1"/>
  <c r="P14" i="1"/>
  <c r="O14" i="1"/>
  <c r="N14" i="1"/>
  <c r="M14" i="1"/>
  <c r="L14" i="1"/>
  <c r="K14" i="1"/>
  <c r="J14" i="1"/>
  <c r="I14" i="1"/>
  <c r="H14" i="1"/>
  <c r="C27" i="1" s="1"/>
  <c r="G27" i="1" s="1"/>
  <c r="G14" i="1"/>
  <c r="F14" i="1"/>
  <c r="E14" i="1"/>
  <c r="D14" i="1"/>
  <c r="C14" i="1"/>
  <c r="S13" i="1"/>
  <c r="R13" i="1"/>
  <c r="T13" i="1" s="1"/>
  <c r="U13" i="1" s="1" a="1"/>
  <c r="U13" i="1" s="1"/>
  <c r="V13" i="1" s="1"/>
  <c r="Q13" i="1"/>
  <c r="P13" i="1"/>
  <c r="O13" i="1"/>
  <c r="N13" i="1"/>
  <c r="M13" i="1"/>
  <c r="L13" i="1"/>
  <c r="K13" i="1"/>
  <c r="J13" i="1"/>
  <c r="I13" i="1"/>
  <c r="H13" i="1"/>
  <c r="C26" i="1" s="1"/>
  <c r="G26" i="1" s="1"/>
  <c r="G13" i="1"/>
  <c r="F13" i="1"/>
  <c r="E13" i="1"/>
  <c r="D13" i="1"/>
  <c r="C13" i="1"/>
  <c r="A4" i="1"/>
  <c r="T20" i="1" l="1"/>
  <c r="T14" i="1"/>
  <c r="T19" i="1"/>
  <c r="X22" i="1"/>
  <c r="H35" i="1"/>
  <c r="T15" i="1"/>
  <c r="T16" i="1"/>
  <c r="W18" i="1"/>
  <c r="H31" i="1"/>
  <c r="K36" i="1"/>
  <c r="G4" i="1" s="1"/>
  <c r="V14" i="1"/>
  <c r="X16" i="1"/>
  <c r="W14" i="1"/>
  <c r="V22" i="1"/>
  <c r="X14" i="1"/>
  <c r="W22" i="1"/>
  <c r="T18" i="1"/>
  <c r="T21" i="1"/>
  <c r="T22" i="1"/>
  <c r="H33" i="1"/>
  <c r="X20" i="1"/>
  <c r="W20" i="1"/>
  <c r="V20" i="1"/>
  <c r="X21" i="1"/>
  <c r="W21" i="1"/>
  <c r="H34" i="1"/>
  <c r="T17" i="1"/>
  <c r="V21" i="1"/>
  <c r="M36" i="1"/>
  <c r="N4" i="1" s="1"/>
  <c r="W13" i="1"/>
  <c r="X13" i="1"/>
  <c r="H26" i="1"/>
  <c r="X19" i="1"/>
  <c r="W19" i="1"/>
  <c r="H32" i="1"/>
  <c r="V19" i="1"/>
  <c r="W15" i="1"/>
  <c r="O36" i="1"/>
  <c r="U4" i="1" s="1"/>
  <c r="H28" i="1"/>
  <c r="V15" i="1"/>
  <c r="V17" i="1"/>
  <c r="X17" i="1"/>
  <c r="H30" i="1"/>
  <c r="W17" i="1"/>
  <c r="H29" i="1"/>
  <c r="V16" i="1"/>
  <c r="X18" i="1"/>
  <c r="V18" i="1"/>
  <c r="A7" i="1" l="1" a="1"/>
  <c r="A7" i="1" s="1"/>
  <c r="A9" i="1" a="1"/>
  <c r="A9" i="1" s="1"/>
</calcChain>
</file>

<file path=xl/sharedStrings.xml><?xml version="1.0" encoding="utf-8"?>
<sst xmlns="http://schemas.openxmlformats.org/spreadsheetml/2006/main" count="67" uniqueCount="58">
  <si>
    <t>MY PORTFOLIO FUNDSRESEARCH</t>
  </si>
  <si>
    <t>PORTFOLIO MANAGER</t>
  </si>
  <si>
    <t>MASROOR KHAN</t>
  </si>
  <si>
    <t>1 MONTH 
ESTIMATED ROI</t>
  </si>
  <si>
    <t>6  MONTHS 
ESTIMATED ROI</t>
  </si>
  <si>
    <t>1 YEAR
ESTIMATED ROI</t>
  </si>
  <si>
    <t>TOTAL INVESTED AMOUNT</t>
  </si>
  <si>
    <t>ROI %</t>
  </si>
  <si>
    <t>ESTIMATED RETURN [1 MONTH]</t>
  </si>
  <si>
    <t>ESTIMATED RETURN [6 MONTHS]</t>
  </si>
  <si>
    <t>ESTIMATED RETURN [1 YEAR]</t>
  </si>
  <si>
    <t>TOP PERFORMING STOCKS</t>
  </si>
  <si>
    <t>LOW PERFORMING STOCKS</t>
  </si>
  <si>
    <t>STOCK NAME</t>
  </si>
  <si>
    <t>CHART</t>
  </si>
  <si>
    <t>PRICE TO ACTION</t>
  </si>
  <si>
    <t>TECHNICAL ANALYSIS</t>
  </si>
  <si>
    <t>FUNDAMENTAL ANALYSIS</t>
  </si>
  <si>
    <t>HISTORICAL RETURNS [%]</t>
  </si>
  <si>
    <t>MARKET CALL [PREDICTION]</t>
  </si>
  <si>
    <t>PREDICTED RETURNS AS PER MARKET ANALYSIS
 [JUST FOR EDUCATIONAL PURPOSE]*</t>
  </si>
  <si>
    <t>SR</t>
  </si>
  <si>
    <t>Ticker</t>
  </si>
  <si>
    <t>Open</t>
  </si>
  <si>
    <t>High</t>
  </si>
  <si>
    <t>Low</t>
  </si>
  <si>
    <t>Prev. Close</t>
  </si>
  <si>
    <t>LTP</t>
  </si>
  <si>
    <t>Change
[In Amount  ₹]</t>
  </si>
  <si>
    <t>Change
[Percentage %]</t>
  </si>
  <si>
    <t>Volume</t>
  </si>
  <si>
    <t>Market Cap</t>
  </si>
  <si>
    <t>EPS</t>
  </si>
  <si>
    <t>PE</t>
  </si>
  <si>
    <t>AVERAGE RETURN ANALYSIS</t>
  </si>
  <si>
    <t>MARKET CALL</t>
  </si>
  <si>
    <t>1 MONTH</t>
  </si>
  <si>
    <t>6 MONTHS</t>
  </si>
  <si>
    <t>1 YEAR</t>
  </si>
  <si>
    <t>TATASTEEL</t>
  </si>
  <si>
    <t>J&amp;KBANK</t>
  </si>
  <si>
    <t>SUZLON</t>
  </si>
  <si>
    <t>WIPRO</t>
  </si>
  <si>
    <t>LODHA</t>
  </si>
  <si>
    <t>PNB</t>
  </si>
  <si>
    <t>MARICO</t>
  </si>
  <si>
    <t>NSE:ITC</t>
  </si>
  <si>
    <t>M&amp;M</t>
  </si>
  <si>
    <t>GAIL</t>
  </si>
  <si>
    <t>PORTFOLIO DETAILS</t>
  </si>
  <si>
    <t>1 MONTH ROI [ESTIMATED]*</t>
  </si>
  <si>
    <t>6 MONTHS ROI [ESTIMATED]*</t>
  </si>
  <si>
    <t>1 YEAR ROI [ESTIMATED]*</t>
  </si>
  <si>
    <t>PRICE OF STOCK</t>
  </si>
  <si>
    <t>TOTAL INVESTMENT</t>
  </si>
  <si>
    <t>QUANTITY</t>
  </si>
  <si>
    <t>RETURN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</si>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</sst>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0.0%"/>
    <numFmt numFmtId="165" formatCode="#\ &quot;Day %&quot;"/>
    <numFmt numFmtId="166" formatCode="#\ &quot;Days chart&quot;"/>
    <numFmt numFmtId="167" formatCode="#\ &quot;High&quot;"/>
    <numFmt numFmtId="168" formatCode="#\ &quot;Low&quot;"/>
    <numFmt numFmtId="169" formatCode="&quot;5 Days %&quot;"/>
    <numFmt numFmtId="170" formatCode="\ &quot;6 Months %&quot;"/>
    <numFmt numFmtId="171" formatCode="\ &quot;1 Yr %&quot;"/>
    <numFmt numFmtId="172" formatCode="[Color50]\+#,##0.00;[Red]\-#,##0.00;\-"/>
    <numFmt numFmtId="173" formatCode="[Color50]\+#,##0.00%;[Red]\-#,##0.00%;\-"/>
    <numFmt numFmtId="174" formatCode="###,###,000,,,&quot; Cr&quot;"/>
    <numFmt numFmtId="175" formatCode="#,##0&quot; X&quot;"/>
    <numFmt numFmtId="176" formatCode="#,##0,,,&quot; Cr&quot;"/>
  </numFmts>
  <fonts count="15" x14ac:knownFonts="1">
    <font>
      <sz val="10"/>
      <color rgb="FF000000"/>
      <name val="Arial"/>
      <scheme val="minor"/>
    </font>
    <font>
      <b/>
      <sz val="35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5"/>
      <color theme="1"/>
      <name val="Arial"/>
    </font>
    <font>
      <b/>
      <sz val="18"/>
      <color theme="1"/>
      <name val="Arial"/>
    </font>
    <font>
      <b/>
      <sz val="16"/>
      <color theme="1"/>
      <name val="Arial"/>
    </font>
    <font>
      <b/>
      <sz val="30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b/>
      <sz val="21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0" borderId="0" xfId="0" applyFont="1"/>
    <xf numFmtId="0" fontId="10" fillId="18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166" fontId="11" fillId="18" borderId="4" xfId="0" applyNumberFormat="1" applyFont="1" applyFill="1" applyBorder="1" applyAlignment="1">
      <alignment horizontal="center" vertical="center" wrapText="1"/>
    </xf>
    <xf numFmtId="167" fontId="11" fillId="18" borderId="4" xfId="0" applyNumberFormat="1" applyFont="1" applyFill="1" applyBorder="1" applyAlignment="1">
      <alignment horizontal="center" vertical="center" wrapText="1"/>
    </xf>
    <xf numFmtId="168" fontId="11" fillId="18" borderId="4" xfId="0" applyNumberFormat="1" applyFont="1" applyFill="1" applyBorder="1" applyAlignment="1">
      <alignment horizontal="center" vertical="center" wrapText="1"/>
    </xf>
    <xf numFmtId="169" fontId="11" fillId="18" borderId="4" xfId="0" applyNumberFormat="1" applyFont="1" applyFill="1" applyBorder="1" applyAlignment="1">
      <alignment horizontal="center" vertical="center" wrapText="1"/>
    </xf>
    <xf numFmtId="170" fontId="11" fillId="18" borderId="4" xfId="0" applyNumberFormat="1" applyFont="1" applyFill="1" applyBorder="1" applyAlignment="1">
      <alignment horizontal="center" vertical="center" wrapText="1"/>
    </xf>
    <xf numFmtId="171" fontId="11" fillId="18" borderId="4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9" fillId="0" borderId="4" xfId="0" applyNumberFormat="1" applyFont="1" applyBorder="1" applyAlignment="1">
      <alignment horizontal="center" vertical="center" wrapText="1"/>
    </xf>
    <xf numFmtId="172" fontId="9" fillId="0" borderId="4" xfId="0" applyNumberFormat="1" applyFont="1" applyBorder="1" applyAlignment="1">
      <alignment horizontal="center" vertical="center" wrapText="1"/>
    </xf>
    <xf numFmtId="173" fontId="9" fillId="0" borderId="4" xfId="0" applyNumberFormat="1" applyFont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174" fontId="9" fillId="0" borderId="4" xfId="0" applyNumberFormat="1" applyFont="1" applyBorder="1" applyAlignment="1">
      <alignment horizontal="center" vertical="center" wrapText="1"/>
    </xf>
    <xf numFmtId="175" fontId="9" fillId="0" borderId="4" xfId="0" applyNumberFormat="1" applyFont="1" applyBorder="1" applyAlignment="1">
      <alignment horizontal="center" vertical="center" wrapText="1"/>
    </xf>
    <xf numFmtId="173" fontId="1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20" borderId="4" xfId="0" applyFont="1" applyFill="1" applyBorder="1" applyAlignment="1">
      <alignment horizontal="center" vertical="center" wrapText="1"/>
    </xf>
    <xf numFmtId="0" fontId="12" fillId="14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" fontId="9" fillId="0" borderId="4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0" fontId="9" fillId="20" borderId="4" xfId="0" applyNumberFormat="1" applyFont="1" applyFill="1" applyBorder="1" applyAlignment="1">
      <alignment horizontal="center" vertical="center" wrapText="1"/>
    </xf>
    <xf numFmtId="10" fontId="9" fillId="14" borderId="4" xfId="0" applyNumberFormat="1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10" fontId="9" fillId="9" borderId="4" xfId="0" applyNumberFormat="1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" fontId="7" fillId="13" borderId="1" xfId="0" applyNumberFormat="1" applyFont="1" applyFill="1" applyBorder="1" applyAlignment="1">
      <alignment horizontal="center" vertical="center" wrapText="1"/>
    </xf>
    <xf numFmtId="164" fontId="8" fillId="14" borderId="1" xfId="0" applyNumberFormat="1" applyFont="1" applyFill="1" applyBorder="1" applyAlignment="1">
      <alignment horizontal="center" vertical="center" wrapText="1"/>
    </xf>
    <xf numFmtId="1" fontId="7" fillId="1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7" fillId="10" borderId="5" xfId="0" applyFont="1" applyFill="1" applyBorder="1" applyAlignment="1">
      <alignment horizontal="center" vertical="center" wrapText="1"/>
    </xf>
    <xf numFmtId="164" fontId="8" fillId="11" borderId="1" xfId="0" applyNumberFormat="1" applyFont="1" applyFill="1" applyBorder="1" applyAlignment="1">
      <alignment horizontal="center" vertical="center" wrapText="1"/>
    </xf>
    <xf numFmtId="1" fontId="7" fillId="9" borderId="1" xfId="0" applyNumberFormat="1" applyFont="1" applyFill="1" applyBorder="1" applyAlignment="1">
      <alignment horizontal="center" vertical="center" wrapText="1"/>
    </xf>
    <xf numFmtId="164" fontId="8" fillId="12" borderId="1" xfId="0" applyNumberFormat="1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165" fontId="10" fillId="14" borderId="1" xfId="0" applyNumberFormat="1" applyFont="1" applyFill="1" applyBorder="1" applyAlignment="1">
      <alignment horizontal="center" vertical="center" wrapText="1"/>
    </xf>
    <xf numFmtId="164" fontId="8" fillId="2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1" fontId="8" fillId="20" borderId="13" xfId="0" applyNumberFormat="1" applyFont="1" applyFill="1" applyBorder="1" applyAlignment="1">
      <alignment horizontal="center" vertical="center" wrapText="1"/>
    </xf>
    <xf numFmtId="164" fontId="8" fillId="14" borderId="13" xfId="0" applyNumberFormat="1" applyFont="1" applyFill="1" applyBorder="1" applyAlignment="1">
      <alignment horizontal="center" vertical="center" wrapText="1"/>
    </xf>
    <xf numFmtId="1" fontId="8" fillId="14" borderId="13" xfId="0" applyNumberFormat="1" applyFont="1" applyFill="1" applyBorder="1" applyAlignment="1">
      <alignment horizontal="center" vertical="center" wrapText="1"/>
    </xf>
    <xf numFmtId="164" fontId="8" fillId="9" borderId="13" xfId="0" applyNumberFormat="1" applyFont="1" applyFill="1" applyBorder="1" applyAlignment="1">
      <alignment horizontal="center" vertical="center" wrapText="1"/>
    </xf>
    <xf numFmtId="1" fontId="8" fillId="9" borderId="13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27">
    <dxf>
      <fill>
        <patternFill patternType="solid">
          <fgColor rgb="FFB6D7A8"/>
          <bgColor rgb="FFB6D7A8"/>
        </patternFill>
      </fill>
    </dxf>
    <dxf>
      <fill>
        <patternFill patternType="solid">
          <fgColor rgb="FF660000"/>
          <bgColor rgb="FF66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E9F2"/>
          <bgColor rgb="FFE0E9F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5">
    <tableStyle name="MY PORTFOLIOFUNDSRESEARCH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Rishu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JAY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SOMESH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Copy of MY PORTFOLIOFUNDSRESEAR-style" pivot="0" count="3" xr9:uid="{00000000-0011-0000-FFFF-FFFF04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'MY PORTFOLIO'!$D$25</c:f>
              <c:strCache>
                <c:ptCount val="1"/>
                <c:pt idx="0">
                  <c:v>TOTAL INVESTMENT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PORTFOLIO'!$D$26:$D$35</c:f>
              <c:numCache>
                <c:formatCode>General</c:formatCode>
                <c:ptCount val="10"/>
                <c:pt idx="0">
                  <c:v>5000</c:v>
                </c:pt>
                <c:pt idx="1">
                  <c:v>4500</c:v>
                </c:pt>
                <c:pt idx="2">
                  <c:v>25000</c:v>
                </c:pt>
                <c:pt idx="3">
                  <c:v>2000</c:v>
                </c:pt>
                <c:pt idx="4">
                  <c:v>35000</c:v>
                </c:pt>
                <c:pt idx="5">
                  <c:v>12000</c:v>
                </c:pt>
                <c:pt idx="6">
                  <c:v>2000</c:v>
                </c:pt>
                <c:pt idx="7">
                  <c:v>2000</c:v>
                </c:pt>
                <c:pt idx="8">
                  <c:v>9000</c:v>
                </c:pt>
                <c:pt idx="9">
                  <c:v>6000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E05-4BA2-9B7B-D2D16B1B93F8}"/>
            </c:ext>
          </c:extLst>
        </c:ser>
        <c:ser>
          <c:idx val="1"/>
          <c:order val="1"/>
          <c:tx>
            <c:strRef>
              <c:f>'MY PORTFOLIO'!$E$25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PORTFOLIO'!$E$26:$E$35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E05-4BA2-9B7B-D2D16B1B93F8}"/>
            </c:ext>
          </c:extLst>
        </c:ser>
        <c:ser>
          <c:idx val="2"/>
          <c:order val="2"/>
          <c:tx>
            <c:strRef>
              <c:f>'MY PORTFOLIO'!$F$25</c:f>
              <c:strCache>
                <c:ptCount val="1"/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PORTFOLIO'!$F$26:$F$35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AE05-4BA2-9B7B-D2D16B1B93F8}"/>
            </c:ext>
          </c:extLst>
        </c:ser>
        <c:ser>
          <c:idx val="3"/>
          <c:order val="3"/>
          <c:tx>
            <c:strRef>
              <c:f>'MY PORTFOLIO'!$H$25</c:f>
              <c:strCache>
                <c:ptCount val="1"/>
                <c:pt idx="0">
                  <c:v>MARKET CALL</c:v>
                </c:pt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PORTFOLIO'!$H$26:$H$35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05-4BA2-9B7B-D2D16B1B93F8}"/>
            </c:ext>
          </c:extLst>
        </c:ser>
        <c:ser>
          <c:idx val="4"/>
          <c:order val="4"/>
          <c:tx>
            <c:strRef>
              <c:f>'MY PORTFOLIO'!$I$25</c:f>
              <c:strCache>
                <c:ptCount val="1"/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PORTFOLIO'!$I$26:$I$35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AE05-4BA2-9B7B-D2D16B1B93F8}"/>
            </c:ext>
          </c:extLst>
        </c:ser>
        <c:ser>
          <c:idx val="5"/>
          <c:order val="5"/>
          <c:tx>
            <c:strRef>
              <c:f>'MY PORTFOLIO'!$K$25</c:f>
              <c:strCache>
                <c:ptCount val="1"/>
                <c:pt idx="0">
                  <c:v>RETURN AMOUNT</c:v>
                </c:pt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PORTFOLIO'!$K$26:$K$35</c:f>
              <c:numCache>
                <c:formatCode>General</c:formatCode>
                <c:ptCount val="10"/>
                <c:pt idx="0">
                  <c:v>5450</c:v>
                </c:pt>
                <c:pt idx="1">
                  <c:v>4905</c:v>
                </c:pt>
                <c:pt idx="2">
                  <c:v>30625.000000000004</c:v>
                </c:pt>
                <c:pt idx="3">
                  <c:v>2120</c:v>
                </c:pt>
                <c:pt idx="4">
                  <c:v>42875</c:v>
                </c:pt>
                <c:pt idx="5">
                  <c:v>14700.000000000002</c:v>
                </c:pt>
                <c:pt idx="6">
                  <c:v>2120</c:v>
                </c:pt>
                <c:pt idx="7">
                  <c:v>2070</c:v>
                </c:pt>
                <c:pt idx="8">
                  <c:v>11025</c:v>
                </c:pt>
                <c:pt idx="9">
                  <c:v>6540.0000000000009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5-4BA2-9B7B-D2D16B1B9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003904"/>
        <c:axId val="1017530975"/>
      </c:barChart>
      <c:catAx>
        <c:axId val="213900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7530975"/>
        <c:crosses val="autoZero"/>
        <c:auto val="1"/>
        <c:lblAlgn val="ctr"/>
        <c:lblOffset val="100"/>
        <c:noMultiLvlLbl val="1"/>
      </c:catAx>
      <c:valAx>
        <c:axId val="1017530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90039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'MY PORTFOLIO'!$D$25</c:f>
              <c:strCache>
                <c:ptCount val="1"/>
                <c:pt idx="0">
                  <c:v>TOTAL INVESTMENT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PORTFOLIO'!$D$26:$D$35</c:f>
              <c:numCache>
                <c:formatCode>General</c:formatCode>
                <c:ptCount val="10"/>
                <c:pt idx="0">
                  <c:v>5000</c:v>
                </c:pt>
                <c:pt idx="1">
                  <c:v>4500</c:v>
                </c:pt>
                <c:pt idx="2">
                  <c:v>25000</c:v>
                </c:pt>
                <c:pt idx="3">
                  <c:v>2000</c:v>
                </c:pt>
                <c:pt idx="4">
                  <c:v>35000</c:v>
                </c:pt>
                <c:pt idx="5">
                  <c:v>12000</c:v>
                </c:pt>
                <c:pt idx="6">
                  <c:v>2000</c:v>
                </c:pt>
                <c:pt idx="7">
                  <c:v>2000</c:v>
                </c:pt>
                <c:pt idx="8">
                  <c:v>9000</c:v>
                </c:pt>
                <c:pt idx="9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1-4B6D-8359-18E6CEB66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7782052"/>
        <c:axId val="912877201"/>
      </c:lineChart>
      <c:catAx>
        <c:axId val="1427782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2877201"/>
        <c:crosses val="autoZero"/>
        <c:auto val="1"/>
        <c:lblAlgn val="ctr"/>
        <c:lblOffset val="100"/>
        <c:noMultiLvlLbl val="1"/>
      </c:catAx>
      <c:valAx>
        <c:axId val="912877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77820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'MY PORTFOLIO'!$D$25</c:f>
              <c:strCache>
                <c:ptCount val="1"/>
                <c:pt idx="0">
                  <c:v>TOTAL INVESTMENT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PORTFOLIO'!$D$26:$D$35</c:f>
              <c:numCache>
                <c:formatCode>General</c:formatCode>
                <c:ptCount val="10"/>
                <c:pt idx="0">
                  <c:v>5000</c:v>
                </c:pt>
                <c:pt idx="1">
                  <c:v>4500</c:v>
                </c:pt>
                <c:pt idx="2">
                  <c:v>25000</c:v>
                </c:pt>
                <c:pt idx="3">
                  <c:v>2000</c:v>
                </c:pt>
                <c:pt idx="4">
                  <c:v>35000</c:v>
                </c:pt>
                <c:pt idx="5">
                  <c:v>12000</c:v>
                </c:pt>
                <c:pt idx="6">
                  <c:v>2000</c:v>
                </c:pt>
                <c:pt idx="7">
                  <c:v>2000</c:v>
                </c:pt>
                <c:pt idx="8">
                  <c:v>9000</c:v>
                </c:pt>
                <c:pt idx="9">
                  <c:v>6000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9C-4008-A009-A21F3CCAD220}"/>
            </c:ext>
          </c:extLst>
        </c:ser>
        <c:ser>
          <c:idx val="1"/>
          <c:order val="1"/>
          <c:tx>
            <c:strRef>
              <c:f>'MY PORTFOLIO'!$E$25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PORTFOLIO'!$E$26:$E$35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79C-4008-A009-A21F3CCAD220}"/>
            </c:ext>
          </c:extLst>
        </c:ser>
        <c:ser>
          <c:idx val="2"/>
          <c:order val="2"/>
          <c:tx>
            <c:strRef>
              <c:f>'MY PORTFOLIO'!$F$25</c:f>
              <c:strCache>
                <c:ptCount val="1"/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PORTFOLIO'!$F$26:$F$35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179C-4008-A009-A21F3CCAD220}"/>
            </c:ext>
          </c:extLst>
        </c:ser>
        <c:ser>
          <c:idx val="3"/>
          <c:order val="3"/>
          <c:tx>
            <c:strRef>
              <c:f>'MY PORTFOLIO'!$H$25</c:f>
              <c:strCache>
                <c:ptCount val="1"/>
                <c:pt idx="0">
                  <c:v>MARKET CALL</c:v>
                </c:pt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PORTFOLIO'!$H$26:$H$35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9C-4008-A009-A21F3CCAD220}"/>
            </c:ext>
          </c:extLst>
        </c:ser>
        <c:ser>
          <c:idx val="4"/>
          <c:order val="4"/>
          <c:tx>
            <c:strRef>
              <c:f>'MY PORTFOLIO'!$I$25</c:f>
              <c:strCache>
                <c:ptCount val="1"/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PORTFOLIO'!$I$26:$I$35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179C-4008-A009-A21F3CCAD220}"/>
            </c:ext>
          </c:extLst>
        </c:ser>
        <c:ser>
          <c:idx val="5"/>
          <c:order val="5"/>
          <c:tx>
            <c:strRef>
              <c:f>'MY PORTFOLIO'!$O$25</c:f>
              <c:strCache>
                <c:ptCount val="1"/>
                <c:pt idx="0">
                  <c:v>RETURN AMOUNT</c:v>
                </c:pt>
              </c:strCache>
            </c:strRef>
          </c:tx>
          <c:invertIfNegative val="1"/>
          <c:cat>
            <c:strRef>
              <c:f>'MY PORTFOLIO'!$B$26:$B$35</c:f>
              <c:strCache>
                <c:ptCount val="10"/>
                <c:pt idx="0">
                  <c:v>TATASTEEL</c:v>
                </c:pt>
                <c:pt idx="1">
                  <c:v>J&amp;KBANK</c:v>
                </c:pt>
                <c:pt idx="2">
                  <c:v>SUZLON</c:v>
                </c:pt>
                <c:pt idx="3">
                  <c:v>WIPRO</c:v>
                </c:pt>
                <c:pt idx="4">
                  <c:v>LODHA</c:v>
                </c:pt>
                <c:pt idx="5">
                  <c:v>PNB</c:v>
                </c:pt>
                <c:pt idx="6">
                  <c:v>MARICO</c:v>
                </c:pt>
                <c:pt idx="7">
                  <c:v>NSE:ITC</c:v>
                </c:pt>
                <c:pt idx="8">
                  <c:v>M&amp;M</c:v>
                </c:pt>
                <c:pt idx="9">
                  <c:v>GAIL</c:v>
                </c:pt>
              </c:strCache>
            </c:strRef>
          </c:cat>
          <c:val>
            <c:numRef>
              <c:f>'MY PORTFOLIO'!$O$26:$O$35</c:f>
              <c:numCache>
                <c:formatCode>General</c:formatCode>
                <c:ptCount val="10"/>
                <c:pt idx="0">
                  <c:v>7125</c:v>
                </c:pt>
                <c:pt idx="1">
                  <c:v>6412.5</c:v>
                </c:pt>
                <c:pt idx="2">
                  <c:v>50437.5</c:v>
                </c:pt>
                <c:pt idx="3">
                  <c:v>2413.5</c:v>
                </c:pt>
                <c:pt idx="4">
                  <c:v>70612.5</c:v>
                </c:pt>
                <c:pt idx="5">
                  <c:v>24210</c:v>
                </c:pt>
                <c:pt idx="6">
                  <c:v>2413.5</c:v>
                </c:pt>
                <c:pt idx="7">
                  <c:v>2310</c:v>
                </c:pt>
                <c:pt idx="8">
                  <c:v>18157.5</c:v>
                </c:pt>
                <c:pt idx="9">
                  <c:v>8550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9C-4008-A009-A21F3CCAD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6369"/>
        <c:axId val="1845959558"/>
      </c:barChart>
      <c:catAx>
        <c:axId val="22563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5959558"/>
        <c:crosses val="autoZero"/>
        <c:auto val="1"/>
        <c:lblAlgn val="ctr"/>
        <c:lblOffset val="100"/>
        <c:noMultiLvlLbl val="1"/>
      </c:catAx>
      <c:valAx>
        <c:axId val="18459595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5636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4</xdr:row>
      <xdr:rowOff>57150</xdr:rowOff>
    </xdr:from>
    <xdr:ext cx="5657850" cy="1647825"/>
    <xdr:graphicFrame macro="">
      <xdr:nvGraphicFramePr>
        <xdr:cNvPr id="1141824590" name="Chart 1" title="Chart">
          <a:extLst>
            <a:ext uri="{FF2B5EF4-FFF2-40B4-BE49-F238E27FC236}">
              <a16:creationId xmlns:a16="http://schemas.microsoft.com/office/drawing/2014/main" id="{00000000-0008-0000-0000-00004EDC0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76200</xdr:colOff>
      <xdr:row>4</xdr:row>
      <xdr:rowOff>57150</xdr:rowOff>
    </xdr:from>
    <xdr:ext cx="6362700" cy="1647825"/>
    <xdr:graphicFrame macro="">
      <xdr:nvGraphicFramePr>
        <xdr:cNvPr id="1546319741" name="Chart 2" title="Chart">
          <a:extLst>
            <a:ext uri="{FF2B5EF4-FFF2-40B4-BE49-F238E27FC236}">
              <a16:creationId xmlns:a16="http://schemas.microsoft.com/office/drawing/2014/main" id="{00000000-0008-0000-0000-00007DF72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85725</xdr:colOff>
      <xdr:row>4</xdr:row>
      <xdr:rowOff>47625</xdr:rowOff>
    </xdr:from>
    <xdr:ext cx="6877050" cy="1647825"/>
    <xdr:graphicFrame macro="">
      <xdr:nvGraphicFramePr>
        <xdr:cNvPr id="687904368" name="Chart 3" title="Chart">
          <a:extLst>
            <a:ext uri="{FF2B5EF4-FFF2-40B4-BE49-F238E27FC236}">
              <a16:creationId xmlns:a16="http://schemas.microsoft.com/office/drawing/2014/main" id="{00000000-0008-0000-0000-000070960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762250" cy="5143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X22" headerRowCount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MY PORTFOLIOFUNDSRESEARCH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workbookViewId="0">
      <selection sqref="A1:X1"/>
    </sheetView>
  </sheetViews>
  <sheetFormatPr defaultColWidth="12.6640625" defaultRowHeight="15" customHeight="1" x14ac:dyDescent="0.25"/>
  <cols>
    <col min="1" max="1" width="8.109375" customWidth="1"/>
    <col min="2" max="2" width="15.77734375" customWidth="1"/>
    <col min="3" max="3" width="19.77734375" customWidth="1"/>
    <col min="4" max="6" width="9.33203125" customWidth="1"/>
    <col min="7" max="7" width="12.33203125" customWidth="1"/>
    <col min="8" max="8" width="9.33203125" customWidth="1"/>
    <col min="9" max="9" width="12.88671875" customWidth="1"/>
    <col min="10" max="10" width="13.44140625" customWidth="1"/>
    <col min="11" max="11" width="12" customWidth="1"/>
    <col min="12" max="12" width="10.21875" customWidth="1"/>
    <col min="13" max="13" width="14.88671875" customWidth="1"/>
    <col min="14" max="14" width="11.21875" customWidth="1"/>
    <col min="15" max="15" width="12.33203125" customWidth="1"/>
    <col min="16" max="16" width="12.44140625" customWidth="1"/>
    <col min="17" max="17" width="12.77734375" customWidth="1"/>
    <col min="18" max="18" width="11" customWidth="1"/>
    <col min="19" max="19" width="9.44140625" customWidth="1"/>
    <col min="21" max="21" width="14.6640625" customWidth="1"/>
    <col min="22" max="22" width="14.21875" customWidth="1"/>
    <col min="23" max="24" width="15.33203125" customWidth="1"/>
  </cols>
  <sheetData>
    <row r="1" spans="1:29" ht="43.5" customHeight="1" x14ac:dyDescent="0.25">
      <c r="A1" s="57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0"/>
      <c r="Y1" s="1"/>
      <c r="Z1" s="1"/>
      <c r="AA1" s="1"/>
      <c r="AB1" s="1"/>
      <c r="AC1" s="1"/>
    </row>
    <row r="2" spans="1:29" ht="43.5" customHeight="1" x14ac:dyDescent="0.25">
      <c r="A2" s="58" t="s">
        <v>1</v>
      </c>
      <c r="B2" s="40"/>
      <c r="C2" s="2" t="s">
        <v>2</v>
      </c>
      <c r="D2" s="59" t="s">
        <v>3</v>
      </c>
      <c r="E2" s="43"/>
      <c r="F2" s="43"/>
      <c r="G2" s="43"/>
      <c r="H2" s="43"/>
      <c r="I2" s="43"/>
      <c r="J2" s="40"/>
      <c r="K2" s="60" t="s">
        <v>4</v>
      </c>
      <c r="L2" s="43"/>
      <c r="M2" s="43"/>
      <c r="N2" s="43"/>
      <c r="O2" s="43"/>
      <c r="P2" s="43"/>
      <c r="Q2" s="40"/>
      <c r="R2" s="61" t="s">
        <v>5</v>
      </c>
      <c r="S2" s="43"/>
      <c r="T2" s="43"/>
      <c r="U2" s="43"/>
      <c r="V2" s="43"/>
      <c r="W2" s="43"/>
      <c r="X2" s="40"/>
      <c r="Y2" s="1"/>
      <c r="Z2" s="1"/>
      <c r="AA2" s="1"/>
      <c r="AB2" s="1"/>
      <c r="AC2" s="1"/>
    </row>
    <row r="3" spans="1:29" ht="28.5" customHeight="1" x14ac:dyDescent="0.25">
      <c r="A3" s="62" t="s">
        <v>6</v>
      </c>
      <c r="B3" s="43"/>
      <c r="C3" s="40"/>
      <c r="D3" s="53" t="s">
        <v>7</v>
      </c>
      <c r="E3" s="43"/>
      <c r="F3" s="40"/>
      <c r="G3" s="52" t="s">
        <v>8</v>
      </c>
      <c r="H3" s="43"/>
      <c r="I3" s="43"/>
      <c r="J3" s="40"/>
      <c r="K3" s="53" t="s">
        <v>7</v>
      </c>
      <c r="L3" s="43"/>
      <c r="M3" s="40"/>
      <c r="N3" s="52" t="s">
        <v>9</v>
      </c>
      <c r="O3" s="43"/>
      <c r="P3" s="43"/>
      <c r="Q3" s="40"/>
      <c r="R3" s="53" t="s">
        <v>7</v>
      </c>
      <c r="S3" s="43"/>
      <c r="T3" s="40"/>
      <c r="U3" s="52" t="s">
        <v>10</v>
      </c>
      <c r="V3" s="43"/>
      <c r="W3" s="43"/>
      <c r="X3" s="40"/>
      <c r="Y3" s="1"/>
      <c r="Z3" s="1"/>
      <c r="AA3" s="1"/>
      <c r="AB3" s="1"/>
      <c r="AC3" s="1"/>
    </row>
    <row r="4" spans="1:29" ht="45" customHeight="1" x14ac:dyDescent="0.25">
      <c r="A4" s="72">
        <f>D36</f>
        <v>102500</v>
      </c>
      <c r="B4" s="64"/>
      <c r="C4" s="65"/>
      <c r="D4" s="73">
        <f ca="1">J36</f>
        <v>0.13250000000000001</v>
      </c>
      <c r="E4" s="43"/>
      <c r="F4" s="40"/>
      <c r="G4" s="74">
        <f ca="1">K36</f>
        <v>122430</v>
      </c>
      <c r="H4" s="43"/>
      <c r="I4" s="43"/>
      <c r="J4" s="40"/>
      <c r="K4" s="75">
        <f ca="1">L36</f>
        <v>0.30619999999999897</v>
      </c>
      <c r="L4" s="43"/>
      <c r="M4" s="40"/>
      <c r="N4" s="54">
        <f ca="1">M36</f>
        <v>148548</v>
      </c>
      <c r="O4" s="43"/>
      <c r="P4" s="43"/>
      <c r="Q4" s="40"/>
      <c r="R4" s="55">
        <f ca="1">N36</f>
        <v>0.59135000000000004</v>
      </c>
      <c r="S4" s="43"/>
      <c r="T4" s="40"/>
      <c r="U4" s="56">
        <f ca="1">O36</f>
        <v>192642</v>
      </c>
      <c r="V4" s="43"/>
      <c r="W4" s="43"/>
      <c r="X4" s="40"/>
      <c r="Y4" s="1"/>
      <c r="Z4" s="1"/>
      <c r="AA4" s="1"/>
      <c r="AB4" s="1"/>
      <c r="AC4" s="1"/>
    </row>
    <row r="5" spans="1:29" ht="28.5" customHeight="1" x14ac:dyDescent="0.25">
      <c r="A5" s="69"/>
      <c r="B5" s="70"/>
      <c r="C5" s="71"/>
      <c r="D5" s="63"/>
      <c r="E5" s="64"/>
      <c r="F5" s="64"/>
      <c r="G5" s="64"/>
      <c r="H5" s="64"/>
      <c r="I5" s="64"/>
      <c r="J5" s="65"/>
      <c r="K5" s="63"/>
      <c r="L5" s="64"/>
      <c r="M5" s="64"/>
      <c r="N5" s="64"/>
      <c r="O5" s="64"/>
      <c r="P5" s="64"/>
      <c r="Q5" s="65"/>
      <c r="R5" s="63"/>
      <c r="S5" s="64"/>
      <c r="T5" s="64"/>
      <c r="U5" s="64"/>
      <c r="V5" s="64"/>
      <c r="W5" s="64"/>
      <c r="X5" s="65"/>
      <c r="Y5" s="1"/>
      <c r="Z5" s="1"/>
      <c r="AA5" s="1"/>
      <c r="AB5" s="1"/>
      <c r="AC5" s="1"/>
    </row>
    <row r="6" spans="1:29" ht="28.5" customHeight="1" x14ac:dyDescent="0.25">
      <c r="A6" s="49" t="s">
        <v>11</v>
      </c>
      <c r="B6" s="43"/>
      <c r="C6" s="40"/>
      <c r="D6" s="66"/>
      <c r="E6" s="67"/>
      <c r="F6" s="67"/>
      <c r="G6" s="67"/>
      <c r="H6" s="67"/>
      <c r="I6" s="67"/>
      <c r="J6" s="68"/>
      <c r="K6" s="66"/>
      <c r="L6" s="67"/>
      <c r="M6" s="67"/>
      <c r="N6" s="67"/>
      <c r="O6" s="67"/>
      <c r="P6" s="67"/>
      <c r="Q6" s="68"/>
      <c r="R6" s="66"/>
      <c r="S6" s="67"/>
      <c r="T6" s="67"/>
      <c r="U6" s="67"/>
      <c r="V6" s="67"/>
      <c r="W6" s="67"/>
      <c r="X6" s="68"/>
      <c r="Y6" s="1"/>
      <c r="Z6" s="1"/>
      <c r="AA6" s="1"/>
      <c r="AB6" s="1"/>
      <c r="AC6" s="1"/>
    </row>
    <row r="7" spans="1:29" ht="28.5" customHeight="1" x14ac:dyDescent="0.25">
      <c r="A7" s="50" t="str">
        <f t="array" aca="1" ref="A7" ca="1">INDEX(B13:B22, MATCH(MAX(T13:T22), T13:T22, 0))</f>
        <v>SUZLON</v>
      </c>
      <c r="B7" s="43"/>
      <c r="C7" s="40"/>
      <c r="D7" s="66"/>
      <c r="E7" s="67"/>
      <c r="F7" s="67"/>
      <c r="G7" s="67"/>
      <c r="H7" s="67"/>
      <c r="I7" s="67"/>
      <c r="J7" s="68"/>
      <c r="K7" s="66"/>
      <c r="L7" s="67"/>
      <c r="M7" s="67"/>
      <c r="N7" s="67"/>
      <c r="O7" s="67"/>
      <c r="P7" s="67"/>
      <c r="Q7" s="68"/>
      <c r="R7" s="66"/>
      <c r="S7" s="67"/>
      <c r="T7" s="67"/>
      <c r="U7" s="67"/>
      <c r="V7" s="67"/>
      <c r="W7" s="67"/>
      <c r="X7" s="68"/>
      <c r="Y7" s="1"/>
      <c r="Z7" s="1"/>
      <c r="AA7" s="1"/>
      <c r="AB7" s="1"/>
      <c r="AC7" s="1"/>
    </row>
    <row r="8" spans="1:29" ht="28.5" customHeight="1" x14ac:dyDescent="0.25">
      <c r="A8" s="78" t="s">
        <v>12</v>
      </c>
      <c r="B8" s="43"/>
      <c r="C8" s="40"/>
      <c r="D8" s="66"/>
      <c r="E8" s="67"/>
      <c r="F8" s="67"/>
      <c r="G8" s="67"/>
      <c r="H8" s="67"/>
      <c r="I8" s="67"/>
      <c r="J8" s="68"/>
      <c r="K8" s="66"/>
      <c r="L8" s="67"/>
      <c r="M8" s="67"/>
      <c r="N8" s="67"/>
      <c r="O8" s="67"/>
      <c r="P8" s="67"/>
      <c r="Q8" s="68"/>
      <c r="R8" s="66"/>
      <c r="S8" s="67"/>
      <c r="T8" s="67"/>
      <c r="U8" s="67"/>
      <c r="V8" s="67"/>
      <c r="W8" s="67"/>
      <c r="X8" s="68"/>
      <c r="Y8" s="1"/>
      <c r="Z8" s="1"/>
      <c r="AA8" s="3"/>
      <c r="AB8" s="1"/>
      <c r="AC8" s="1"/>
    </row>
    <row r="9" spans="1:29" ht="28.5" customHeight="1" x14ac:dyDescent="0.25">
      <c r="A9" s="79" t="str">
        <f t="array" aca="1" ref="A9" ca="1">INDEX(B13:B22, MATCH(MIN(T13:T22), T13:T22, 0))</f>
        <v>NSE:ITC</v>
      </c>
      <c r="B9" s="43"/>
      <c r="C9" s="40"/>
      <c r="D9" s="69"/>
      <c r="E9" s="70"/>
      <c r="F9" s="70"/>
      <c r="G9" s="70"/>
      <c r="H9" s="70"/>
      <c r="I9" s="70"/>
      <c r="J9" s="71"/>
      <c r="K9" s="69"/>
      <c r="L9" s="70"/>
      <c r="M9" s="70"/>
      <c r="N9" s="70"/>
      <c r="O9" s="70"/>
      <c r="P9" s="70"/>
      <c r="Q9" s="71"/>
      <c r="R9" s="69"/>
      <c r="S9" s="70"/>
      <c r="T9" s="70"/>
      <c r="U9" s="70"/>
      <c r="V9" s="70"/>
      <c r="W9" s="70"/>
      <c r="X9" s="71"/>
      <c r="Y9" s="1"/>
      <c r="Z9" s="1"/>
      <c r="AA9" s="1"/>
      <c r="AB9" s="1"/>
      <c r="AC9" s="1"/>
    </row>
    <row r="10" spans="1:29" ht="16.5" customHeight="1" x14ac:dyDescent="0.25">
      <c r="A10" s="8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0"/>
      <c r="Y10" s="1"/>
      <c r="Z10" s="1"/>
      <c r="AA10" s="1"/>
      <c r="AB10" s="1"/>
      <c r="AC10" s="1"/>
    </row>
    <row r="11" spans="1:29" ht="54" customHeight="1" x14ac:dyDescent="0.25">
      <c r="A11" s="51" t="s">
        <v>13</v>
      </c>
      <c r="B11" s="40"/>
      <c r="C11" s="4" t="s">
        <v>14</v>
      </c>
      <c r="D11" s="81" t="s">
        <v>15</v>
      </c>
      <c r="E11" s="43"/>
      <c r="F11" s="43"/>
      <c r="G11" s="43"/>
      <c r="H11" s="40"/>
      <c r="I11" s="82" t="s">
        <v>16</v>
      </c>
      <c r="J11" s="43"/>
      <c r="K11" s="43"/>
      <c r="L11" s="43"/>
      <c r="M11" s="40"/>
      <c r="N11" s="83" t="s">
        <v>17</v>
      </c>
      <c r="O11" s="43"/>
      <c r="P11" s="40"/>
      <c r="Q11" s="84" t="s">
        <v>18</v>
      </c>
      <c r="R11" s="43"/>
      <c r="S11" s="40"/>
      <c r="T11" s="47" t="s">
        <v>19</v>
      </c>
      <c r="U11" s="40"/>
      <c r="V11" s="76" t="s">
        <v>20</v>
      </c>
      <c r="W11" s="43"/>
      <c r="X11" s="40"/>
      <c r="Y11" s="1"/>
      <c r="Z11" s="1"/>
      <c r="AA11" s="1"/>
      <c r="AB11" s="1"/>
      <c r="AC11" s="1"/>
    </row>
    <row r="12" spans="1:29" ht="42" customHeight="1" x14ac:dyDescent="0.25">
      <c r="A12" s="5" t="s">
        <v>21</v>
      </c>
      <c r="B12" s="5" t="s">
        <v>22</v>
      </c>
      <c r="C12" s="6">
        <v>365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28</v>
      </c>
      <c r="J12" s="5" t="s">
        <v>29</v>
      </c>
      <c r="K12" s="5" t="s">
        <v>30</v>
      </c>
      <c r="L12" s="7">
        <v>52</v>
      </c>
      <c r="M12" s="8">
        <v>52</v>
      </c>
      <c r="N12" s="5" t="s">
        <v>31</v>
      </c>
      <c r="O12" s="5" t="s">
        <v>32</v>
      </c>
      <c r="P12" s="5" t="s">
        <v>33</v>
      </c>
      <c r="Q12" s="9">
        <v>5</v>
      </c>
      <c r="R12" s="10">
        <v>185</v>
      </c>
      <c r="S12" s="11">
        <v>365</v>
      </c>
      <c r="T12" s="5" t="s">
        <v>34</v>
      </c>
      <c r="U12" s="5" t="s">
        <v>35</v>
      </c>
      <c r="V12" s="5" t="s">
        <v>36</v>
      </c>
      <c r="W12" s="5" t="s">
        <v>37</v>
      </c>
      <c r="X12" s="5" t="s">
        <v>38</v>
      </c>
      <c r="Y12" s="12"/>
      <c r="Z12" s="12"/>
      <c r="AA12" s="12"/>
      <c r="AB12" s="12"/>
      <c r="AC12" s="12"/>
    </row>
    <row r="13" spans="1:29" ht="26.25" customHeight="1" x14ac:dyDescent="0.25">
      <c r="A13" s="13">
        <v>1</v>
      </c>
      <c r="B13" s="14" t="s">
        <v>39</v>
      </c>
      <c r="C13" s="15" t="str">
        <f ca="1">IFERROR(__xludf.DUMMYFUNCTION("SPARKLINE(index(GOOGLEFINANCE(B13,""price"",WORKDAY(TODAY(),-$C$12),today()),,2),{""charttype"",""column"";""color"",""green""})"),"")</f>
        <v/>
      </c>
      <c r="D13" s="16">
        <f ca="1">IFERROR(__xludf.DUMMYFUNCTION("GOOGLEFINANCE(B13,""PRICEOPEN"")"),177.44)</f>
        <v>177.44</v>
      </c>
      <c r="E13" s="16">
        <f ca="1">IFERROR(__xludf.DUMMYFUNCTION("GOOGLEFINANCE(B13,""HIGH"")"),178.95)</f>
        <v>178.95</v>
      </c>
      <c r="F13" s="16">
        <f ca="1">IFERROR(__xludf.DUMMYFUNCTION("GOOGLEFINANCE(B13,""LOW"")"),175.1)</f>
        <v>175.1</v>
      </c>
      <c r="G13" s="16">
        <f ca="1">IFERROR(__xludf.DUMMYFUNCTION("GOOGLEFINANCE(B13,""closeyest"")"),179.94)</f>
        <v>179.94</v>
      </c>
      <c r="H13" s="16">
        <f ca="1">IFERROR(__xludf.DUMMYFUNCTION("GOOGLEFINANCE(B13,""PRICE"")"),177.8)</f>
        <v>177.8</v>
      </c>
      <c r="I13" s="17">
        <f ca="1">IFERROR(__xludf.DUMMYFUNCTION("GOOGLEFINANCE(B13,""CHANGE"")"),-2.14)</f>
        <v>-2.14</v>
      </c>
      <c r="J13" s="18">
        <f ca="1">IFERROR(__xludf.DUMMYFUNCTION("GOOGLEFINANCE(B13,""CHANGEPCT"")/100"),-0.0118999999999999)</f>
        <v>-1.18999999999999E-2</v>
      </c>
      <c r="K13" s="19">
        <f ca="1">IFERROR(__xludf.DUMMYFUNCTION("GOOGLEFINANCE(B13,""volume"")"),47597307)</f>
        <v>47597307</v>
      </c>
      <c r="L13" s="16">
        <f ca="1">IFERROR(__xludf.DUMMYFUNCTION("GOOGLEFINANCE(B13,""high52"")"),184.6)</f>
        <v>184.6</v>
      </c>
      <c r="M13" s="16">
        <f ca="1">IFERROR(__xludf.DUMMYFUNCTION("GOOGLEFINANCE(B13,""low52"")"),108.1)</f>
        <v>108.1</v>
      </c>
      <c r="N13" s="20">
        <f ca="1">IFERROR(__xludf.DUMMYFUNCTION("GOOGLEFINANCE(B13,""marketcap"")"),2221931785768)</f>
        <v>2221931785768</v>
      </c>
      <c r="O13" s="21">
        <f ca="1">IFERROR(__xludf.DUMMYFUNCTION("GOOGLEFINANCE(B13,""eps"")"),-3.62)</f>
        <v>-3.62</v>
      </c>
      <c r="P13" s="21" t="str">
        <f ca="1">IFERROR(__xludf.DUMMYFUNCTION("GOOGLEFINANCE(B13,""pe"")"),"#N/A")</f>
        <v>#N/A</v>
      </c>
      <c r="Q13" s="18">
        <f ca="1">IFERROR(__xludf.DUMMYFUNCTION("$H13/(index(GOOGLEFINANCE($B13,""price"",WORKDAY(TODAY(),-Q$12)),2,2))-1"),-0.0183303886925794)</f>
        <v>-1.83303886925794E-2</v>
      </c>
      <c r="R13" s="18">
        <f ca="1">IFERROR(__xludf.DUMMYFUNCTION("$H13/(index(GOOGLEFINANCE($B13,""price"",WORKDAY(TODAY(),-R$12)),2,2))-1"),0.435607589826403)</f>
        <v>0.43560758982640302</v>
      </c>
      <c r="S13" s="18">
        <f ca="1">IFERROR(__xludf.DUMMYFUNCTION("$H13/(index(GOOGLEFINANCE($B13,""price"",WORKDAY(TODAY(),-S$12)),2,2))-1"),0.497263157894736)</f>
        <v>0.49726315789473602</v>
      </c>
      <c r="T13" s="22">
        <f t="shared" ref="T13:T22" ca="1" si="0">AVERAGE(R13:S13)</f>
        <v>0.46643537386056955</v>
      </c>
      <c r="U13" s="23" t="e">
        <f t="array" aca="1" ref="U13" ca="1">_xludf.IFS(
    (T13:T22 &lt;= -0.0009%) * (T13:T22 &gt;= -10%), "HOLD",
    (T13:T22 &lt;= -10.001%) * (T13:T22 &gt;= -20%), "DONT BUY",
    (T13:T22 &lt;= -20.001%) * (T13:T22 &gt;= -100%), "NOT RECOMMENDED",
    (T13:T22 &gt;= 0%) * (T13:T22 &lt;= 10%), "STABLE",
    (T13:T22 &gt; 10%) * (T13:T22 &lt;= 30%), "BUY",
    (T13:T22 &gt; 30%) * (T13:T22 &lt;= 100%), "HIGHLY RECOMMENDED",
    (T13:T22 &gt; 100%) * (T13:T22 &lt;= 1000%), "MULTIBAGGER"
  )</f>
        <v>#NAME?</v>
      </c>
      <c r="V13" s="13" t="e">
        <f t="shared" ref="V13:V22" ca="1" si="1">_xludf.IFS(
  U13 = "HOLD", "0% to 2.0%",
  U13 = "DONT BUY", "-3.0% to -5.0%",
  U13 = "NOT RECOMMENDED", "-15.0% to -18.0%",
  U13 = "STABLE", "3.0% to 4.0%",
  U13 = "BUY", "5.0% to 7.0%",
  U13 = "HIGHLY RECOMMENDED", "8.0% to 10.0%",
  U13 = "MULTIBAGGER", "20.0% to 25.0%"
)</f>
        <v>#NAME?</v>
      </c>
      <c r="W13" s="13" t="e">
        <f t="shared" ref="W13:W22" ca="1" si="2">_xludf.IFS(
  U13 = "HOLD", "5.0% to 6.5%",
  U13 = "DONT BUY", "-10.0% to -12.5%",
  U13 = "NOT RECOMMENDED", "-22.0% to -29.0%",
  U13 = "STABLE", "7.5% to 9.0%",
  U13 = "BUY", "12.0% to 14.50%",
  U13 = "HIGHLY RECOMMENDED", "19.0% to 23.5%",
  U13 = "MULTIBAGGER", "42.6% to 61.25%"
)</f>
        <v>#NAME?</v>
      </c>
      <c r="X13" s="13" t="e">
        <f t="shared" ref="X13:X22" ca="1" si="3">_xludf.IFS(
  U13 = "HOLD", "9.5% to 11.0%",
  U13 = "DONT BUY", "-14.0% to -17.25%",
  U13 = "NOT RECOMMENDED", "-37.0% to -43.5%",
  U13 = "STABLE", "14.0% to 17.0%",
  U13 = "BUY", "19.35% to 22.0%",
  U13 = "HIGHLY RECOMMENDED", "33.0% to 52.0%",
  U13 = "MULTIBAGGER", "78.5% to 125.0%"
)</f>
        <v>#NAME?</v>
      </c>
      <c r="Y13" s="24"/>
      <c r="Z13" s="24"/>
      <c r="AA13" s="24"/>
      <c r="AB13" s="24"/>
      <c r="AC13" s="24"/>
    </row>
    <row r="14" spans="1:29" ht="26.25" customHeight="1" x14ac:dyDescent="0.25">
      <c r="A14" s="13">
        <v>2</v>
      </c>
      <c r="B14" s="14" t="s">
        <v>40</v>
      </c>
      <c r="C14" s="15" t="str">
        <f ca="1">IFERROR(__xludf.DUMMYFUNCTION("SPARKLINE(index(GOOGLEFINANCE(B14,""price"",WORKDAY(TODAY(),-$C$12),today()),,2),{""charttype"",""column"";""color"",""green""})"),"")</f>
        <v/>
      </c>
      <c r="D14" s="16">
        <f ca="1">IFERROR(__xludf.DUMMYFUNCTION("GOOGLEFINANCE(B14,""PRICEOPEN"")"),121.25)</f>
        <v>121.25</v>
      </c>
      <c r="E14" s="16">
        <f ca="1">IFERROR(__xludf.DUMMYFUNCTION("GOOGLEFINANCE(B14,""HIGH"")"),121.25)</f>
        <v>121.25</v>
      </c>
      <c r="F14" s="16">
        <f ca="1">IFERROR(__xludf.DUMMYFUNCTION("GOOGLEFINANCE(B14,""LOW"")"),117.59)</f>
        <v>117.59</v>
      </c>
      <c r="G14" s="16">
        <f ca="1">IFERROR(__xludf.DUMMYFUNCTION("GOOGLEFINANCE(B14,""closeyest"")"),120.66)</f>
        <v>120.66</v>
      </c>
      <c r="H14" s="16">
        <f ca="1">IFERROR(__xludf.DUMMYFUNCTION("GOOGLEFINANCE(B14,""PRICE"")"),118.5)</f>
        <v>118.5</v>
      </c>
      <c r="I14" s="17">
        <f ca="1">IFERROR(__xludf.DUMMYFUNCTION("GOOGLEFINANCE(B14,""CHANGE"")"),-2.16)</f>
        <v>-2.16</v>
      </c>
      <c r="J14" s="18">
        <f ca="1">IFERROR(__xludf.DUMMYFUNCTION("GOOGLEFINANCE(B14,""CHANGEPCT"")/100"),-0.0179)</f>
        <v>-1.7899999999999999E-2</v>
      </c>
      <c r="K14" s="19">
        <f ca="1">IFERROR(__xludf.DUMMYFUNCTION("GOOGLEFINANCE(B14,""volume"")"),4447378)</f>
        <v>4447378</v>
      </c>
      <c r="L14" s="16">
        <f ca="1">IFERROR(__xludf.DUMMYFUNCTION("GOOGLEFINANCE(B14,""high52"")"),152.5)</f>
        <v>152.5</v>
      </c>
      <c r="M14" s="16">
        <f ca="1">IFERROR(__xludf.DUMMYFUNCTION("GOOGLEFINANCE(B14,""low52"")"),55)</f>
        <v>55</v>
      </c>
      <c r="N14" s="25">
        <f ca="1">IFERROR(__xludf.DUMMYFUNCTION("GOOGLEFINANCE(B14,""marketcap"")"),130279572500)</f>
        <v>130279572500</v>
      </c>
      <c r="O14" s="21">
        <f ca="1">IFERROR(__xludf.DUMMYFUNCTION("GOOGLEFINANCE(B14,""eps"")"),16.84)</f>
        <v>16.84</v>
      </c>
      <c r="P14" s="21">
        <f ca="1">IFERROR(__xludf.DUMMYFUNCTION("GOOGLEFINANCE(B14,""pe"")"),7.04)</f>
        <v>7.04</v>
      </c>
      <c r="Q14" s="18">
        <f ca="1">IFERROR(__xludf.DUMMYFUNCTION("$H14/(index(GOOGLEFINANCE($B14,""price"",WORKDAY(TODAY(),-Q$12)),2,2))-1"),-0.0211465389063274)</f>
        <v>-2.1146538906327401E-2</v>
      </c>
      <c r="R14" s="18">
        <f ca="1">IFERROR(__xludf.DUMMYFUNCTION("$H14/(index(GOOGLEFINANCE($B14,""price"",WORKDAY(TODAY(),-R$12)),2,2))-1"),0.0772727272727273)</f>
        <v>7.7272727272727298E-2</v>
      </c>
      <c r="S14" s="18">
        <f ca="1">IFERROR(__xludf.DUMMYFUNCTION("$H14/(index(GOOGLEFINANCE($B14,""price"",WORKDAY(TODAY(),-S$12)),2,2))-1"),1.20670391061452)</f>
        <v>1.2067039106145201</v>
      </c>
      <c r="T14" s="22">
        <f t="shared" ca="1" si="0"/>
        <v>0.64198831894362374</v>
      </c>
      <c r="U14" s="23" t="e">
        <f t="array" aca="1" ref="U14" ca="1">_xludf.IFS(
    (T14:T23 &lt;= -0.0009%) * (T14:T23 &gt;= -10%), "HOLD",
    (T14:T23 &lt;= -10.001%) * (T14:T23 &gt;= -20%), "DONT BUY",
    (T14:T23 &lt;= -20.001%) * (T14:T23 &gt;= -100%), "NOT RECOMMENDED",
    (T14:T23 &gt;= 0%) * (T14:T23 &lt;= 10%), "STABLE",
    (T14:T23 &gt; 10%) * (T14:T23 &lt;= 30%), "BUY",
    (T14:T23 &gt; 30%) * (T14:T23 &lt;= 100%), "HIGHLY RECOMMENDED",
    (T14:T23 &gt; 100%) * (T14:T23 &lt;= 1000%), "MULTIBAGGER"
  )</f>
        <v>#NAME?</v>
      </c>
      <c r="V14" s="13" t="e">
        <f t="shared" ca="1" si="1"/>
        <v>#NAME?</v>
      </c>
      <c r="W14" s="13" t="e">
        <f t="shared" ca="1" si="2"/>
        <v>#NAME?</v>
      </c>
      <c r="X14" s="13" t="e">
        <f t="shared" ca="1" si="3"/>
        <v>#NAME?</v>
      </c>
      <c r="Y14" s="24"/>
      <c r="Z14" s="24"/>
      <c r="AA14" s="24"/>
      <c r="AB14" s="24"/>
      <c r="AC14" s="24"/>
    </row>
    <row r="15" spans="1:29" ht="26.25" customHeight="1" x14ac:dyDescent="0.25">
      <c r="A15" s="13">
        <v>3</v>
      </c>
      <c r="B15" s="14" t="s">
        <v>41</v>
      </c>
      <c r="C15" s="15" t="str">
        <f ca="1">IFERROR(__xludf.DUMMYFUNCTION("SPARKLINE(index(GOOGLEFINANCE(B15,""price"",WORKDAY(TODAY(),-$C$12),today()),,2),{""charttype"",""column"";""color"",""green""})"),"")</f>
        <v/>
      </c>
      <c r="D15" s="16">
        <f ca="1">IFERROR(__xludf.DUMMYFUNCTION("GOOGLEFINANCE(B15,""PRICEOPEN"")"),55.45)</f>
        <v>55.45</v>
      </c>
      <c r="E15" s="16">
        <f ca="1">IFERROR(__xludf.DUMMYFUNCTION("GOOGLEFINANCE(B15,""HIGH"")"),55.7)</f>
        <v>55.7</v>
      </c>
      <c r="F15" s="16">
        <f ca="1">IFERROR(__xludf.DUMMYFUNCTION("GOOGLEFINANCE(B15,""LOW"")"),54.15)</f>
        <v>54.15</v>
      </c>
      <c r="G15" s="16">
        <f ca="1">IFERROR(__xludf.DUMMYFUNCTION("GOOGLEFINANCE(B15,""closeyest"")"),53.05)</f>
        <v>53.05</v>
      </c>
      <c r="H15" s="16">
        <f ca="1">IFERROR(__xludf.DUMMYFUNCTION("GOOGLEFINANCE(B15,""PRICE"")"),54.86)</f>
        <v>54.86</v>
      </c>
      <c r="I15" s="17">
        <f ca="1">IFERROR(__xludf.DUMMYFUNCTION("GOOGLEFINANCE(B15,""CHANGE"")"),1.81)</f>
        <v>1.81</v>
      </c>
      <c r="J15" s="18">
        <f ca="1">IFERROR(__xludf.DUMMYFUNCTION("GOOGLEFINANCE(B15,""CHANGEPCT"")/100"),0.0341)</f>
        <v>3.4099999999999998E-2</v>
      </c>
      <c r="K15" s="19">
        <f ca="1">IFERROR(__xludf.DUMMYFUNCTION("GOOGLEFINANCE(B15,""volume"")"),149419809)</f>
        <v>149419809</v>
      </c>
      <c r="L15" s="16">
        <f ca="1">IFERROR(__xludf.DUMMYFUNCTION("GOOGLEFINANCE(B15,""high52"")"),55.7)</f>
        <v>55.7</v>
      </c>
      <c r="M15" s="16">
        <f ca="1">IFERROR(__xludf.DUMMYFUNCTION("GOOGLEFINANCE(B15,""low52"")"),13.25)</f>
        <v>13.25</v>
      </c>
      <c r="N15" s="25">
        <f ca="1">IFERROR(__xludf.DUMMYFUNCTION("GOOGLEFINANCE(B15,""marketcap"")"),746087369814)</f>
        <v>746087369814</v>
      </c>
      <c r="O15" s="21">
        <f ca="1">IFERROR(__xludf.DUMMYFUNCTION("GOOGLEFINANCE(B15,""eps"")"),0.5)</f>
        <v>0.5</v>
      </c>
      <c r="P15" s="21">
        <f ca="1">IFERROR(__xludf.DUMMYFUNCTION("GOOGLEFINANCE(B15,""pe"")"),109.72)</f>
        <v>109.72</v>
      </c>
      <c r="Q15" s="18">
        <f ca="1">IFERROR(__xludf.DUMMYFUNCTION("$H15/(index(GOOGLEFINANCE($B15,""price"",WORKDAY(TODAY(),-Q$12)),2,2))-1"),0.098078462770216)</f>
        <v>9.8078462770215993E-2</v>
      </c>
      <c r="R15" s="18">
        <f ca="1">IFERROR(__xludf.DUMMYFUNCTION("$H15/(index(GOOGLEFINANCE($B15,""price"",WORKDAY(TODAY(),-R$12)),2,2))-1"),0.984086799276672)</f>
        <v>0.98408679927667198</v>
      </c>
      <c r="S15" s="18">
        <f ca="1">IFERROR(__xludf.DUMMYFUNCTION("$H15/(index(GOOGLEFINANCE($B15,""price"",WORKDAY(TODAY(),-S$12)),2,2))-1"),5.12960893854748)</f>
        <v>5.1296089385474799</v>
      </c>
      <c r="T15" s="22">
        <f t="shared" ca="1" si="0"/>
        <v>3.0568478689120759</v>
      </c>
      <c r="U15" s="23" t="e">
        <f t="array" aca="1" ref="U15" ca="1">_xludf.IFS(
    (T15:T24 &lt;= -0.0009%) * (T15:T24 &gt;= -10%), "HOLD",
    (T15:T24 &lt;= -10.001%) * (T15:T24 &gt;= -20%), "DONT BUY",
    (T15:T24 &lt;= -20.001%) * (T15:T24 &gt;= -100%), "NOT RECOMMENDED",
    (T15:T24 &gt;= 0%) * (T15:T24 &lt;= 10%), "STABLE",
    (T15:T24 &gt; 10%) * (T15:T24 &lt;= 30%), "BUY",
    (T15:T24 &gt; 30%) * (T15:T24 &lt;= 100%), "HIGHLY RECOMMENDED",
    (T15:T24 &gt; 100%) * (T15:T24 &lt;= 1000%), "MULTIBAGGER"
  )</f>
        <v>#NAME?</v>
      </c>
      <c r="V15" s="13" t="e">
        <f t="shared" ca="1" si="1"/>
        <v>#NAME?</v>
      </c>
      <c r="W15" s="13" t="e">
        <f t="shared" ca="1" si="2"/>
        <v>#NAME?</v>
      </c>
      <c r="X15" s="13" t="e">
        <f t="shared" ca="1" si="3"/>
        <v>#NAME?</v>
      </c>
      <c r="Y15" s="24"/>
      <c r="Z15" s="24"/>
      <c r="AA15" s="24"/>
      <c r="AB15" s="24"/>
      <c r="AC15" s="24"/>
    </row>
    <row r="16" spans="1:29" ht="26.25" customHeight="1" x14ac:dyDescent="0.25">
      <c r="A16" s="13">
        <v>4</v>
      </c>
      <c r="B16" s="14" t="s">
        <v>42</v>
      </c>
      <c r="C16" s="15" t="str">
        <f ca="1">IFERROR(__xludf.DUMMYFUNCTION("SPARKLINE(index(GOOGLEFINANCE(B16,""price"",WORKDAY(TODAY(),-$C$12),today()),,2),{""charttype"",""column"";""color"",""green""})"),"")</f>
        <v/>
      </c>
      <c r="D16" s="16">
        <f ca="1">IFERROR(__xludf.DUMMYFUNCTION("GOOGLEFINANCE(B16,""PRICEOPEN"")"),490.1)</f>
        <v>490.1</v>
      </c>
      <c r="E16" s="16">
        <f ca="1">IFERROR(__xludf.DUMMYFUNCTION("GOOGLEFINANCE(B16,""HIGH"")"),494.9)</f>
        <v>494.9</v>
      </c>
      <c r="F16" s="16">
        <f ca="1">IFERROR(__xludf.DUMMYFUNCTION("GOOGLEFINANCE(B16,""LOW"")"),489.45)</f>
        <v>489.45</v>
      </c>
      <c r="G16" s="16">
        <f ca="1">IFERROR(__xludf.DUMMYFUNCTION("GOOGLEFINANCE(B16,""closeyest"")"),490.55)</f>
        <v>490.55</v>
      </c>
      <c r="H16" s="16">
        <f ca="1">IFERROR(__xludf.DUMMYFUNCTION("GOOGLEFINANCE(B16,""PRICE"")"),490.8)</f>
        <v>490.8</v>
      </c>
      <c r="I16" s="17">
        <f ca="1">IFERROR(__xludf.DUMMYFUNCTION("GOOGLEFINANCE(B16,""CHANGE"")"),0.25)</f>
        <v>0.25</v>
      </c>
      <c r="J16" s="18">
        <f ca="1">IFERROR(__xludf.DUMMYFUNCTION("GOOGLEFINANCE(B16,""CHANGEPCT"")/100"),0.0005)</f>
        <v>5.0000000000000001E-4</v>
      </c>
      <c r="K16" s="19">
        <f ca="1">IFERROR(__xludf.DUMMYFUNCTION("GOOGLEFINANCE(B16,""volume"")"),4967259)</f>
        <v>4967259</v>
      </c>
      <c r="L16" s="16">
        <f ca="1">IFERROR(__xludf.DUMMYFUNCTION("GOOGLEFINANCE(B16,""high52"")"),545.9)</f>
        <v>545.9</v>
      </c>
      <c r="M16" s="16">
        <f ca="1">IFERROR(__xludf.DUMMYFUNCTION("GOOGLEFINANCE(B16,""low52"")"),375.05)</f>
        <v>375.05</v>
      </c>
      <c r="N16" s="25">
        <f ca="1">IFERROR(__xludf.DUMMYFUNCTION("GOOGLEFINANCE(B16,""marketcap"")"),2562104487919)</f>
        <v>2562104487919</v>
      </c>
      <c r="O16" s="21">
        <f ca="1">IFERROR(__xludf.DUMMYFUNCTION("GOOGLEFINANCE(B16,""eps"")"),20.82)</f>
        <v>20.82</v>
      </c>
      <c r="P16" s="21">
        <f ca="1">IFERROR(__xludf.DUMMYFUNCTION("GOOGLEFINANCE(B16,""pe"")"),23.58)</f>
        <v>23.58</v>
      </c>
      <c r="Q16" s="18">
        <f ca="1">IFERROR(__xludf.DUMMYFUNCTION("$H16/(index(GOOGLEFINANCE($B16,""price"",WORKDAY(TODAY(),-Q$12)),2,2))-1"),-0.00213479719426656)</f>
        <v>-2.1347971942665602E-3</v>
      </c>
      <c r="R16" s="18">
        <f ca="1">IFERROR(__xludf.DUMMYFUNCTION("$H16/(index(GOOGLEFINANCE($B16,""price"",WORKDAY(TODAY(),-R$12)),2,2))-1"),0.210059171597633)</f>
        <v>0.21005917159763299</v>
      </c>
      <c r="S16" s="18">
        <f ca="1">IFERROR(__xludf.DUMMYFUNCTION("$H16/(index(GOOGLEFINANCE($B16,""price"",WORKDAY(TODAY(),-S$12)),2,2))-1"),0.22013673088875)</f>
        <v>0.22013673088874999</v>
      </c>
      <c r="T16" s="22">
        <f t="shared" ca="1" si="0"/>
        <v>0.21509795124319148</v>
      </c>
      <c r="U16" s="23" t="e">
        <f t="array" aca="1" ref="U16" ca="1">_xludf.IFS(
    (T16:T25 &lt;= -0.0009%) * (T16:T25 &gt;= -10%), "HOLD",
    (T16:T25 &lt;= -10.001%) * (T16:T25 &gt;= -20%), "DONT BUY",
    (T16:T25 &lt;= -20.001%) * (T16:T25 &gt;= -100%), "NOT RECOMMENDED",
    (T16:T25 &gt;= 0%) * (T16:T25 &lt;= 10%), "STABLE",
    (T16:T25 &gt; 10%) * (T16:T25 &lt;= 30%), "BUY",
    (T16:T25 &gt; 30%) * (T16:T25 &lt;= 100%), "HIGHLY RECOMMENDED",
    (T16:T25 &gt; 100%) * (T16:T25 &lt;= 1000%), "MULTIBAGGER"
  )</f>
        <v>#NAME?</v>
      </c>
      <c r="V16" s="13" t="e">
        <f t="shared" ca="1" si="1"/>
        <v>#NAME?</v>
      </c>
      <c r="W16" s="13" t="e">
        <f t="shared" ca="1" si="2"/>
        <v>#NAME?</v>
      </c>
      <c r="X16" s="13" t="e">
        <f t="shared" ca="1" si="3"/>
        <v>#NAME?</v>
      </c>
      <c r="Y16" s="24"/>
      <c r="Z16" s="24"/>
      <c r="AA16" s="24"/>
      <c r="AB16" s="24"/>
      <c r="AC16" s="24"/>
    </row>
    <row r="17" spans="1:29" ht="26.25" customHeight="1" x14ac:dyDescent="0.25">
      <c r="A17" s="13">
        <v>5</v>
      </c>
      <c r="B17" s="14" t="s">
        <v>43</v>
      </c>
      <c r="C17" s="15" t="str">
        <f ca="1">IFERROR(__xludf.DUMMYFUNCTION("SPARKLINE(index(GOOGLEFINANCE(B17,""price"",WORKDAY(TODAY(),-$C$12),today()),,2),{""charttype"",""column"";""color"",""green""})"),"")</f>
        <v/>
      </c>
      <c r="D17" s="16">
        <f ca="1">IFERROR(__xludf.DUMMYFUNCTION("GOOGLEFINANCE(B17,""PRICEOPEN"")"),1585.2)</f>
        <v>1585.2</v>
      </c>
      <c r="E17" s="16">
        <f ca="1">IFERROR(__xludf.DUMMYFUNCTION("GOOGLEFINANCE(B17,""HIGH"")"),1589.7)</f>
        <v>1589.7</v>
      </c>
      <c r="F17" s="16">
        <f ca="1">IFERROR(__xludf.DUMMYFUNCTION("GOOGLEFINANCE(B17,""LOW"")"),1540)</f>
        <v>1540</v>
      </c>
      <c r="G17" s="16">
        <f ca="1">IFERROR(__xludf.DUMMYFUNCTION("GOOGLEFINANCE(B17,""closeyest"")"),1594.8)</f>
        <v>1594.8</v>
      </c>
      <c r="H17" s="16">
        <f ca="1">IFERROR(__xludf.DUMMYFUNCTION("GOOGLEFINANCE(B17,""PRICE"")"),1541.75)</f>
        <v>1541.75</v>
      </c>
      <c r="I17" s="17">
        <f ca="1">IFERROR(__xludf.DUMMYFUNCTION("GOOGLEFINANCE(B17,""CHANGE"")"),-53.05)</f>
        <v>-53.05</v>
      </c>
      <c r="J17" s="18">
        <f ca="1">IFERROR(__xludf.DUMMYFUNCTION("GOOGLEFINANCE(B17,""CHANGEPCT"")/100"),-0.0333)</f>
        <v>-3.3300000000000003E-2</v>
      </c>
      <c r="K17" s="19">
        <f ca="1">IFERROR(__xludf.DUMMYFUNCTION("GOOGLEFINANCE(B17,""volume"")"),1602379)</f>
        <v>1602379</v>
      </c>
      <c r="L17" s="16">
        <f ca="1">IFERROR(__xludf.DUMMYFUNCTION("GOOGLEFINANCE(B17,""high52"")"),1649.95)</f>
        <v>1649.95</v>
      </c>
      <c r="M17" s="16">
        <f ca="1">IFERROR(__xludf.DUMMYFUNCTION("GOOGLEFINANCE(B17,""low52"")"),630.55)</f>
        <v>630.54999999999995</v>
      </c>
      <c r="N17" s="25">
        <f ca="1">IFERROR(__xludf.DUMMYFUNCTION("GOOGLEFINANCE(B17,""marketcap"")"),1533742458850)</f>
        <v>1533742458850</v>
      </c>
      <c r="O17" s="21">
        <f ca="1">IFERROR(__xludf.DUMMYFUNCTION("GOOGLEFINANCE(B17,""eps"")"),15.99)</f>
        <v>15.99</v>
      </c>
      <c r="P17" s="21">
        <f ca="1">IFERROR(__xludf.DUMMYFUNCTION("GOOGLEFINANCE(B17,""pe"")"),96.42)</f>
        <v>96.42</v>
      </c>
      <c r="Q17" s="18">
        <f ca="1">IFERROR(__xludf.DUMMYFUNCTION("$H17/(index(GOOGLEFINANCE($B17,""price"",WORKDAY(TODAY(),-Q$12)),2,2))-1"),-0.0316857178746389)</f>
        <v>-3.1685717874638898E-2</v>
      </c>
      <c r="R17" s="18">
        <f ca="1">IFERROR(__xludf.DUMMYFUNCTION("$H17/(index(GOOGLEFINANCE($B17,""price"",WORKDAY(TODAY(),-R$12)),2,2))-1"),0.983723623262995)</f>
        <v>0.98372362326299501</v>
      </c>
      <c r="S17" s="18">
        <f ca="1">IFERROR(__xludf.DUMMYFUNCTION("$H17/(index(GOOGLEFINANCE($B17,""price"",WORKDAY(TODAY(),-S$12)),2,2))-1"),1.99805542051531)</f>
        <v>1.99805542051531</v>
      </c>
      <c r="T17" s="22">
        <f t="shared" ca="1" si="0"/>
        <v>1.4908895218891525</v>
      </c>
      <c r="U17" s="23" t="e">
        <f t="array" aca="1" ref="U17" ca="1">_xludf.IFS(
    (T17:T26 &lt;= -0.0009%) * (T17:T26 &gt;= -10%), "HOLD",
    (T17:T26 &lt;= -10.001%) * (T17:T26 &gt;= -20%), "DONT BUY",
    (T17:T26 &lt;= -20.001%) * (T17:T26 &gt;= -100%), "NOT RECOMMENDED",
    (T17:T26 &gt;= 0%) * (T17:T26 &lt;= 10%), "STABLE",
    (T17:T26 &gt; 10%) * (T17:T26 &lt;= 30%), "BUY",
    (T17:T26 &gt; 30%) * (T17:T26 &lt;= 100%), "HIGHLY RECOMMENDED",
    (T17:T26 &gt; 100%) * (T17:T26 &lt;= 1000%), "MULTIBAGGER"
  )</f>
        <v>#NAME?</v>
      </c>
      <c r="V17" s="13" t="e">
        <f t="shared" ca="1" si="1"/>
        <v>#NAME?</v>
      </c>
      <c r="W17" s="13" t="e">
        <f t="shared" ca="1" si="2"/>
        <v>#NAME?</v>
      </c>
      <c r="X17" s="13" t="e">
        <f t="shared" ca="1" si="3"/>
        <v>#NAME?</v>
      </c>
      <c r="Y17" s="24"/>
      <c r="Z17" s="24"/>
      <c r="AA17" s="24"/>
      <c r="AB17" s="24"/>
      <c r="AC17" s="24"/>
    </row>
    <row r="18" spans="1:29" ht="26.25" customHeight="1" x14ac:dyDescent="0.25">
      <c r="A18" s="13">
        <v>6</v>
      </c>
      <c r="B18" s="14" t="s">
        <v>44</v>
      </c>
      <c r="C18" s="15" t="str">
        <f ca="1">IFERROR(__xludf.DUMMYFUNCTION("SPARKLINE(index(GOOGLEFINANCE(B18,""price"",WORKDAY(TODAY(),-$C$12),today()),,2),{""charttype"",""column"";""color"",""green""})"),"")</f>
        <v/>
      </c>
      <c r="D18" s="16">
        <f ca="1">IFERROR(__xludf.DUMMYFUNCTION("GOOGLEFINANCE(B18,""PRICEOPEN"")"),125.7)</f>
        <v>125.7</v>
      </c>
      <c r="E18" s="16">
        <f ca="1">IFERROR(__xludf.DUMMYFUNCTION("GOOGLEFINANCE(B18,""HIGH"")"),126.68)</f>
        <v>126.68</v>
      </c>
      <c r="F18" s="16">
        <f ca="1">IFERROR(__xludf.DUMMYFUNCTION("GOOGLEFINANCE(B18,""LOW"")"),122.9)</f>
        <v>122.9</v>
      </c>
      <c r="G18" s="16">
        <f ca="1">IFERROR(__xludf.DUMMYFUNCTION("GOOGLEFINANCE(B18,""closeyest"")"),125.8)</f>
        <v>125.8</v>
      </c>
      <c r="H18" s="16">
        <f ca="1">IFERROR(__xludf.DUMMYFUNCTION("GOOGLEFINANCE(B18,""PRICE"")"),124.88)</f>
        <v>124.88</v>
      </c>
      <c r="I18" s="17">
        <f ca="1">IFERROR(__xludf.DUMMYFUNCTION("GOOGLEFINANCE(B18,""CHANGE"")"),-0.92)</f>
        <v>-0.92</v>
      </c>
      <c r="J18" s="18">
        <f ca="1">IFERROR(__xludf.DUMMYFUNCTION("GOOGLEFINANCE(B18,""CHANGEPCT"")/100"),-0.0073)</f>
        <v>-7.3000000000000001E-3</v>
      </c>
      <c r="K18" s="19">
        <f ca="1">IFERROR(__xludf.DUMMYFUNCTION("GOOGLEFINANCE(B18,""volume"")"),29824639)</f>
        <v>29824639</v>
      </c>
      <c r="L18" s="16">
        <f ca="1">IFERROR(__xludf.DUMMYFUNCTION("GOOGLEFINANCE(B18,""high52"")"),142.9)</f>
        <v>142.9</v>
      </c>
      <c r="M18" s="16">
        <f ca="1">IFERROR(__xludf.DUMMYFUNCTION("GOOGLEFINANCE(B18,""low52"")"),49.7)</f>
        <v>49.7</v>
      </c>
      <c r="N18" s="25">
        <f ca="1">IFERROR(__xludf.DUMMYFUNCTION("GOOGLEFINANCE(B18,""marketcap"")"),1377474553116)</f>
        <v>1377474553116</v>
      </c>
      <c r="O18" s="21">
        <f ca="1">IFERROR(__xludf.DUMMYFUNCTION("GOOGLEFINANCE(B18,""eps"")"),8.27)</f>
        <v>8.27</v>
      </c>
      <c r="P18" s="21">
        <f ca="1">IFERROR(__xludf.DUMMYFUNCTION("GOOGLEFINANCE(B18,""pe"")"),15.1)</f>
        <v>15.1</v>
      </c>
      <c r="Q18" s="18">
        <f ca="1">IFERROR(__xludf.DUMMYFUNCTION("$H18/(index(GOOGLEFINANCE($B18,""price"",WORKDAY(TODAY(),-Q$12)),2,2))-1"),-0.0291533856798569)</f>
        <v>-2.91533856798569E-2</v>
      </c>
      <c r="R18" s="18">
        <f ca="1">IFERROR(__xludf.DUMMYFUNCTION("$H18/(index(GOOGLEFINANCE($B18,""price"",WORKDAY(TODAY(),-R$12)),2,2))-1"),0.702522154055896)</f>
        <v>0.70252215405589602</v>
      </c>
      <c r="S18" s="18">
        <f ca="1">IFERROR(__xludf.DUMMYFUNCTION("$H18/(index(GOOGLEFINANCE($B18,""price"",WORKDAY(TODAY(),-S$12)),2,2))-1"),1.46311637080867)</f>
        <v>1.4631163708086701</v>
      </c>
      <c r="T18" s="22">
        <f t="shared" ca="1" si="0"/>
        <v>1.082819262432283</v>
      </c>
      <c r="U18" s="23" t="e">
        <f t="array" aca="1" ref="U18" ca="1">_xludf.IFS(
    (T18:T27 &lt;= -0.0009%) * (T18:T27 &gt;= -10%), "HOLD",
    (T18:T27 &lt;= -10.001%) * (T18:T27 &gt;= -20%), "DONT BUY",
    (T18:T27 &lt;= -20.001%) * (T18:T27 &gt;= -100%), "NOT RECOMMENDED",
    (T18:T27 &gt;= 0%) * (T18:T27 &lt;= 10%), "STABLE",
    (T18:T27 &gt; 10%) * (T18:T27 &lt;= 30%), "BUY",
    (T18:T27 &gt; 30%) * (T18:T27 &lt;= 100%), "HIGHLY RECOMMENDED",
    (T18:T27 &gt; 100%) * (T18:T27 &lt;= 1000%), "MULTIBAGGER"
  )</f>
        <v>#NAME?</v>
      </c>
      <c r="V18" s="13" t="e">
        <f t="shared" ca="1" si="1"/>
        <v>#NAME?</v>
      </c>
      <c r="W18" s="13" t="e">
        <f t="shared" ca="1" si="2"/>
        <v>#NAME?</v>
      </c>
      <c r="X18" s="13" t="e">
        <f t="shared" ca="1" si="3"/>
        <v>#NAME?</v>
      </c>
      <c r="Y18" s="24"/>
      <c r="Z18" s="24"/>
      <c r="AA18" s="24"/>
      <c r="AB18" s="24"/>
      <c r="AC18" s="24"/>
    </row>
    <row r="19" spans="1:29" ht="26.25" customHeight="1" x14ac:dyDescent="0.25">
      <c r="A19" s="13">
        <v>7</v>
      </c>
      <c r="B19" s="14" t="s">
        <v>45</v>
      </c>
      <c r="C19" s="15" t="str">
        <f ca="1">IFERROR(__xludf.DUMMYFUNCTION("SPARKLINE(index(GOOGLEFINANCE(B19,""price"",WORKDAY(TODAY(),-$C$12),today()),,2),{""charttype"",""column"";""color"",""green""})"),"")</f>
        <v/>
      </c>
      <c r="D19" s="16">
        <f ca="1">IFERROR(__xludf.DUMMYFUNCTION("GOOGLEFINANCE(B19,""PRICEOPEN"")"),610)</f>
        <v>610</v>
      </c>
      <c r="E19" s="16">
        <f ca="1">IFERROR(__xludf.DUMMYFUNCTION("GOOGLEFINANCE(B19,""HIGH"")"),623.95)</f>
        <v>623.95000000000005</v>
      </c>
      <c r="F19" s="16">
        <f ca="1">IFERROR(__xludf.DUMMYFUNCTION("GOOGLEFINANCE(B19,""LOW"")"),607)</f>
        <v>607</v>
      </c>
      <c r="G19" s="16">
        <f ca="1">IFERROR(__xludf.DUMMYFUNCTION("GOOGLEFINANCE(B19,""closeyest"")"),609.8)</f>
        <v>609.79999999999995</v>
      </c>
      <c r="H19" s="16">
        <f ca="1">IFERROR(__xludf.DUMMYFUNCTION("GOOGLEFINANCE(B19,""PRICE"")"),623.6)</f>
        <v>623.6</v>
      </c>
      <c r="I19" s="17">
        <f ca="1">IFERROR(__xludf.DUMMYFUNCTION("GOOGLEFINANCE(B19,""CHANGE"")"),13.8)</f>
        <v>13.8</v>
      </c>
      <c r="J19" s="18">
        <f ca="1">IFERROR(__xludf.DUMMYFUNCTION("GOOGLEFINANCE(B19,""CHANGEPCT"")/100"),0.0226)</f>
        <v>2.2599999999999999E-2</v>
      </c>
      <c r="K19" s="19">
        <f ca="1">IFERROR(__xludf.DUMMYFUNCTION("GOOGLEFINANCE(B19,""volume"")"),1626740)</f>
        <v>1626740</v>
      </c>
      <c r="L19" s="16">
        <f ca="1">IFERROR(__xludf.DUMMYFUNCTION("GOOGLEFINANCE(B19,""high52"")"),667.2)</f>
        <v>667.2</v>
      </c>
      <c r="M19" s="16">
        <f ca="1">IFERROR(__xludf.DUMMYFUNCTION("GOOGLEFINANCE(B19,""low52"")"),486.3)</f>
        <v>486.3</v>
      </c>
      <c r="N19" s="25">
        <f ca="1">IFERROR(__xludf.DUMMYFUNCTION("GOOGLEFINANCE(B19,""marketcap"")"),807191549998)</f>
        <v>807191549998</v>
      </c>
      <c r="O19" s="21">
        <f ca="1">IFERROR(__xludf.DUMMYFUNCTION("GOOGLEFINANCE(B19,""eps"")"),11.43)</f>
        <v>11.43</v>
      </c>
      <c r="P19" s="21">
        <f ca="1">IFERROR(__xludf.DUMMYFUNCTION("GOOGLEFINANCE(B19,""pe"")"),54.56)</f>
        <v>54.56</v>
      </c>
      <c r="Q19" s="18">
        <f ca="1">IFERROR(__xludf.DUMMYFUNCTION("$H19/(index(GOOGLEFINANCE($B19,""price"",WORKDAY(TODAY(),-Q$12)),2,2))-1"),0.000160384923817202)</f>
        <v>1.60384923817202E-4</v>
      </c>
      <c r="R19" s="18">
        <f ca="1">IFERROR(__xludf.DUMMYFUNCTION("$H19/(index(GOOGLEFINANCE($B19,""price"",WORKDAY(TODAY(),-R$12)),2,2))-1"),0.159000092928166)</f>
        <v>0.159000092928166</v>
      </c>
      <c r="S19" s="18">
        <f ca="1">IFERROR(__xludf.DUMMYFUNCTION("$H19/(index(GOOGLEFINANCE($B19,""price"",WORKDAY(TODAY(),-S$12)),2,2))-1"),0.236688150718889)</f>
        <v>0.23668815071888899</v>
      </c>
      <c r="T19" s="22">
        <f t="shared" ca="1" si="0"/>
        <v>0.19784412182352751</v>
      </c>
      <c r="U19" s="23" t="e">
        <f t="array" aca="1" ref="U19" ca="1">_xludf.IFS(
    (T19:T28 &lt;= -0.0009%) * (T19:T28 &gt;= -10%), "HOLD",
    (T19:T28 &lt;= -10.001%) * (T19:T28 &gt;= -20%), "DONT BUY",
    (T19:T28 &lt;= -20.001%) * (T19:T28 &gt;= -100%), "NOT RECOMMENDED",
    (T19:T28 &gt;= 0%) * (T19:T28 &lt;= 10%), "STABLE",
    (T19:T28 &gt; 10%) * (T19:T28 &lt;= 30%), "BUY",
    (T19:T28 &gt; 30%) * (T19:T28 &lt;= 100%), "HIGHLY RECOMMENDED",
    (T19:T28 &gt; 100%) * (T19:T28 &lt;= 1000%), "MULTIBAGGER"
  )</f>
        <v>#NAME?</v>
      </c>
      <c r="V19" s="13" t="e">
        <f t="shared" ca="1" si="1"/>
        <v>#NAME?</v>
      </c>
      <c r="W19" s="13" t="e">
        <f t="shared" ca="1" si="2"/>
        <v>#NAME?</v>
      </c>
      <c r="X19" s="13" t="e">
        <f t="shared" ca="1" si="3"/>
        <v>#NAME?</v>
      </c>
      <c r="Y19" s="24"/>
      <c r="Z19" s="24"/>
      <c r="AA19" s="24"/>
      <c r="AB19" s="24"/>
      <c r="AC19" s="24"/>
    </row>
    <row r="20" spans="1:29" ht="26.25" customHeight="1" x14ac:dyDescent="0.25">
      <c r="A20" s="13">
        <v>8</v>
      </c>
      <c r="B20" s="14" t="s">
        <v>46</v>
      </c>
      <c r="C20" s="15" t="str">
        <f ca="1">IFERROR(__xludf.DUMMYFUNCTION("SPARKLINE(index(GOOGLEFINANCE(B20,""price"",WORKDAY(TODAY(),-$C$12),today()),,2),{""charttype"",""column"";""color"",""green""})"),"")</f>
        <v/>
      </c>
      <c r="D20" s="16">
        <f ca="1">IFERROR(__xludf.DUMMYFUNCTION("GOOGLEFINANCE(B20,""PRICEOPEN"")"),420)</f>
        <v>420</v>
      </c>
      <c r="E20" s="16">
        <f ca="1">IFERROR(__xludf.DUMMYFUNCTION("GOOGLEFINANCE(B20,""HIGH"")"),423.95)</f>
        <v>423.95</v>
      </c>
      <c r="F20" s="16">
        <f ca="1">IFERROR(__xludf.DUMMYFUNCTION("GOOGLEFINANCE(B20,""LOW"")"),420)</f>
        <v>420</v>
      </c>
      <c r="G20" s="16">
        <f ca="1">IFERROR(__xludf.DUMMYFUNCTION("GOOGLEFINANCE(B20,""closeyest"")"),419.6)</f>
        <v>419.6</v>
      </c>
      <c r="H20" s="16">
        <f ca="1">IFERROR(__xludf.DUMMYFUNCTION("GOOGLEFINANCE(B20,""PRICE"")"),423.65)</f>
        <v>423.65</v>
      </c>
      <c r="I20" s="17">
        <f ca="1">IFERROR(__xludf.DUMMYFUNCTION("GOOGLEFINANCE(B20,""CHANGE"")"),4.05)</f>
        <v>4.05</v>
      </c>
      <c r="J20" s="18">
        <f ca="1">IFERROR(__xludf.DUMMYFUNCTION("GOOGLEFINANCE(B20,""CHANGEPCT"")/100"),0.0097)</f>
        <v>9.7000000000000003E-3</v>
      </c>
      <c r="K20" s="19">
        <f ca="1">IFERROR(__xludf.DUMMYFUNCTION("GOOGLEFINANCE(B20,""volume"")"),9362433)</f>
        <v>9362433</v>
      </c>
      <c r="L20" s="16">
        <f ca="1">IFERROR(__xludf.DUMMYFUNCTION("GOOGLEFINANCE(B20,""high52"")"),499.7)</f>
        <v>499.7</v>
      </c>
      <c r="M20" s="16">
        <f ca="1">IFERROR(__xludf.DUMMYFUNCTION("GOOGLEFINANCE(B20,""low52"")"),399.35)</f>
        <v>399.35</v>
      </c>
      <c r="N20" s="25">
        <f ca="1">IFERROR(__xludf.DUMMYFUNCTION("GOOGLEFINANCE(B20,""marketcap"")"),5284157740000)</f>
        <v>5284157740000</v>
      </c>
      <c r="O20" s="21">
        <f ca="1">IFERROR(__xludf.DUMMYFUNCTION("GOOGLEFINANCE(B20,""eps"")"),16.38)</f>
        <v>16.38</v>
      </c>
      <c r="P20" s="21">
        <f ca="1">IFERROR(__xludf.DUMMYFUNCTION("GOOGLEFINANCE(B20,""pe"")"),25.86)</f>
        <v>25.86</v>
      </c>
      <c r="Q20" s="18">
        <f ca="1">IFERROR(__xludf.DUMMYFUNCTION("$H20/(index(GOOGLEFINANCE($B20,""price"",WORKDAY(TODAY(),-Q$12)),2,2))-1"),-0.0118950437317785)</f>
        <v>-1.18950437317785E-2</v>
      </c>
      <c r="R20" s="18">
        <f ca="1">IFERROR(__xludf.DUMMYFUNCTION("$H20/(index(GOOGLEFINANCE($B20,""price"",WORKDAY(TODAY(),-R$12)),2,2))-1"),-0.0381428084913156)</f>
        <v>-3.81428084913156E-2</v>
      </c>
      <c r="S20" s="18">
        <f ca="1">IFERROR(__xludf.DUMMYFUNCTION("$H20/(index(GOOGLEFINANCE($B20,""price"",WORKDAY(TODAY(),-S$12)),2,2))-1"),0.228683294663573)</f>
        <v>0.22868329466357301</v>
      </c>
      <c r="T20" s="22">
        <f t="shared" ca="1" si="0"/>
        <v>9.5270243086128706E-2</v>
      </c>
      <c r="U20" s="23" t="e">
        <f t="array" aca="1" ref="U20" ca="1">_xludf.IFS(
    (T20:T29 &lt;= -0.0009%) * (T20:T29 &gt;= -10%), "HOLD",
    (T20:T29 &lt;= -10.001%) * (T20:T29 &gt;= -20%), "DONT BUY",
    (T20:T29 &lt;= -20.001%) * (T20:T29 &gt;= -100%), "NOT RECOMMENDED",
    (T20:T29 &gt;= 0%) * (T20:T29 &lt;= 10%), "STABLE",
    (T20:T29 &gt; 10%) * (T20:T29 &lt;= 30%), "BUY",
    (T20:T29 &gt; 30%) * (T20:T29 &lt;= 100%), "HIGHLY RECOMMENDED",
    (T20:T29 &gt; 100%) * (T20:T29 &lt;= 1000%), "MULTIBAGGER"
  )</f>
        <v>#NAME?</v>
      </c>
      <c r="V20" s="13" t="e">
        <f t="shared" ca="1" si="1"/>
        <v>#NAME?</v>
      </c>
      <c r="W20" s="13" t="e">
        <f t="shared" ca="1" si="2"/>
        <v>#NAME?</v>
      </c>
      <c r="X20" s="13" t="e">
        <f t="shared" ca="1" si="3"/>
        <v>#NAME?</v>
      </c>
      <c r="Y20" s="24"/>
      <c r="Z20" s="24"/>
      <c r="AA20" s="24"/>
      <c r="AB20" s="24"/>
      <c r="AC20" s="24"/>
    </row>
    <row r="21" spans="1:29" ht="26.25" customHeight="1" x14ac:dyDescent="0.25">
      <c r="A21" s="13">
        <v>9</v>
      </c>
      <c r="B21" s="14" t="s">
        <v>47</v>
      </c>
      <c r="C21" s="15" t="str">
        <f ca="1">IFERROR(__xludf.DUMMYFUNCTION("SPARKLINE(index(GOOGLEFINANCE(B21,""price"",WORKDAY(TODAY(),-$C$12),today()),,2),{""charttype"",""column"";""color"",""green""})"),"")</f>
        <v/>
      </c>
      <c r="D21" s="16">
        <f ca="1">IFERROR(__xludf.DUMMYFUNCTION("GOOGLEFINANCE(B21,""PRICEOPEN"")"),2836.5)</f>
        <v>2836.5</v>
      </c>
      <c r="E21" s="16">
        <f ca="1">IFERROR(__xludf.DUMMYFUNCTION("GOOGLEFINANCE(B21,""HIGH"")"),2923.95)</f>
        <v>2923.95</v>
      </c>
      <c r="F21" s="16">
        <f ca="1">IFERROR(__xludf.DUMMYFUNCTION("GOOGLEFINANCE(B21,""LOW"")"),2813.05)</f>
        <v>2813.05</v>
      </c>
      <c r="G21" s="16">
        <f ca="1">IFERROR(__xludf.DUMMYFUNCTION("GOOGLEFINANCE(B21,""closeyest"")"),2839.95)</f>
        <v>2839.95</v>
      </c>
      <c r="H21" s="16">
        <f ca="1">IFERROR(__xludf.DUMMYFUNCTION("GOOGLEFINANCE(B21,""PRICE"")"),2921.2)</f>
        <v>2921.2</v>
      </c>
      <c r="I21" s="17">
        <f ca="1">IFERROR(__xludf.DUMMYFUNCTION("GOOGLEFINANCE(B21,""CHANGE"")"),81.25)</f>
        <v>81.25</v>
      </c>
      <c r="J21" s="18">
        <f ca="1">IFERROR(__xludf.DUMMYFUNCTION("GOOGLEFINANCE(B21,""CHANGEPCT"")/100"),0.0286)</f>
        <v>2.86E-2</v>
      </c>
      <c r="K21" s="19">
        <f ca="1">IFERROR(__xludf.DUMMYFUNCTION("GOOGLEFINANCE(B21,""volume"")"),2699784)</f>
        <v>2699784</v>
      </c>
      <c r="L21" s="16">
        <f ca="1">IFERROR(__xludf.DUMMYFUNCTION("GOOGLEFINANCE(B21,""high52"")"),3013.5)</f>
        <v>3013.5</v>
      </c>
      <c r="M21" s="16">
        <f ca="1">IFERROR(__xludf.DUMMYFUNCTION("GOOGLEFINANCE(B21,""low52"")"),1368.5)</f>
        <v>1368.5</v>
      </c>
      <c r="N21" s="25">
        <f ca="1">IFERROR(__xludf.DUMMYFUNCTION("GOOGLEFINANCE(B21,""marketcap"")"),3493730224010)</f>
        <v>3493730224010</v>
      </c>
      <c r="O21" s="21">
        <f ca="1">IFERROR(__xludf.DUMMYFUNCTION("GOOGLEFINANCE(B21,""eps"")"),100.7)</f>
        <v>100.7</v>
      </c>
      <c r="P21" s="21">
        <f ca="1">IFERROR(__xludf.DUMMYFUNCTION("GOOGLEFINANCE(B21,""pe"")"),29.01)</f>
        <v>29.01</v>
      </c>
      <c r="Q21" s="18">
        <f ca="1">IFERROR(__xludf.DUMMYFUNCTION("$H21/(index(GOOGLEFINANCE($B21,""price"",WORKDAY(TODAY(),-Q$12)),2,2))-1"),-0.0137411796481988)</f>
        <v>-1.3741179648198799E-2</v>
      </c>
      <c r="R21" s="18">
        <f ca="1">IFERROR(__xludf.DUMMYFUNCTION("$H21/(index(GOOGLEFINANCE($B21,""price"",WORKDAY(TODAY(),-R$12)),2,2))-1"),0.9279303062302)</f>
        <v>0.92793030623020001</v>
      </c>
      <c r="S21" s="18">
        <f ca="1">IFERROR(__xludf.DUMMYFUNCTION("$H21/(index(GOOGLEFINANCE($B21,""price"",WORKDAY(TODAY(),-S$12)),2,2))-1"),1.19375187744067)</f>
        <v>1.1937518774406699</v>
      </c>
      <c r="T21" s="22">
        <f t="shared" ca="1" si="0"/>
        <v>1.060841091835435</v>
      </c>
      <c r="U21" s="23" t="e">
        <f t="array" aca="1" ref="U21" ca="1">_xludf.IFS(
    (T21:T30 &lt;= -0.0009%) * (T21:T30 &gt;= -10%), "HOLD",
    (T21:T30 &lt;= -10.001%) * (T21:T30 &gt;= -20%), "DONT BUY",
    (T21:T30 &lt;= -20.001%) * (T21:T30 &gt;= -100%), "NOT RECOMMENDED",
    (T21:T30 &gt;= 0%) * (T21:T30 &lt;= 10%), "STABLE",
    (T21:T30 &gt; 10%) * (T21:T30 &lt;= 30%), "BUY",
    (T21:T30 &gt; 30%) * (T21:T30 &lt;= 100%), "HIGHLY RECOMMENDED",
    (T21:T30 &gt; 100%) * (T21:T30 &lt;= 1000%), "MULTIBAGGER"
  )</f>
        <v>#NAME?</v>
      </c>
      <c r="V21" s="13" t="e">
        <f t="shared" ca="1" si="1"/>
        <v>#NAME?</v>
      </c>
      <c r="W21" s="13" t="e">
        <f t="shared" ca="1" si="2"/>
        <v>#NAME?</v>
      </c>
      <c r="X21" s="13" t="e">
        <f t="shared" ca="1" si="3"/>
        <v>#NAME?</v>
      </c>
      <c r="Y21" s="24"/>
      <c r="Z21" s="24"/>
      <c r="AA21" s="24"/>
      <c r="AB21" s="24"/>
      <c r="AC21" s="24"/>
    </row>
    <row r="22" spans="1:29" ht="26.25" customHeight="1" x14ac:dyDescent="0.25">
      <c r="A22" s="13">
        <v>10</v>
      </c>
      <c r="B22" s="14" t="s">
        <v>48</v>
      </c>
      <c r="C22" s="15" t="str">
        <f ca="1">IFERROR(__xludf.DUMMYFUNCTION("SPARKLINE(index(GOOGLEFINANCE(B22,""price"",WORKDAY(TODAY(),-$C$12),today()),,2),{""charttype"",""column"";""color"",""green""})"),"")</f>
        <v/>
      </c>
      <c r="D22" s="16">
        <f ca="1">IFERROR(__xludf.DUMMYFUNCTION("GOOGLEFINANCE(B22,""PRICEOPEN"")"),212.9)</f>
        <v>212.9</v>
      </c>
      <c r="E22" s="16">
        <f ca="1">IFERROR(__xludf.DUMMYFUNCTION("GOOGLEFINANCE(B22,""HIGH"")"),213.33)</f>
        <v>213.33</v>
      </c>
      <c r="F22" s="16">
        <f ca="1">IFERROR(__xludf.DUMMYFUNCTION("GOOGLEFINANCE(B22,""LOW"")"),208.55)</f>
        <v>208.55</v>
      </c>
      <c r="G22" s="16">
        <f ca="1">IFERROR(__xludf.DUMMYFUNCTION("GOOGLEFINANCE(B22,""closeyest"")"),214.76)</f>
        <v>214.76</v>
      </c>
      <c r="H22" s="16">
        <f ca="1">IFERROR(__xludf.DUMMYFUNCTION("GOOGLEFINANCE(B22,""PRICE"")"),212.65)</f>
        <v>212.65</v>
      </c>
      <c r="I22" s="17">
        <f ca="1">IFERROR(__xludf.DUMMYFUNCTION("GOOGLEFINANCE(B22,""CHANGE"")"),-2.11)</f>
        <v>-2.11</v>
      </c>
      <c r="J22" s="18">
        <f ca="1">IFERROR(__xludf.DUMMYFUNCTION("GOOGLEFINANCE(B22,""CHANGEPCT"")/100"),-0.0098)</f>
        <v>-9.7999999999999997E-3</v>
      </c>
      <c r="K22" s="19">
        <f ca="1">IFERROR(__xludf.DUMMYFUNCTION("GOOGLEFINANCE(B22,""volume"")"),23293709)</f>
        <v>23293709</v>
      </c>
      <c r="L22" s="16">
        <f ca="1">IFERROR(__xludf.DUMMYFUNCTION("GOOGLEFINANCE(B22,""high52"")"),233.2)</f>
        <v>233.2</v>
      </c>
      <c r="M22" s="16">
        <f ca="1">IFERROR(__xludf.DUMMYFUNCTION("GOOGLEFINANCE(B22,""low52"")"),103.3)</f>
        <v>103.3</v>
      </c>
      <c r="N22" s="25">
        <f ca="1">IFERROR(__xludf.DUMMYFUNCTION("GOOGLEFINANCE(B22,""marketcap"")"),1397272687761)</f>
        <v>1397272687761</v>
      </c>
      <c r="O22" s="21">
        <f ca="1">IFERROR(__xludf.DUMMYFUNCTION("GOOGLEFINANCE(B22,""eps"")"),15.06)</f>
        <v>15.06</v>
      </c>
      <c r="P22" s="21">
        <f ca="1">IFERROR(__xludf.DUMMYFUNCTION("GOOGLEFINANCE(B22,""pe"")"),14.12)</f>
        <v>14.12</v>
      </c>
      <c r="Q22" s="18">
        <f ca="1">IFERROR(__xludf.DUMMYFUNCTION("$H22/(index(GOOGLEFINANCE($B22,""price"",WORKDAY(TODAY(),-Q$12)),2,2))-1"),-0.0432376495995679)</f>
        <v>-4.3237649599567898E-2</v>
      </c>
      <c r="R22" s="18">
        <f ca="1">IFERROR(__xludf.DUMMYFUNCTION("$H22/(index(GOOGLEFINANCE($B22,""price"",WORKDAY(TODAY(),-R$12)),2,2))-1"),0.745894909688013)</f>
        <v>0.74589490968801297</v>
      </c>
      <c r="S22" s="18">
        <f ca="1">IFERROR(__xludf.DUMMYFUNCTION("$H22/(index(GOOGLEFINANCE($B22,""price"",WORKDAY(TODAY(),-S$12)),2,2))-1"),1.23959978936282)</f>
        <v>1.2395997893628199</v>
      </c>
      <c r="T22" s="22">
        <f t="shared" ca="1" si="0"/>
        <v>0.99274734952541643</v>
      </c>
      <c r="U22" s="23" t="e">
        <f t="array" aca="1" ref="U22" ca="1">_xludf.IFS(
    (T22:T31 &lt;= -0.0009%) * (T22:T31 &gt;= -10%), "HOLD",
    (T22:T31 &lt;= -10.001%) * (T22:T31 &gt;= -20%), "DONT BUY",
    (T22:T31 &lt;= -20.001%) * (T22:T31 &gt;= -100%), "NOT RECOMMENDED",
    (T22:T31 &gt;= 0%) * (T22:T31 &lt;= 10%), "STABLE",
    (T22:T31 &gt; 10%) * (T22:T31 &lt;= 30%), "BUY",
    (T22:T31 &gt; 30%) * (T22:T31 &lt;= 100%), "HIGHLY RECOMMENDED",
    (T22:T31 &gt; 100%) * (T22:T31 &lt;= 1000%), "MULTIBAGGER"
  )</f>
        <v>#NAME?</v>
      </c>
      <c r="V22" s="13" t="e">
        <f t="shared" ca="1" si="1"/>
        <v>#NAME?</v>
      </c>
      <c r="W22" s="13" t="e">
        <f t="shared" ca="1" si="2"/>
        <v>#NAME?</v>
      </c>
      <c r="X22" s="13" t="e">
        <f t="shared" ca="1" si="3"/>
        <v>#NAME?</v>
      </c>
      <c r="Y22" s="24"/>
      <c r="Z22" s="24"/>
      <c r="AA22" s="24"/>
      <c r="AB22" s="24"/>
      <c r="AC22" s="24"/>
    </row>
    <row r="23" spans="1:29" ht="4.5" customHeight="1" x14ac:dyDescent="0.25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0"/>
      <c r="Y23" s="24"/>
      <c r="Z23" s="24"/>
      <c r="AA23" s="24"/>
      <c r="AB23" s="24"/>
      <c r="AC23" s="24"/>
    </row>
    <row r="24" spans="1:29" ht="29.25" customHeight="1" x14ac:dyDescent="0.25">
      <c r="A24" s="44" t="s">
        <v>49</v>
      </c>
      <c r="B24" s="43"/>
      <c r="C24" s="43"/>
      <c r="D24" s="43"/>
      <c r="E24" s="43"/>
      <c r="F24" s="43"/>
      <c r="G24" s="43"/>
      <c r="H24" s="43"/>
      <c r="I24" s="40"/>
      <c r="J24" s="45" t="s">
        <v>50</v>
      </c>
      <c r="K24" s="40"/>
      <c r="L24" s="46" t="s">
        <v>51</v>
      </c>
      <c r="M24" s="40"/>
      <c r="N24" s="47" t="s">
        <v>52</v>
      </c>
      <c r="O24" s="40"/>
      <c r="P24" s="77"/>
      <c r="Q24" s="64"/>
      <c r="R24" s="64"/>
      <c r="S24" s="64"/>
      <c r="T24" s="64"/>
      <c r="U24" s="64"/>
      <c r="V24" s="64"/>
      <c r="W24" s="64"/>
      <c r="X24" s="65"/>
      <c r="Y24" s="24"/>
      <c r="Z24" s="24"/>
      <c r="AA24" s="24"/>
      <c r="AB24" s="24"/>
      <c r="AC24" s="24"/>
    </row>
    <row r="25" spans="1:29" ht="15.75" customHeight="1" x14ac:dyDescent="0.25">
      <c r="A25" s="26"/>
      <c r="B25" s="26" t="s">
        <v>13</v>
      </c>
      <c r="C25" s="26" t="s">
        <v>53</v>
      </c>
      <c r="D25" s="39" t="s">
        <v>54</v>
      </c>
      <c r="E25" s="43"/>
      <c r="F25" s="40"/>
      <c r="G25" s="26" t="s">
        <v>55</v>
      </c>
      <c r="H25" s="39" t="s">
        <v>35</v>
      </c>
      <c r="I25" s="40"/>
      <c r="J25" s="27" t="s">
        <v>7</v>
      </c>
      <c r="K25" s="27" t="s">
        <v>56</v>
      </c>
      <c r="L25" s="28" t="s">
        <v>7</v>
      </c>
      <c r="M25" s="28" t="s">
        <v>56</v>
      </c>
      <c r="N25" s="29" t="s">
        <v>7</v>
      </c>
      <c r="O25" s="29" t="s">
        <v>56</v>
      </c>
      <c r="P25" s="66"/>
      <c r="Q25" s="67"/>
      <c r="R25" s="67"/>
      <c r="S25" s="67"/>
      <c r="T25" s="67"/>
      <c r="U25" s="67"/>
      <c r="V25" s="67"/>
      <c r="W25" s="67"/>
      <c r="X25" s="68"/>
      <c r="Y25" s="24"/>
      <c r="Z25" s="24"/>
      <c r="AA25" s="24"/>
      <c r="AB25" s="24"/>
      <c r="AC25" s="24"/>
    </row>
    <row r="26" spans="1:29" ht="15.75" customHeight="1" x14ac:dyDescent="0.25">
      <c r="A26" s="30">
        <v>1</v>
      </c>
      <c r="B26" s="30" t="str">
        <f t="shared" ref="B26:B35" si="4">B13</f>
        <v>TATASTEEL</v>
      </c>
      <c r="C26" s="31">
        <f t="shared" ref="C26:C35" ca="1" si="5">H13</f>
        <v>177.8</v>
      </c>
      <c r="D26" s="48">
        <v>5000</v>
      </c>
      <c r="E26" s="43"/>
      <c r="F26" s="40"/>
      <c r="G26" s="32">
        <f t="shared" ref="G26:G35" ca="1" si="6">D26/C26</f>
        <v>28.121484814398197</v>
      </c>
      <c r="H26" s="41" t="e">
        <f t="shared" ref="H26:H35" ca="1" si="7">U13</f>
        <v>#NAME?</v>
      </c>
      <c r="I26" s="40"/>
      <c r="J26" s="33">
        <f ca="1">IFERROR(__xludf.DUMMYFUNCTION("AVERAGE(VALUE(SUBSTITUTE(INDEX(SPLIT(V13, "" to ""), 1), ""%"", """")), VALUE(SUBSTITUTE(INDEX(SPLIT(V13, "" to ""), 2), ""%"", """")))
"),0.09)</f>
        <v>0.09</v>
      </c>
      <c r="K26" s="27">
        <f t="shared" ref="K26:K35" ca="1" si="8">D26*(1+J26)</f>
        <v>5450</v>
      </c>
      <c r="L26" s="34">
        <f ca="1">IFERROR(__xludf.DUMMYFUNCTION("AVERAGE(VALUE(SUBSTITUTE(INDEX(SPLIT(W13, "" to ""), 1), ""%"", """")), VALUE(SUBSTITUTE(INDEX(SPLIT(W13, "" to ""), 2), ""%"", """")))
"),0.2125)</f>
        <v>0.21249999999999999</v>
      </c>
      <c r="M26" s="35">
        <f t="shared" ref="M26:M35" ca="1" si="9">D26*(1+L26)</f>
        <v>6062.5</v>
      </c>
      <c r="N26" s="36">
        <f ca="1">IFERROR(__xludf.DUMMYFUNCTION("AVERAGE(VALUE(SUBSTITUTE(INDEX(SPLIT(X13, "" to ""), 1), ""%"", """")), VALUE(SUBSTITUTE(INDEX(SPLIT(X13, "" to ""), 2), ""%"", """")))
"),0.425)</f>
        <v>0.42499999999999999</v>
      </c>
      <c r="O26" s="37">
        <f t="shared" ref="O26:O35" ca="1" si="10">D26*(1+N26)</f>
        <v>7125</v>
      </c>
      <c r="P26" s="66"/>
      <c r="Q26" s="67"/>
      <c r="R26" s="67"/>
      <c r="S26" s="67"/>
      <c r="T26" s="67"/>
      <c r="U26" s="67"/>
      <c r="V26" s="67"/>
      <c r="W26" s="67"/>
      <c r="X26" s="68"/>
      <c r="Y26" s="24"/>
      <c r="Z26" s="24"/>
      <c r="AA26" s="24"/>
      <c r="AB26" s="24"/>
      <c r="AC26" s="24"/>
    </row>
    <row r="27" spans="1:29" ht="15.75" customHeight="1" x14ac:dyDescent="0.25">
      <c r="A27" s="30">
        <v>2</v>
      </c>
      <c r="B27" s="30" t="str">
        <f t="shared" si="4"/>
        <v>J&amp;KBANK</v>
      </c>
      <c r="C27" s="31">
        <f t="shared" ca="1" si="5"/>
        <v>118.5</v>
      </c>
      <c r="D27" s="48">
        <v>4500</v>
      </c>
      <c r="E27" s="43"/>
      <c r="F27" s="40"/>
      <c r="G27" s="32">
        <f t="shared" ca="1" si="6"/>
        <v>37.974683544303801</v>
      </c>
      <c r="H27" s="41" t="e">
        <f t="shared" ca="1" si="7"/>
        <v>#NAME?</v>
      </c>
      <c r="I27" s="40"/>
      <c r="J27" s="33">
        <f ca="1">IFERROR(__xludf.DUMMYFUNCTION("AVERAGE(VALUE(SUBSTITUTE(INDEX(SPLIT(V14, "" to ""), 1), ""%"", """")), VALUE(SUBSTITUTE(INDEX(SPLIT(V14, "" to ""), 2), ""%"", """")))
"),0.09)</f>
        <v>0.09</v>
      </c>
      <c r="K27" s="27">
        <f t="shared" ca="1" si="8"/>
        <v>4905</v>
      </c>
      <c r="L27" s="34">
        <f ca="1">IFERROR(__xludf.DUMMYFUNCTION("AVERAGE(VALUE(SUBSTITUTE(INDEX(SPLIT(W14, "" to ""), 1), ""%"", """")), VALUE(SUBSTITUTE(INDEX(SPLIT(W14, "" to ""), 2), ""%"", """")))
"),0.2125)</f>
        <v>0.21249999999999999</v>
      </c>
      <c r="M27" s="35">
        <f t="shared" ca="1" si="9"/>
        <v>5456.25</v>
      </c>
      <c r="N27" s="36">
        <f ca="1">IFERROR(__xludf.DUMMYFUNCTION("AVERAGE(VALUE(SUBSTITUTE(INDEX(SPLIT(X14, "" to ""), 1), ""%"", """")), VALUE(SUBSTITUTE(INDEX(SPLIT(X14, "" to ""), 2), ""%"", """")))
"),0.425)</f>
        <v>0.42499999999999999</v>
      </c>
      <c r="O27" s="37">
        <f t="shared" ca="1" si="10"/>
        <v>6412.5</v>
      </c>
      <c r="P27" s="66"/>
      <c r="Q27" s="67"/>
      <c r="R27" s="67"/>
      <c r="S27" s="67"/>
      <c r="T27" s="67"/>
      <c r="U27" s="67"/>
      <c r="V27" s="67"/>
      <c r="W27" s="67"/>
      <c r="X27" s="68"/>
      <c r="Y27" s="24"/>
      <c r="Z27" s="24"/>
      <c r="AA27" s="24"/>
      <c r="AB27" s="24"/>
      <c r="AC27" s="24"/>
    </row>
    <row r="28" spans="1:29" ht="15.75" customHeight="1" x14ac:dyDescent="0.25">
      <c r="A28" s="30">
        <v>3</v>
      </c>
      <c r="B28" s="30" t="str">
        <f t="shared" si="4"/>
        <v>SUZLON</v>
      </c>
      <c r="C28" s="31">
        <f t="shared" ca="1" si="5"/>
        <v>54.86</v>
      </c>
      <c r="D28" s="48">
        <v>25000</v>
      </c>
      <c r="E28" s="43"/>
      <c r="F28" s="40"/>
      <c r="G28" s="32">
        <f t="shared" ca="1" si="6"/>
        <v>455.70543200874954</v>
      </c>
      <c r="H28" s="41" t="e">
        <f t="shared" ca="1" si="7"/>
        <v>#NAME?</v>
      </c>
      <c r="I28" s="40"/>
      <c r="J28" s="33">
        <f ca="1">IFERROR(__xludf.DUMMYFUNCTION("AVERAGE(VALUE(SUBSTITUTE(INDEX(SPLIT(V15, "" to ""), 1), ""%"", """")), VALUE(SUBSTITUTE(INDEX(SPLIT(V15, "" to ""), 2), ""%"", """")))
"),0.225)</f>
        <v>0.22500000000000001</v>
      </c>
      <c r="K28" s="27">
        <f t="shared" ca="1" si="8"/>
        <v>30625.000000000004</v>
      </c>
      <c r="L28" s="34">
        <f ca="1">IFERROR(__xludf.DUMMYFUNCTION("AVERAGE(VALUE(SUBSTITUTE(INDEX(SPLIT(W15, "" to ""), 1), ""%"", """")), VALUE(SUBSTITUTE(INDEX(SPLIT(W15, "" to ""), 2), ""%"", """")))
"),0.51925)</f>
        <v>0.51924999999999999</v>
      </c>
      <c r="M28" s="35">
        <f t="shared" ca="1" si="9"/>
        <v>37981.25</v>
      </c>
      <c r="N28" s="36">
        <f ca="1">IFERROR(__xludf.DUMMYFUNCTION("AVERAGE(VALUE(SUBSTITUTE(INDEX(SPLIT(X15, "" to ""), 1), ""%"", """")), VALUE(SUBSTITUTE(INDEX(SPLIT(X15, "" to ""), 2), ""%"", """")))
"),1.0175)</f>
        <v>1.0175000000000001</v>
      </c>
      <c r="O28" s="37">
        <f t="shared" ca="1" si="10"/>
        <v>50437.5</v>
      </c>
      <c r="P28" s="66"/>
      <c r="Q28" s="67"/>
      <c r="R28" s="67"/>
      <c r="S28" s="67"/>
      <c r="T28" s="67"/>
      <c r="U28" s="67"/>
      <c r="V28" s="67"/>
      <c r="W28" s="67"/>
      <c r="X28" s="68"/>
      <c r="Y28" s="24"/>
      <c r="Z28" s="24"/>
      <c r="AA28" s="24"/>
      <c r="AB28" s="24"/>
      <c r="AC28" s="24"/>
    </row>
    <row r="29" spans="1:29" ht="15.75" customHeight="1" x14ac:dyDescent="0.25">
      <c r="A29" s="30">
        <v>4</v>
      </c>
      <c r="B29" s="30" t="str">
        <f t="shared" si="4"/>
        <v>WIPRO</v>
      </c>
      <c r="C29" s="31">
        <f t="shared" ca="1" si="5"/>
        <v>490.8</v>
      </c>
      <c r="D29" s="48">
        <v>2000</v>
      </c>
      <c r="E29" s="43"/>
      <c r="F29" s="40"/>
      <c r="G29" s="32">
        <f t="shared" ca="1" si="6"/>
        <v>4.0749796251018742</v>
      </c>
      <c r="H29" s="41" t="e">
        <f t="shared" ca="1" si="7"/>
        <v>#NAME?</v>
      </c>
      <c r="I29" s="40"/>
      <c r="J29" s="33">
        <f ca="1">IFERROR(__xludf.DUMMYFUNCTION("AVERAGE(VALUE(SUBSTITUTE(INDEX(SPLIT(V16, "" to ""), 1), ""%"", """")), VALUE(SUBSTITUTE(INDEX(SPLIT(V16, "" to ""), 2), ""%"", """")))
"),0.06)</f>
        <v>0.06</v>
      </c>
      <c r="K29" s="27">
        <f t="shared" ca="1" si="8"/>
        <v>2120</v>
      </c>
      <c r="L29" s="34">
        <f ca="1">IFERROR(__xludf.DUMMYFUNCTION("AVERAGE(VALUE(SUBSTITUTE(INDEX(SPLIT(W16, "" to ""), 1), ""%"", """")), VALUE(SUBSTITUTE(INDEX(SPLIT(W16, "" to ""), 2), ""%"", """")))
"),0.1325)</f>
        <v>0.13250000000000001</v>
      </c>
      <c r="M29" s="35">
        <f t="shared" ca="1" si="9"/>
        <v>2265</v>
      </c>
      <c r="N29" s="36">
        <f ca="1">IFERROR(__xludf.DUMMYFUNCTION("AVERAGE(VALUE(SUBSTITUTE(INDEX(SPLIT(X16, "" to ""), 1), ""%"", """")), VALUE(SUBSTITUTE(INDEX(SPLIT(X16, "" to ""), 2), ""%"", """")))
"),0.20675)</f>
        <v>0.20674999999999999</v>
      </c>
      <c r="O29" s="37">
        <f t="shared" ca="1" si="10"/>
        <v>2413.5</v>
      </c>
      <c r="P29" s="66"/>
      <c r="Q29" s="67"/>
      <c r="R29" s="67"/>
      <c r="S29" s="67"/>
      <c r="T29" s="67"/>
      <c r="U29" s="67"/>
      <c r="V29" s="67"/>
      <c r="W29" s="67"/>
      <c r="X29" s="68"/>
      <c r="Y29" s="24"/>
      <c r="Z29" s="24"/>
      <c r="AA29" s="24"/>
      <c r="AB29" s="24"/>
      <c r="AC29" s="24"/>
    </row>
    <row r="30" spans="1:29" ht="15.75" customHeight="1" x14ac:dyDescent="0.25">
      <c r="A30" s="30">
        <v>5</v>
      </c>
      <c r="B30" s="30" t="str">
        <f t="shared" si="4"/>
        <v>LODHA</v>
      </c>
      <c r="C30" s="31">
        <f t="shared" ca="1" si="5"/>
        <v>1541.75</v>
      </c>
      <c r="D30" s="48">
        <v>35000</v>
      </c>
      <c r="E30" s="43"/>
      <c r="F30" s="40"/>
      <c r="G30" s="32">
        <f t="shared" ca="1" si="6"/>
        <v>22.701475595913735</v>
      </c>
      <c r="H30" s="41" t="e">
        <f t="shared" ca="1" si="7"/>
        <v>#NAME?</v>
      </c>
      <c r="I30" s="40"/>
      <c r="J30" s="33">
        <f ca="1">IFERROR(__xludf.DUMMYFUNCTION("AVERAGE(VALUE(SUBSTITUTE(INDEX(SPLIT(V17, "" to ""), 1), ""%"", """")), VALUE(SUBSTITUTE(INDEX(SPLIT(V17, "" to ""), 2), ""%"", """")))
"),0.225)</f>
        <v>0.22500000000000001</v>
      </c>
      <c r="K30" s="27">
        <f t="shared" ca="1" si="8"/>
        <v>42875</v>
      </c>
      <c r="L30" s="34">
        <f ca="1">IFERROR(__xludf.DUMMYFUNCTION("AVERAGE(VALUE(SUBSTITUTE(INDEX(SPLIT(W17, "" to ""), 1), ""%"", """")), VALUE(SUBSTITUTE(INDEX(SPLIT(W17, "" to ""), 2), ""%"", """")))
"),0.51925)</f>
        <v>0.51924999999999999</v>
      </c>
      <c r="M30" s="35">
        <f t="shared" ca="1" si="9"/>
        <v>53173.75</v>
      </c>
      <c r="N30" s="36">
        <f ca="1">IFERROR(__xludf.DUMMYFUNCTION("AVERAGE(VALUE(SUBSTITUTE(INDEX(SPLIT(X17, "" to ""), 1), ""%"", """")), VALUE(SUBSTITUTE(INDEX(SPLIT(X17, "" to ""), 2), ""%"", """")))
"),1.0175)</f>
        <v>1.0175000000000001</v>
      </c>
      <c r="O30" s="37">
        <f t="shared" ca="1" si="10"/>
        <v>70612.5</v>
      </c>
      <c r="P30" s="66"/>
      <c r="Q30" s="67"/>
      <c r="R30" s="67"/>
      <c r="S30" s="67"/>
      <c r="T30" s="67"/>
      <c r="U30" s="67"/>
      <c r="V30" s="67"/>
      <c r="W30" s="67"/>
      <c r="X30" s="68"/>
      <c r="Y30" s="24"/>
      <c r="Z30" s="24"/>
      <c r="AA30" s="24"/>
      <c r="AB30" s="24"/>
      <c r="AC30" s="24"/>
    </row>
    <row r="31" spans="1:29" ht="15.75" customHeight="1" x14ac:dyDescent="0.25">
      <c r="A31" s="30">
        <v>6</v>
      </c>
      <c r="B31" s="30" t="str">
        <f t="shared" si="4"/>
        <v>PNB</v>
      </c>
      <c r="C31" s="31">
        <f t="shared" ca="1" si="5"/>
        <v>124.88</v>
      </c>
      <c r="D31" s="48">
        <v>12000</v>
      </c>
      <c r="E31" s="43"/>
      <c r="F31" s="40"/>
      <c r="G31" s="32">
        <f t="shared" ca="1" si="6"/>
        <v>96.092248558616276</v>
      </c>
      <c r="H31" s="41" t="e">
        <f t="shared" ca="1" si="7"/>
        <v>#NAME?</v>
      </c>
      <c r="I31" s="40"/>
      <c r="J31" s="33">
        <f ca="1">IFERROR(__xludf.DUMMYFUNCTION("AVERAGE(VALUE(SUBSTITUTE(INDEX(SPLIT(V18, "" to ""), 1), ""%"", """")), VALUE(SUBSTITUTE(INDEX(SPLIT(V18, "" to ""), 2), ""%"", """")))
"),0.225)</f>
        <v>0.22500000000000001</v>
      </c>
      <c r="K31" s="27">
        <f t="shared" ca="1" si="8"/>
        <v>14700.000000000002</v>
      </c>
      <c r="L31" s="34">
        <f ca="1">IFERROR(__xludf.DUMMYFUNCTION("AVERAGE(VALUE(SUBSTITUTE(INDEX(SPLIT(W18, "" to ""), 1), ""%"", """")), VALUE(SUBSTITUTE(INDEX(SPLIT(W18, "" to ""), 2), ""%"", """")))
"),0.51925)</f>
        <v>0.51924999999999999</v>
      </c>
      <c r="M31" s="35">
        <f t="shared" ca="1" si="9"/>
        <v>18231</v>
      </c>
      <c r="N31" s="36">
        <f ca="1">IFERROR(__xludf.DUMMYFUNCTION("AVERAGE(VALUE(SUBSTITUTE(INDEX(SPLIT(X18, "" to ""), 1), ""%"", """")), VALUE(SUBSTITUTE(INDEX(SPLIT(X18, "" to ""), 2), ""%"", """")))
"),1.0175)</f>
        <v>1.0175000000000001</v>
      </c>
      <c r="O31" s="37">
        <f t="shared" ca="1" si="10"/>
        <v>24210</v>
      </c>
      <c r="P31" s="66"/>
      <c r="Q31" s="67"/>
      <c r="R31" s="67"/>
      <c r="S31" s="67"/>
      <c r="T31" s="67"/>
      <c r="U31" s="67"/>
      <c r="V31" s="67"/>
      <c r="W31" s="67"/>
      <c r="X31" s="68"/>
      <c r="Y31" s="24"/>
      <c r="Z31" s="24"/>
      <c r="AA31" s="24"/>
      <c r="AB31" s="24"/>
      <c r="AC31" s="24"/>
    </row>
    <row r="32" spans="1:29" ht="15.75" customHeight="1" x14ac:dyDescent="0.25">
      <c r="A32" s="30">
        <v>7</v>
      </c>
      <c r="B32" s="30" t="str">
        <f t="shared" si="4"/>
        <v>MARICO</v>
      </c>
      <c r="C32" s="31">
        <f t="shared" ca="1" si="5"/>
        <v>623.6</v>
      </c>
      <c r="D32" s="48">
        <v>2000</v>
      </c>
      <c r="E32" s="43"/>
      <c r="F32" s="40"/>
      <c r="G32" s="32">
        <f t="shared" ca="1" si="6"/>
        <v>3.2071840923669019</v>
      </c>
      <c r="H32" s="41" t="e">
        <f t="shared" ca="1" si="7"/>
        <v>#NAME?</v>
      </c>
      <c r="I32" s="40"/>
      <c r="J32" s="33">
        <f ca="1">IFERROR(__xludf.DUMMYFUNCTION("AVERAGE(VALUE(SUBSTITUTE(INDEX(SPLIT(V19, "" to ""), 1), ""%"", """")), VALUE(SUBSTITUTE(INDEX(SPLIT(V19, "" to ""), 2), ""%"", """")))
"),0.06)</f>
        <v>0.06</v>
      </c>
      <c r="K32" s="27">
        <f t="shared" ca="1" si="8"/>
        <v>2120</v>
      </c>
      <c r="L32" s="34">
        <f ca="1">IFERROR(__xludf.DUMMYFUNCTION("AVERAGE(VALUE(SUBSTITUTE(INDEX(SPLIT(W19, "" to ""), 1), ""%"", """")), VALUE(SUBSTITUTE(INDEX(SPLIT(W19, "" to ""), 2), ""%"", """")))
"),0.1325)</f>
        <v>0.13250000000000001</v>
      </c>
      <c r="M32" s="35">
        <f t="shared" ca="1" si="9"/>
        <v>2265</v>
      </c>
      <c r="N32" s="36">
        <f ca="1">IFERROR(__xludf.DUMMYFUNCTION("AVERAGE(VALUE(SUBSTITUTE(INDEX(SPLIT(X19, "" to ""), 1), ""%"", """")), VALUE(SUBSTITUTE(INDEX(SPLIT(X19, "" to ""), 2), ""%"", """")))
"),0.20675)</f>
        <v>0.20674999999999999</v>
      </c>
      <c r="O32" s="37">
        <f t="shared" ca="1" si="10"/>
        <v>2413.5</v>
      </c>
      <c r="P32" s="66"/>
      <c r="Q32" s="67"/>
      <c r="R32" s="67"/>
      <c r="S32" s="67"/>
      <c r="T32" s="67"/>
      <c r="U32" s="67"/>
      <c r="V32" s="67"/>
      <c r="W32" s="67"/>
      <c r="X32" s="68"/>
      <c r="Y32" s="24"/>
      <c r="Z32" s="24"/>
      <c r="AA32" s="24"/>
      <c r="AB32" s="24"/>
      <c r="AC32" s="24"/>
    </row>
    <row r="33" spans="1:29" ht="15.75" customHeight="1" x14ac:dyDescent="0.25">
      <c r="A33" s="30">
        <v>8</v>
      </c>
      <c r="B33" s="30" t="str">
        <f t="shared" si="4"/>
        <v>NSE:ITC</v>
      </c>
      <c r="C33" s="31">
        <f t="shared" ca="1" si="5"/>
        <v>423.65</v>
      </c>
      <c r="D33" s="48">
        <v>2000</v>
      </c>
      <c r="E33" s="43"/>
      <c r="F33" s="40"/>
      <c r="G33" s="32">
        <f t="shared" ca="1" si="6"/>
        <v>4.7208780833234982</v>
      </c>
      <c r="H33" s="41" t="e">
        <f t="shared" ca="1" si="7"/>
        <v>#NAME?</v>
      </c>
      <c r="I33" s="40"/>
      <c r="J33" s="33">
        <f ca="1">IFERROR(__xludf.DUMMYFUNCTION("AVERAGE(VALUE(SUBSTITUTE(INDEX(SPLIT(V20, "" to ""), 1), ""%"", """")), VALUE(SUBSTITUTE(INDEX(SPLIT(V20, "" to ""), 2), ""%"", """")))
"),0.035)</f>
        <v>3.5000000000000003E-2</v>
      </c>
      <c r="K33" s="27">
        <f t="shared" ca="1" si="8"/>
        <v>2070</v>
      </c>
      <c r="L33" s="34">
        <f ca="1">IFERROR(__xludf.DUMMYFUNCTION("AVERAGE(VALUE(SUBSTITUTE(INDEX(SPLIT(W20, "" to ""), 1), ""%"", """")), VALUE(SUBSTITUTE(INDEX(SPLIT(W20, "" to ""), 2), ""%"", """")))
"),0.0824999999999999)</f>
        <v>8.2499999999999907E-2</v>
      </c>
      <c r="M33" s="35">
        <f t="shared" ca="1" si="9"/>
        <v>2165</v>
      </c>
      <c r="N33" s="36">
        <f ca="1">IFERROR(__xludf.DUMMYFUNCTION("AVERAGE(VALUE(SUBSTITUTE(INDEX(SPLIT(X20, "" to ""), 1), ""%"", """")), VALUE(SUBSTITUTE(INDEX(SPLIT(X20, "" to ""), 2), ""%"", """")))
"),0.155)</f>
        <v>0.155</v>
      </c>
      <c r="O33" s="37">
        <f t="shared" ca="1" si="10"/>
        <v>2310</v>
      </c>
      <c r="P33" s="66"/>
      <c r="Q33" s="67"/>
      <c r="R33" s="67"/>
      <c r="S33" s="67"/>
      <c r="T33" s="67"/>
      <c r="U33" s="67"/>
      <c r="V33" s="67"/>
      <c r="W33" s="67"/>
      <c r="X33" s="68"/>
      <c r="Y33" s="24"/>
      <c r="Z33" s="24"/>
      <c r="AA33" s="24"/>
      <c r="AB33" s="24"/>
      <c r="AC33" s="24"/>
    </row>
    <row r="34" spans="1:29" ht="15.75" customHeight="1" x14ac:dyDescent="0.25">
      <c r="A34" s="30">
        <v>9</v>
      </c>
      <c r="B34" s="30" t="str">
        <f t="shared" si="4"/>
        <v>M&amp;M</v>
      </c>
      <c r="C34" s="31">
        <f t="shared" ca="1" si="5"/>
        <v>2921.2</v>
      </c>
      <c r="D34" s="48">
        <v>9000</v>
      </c>
      <c r="E34" s="43"/>
      <c r="F34" s="40"/>
      <c r="G34" s="32">
        <f t="shared" ca="1" si="6"/>
        <v>3.0809256469943862</v>
      </c>
      <c r="H34" s="41" t="e">
        <f t="shared" ca="1" si="7"/>
        <v>#NAME?</v>
      </c>
      <c r="I34" s="40"/>
      <c r="J34" s="33">
        <f ca="1">IFERROR(__xludf.DUMMYFUNCTION("AVERAGE(VALUE(SUBSTITUTE(INDEX(SPLIT(V21, "" to ""), 1), ""%"", """")), VALUE(SUBSTITUTE(INDEX(SPLIT(V21, "" to ""), 2), ""%"", """")))
"),0.225)</f>
        <v>0.22500000000000001</v>
      </c>
      <c r="K34" s="27">
        <f t="shared" ca="1" si="8"/>
        <v>11025</v>
      </c>
      <c r="L34" s="34">
        <f ca="1">IFERROR(__xludf.DUMMYFUNCTION("AVERAGE(VALUE(SUBSTITUTE(INDEX(SPLIT(W21, "" to ""), 1), ""%"", """")), VALUE(SUBSTITUTE(INDEX(SPLIT(W21, "" to ""), 2), ""%"", """")))
"),0.51925)</f>
        <v>0.51924999999999999</v>
      </c>
      <c r="M34" s="35">
        <f t="shared" ca="1" si="9"/>
        <v>13673.25</v>
      </c>
      <c r="N34" s="36">
        <f ca="1">IFERROR(__xludf.DUMMYFUNCTION("AVERAGE(VALUE(SUBSTITUTE(INDEX(SPLIT(X21, "" to ""), 1), ""%"", """")), VALUE(SUBSTITUTE(INDEX(SPLIT(X21, "" to ""), 2), ""%"", """")))
"),1.0175)</f>
        <v>1.0175000000000001</v>
      </c>
      <c r="O34" s="37">
        <f t="shared" ca="1" si="10"/>
        <v>18157.5</v>
      </c>
      <c r="P34" s="66"/>
      <c r="Q34" s="67"/>
      <c r="R34" s="67"/>
      <c r="S34" s="67"/>
      <c r="T34" s="67"/>
      <c r="U34" s="67"/>
      <c r="V34" s="67"/>
      <c r="W34" s="67"/>
      <c r="X34" s="68"/>
      <c r="Y34" s="24"/>
      <c r="Z34" s="24"/>
      <c r="AA34" s="24"/>
      <c r="AB34" s="24"/>
      <c r="AC34" s="24"/>
    </row>
    <row r="35" spans="1:29" ht="15.75" customHeight="1" x14ac:dyDescent="0.25">
      <c r="A35" s="30">
        <v>10</v>
      </c>
      <c r="B35" s="30" t="str">
        <f t="shared" si="4"/>
        <v>GAIL</v>
      </c>
      <c r="C35" s="31">
        <f t="shared" ca="1" si="5"/>
        <v>212.65</v>
      </c>
      <c r="D35" s="48">
        <v>6000</v>
      </c>
      <c r="E35" s="43"/>
      <c r="F35" s="40"/>
      <c r="G35" s="32">
        <f t="shared" ca="1" si="6"/>
        <v>28.215377380672464</v>
      </c>
      <c r="H35" s="41" t="e">
        <f t="shared" ca="1" si="7"/>
        <v>#NAME?</v>
      </c>
      <c r="I35" s="40"/>
      <c r="J35" s="33">
        <f ca="1">IFERROR(__xludf.DUMMYFUNCTION("AVERAGE(VALUE(SUBSTITUTE(INDEX(SPLIT(V22, "" to ""), 1), ""%"", """")), VALUE(SUBSTITUTE(INDEX(SPLIT(V22, "" to ""), 2), ""%"", """")))
"),0.09)</f>
        <v>0.09</v>
      </c>
      <c r="K35" s="27">
        <f t="shared" ca="1" si="8"/>
        <v>6540.0000000000009</v>
      </c>
      <c r="L35" s="34">
        <f ca="1">IFERROR(__xludf.DUMMYFUNCTION("AVERAGE(VALUE(SUBSTITUTE(INDEX(SPLIT(W22, "" to ""), 1), ""%"", """")), VALUE(SUBSTITUTE(INDEX(SPLIT(W22, "" to ""), 2), ""%"", """")))
"),0.2125)</f>
        <v>0.21249999999999999</v>
      </c>
      <c r="M35" s="35">
        <f t="shared" ca="1" si="9"/>
        <v>7274.9999999999991</v>
      </c>
      <c r="N35" s="36">
        <f ca="1">IFERROR(__xludf.DUMMYFUNCTION("AVERAGE(VALUE(SUBSTITUTE(INDEX(SPLIT(X22, "" to ""), 1), ""%"", """")), VALUE(SUBSTITUTE(INDEX(SPLIT(X22, "" to ""), 2), ""%"", """")))
"),0.425)</f>
        <v>0.42499999999999999</v>
      </c>
      <c r="O35" s="37">
        <f t="shared" ca="1" si="10"/>
        <v>8550</v>
      </c>
      <c r="P35" s="66"/>
      <c r="Q35" s="67"/>
      <c r="R35" s="67"/>
      <c r="S35" s="67"/>
      <c r="T35" s="67"/>
      <c r="U35" s="67"/>
      <c r="V35" s="67"/>
      <c r="W35" s="67"/>
      <c r="X35" s="68"/>
      <c r="Y35" s="24"/>
      <c r="Z35" s="24"/>
      <c r="AA35" s="24"/>
      <c r="AB35" s="24"/>
      <c r="AC35" s="24"/>
    </row>
    <row r="36" spans="1:29" ht="15.75" customHeight="1" x14ac:dyDescent="0.25">
      <c r="A36" s="92" t="s">
        <v>57</v>
      </c>
      <c r="B36" s="65"/>
      <c r="C36" s="93"/>
      <c r="D36" s="92">
        <f>SUM(D26:F35)</f>
        <v>102500</v>
      </c>
      <c r="E36" s="64"/>
      <c r="F36" s="65"/>
      <c r="G36" s="93"/>
      <c r="H36" s="92"/>
      <c r="I36" s="65"/>
      <c r="J36" s="85">
        <f ca="1">IFERROR(__xludf.DUMMYFUNCTION("AVERAGE(FILTER(J26:J35,J26:J35 &lt;&gt; """",J26:J35 &lt;&gt; 0))
"),0.1325)</f>
        <v>0.13250000000000001</v>
      </c>
      <c r="K36" s="87">
        <f ca="1">SUM(K26:K35)</f>
        <v>122430</v>
      </c>
      <c r="L36" s="88">
        <f ca="1">IFERROR(__xludf.DUMMYFUNCTION("AVERAGE(FILTER(L26:L35,L26:L35 &lt;&gt; """",L26:L35 &lt;&gt; 0))
"),0.306199999999999)</f>
        <v>0.30619999999999897</v>
      </c>
      <c r="M36" s="89">
        <f ca="1">SUM(M26:M35)</f>
        <v>148548</v>
      </c>
      <c r="N36" s="90">
        <f ca="1">IFERROR(__xludf.DUMMYFUNCTION("AVERAGE(FILTER(N26:N35,N26:N35 &lt;&gt; """",N26:N35 &lt;&gt; 0))
"),0.59135)</f>
        <v>0.59135000000000004</v>
      </c>
      <c r="O36" s="91">
        <f ca="1">SUM(O26:Q35)</f>
        <v>192642</v>
      </c>
      <c r="P36" s="66"/>
      <c r="Q36" s="67"/>
      <c r="R36" s="67"/>
      <c r="S36" s="67"/>
      <c r="T36" s="67"/>
      <c r="U36" s="67"/>
      <c r="V36" s="67"/>
      <c r="W36" s="67"/>
      <c r="X36" s="68"/>
      <c r="Y36" s="38"/>
      <c r="Z36" s="38"/>
      <c r="AA36" s="38"/>
      <c r="AB36" s="38"/>
      <c r="AC36" s="38"/>
    </row>
    <row r="37" spans="1:29" ht="15.75" customHeight="1" x14ac:dyDescent="0.25">
      <c r="A37" s="69"/>
      <c r="B37" s="71"/>
      <c r="C37" s="86"/>
      <c r="D37" s="69"/>
      <c r="E37" s="70"/>
      <c r="F37" s="71"/>
      <c r="G37" s="86"/>
      <c r="H37" s="69"/>
      <c r="I37" s="71"/>
      <c r="J37" s="86"/>
      <c r="K37" s="86"/>
      <c r="L37" s="86"/>
      <c r="M37" s="86"/>
      <c r="N37" s="86"/>
      <c r="O37" s="86"/>
      <c r="P37" s="69"/>
      <c r="Q37" s="70"/>
      <c r="R37" s="70"/>
      <c r="S37" s="70"/>
      <c r="T37" s="70"/>
      <c r="U37" s="70"/>
      <c r="V37" s="70"/>
      <c r="W37" s="70"/>
      <c r="X37" s="71"/>
      <c r="Y37" s="38"/>
      <c r="Z37" s="38"/>
      <c r="AA37" s="38"/>
      <c r="AB37" s="38"/>
      <c r="AC37" s="38"/>
    </row>
    <row r="38" spans="1:29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1:29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 spans="1:29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 spans="1:29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 spans="1:29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29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 spans="1:29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 spans="1:29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 spans="1:29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 spans="1:29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 spans="1:29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1:29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r="83" spans="1:29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</row>
    <row r="84" spans="1:29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</row>
    <row r="85" spans="1:29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</row>
    <row r="86" spans="1:29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</row>
    <row r="87" spans="1:29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spans="1:29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</row>
    <row r="89" spans="1:29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</row>
    <row r="90" spans="1:29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</row>
    <row r="91" spans="1:29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</row>
    <row r="92" spans="1:29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</row>
    <row r="93" spans="1:29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</row>
    <row r="94" spans="1:29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</row>
    <row r="95" spans="1:29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</row>
    <row r="96" spans="1:29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  <row r="97" spans="1:29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</row>
    <row r="98" spans="1:29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</row>
    <row r="99" spans="1:29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</row>
    <row r="100" spans="1:29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</row>
    <row r="101" spans="1:29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 spans="1:29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</row>
    <row r="103" spans="1:29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</row>
    <row r="104" spans="1:29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</row>
    <row r="105" spans="1:29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</row>
    <row r="106" spans="1:29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</row>
    <row r="107" spans="1:29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 spans="1:29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</row>
    <row r="109" spans="1:29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</row>
    <row r="110" spans="1:29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</row>
    <row r="111" spans="1:29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</row>
    <row r="112" spans="1:29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</row>
    <row r="113" spans="1:29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</row>
    <row r="114" spans="1:29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</row>
    <row r="115" spans="1:29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</row>
    <row r="116" spans="1:29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</row>
    <row r="117" spans="1:29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</row>
    <row r="118" spans="1:29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</row>
    <row r="119" spans="1:29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spans="1:29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</row>
    <row r="121" spans="1:29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</row>
    <row r="122" spans="1:29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</row>
    <row r="123" spans="1:29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</row>
    <row r="124" spans="1:29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</row>
    <row r="125" spans="1:29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 spans="1:29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</row>
    <row r="127" spans="1:29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</row>
    <row r="128" spans="1:29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 spans="1:29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</row>
    <row r="130" spans="1:29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 spans="1:29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 spans="1:29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</row>
    <row r="133" spans="1:29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</row>
    <row r="134" spans="1:29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</row>
    <row r="135" spans="1:29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</row>
    <row r="136" spans="1:29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</row>
    <row r="137" spans="1:29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</row>
    <row r="138" spans="1:29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</row>
    <row r="139" spans="1:29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</row>
    <row r="140" spans="1:29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</row>
    <row r="141" spans="1:29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</row>
    <row r="142" spans="1:29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</row>
    <row r="143" spans="1:29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</row>
    <row r="144" spans="1:29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</row>
    <row r="145" spans="1:29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spans="1:29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</row>
    <row r="147" spans="1:29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</row>
    <row r="148" spans="1:29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</row>
    <row r="149" spans="1:29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</row>
    <row r="150" spans="1:29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</row>
    <row r="151" spans="1:29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</row>
    <row r="152" spans="1:29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</row>
    <row r="153" spans="1:29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</row>
    <row r="154" spans="1:29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</row>
    <row r="155" spans="1:29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</row>
    <row r="156" spans="1:29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</row>
    <row r="157" spans="1:29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</row>
    <row r="158" spans="1:29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</row>
    <row r="159" spans="1:29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</row>
    <row r="160" spans="1:29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</row>
    <row r="161" spans="1:29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</row>
    <row r="162" spans="1:29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</row>
    <row r="163" spans="1:29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</row>
    <row r="164" spans="1:29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</row>
    <row r="165" spans="1:29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</row>
    <row r="166" spans="1:29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</row>
    <row r="167" spans="1:29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1:29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1:29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1:29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1:29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1:29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1:29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1:29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1:29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1:29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1:29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1:29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1:29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1:29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1:29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1:29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1:29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1:29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1:29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1:29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1:29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1:29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1:29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1:29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1:29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1:29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1:29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1:29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1:29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1:29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1:29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1:29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1:29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1" spans="1:29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</row>
    <row r="212" spans="1:29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</row>
    <row r="213" spans="1:29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</row>
    <row r="214" spans="1:29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1:29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</row>
    <row r="216" spans="1:29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</row>
    <row r="217" spans="1:29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</row>
    <row r="218" spans="1:29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</row>
    <row r="219" spans="1:29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</row>
    <row r="221" spans="1:29" ht="15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</row>
    <row r="222" spans="1:29" ht="15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</row>
    <row r="223" spans="1:29" ht="15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</row>
    <row r="224" spans="1:29" ht="15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73">
    <mergeCell ref="A36:B37"/>
    <mergeCell ref="C36:C37"/>
    <mergeCell ref="D36:F37"/>
    <mergeCell ref="G36:G37"/>
    <mergeCell ref="H36:I37"/>
    <mergeCell ref="T11:U11"/>
    <mergeCell ref="V11:X11"/>
    <mergeCell ref="P24:X37"/>
    <mergeCell ref="A8:C8"/>
    <mergeCell ref="A9:C9"/>
    <mergeCell ref="A10:X10"/>
    <mergeCell ref="D11:H11"/>
    <mergeCell ref="I11:M11"/>
    <mergeCell ref="N11:P11"/>
    <mergeCell ref="Q11:S11"/>
    <mergeCell ref="J36:J37"/>
    <mergeCell ref="K36:K37"/>
    <mergeCell ref="L36:L37"/>
    <mergeCell ref="M36:M37"/>
    <mergeCell ref="N36:N37"/>
    <mergeCell ref="O36:O37"/>
    <mergeCell ref="A3:C3"/>
    <mergeCell ref="D3:F3"/>
    <mergeCell ref="U3:X3"/>
    <mergeCell ref="K5:Q9"/>
    <mergeCell ref="R5:X9"/>
    <mergeCell ref="G3:J3"/>
    <mergeCell ref="K3:M3"/>
    <mergeCell ref="A4:C5"/>
    <mergeCell ref="D4:F4"/>
    <mergeCell ref="G4:J4"/>
    <mergeCell ref="K4:M4"/>
    <mergeCell ref="D5:J9"/>
    <mergeCell ref="A1:X1"/>
    <mergeCell ref="A2:B2"/>
    <mergeCell ref="D2:J2"/>
    <mergeCell ref="K2:Q2"/>
    <mergeCell ref="R2:X2"/>
    <mergeCell ref="N3:Q3"/>
    <mergeCell ref="R3:T3"/>
    <mergeCell ref="N4:Q4"/>
    <mergeCell ref="R4:T4"/>
    <mergeCell ref="U4:X4"/>
    <mergeCell ref="D33:F33"/>
    <mergeCell ref="D34:F34"/>
    <mergeCell ref="D35:F35"/>
    <mergeCell ref="D30:F30"/>
    <mergeCell ref="H30:I30"/>
    <mergeCell ref="D31:F31"/>
    <mergeCell ref="H31:I31"/>
    <mergeCell ref="D32:F32"/>
    <mergeCell ref="H32:I32"/>
    <mergeCell ref="H33:I33"/>
    <mergeCell ref="H34:I34"/>
    <mergeCell ref="H35:I35"/>
    <mergeCell ref="H28:I28"/>
    <mergeCell ref="H29:I29"/>
    <mergeCell ref="A6:C6"/>
    <mergeCell ref="A7:C7"/>
    <mergeCell ref="A11:B11"/>
    <mergeCell ref="D27:F27"/>
    <mergeCell ref="H27:I27"/>
    <mergeCell ref="D28:F28"/>
    <mergeCell ref="D29:F29"/>
    <mergeCell ref="H25:I25"/>
    <mergeCell ref="H26:I26"/>
    <mergeCell ref="A23:X23"/>
    <mergeCell ref="A24:I24"/>
    <mergeCell ref="J24:K24"/>
    <mergeCell ref="L24:M24"/>
    <mergeCell ref="N24:O24"/>
    <mergeCell ref="D25:F25"/>
    <mergeCell ref="D26:F26"/>
  </mergeCells>
  <conditionalFormatting sqref="I13:J22">
    <cfRule type="cellIs" dxfId="11" priority="1" operator="between">
      <formula>"0%"</formula>
      <formula>"2.OOO%"</formula>
    </cfRule>
  </conditionalFormatting>
  <conditionalFormatting sqref="T13:T22">
    <cfRule type="cellIs" dxfId="10" priority="2" operator="between">
      <formula>"0%"</formula>
      <formula>"20.00%"</formula>
    </cfRule>
  </conditionalFormatting>
  <conditionalFormatting sqref="T13:T22">
    <cfRule type="cellIs" dxfId="9" priority="3" operator="between">
      <formula>"20.01%"</formula>
      <formula>"50.00%"</formula>
    </cfRule>
  </conditionalFormatting>
  <conditionalFormatting sqref="T13:T22">
    <cfRule type="cellIs" dxfId="8" priority="4" operator="between">
      <formula>"50.00%"</formula>
      <formula>"100.00%"</formula>
    </cfRule>
  </conditionalFormatting>
  <conditionalFormatting sqref="T13:T22">
    <cfRule type="cellIs" dxfId="7" priority="5" operator="between">
      <formula>"100.00%"</formula>
      <formula>"200.00%"</formula>
    </cfRule>
  </conditionalFormatting>
  <conditionalFormatting sqref="T13:T22">
    <cfRule type="cellIs" dxfId="6" priority="6" operator="between">
      <formula>"200.00%"</formula>
      <formula>"700.00%"</formula>
    </cfRule>
  </conditionalFormatting>
  <conditionalFormatting sqref="T13:T22">
    <cfRule type="cellIs" dxfId="5" priority="7" operator="greaterThanOrEqual">
      <formula>"700.00%"</formula>
    </cfRule>
  </conditionalFormatting>
  <conditionalFormatting sqref="T13:T22">
    <cfRule type="cellIs" dxfId="4" priority="8" operator="between">
      <formula>-0.000009</formula>
      <formula>"-10%"</formula>
    </cfRule>
  </conditionalFormatting>
  <conditionalFormatting sqref="T13:T22">
    <cfRule type="cellIs" dxfId="3" priority="9" operator="between">
      <formula>"-10.00%"</formula>
      <formula>"-20%"</formula>
    </cfRule>
  </conditionalFormatting>
  <conditionalFormatting sqref="T13:T22">
    <cfRule type="cellIs" dxfId="2" priority="10" operator="between">
      <formula>"-20.00%"</formula>
      <formula>"-50.00%"</formula>
    </cfRule>
  </conditionalFormatting>
  <conditionalFormatting sqref="T13:T22">
    <cfRule type="cellIs" dxfId="1" priority="11" operator="greaterThanOrEqual">
      <formula>"-50.00%"</formula>
    </cfRule>
  </conditionalFormatting>
  <conditionalFormatting sqref="U13:U22">
    <cfRule type="containsText" dxfId="0" priority="12" operator="containsText" text="BUY">
      <formula>NOT(ISERROR(SEARCH(("BUY"),(U13))))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2025-02-13T05:18:34Z</dcterms:modified>
</cp:coreProperties>
</file>