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revorkellymckinnon/Downloads/"/>
    </mc:Choice>
  </mc:AlternateContent>
  <xr:revisionPtr revIDLastSave="0" documentId="13_ncr:1_{49F68538-6149-2042-A493-2F3C3FEEDB56}" xr6:coauthVersionLast="47" xr6:coauthVersionMax="47" xr10:uidLastSave="{00000000-0000-0000-0000-000000000000}"/>
  <bookViews>
    <workbookView xWindow="0" yWindow="0" windowWidth="51200" windowHeight="21600" xr2:uid="{00000000-000D-0000-FFFF-FFFF00000000}"/>
  </bookViews>
  <sheets>
    <sheet name="Market Revenue" sheetId="1" r:id="rId1"/>
    <sheet name="Product &amp; Segment Detail" sheetId="2" r:id="rId2"/>
  </sheets>
  <definedNames>
    <definedName name="company_name">'Market Revenue'!$G$10</definedName>
    <definedName name="initial_year">'Market Revenue'!$G$11</definedName>
    <definedName name="marketrev_range_prod_ids">'Market Revenue'!$B$53:$B$190</definedName>
    <definedName name="marketrev_range_seg_ids">'Market Revenue'!$C$53:$C$190</definedName>
    <definedName name="p1_unit_price">'Market Revenue'!$G$15</definedName>
    <definedName name="p2_unit_price">'Market Revenue'!$G$16</definedName>
    <definedName name="scenario">'Market Revenue'!$G$9</definedName>
    <definedName name="tam_range_prod_id">'Market Revenue'!$B$21:$B$50</definedName>
    <definedName name="tam_range_seg_ids">'Market Revenue'!$C$21:$C$50</definedName>
    <definedName name="units">'Market Revenue'!$G$12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/nF7P1mSPyyG4+opQmhmcjAdlWg=="/>
    </ext>
  </extLst>
</workbook>
</file>

<file path=xl/calcChain.xml><?xml version="1.0" encoding="utf-8"?>
<calcChain xmlns="http://schemas.openxmlformats.org/spreadsheetml/2006/main">
  <c r="F41" i="2" l="1"/>
  <c r="F40" i="2"/>
  <c r="F39" i="2"/>
  <c r="F38" i="2"/>
  <c r="E41" i="2"/>
  <c r="E40" i="2"/>
  <c r="E39" i="2"/>
  <c r="E38" i="2"/>
  <c r="E57" i="2"/>
  <c r="E49" i="2"/>
  <c r="E35" i="2"/>
  <c r="F63" i="2"/>
  <c r="F62" i="2"/>
  <c r="F61" i="2"/>
  <c r="F60" i="2"/>
  <c r="F55" i="2"/>
  <c r="F54" i="2"/>
  <c r="F53" i="2"/>
  <c r="F52" i="2"/>
  <c r="F33" i="2"/>
  <c r="F32" i="2"/>
  <c r="F31" i="2"/>
  <c r="F30" i="2"/>
  <c r="E27" i="2"/>
  <c r="E33" i="2"/>
  <c r="E32" i="2"/>
  <c r="E31" i="2"/>
  <c r="E30" i="2"/>
  <c r="E63" i="2"/>
  <c r="E62" i="2"/>
  <c r="E61" i="2"/>
  <c r="E60" i="2"/>
  <c r="E55" i="2"/>
  <c r="E54" i="2"/>
  <c r="E53" i="2"/>
  <c r="E52" i="2"/>
  <c r="B350" i="1"/>
  <c r="B349" i="1"/>
  <c r="B346" i="1"/>
  <c r="B345" i="1"/>
  <c r="B342" i="1"/>
  <c r="B341" i="1"/>
  <c r="B245" i="1"/>
  <c r="B244" i="1"/>
  <c r="B241" i="1"/>
  <c r="B240" i="1"/>
  <c r="I234" i="1"/>
  <c r="H234" i="1"/>
  <c r="G234" i="1"/>
  <c r="E300" i="1"/>
  <c r="B335" i="1" s="1"/>
  <c r="E335" i="1"/>
  <c r="C335" i="1" s="1"/>
  <c r="E334" i="1"/>
  <c r="C334" i="1" s="1"/>
  <c r="E333" i="1"/>
  <c r="C333" i="1" s="1"/>
  <c r="E332" i="1"/>
  <c r="C332" i="1" s="1"/>
  <c r="E329" i="1"/>
  <c r="C329" i="1" s="1"/>
  <c r="E328" i="1"/>
  <c r="C328" i="1" s="1"/>
  <c r="E327" i="1"/>
  <c r="C327" i="1" s="1"/>
  <c r="E326" i="1"/>
  <c r="C326" i="1" s="1"/>
  <c r="E323" i="1"/>
  <c r="C323" i="1" s="1"/>
  <c r="E322" i="1"/>
  <c r="C322" i="1" s="1"/>
  <c r="E321" i="1"/>
  <c r="C321" i="1" s="1"/>
  <c r="E320" i="1"/>
  <c r="C320" i="1" s="1"/>
  <c r="E317" i="1"/>
  <c r="C317" i="1" s="1"/>
  <c r="E316" i="1"/>
  <c r="C316" i="1" s="1"/>
  <c r="E315" i="1"/>
  <c r="C315" i="1" s="1"/>
  <c r="E314" i="1"/>
  <c r="C314" i="1" s="1"/>
  <c r="E311" i="1"/>
  <c r="C311" i="1" s="1"/>
  <c r="E310" i="1"/>
  <c r="C310" i="1" s="1"/>
  <c r="E309" i="1"/>
  <c r="C309" i="1" s="1"/>
  <c r="E308" i="1"/>
  <c r="C308" i="1" s="1"/>
  <c r="E305" i="1"/>
  <c r="C305" i="1" s="1"/>
  <c r="E304" i="1"/>
  <c r="C304" i="1" s="1"/>
  <c r="E303" i="1"/>
  <c r="C303" i="1" s="1"/>
  <c r="E302" i="1"/>
  <c r="C302" i="1" s="1"/>
  <c r="E298" i="1"/>
  <c r="C298" i="1" s="1"/>
  <c r="E297" i="1"/>
  <c r="C297" i="1" s="1"/>
  <c r="E296" i="1"/>
  <c r="C296" i="1" s="1"/>
  <c r="E295" i="1"/>
  <c r="C295" i="1" s="1"/>
  <c r="E292" i="1"/>
  <c r="C292" i="1" s="1"/>
  <c r="E291" i="1"/>
  <c r="C291" i="1" s="1"/>
  <c r="E290" i="1"/>
  <c r="C290" i="1" s="1"/>
  <c r="E289" i="1"/>
  <c r="C289" i="1" s="1"/>
  <c r="E286" i="1"/>
  <c r="C286" i="1" s="1"/>
  <c r="E285" i="1"/>
  <c r="C285" i="1" s="1"/>
  <c r="E284" i="1"/>
  <c r="C284" i="1" s="1"/>
  <c r="E283" i="1"/>
  <c r="C283" i="1" s="1"/>
  <c r="E280" i="1"/>
  <c r="C280" i="1" s="1"/>
  <c r="E279" i="1"/>
  <c r="C279" i="1" s="1"/>
  <c r="E278" i="1"/>
  <c r="C278" i="1" s="1"/>
  <c r="E277" i="1"/>
  <c r="C277" i="1" s="1"/>
  <c r="E274" i="1"/>
  <c r="C274" i="1" s="1"/>
  <c r="E273" i="1"/>
  <c r="C273" i="1" s="1"/>
  <c r="E272" i="1"/>
  <c r="C272" i="1" s="1"/>
  <c r="E271" i="1"/>
  <c r="C271" i="1" s="1"/>
  <c r="E268" i="1"/>
  <c r="C268" i="1" s="1"/>
  <c r="E267" i="1"/>
  <c r="C267" i="1" s="1"/>
  <c r="E266" i="1"/>
  <c r="C266" i="1" s="1"/>
  <c r="E265" i="1"/>
  <c r="C265" i="1" s="1"/>
  <c r="E263" i="1"/>
  <c r="B274" i="1" s="1"/>
  <c r="E204" i="1"/>
  <c r="B209" i="1" s="1"/>
  <c r="E195" i="1"/>
  <c r="B198" i="1" s="1"/>
  <c r="G192" i="1"/>
  <c r="H192" i="1" s="1"/>
  <c r="I192" i="1" s="1"/>
  <c r="J192" i="1" s="1"/>
  <c r="K192" i="1" s="1"/>
  <c r="L192" i="1" s="1"/>
  <c r="E175" i="1"/>
  <c r="C184" i="1" s="1"/>
  <c r="H185" i="1"/>
  <c r="I185" i="1" s="1"/>
  <c r="J185" i="1" s="1"/>
  <c r="K185" i="1" s="1"/>
  <c r="L185" i="1" s="1"/>
  <c r="H184" i="1"/>
  <c r="H182" i="1" s="1"/>
  <c r="H183" i="1"/>
  <c r="I183" i="1" s="1"/>
  <c r="J183" i="1" s="1"/>
  <c r="K183" i="1" s="1"/>
  <c r="L183" i="1" s="1"/>
  <c r="G182" i="1"/>
  <c r="E159" i="1"/>
  <c r="C168" i="1" s="1"/>
  <c r="H169" i="1"/>
  <c r="I169" i="1" s="1"/>
  <c r="J169" i="1" s="1"/>
  <c r="K169" i="1" s="1"/>
  <c r="L169" i="1" s="1"/>
  <c r="H168" i="1"/>
  <c r="H166" i="1" s="1"/>
  <c r="H167" i="1"/>
  <c r="I167" i="1" s="1"/>
  <c r="J167" i="1" s="1"/>
  <c r="K167" i="1" s="1"/>
  <c r="L167" i="1" s="1"/>
  <c r="G166" i="1"/>
  <c r="E143" i="1"/>
  <c r="C152" i="1" s="1"/>
  <c r="H153" i="1"/>
  <c r="I153" i="1" s="1"/>
  <c r="J153" i="1" s="1"/>
  <c r="K153" i="1" s="1"/>
  <c r="L153" i="1" s="1"/>
  <c r="H152" i="1"/>
  <c r="H150" i="1" s="1"/>
  <c r="H151" i="1"/>
  <c r="I151" i="1" s="1"/>
  <c r="J151" i="1" s="1"/>
  <c r="K151" i="1" s="1"/>
  <c r="L151" i="1" s="1"/>
  <c r="G150" i="1"/>
  <c r="G124" i="1"/>
  <c r="H124" i="1" s="1"/>
  <c r="I124" i="1" s="1"/>
  <c r="J124" i="1" s="1"/>
  <c r="K124" i="1" s="1"/>
  <c r="L124" i="1" s="1"/>
  <c r="D122" i="1"/>
  <c r="B141" i="1" s="1"/>
  <c r="H137" i="1"/>
  <c r="I137" i="1" s="1"/>
  <c r="J137" i="1" s="1"/>
  <c r="K137" i="1" s="1"/>
  <c r="L137" i="1" s="1"/>
  <c r="H136" i="1"/>
  <c r="I136" i="1" s="1"/>
  <c r="H135" i="1"/>
  <c r="I135" i="1" s="1"/>
  <c r="J135" i="1" s="1"/>
  <c r="K135" i="1" s="1"/>
  <c r="L135" i="1" s="1"/>
  <c r="G134" i="1"/>
  <c r="E127" i="1"/>
  <c r="C136" i="1" s="1"/>
  <c r="E106" i="1"/>
  <c r="C115" i="1" s="1"/>
  <c r="H116" i="1"/>
  <c r="I116" i="1" s="1"/>
  <c r="J116" i="1" s="1"/>
  <c r="K116" i="1" s="1"/>
  <c r="L116" i="1" s="1"/>
  <c r="H115" i="1"/>
  <c r="H113" i="1" s="1"/>
  <c r="H114" i="1"/>
  <c r="I114" i="1" s="1"/>
  <c r="J114" i="1" s="1"/>
  <c r="K114" i="1" s="1"/>
  <c r="L114" i="1" s="1"/>
  <c r="G113" i="1"/>
  <c r="E90" i="1"/>
  <c r="C99" i="1" s="1"/>
  <c r="H100" i="1"/>
  <c r="I100" i="1" s="1"/>
  <c r="J100" i="1" s="1"/>
  <c r="K100" i="1" s="1"/>
  <c r="L100" i="1" s="1"/>
  <c r="H99" i="1"/>
  <c r="I99" i="1" s="1"/>
  <c r="H98" i="1"/>
  <c r="I98" i="1" s="1"/>
  <c r="J98" i="1" s="1"/>
  <c r="K98" i="1" s="1"/>
  <c r="L98" i="1" s="1"/>
  <c r="G97" i="1"/>
  <c r="E74" i="1"/>
  <c r="C83" i="1" s="1"/>
  <c r="H84" i="1"/>
  <c r="I84" i="1" s="1"/>
  <c r="J84" i="1" s="1"/>
  <c r="K84" i="1" s="1"/>
  <c r="L84" i="1" s="1"/>
  <c r="H83" i="1"/>
  <c r="H81" i="1" s="1"/>
  <c r="H82" i="1"/>
  <c r="I82" i="1" s="1"/>
  <c r="J82" i="1" s="1"/>
  <c r="K82" i="1" s="1"/>
  <c r="L82" i="1" s="1"/>
  <c r="G81" i="1"/>
  <c r="G65" i="1"/>
  <c r="H66" i="1"/>
  <c r="I66" i="1" s="1"/>
  <c r="J66" i="1" s="1"/>
  <c r="K66" i="1" s="1"/>
  <c r="L66" i="1" s="1"/>
  <c r="H68" i="1"/>
  <c r="I68" i="1" s="1"/>
  <c r="J68" i="1" s="1"/>
  <c r="K68" i="1" s="1"/>
  <c r="L68" i="1" s="1"/>
  <c r="H67" i="1"/>
  <c r="I67" i="1" s="1"/>
  <c r="I65" i="1" s="1"/>
  <c r="E58" i="1"/>
  <c r="C68" i="1" s="1"/>
  <c r="G55" i="1"/>
  <c r="H55" i="1" s="1"/>
  <c r="I55" i="1" s="1"/>
  <c r="J55" i="1" s="1"/>
  <c r="K55" i="1" s="1"/>
  <c r="L55" i="1" s="1"/>
  <c r="E47" i="1"/>
  <c r="C47" i="1" s="1"/>
  <c r="E44" i="1"/>
  <c r="C44" i="1" s="1"/>
  <c r="E41" i="1"/>
  <c r="C41" i="1" s="1"/>
  <c r="E38" i="1"/>
  <c r="C38" i="1" s="1"/>
  <c r="E32" i="1"/>
  <c r="C32" i="1" s="1"/>
  <c r="E29" i="1"/>
  <c r="C29" i="1" s="1"/>
  <c r="E26" i="1"/>
  <c r="C26" i="1" s="1"/>
  <c r="E23" i="1"/>
  <c r="C23" i="1" s="1"/>
  <c r="D53" i="1"/>
  <c r="B55" i="1" s="1"/>
  <c r="D36" i="1"/>
  <c r="D21" i="1"/>
  <c r="B23" i="1" s="1"/>
  <c r="H47" i="1"/>
  <c r="I47" i="1" s="1"/>
  <c r="J47" i="1" s="1"/>
  <c r="K47" i="1" s="1"/>
  <c r="L47" i="1" s="1"/>
  <c r="N48" i="1" s="1"/>
  <c r="H44" i="1"/>
  <c r="I44" i="1" s="1"/>
  <c r="J44" i="1" s="1"/>
  <c r="K44" i="1" s="1"/>
  <c r="L44" i="1" s="1"/>
  <c r="N45" i="1" s="1"/>
  <c r="H41" i="1"/>
  <c r="I41" i="1" s="1"/>
  <c r="J41" i="1" s="1"/>
  <c r="K41" i="1" s="1"/>
  <c r="L41" i="1" s="1"/>
  <c r="N42" i="1" s="1"/>
  <c r="H38" i="1"/>
  <c r="I38" i="1" s="1"/>
  <c r="J38" i="1" s="1"/>
  <c r="K38" i="1" s="1"/>
  <c r="L38" i="1" s="1"/>
  <c r="N39" i="1" s="1"/>
  <c r="F349" i="1" l="1"/>
  <c r="F346" i="1"/>
  <c r="F342" i="1"/>
  <c r="F357" i="1"/>
  <c r="F362" i="1"/>
  <c r="F350" i="1"/>
  <c r="F358" i="1"/>
  <c r="F354" i="1"/>
  <c r="F341" i="1"/>
  <c r="F345" i="1"/>
  <c r="F353" i="1"/>
  <c r="F361" i="1"/>
  <c r="G339" i="1" a="1"/>
  <c r="G339" i="1" s="1"/>
  <c r="F257" i="1"/>
  <c r="F256" i="1"/>
  <c r="F253" i="1"/>
  <c r="F252" i="1"/>
  <c r="F249" i="1"/>
  <c r="F248" i="1"/>
  <c r="F245" i="1"/>
  <c r="F244" i="1"/>
  <c r="F236" i="1"/>
  <c r="F237" i="1"/>
  <c r="F240" i="1"/>
  <c r="F241" i="1"/>
  <c r="E227" i="1"/>
  <c r="E223" i="1"/>
  <c r="E229" i="1"/>
  <c r="E224" i="1"/>
  <c r="E230" i="1"/>
  <c r="E226" i="1"/>
  <c r="B302" i="1"/>
  <c r="B308" i="1"/>
  <c r="B314" i="1"/>
  <c r="B320" i="1"/>
  <c r="B326" i="1"/>
  <c r="B332" i="1"/>
  <c r="B303" i="1"/>
  <c r="B309" i="1"/>
  <c r="B315" i="1"/>
  <c r="B321" i="1"/>
  <c r="B327" i="1"/>
  <c r="B333" i="1"/>
  <c r="B304" i="1"/>
  <c r="B310" i="1"/>
  <c r="B316" i="1"/>
  <c r="B322" i="1"/>
  <c r="B328" i="1"/>
  <c r="B334" i="1"/>
  <c r="B305" i="1"/>
  <c r="B311" i="1"/>
  <c r="B317" i="1"/>
  <c r="B323" i="1"/>
  <c r="B329" i="1"/>
  <c r="B289" i="1"/>
  <c r="B295" i="1"/>
  <c r="B290" i="1"/>
  <c r="B296" i="1"/>
  <c r="B291" i="1"/>
  <c r="B297" i="1"/>
  <c r="B292" i="1"/>
  <c r="B298" i="1"/>
  <c r="B277" i="1"/>
  <c r="B283" i="1"/>
  <c r="B278" i="1"/>
  <c r="B284" i="1"/>
  <c r="B279" i="1"/>
  <c r="B285" i="1"/>
  <c r="B280" i="1"/>
  <c r="B286" i="1"/>
  <c r="B265" i="1"/>
  <c r="B271" i="1"/>
  <c r="B266" i="1"/>
  <c r="B272" i="1"/>
  <c r="B267" i="1"/>
  <c r="B273" i="1"/>
  <c r="B268" i="1"/>
  <c r="B207" i="1"/>
  <c r="B206" i="1"/>
  <c r="B211" i="1"/>
  <c r="B205" i="1"/>
  <c r="B210" i="1"/>
  <c r="B202" i="1"/>
  <c r="B200" i="1"/>
  <c r="B201" i="1"/>
  <c r="B196" i="1"/>
  <c r="B197" i="1"/>
  <c r="C183" i="1"/>
  <c r="B187" i="1"/>
  <c r="B188" i="1"/>
  <c r="B189" i="1"/>
  <c r="B176" i="1"/>
  <c r="B178" i="1"/>
  <c r="B179" i="1"/>
  <c r="I184" i="1"/>
  <c r="B185" i="1"/>
  <c r="C187" i="1"/>
  <c r="C188" i="1"/>
  <c r="C189" i="1"/>
  <c r="C181" i="1"/>
  <c r="C182" i="1"/>
  <c r="C176" i="1"/>
  <c r="C178" i="1"/>
  <c r="C179" i="1"/>
  <c r="B184" i="1"/>
  <c r="C185" i="1"/>
  <c r="B181" i="1"/>
  <c r="B182" i="1"/>
  <c r="B183" i="1"/>
  <c r="B171" i="1"/>
  <c r="B172" i="1"/>
  <c r="B173" i="1"/>
  <c r="C165" i="1"/>
  <c r="C166" i="1"/>
  <c r="C167" i="1"/>
  <c r="H134" i="1"/>
  <c r="B160" i="1"/>
  <c r="B162" i="1"/>
  <c r="B163" i="1"/>
  <c r="I168" i="1"/>
  <c r="B169" i="1"/>
  <c r="C171" i="1"/>
  <c r="C172" i="1"/>
  <c r="C173" i="1"/>
  <c r="C160" i="1"/>
  <c r="C162" i="1"/>
  <c r="C163" i="1"/>
  <c r="B168" i="1"/>
  <c r="C169" i="1"/>
  <c r="B165" i="1"/>
  <c r="B166" i="1"/>
  <c r="B167" i="1"/>
  <c r="B156" i="1"/>
  <c r="B157" i="1"/>
  <c r="B144" i="1"/>
  <c r="B146" i="1"/>
  <c r="B147" i="1"/>
  <c r="I152" i="1"/>
  <c r="B153" i="1"/>
  <c r="C155" i="1"/>
  <c r="C156" i="1"/>
  <c r="C157" i="1"/>
  <c r="C144" i="1"/>
  <c r="C146" i="1"/>
  <c r="C147" i="1"/>
  <c r="B152" i="1"/>
  <c r="C153" i="1"/>
  <c r="C149" i="1"/>
  <c r="C150" i="1"/>
  <c r="C151" i="1"/>
  <c r="B155" i="1"/>
  <c r="B149" i="1"/>
  <c r="B150" i="1"/>
  <c r="B151" i="1"/>
  <c r="B128" i="1"/>
  <c r="B139" i="1"/>
  <c r="B133" i="1"/>
  <c r="B134" i="1"/>
  <c r="B125" i="1"/>
  <c r="B137" i="1"/>
  <c r="B130" i="1"/>
  <c r="B135" i="1"/>
  <c r="B140" i="1"/>
  <c r="B124" i="1"/>
  <c r="B131" i="1"/>
  <c r="B136" i="1"/>
  <c r="I134" i="1"/>
  <c r="J136" i="1"/>
  <c r="C133" i="1"/>
  <c r="C134" i="1"/>
  <c r="C135" i="1"/>
  <c r="C139" i="1"/>
  <c r="C140" i="1"/>
  <c r="C141" i="1"/>
  <c r="C128" i="1"/>
  <c r="C130" i="1"/>
  <c r="C131" i="1"/>
  <c r="C137" i="1"/>
  <c r="B120" i="1"/>
  <c r="B118" i="1"/>
  <c r="B119" i="1"/>
  <c r="C112" i="1"/>
  <c r="C113" i="1"/>
  <c r="C114" i="1"/>
  <c r="B107" i="1"/>
  <c r="B109" i="1"/>
  <c r="B110" i="1"/>
  <c r="I115" i="1"/>
  <c r="B116" i="1"/>
  <c r="C118" i="1"/>
  <c r="C119" i="1"/>
  <c r="C120" i="1"/>
  <c r="H97" i="1"/>
  <c r="C107" i="1"/>
  <c r="C109" i="1"/>
  <c r="C110" i="1"/>
  <c r="B115" i="1"/>
  <c r="C116" i="1"/>
  <c r="B112" i="1"/>
  <c r="B113" i="1"/>
  <c r="B114" i="1"/>
  <c r="I97" i="1"/>
  <c r="J99" i="1"/>
  <c r="C96" i="1"/>
  <c r="C97" i="1"/>
  <c r="C98" i="1"/>
  <c r="B102" i="1"/>
  <c r="B103" i="1"/>
  <c r="B104" i="1"/>
  <c r="B91" i="1"/>
  <c r="B93" i="1"/>
  <c r="B94" i="1"/>
  <c r="B100" i="1"/>
  <c r="C102" i="1"/>
  <c r="C103" i="1"/>
  <c r="C104" i="1"/>
  <c r="C91" i="1"/>
  <c r="C93" i="1"/>
  <c r="C94" i="1"/>
  <c r="B99" i="1"/>
  <c r="C100" i="1"/>
  <c r="B96" i="1"/>
  <c r="B97" i="1"/>
  <c r="B98" i="1"/>
  <c r="B72" i="1"/>
  <c r="C80" i="1"/>
  <c r="C81" i="1"/>
  <c r="C82" i="1"/>
  <c r="B86" i="1"/>
  <c r="B87" i="1"/>
  <c r="B88" i="1"/>
  <c r="C72" i="1"/>
  <c r="B75" i="1"/>
  <c r="B77" i="1"/>
  <c r="B78" i="1"/>
  <c r="I83" i="1"/>
  <c r="B84" i="1"/>
  <c r="C86" i="1"/>
  <c r="C87" i="1"/>
  <c r="C88" i="1"/>
  <c r="C75" i="1"/>
  <c r="C77" i="1"/>
  <c r="C78" i="1"/>
  <c r="B83" i="1"/>
  <c r="C84" i="1"/>
  <c r="B80" i="1"/>
  <c r="B81" i="1"/>
  <c r="B82" i="1"/>
  <c r="C71" i="1"/>
  <c r="B71" i="1"/>
  <c r="H65" i="1"/>
  <c r="B62" i="1"/>
  <c r="B67" i="1"/>
  <c r="J67" i="1"/>
  <c r="C70" i="1"/>
  <c r="B59" i="1"/>
  <c r="B64" i="1"/>
  <c r="B68" i="1"/>
  <c r="C61" i="1"/>
  <c r="C66" i="1"/>
  <c r="C65" i="1"/>
  <c r="B70" i="1"/>
  <c r="B65" i="1"/>
  <c r="C62" i="1"/>
  <c r="C67" i="1"/>
  <c r="B61" i="1"/>
  <c r="B66" i="1"/>
  <c r="C59" i="1"/>
  <c r="C64" i="1"/>
  <c r="B56" i="1"/>
  <c r="B47" i="1"/>
  <c r="B38" i="1"/>
  <c r="B41" i="1"/>
  <c r="B44" i="1"/>
  <c r="B29" i="1"/>
  <c r="B26" i="1"/>
  <c r="B32" i="1"/>
  <c r="B362" i="1" l="1"/>
  <c r="B361" i="1"/>
  <c r="B357" i="1"/>
  <c r="B358" i="1"/>
  <c r="B354" i="1"/>
  <c r="B353" i="1"/>
  <c r="B257" i="1"/>
  <c r="B256" i="1"/>
  <c r="B253" i="1"/>
  <c r="B252" i="1"/>
  <c r="B249" i="1"/>
  <c r="B248" i="1"/>
  <c r="B236" i="1"/>
  <c r="B237" i="1"/>
  <c r="I128" i="1"/>
  <c r="I139" i="1" s="1"/>
  <c r="G107" i="1"/>
  <c r="G75" i="1"/>
  <c r="G266" i="1" s="1"/>
  <c r="G91" i="1"/>
  <c r="G59" i="1"/>
  <c r="K128" i="1"/>
  <c r="K139" i="1" s="1"/>
  <c r="H128" i="1"/>
  <c r="H139" i="1" s="1"/>
  <c r="L144" i="1"/>
  <c r="H144" i="1"/>
  <c r="K144" i="1"/>
  <c r="G144" i="1"/>
  <c r="J144" i="1"/>
  <c r="I144" i="1"/>
  <c r="G128" i="1"/>
  <c r="G139" i="1" s="1"/>
  <c r="L128" i="1"/>
  <c r="J160" i="1"/>
  <c r="I160" i="1"/>
  <c r="L160" i="1"/>
  <c r="H160" i="1"/>
  <c r="K160" i="1"/>
  <c r="G160" i="1"/>
  <c r="L176" i="1"/>
  <c r="H176" i="1"/>
  <c r="K176" i="1"/>
  <c r="G176" i="1"/>
  <c r="J176" i="1"/>
  <c r="I176" i="1"/>
  <c r="J128" i="1"/>
  <c r="J139" i="1" s="1"/>
  <c r="I182" i="1"/>
  <c r="J184" i="1"/>
  <c r="I166" i="1"/>
  <c r="J168" i="1"/>
  <c r="I150" i="1"/>
  <c r="J152" i="1"/>
  <c r="L139" i="1"/>
  <c r="K136" i="1"/>
  <c r="J134" i="1"/>
  <c r="I113" i="1"/>
  <c r="J115" i="1"/>
  <c r="K99" i="1"/>
  <c r="J97" i="1"/>
  <c r="I81" i="1"/>
  <c r="J83" i="1"/>
  <c r="K67" i="1"/>
  <c r="K65" i="1" s="1"/>
  <c r="J65" i="1"/>
  <c r="G52" i="1"/>
  <c r="H52" i="1" s="1"/>
  <c r="I52" i="1" s="1"/>
  <c r="J52" i="1" s="1"/>
  <c r="K52" i="1" s="1"/>
  <c r="L52" i="1" s="1"/>
  <c r="G20" i="1"/>
  <c r="H20" i="1" s="1"/>
  <c r="I20" i="1" s="1"/>
  <c r="J20" i="1" s="1"/>
  <c r="K20" i="1" s="1"/>
  <c r="L20" i="1" s="1"/>
  <c r="H32" i="1"/>
  <c r="H107" i="1" s="1"/>
  <c r="H29" i="1"/>
  <c r="H91" i="1" s="1"/>
  <c r="H26" i="1"/>
  <c r="H75" i="1" s="1"/>
  <c r="H266" i="1" s="1"/>
  <c r="H23" i="1"/>
  <c r="H59" i="1" s="1"/>
  <c r="H265" i="1" s="1"/>
  <c r="H268" i="1" l="1"/>
  <c r="G267" i="1"/>
  <c r="G268" i="1"/>
  <c r="H267" i="1"/>
  <c r="G265" i="1"/>
  <c r="H302" i="1"/>
  <c r="G302" i="1"/>
  <c r="H303" i="1"/>
  <c r="G304" i="1"/>
  <c r="G305" i="1"/>
  <c r="G303" i="1"/>
  <c r="H304" i="1"/>
  <c r="H305" i="1"/>
  <c r="H205" i="1"/>
  <c r="G205" i="1"/>
  <c r="G196" i="1"/>
  <c r="H196" i="1"/>
  <c r="I178" i="1"/>
  <c r="I187" i="1"/>
  <c r="G178" i="1"/>
  <c r="G187" i="1"/>
  <c r="H187" i="1"/>
  <c r="H178" i="1"/>
  <c r="K178" i="1"/>
  <c r="K187" i="1"/>
  <c r="L187" i="1"/>
  <c r="L178" i="1"/>
  <c r="K184" i="1"/>
  <c r="J182" i="1"/>
  <c r="J178" i="1"/>
  <c r="J187" i="1"/>
  <c r="L171" i="1"/>
  <c r="L162" i="1"/>
  <c r="G162" i="1"/>
  <c r="G171" i="1"/>
  <c r="I171" i="1"/>
  <c r="I162" i="1"/>
  <c r="K162" i="1"/>
  <c r="K171" i="1"/>
  <c r="H171" i="1"/>
  <c r="H162" i="1"/>
  <c r="K168" i="1"/>
  <c r="J166" i="1"/>
  <c r="J162" i="1"/>
  <c r="J171" i="1"/>
  <c r="K152" i="1"/>
  <c r="J150" i="1"/>
  <c r="J146" i="1"/>
  <c r="J155" i="1"/>
  <c r="K130" i="1"/>
  <c r="H155" i="1"/>
  <c r="H146" i="1"/>
  <c r="I146" i="1"/>
  <c r="I155" i="1"/>
  <c r="G146" i="1"/>
  <c r="G155" i="1"/>
  <c r="L155" i="1"/>
  <c r="L146" i="1"/>
  <c r="K146" i="1"/>
  <c r="K155" i="1"/>
  <c r="H130" i="1"/>
  <c r="H102" i="1"/>
  <c r="H93" i="1"/>
  <c r="H86" i="1"/>
  <c r="H77" i="1"/>
  <c r="H118" i="1"/>
  <c r="H109" i="1"/>
  <c r="H317" i="1" s="1"/>
  <c r="G77" i="1"/>
  <c r="G86" i="1"/>
  <c r="G109" i="1"/>
  <c r="G118" i="1"/>
  <c r="G61" i="1"/>
  <c r="G70" i="1"/>
  <c r="G130" i="1"/>
  <c r="G93" i="1"/>
  <c r="G102" i="1"/>
  <c r="I130" i="1"/>
  <c r="J130" i="1"/>
  <c r="K134" i="1"/>
  <c r="L136" i="1"/>
  <c r="L134" i="1" s="1"/>
  <c r="K115" i="1"/>
  <c r="J113" i="1"/>
  <c r="K97" i="1"/>
  <c r="L99" i="1"/>
  <c r="L97" i="1" s="1"/>
  <c r="K83" i="1"/>
  <c r="J81" i="1"/>
  <c r="L67" i="1"/>
  <c r="L65" i="1" s="1"/>
  <c r="H70" i="1"/>
  <c r="I26" i="1"/>
  <c r="I75" i="1" s="1"/>
  <c r="I32" i="1"/>
  <c r="I107" i="1" s="1"/>
  <c r="I23" i="1"/>
  <c r="I59" i="1" s="1"/>
  <c r="I29" i="1"/>
  <c r="I91" i="1" s="1"/>
  <c r="G316" i="1" l="1"/>
  <c r="G214" i="1"/>
  <c r="H214" i="1"/>
  <c r="G314" i="1"/>
  <c r="H315" i="1"/>
  <c r="G317" i="1"/>
  <c r="G315" i="1"/>
  <c r="H316" i="1"/>
  <c r="I266" i="1"/>
  <c r="I303" i="1"/>
  <c r="G271" i="1"/>
  <c r="G308" i="1"/>
  <c r="G272" i="1"/>
  <c r="G309" i="1"/>
  <c r="H272" i="1"/>
  <c r="H309" i="1"/>
  <c r="I267" i="1"/>
  <c r="I304" i="1"/>
  <c r="H271" i="1"/>
  <c r="H308" i="1"/>
  <c r="I265" i="1"/>
  <c r="I302" i="1"/>
  <c r="G273" i="1"/>
  <c r="G310" i="1"/>
  <c r="G274" i="1"/>
  <c r="G311" i="1"/>
  <c r="I268" i="1"/>
  <c r="I305" i="1"/>
  <c r="H274" i="1"/>
  <c r="H311" i="1"/>
  <c r="H273" i="1"/>
  <c r="H310" i="1"/>
  <c r="H278" i="1"/>
  <c r="G277" i="1"/>
  <c r="G278" i="1"/>
  <c r="G279" i="1"/>
  <c r="H280" i="1"/>
  <c r="H279" i="1"/>
  <c r="G280" i="1"/>
  <c r="G206" i="1"/>
  <c r="I140" i="1"/>
  <c r="H140" i="1"/>
  <c r="J140" i="1"/>
  <c r="G140" i="1"/>
  <c r="K140" i="1"/>
  <c r="H200" i="1"/>
  <c r="H209" i="1"/>
  <c r="I205" i="1"/>
  <c r="G200" i="1"/>
  <c r="G236" i="1" s="1"/>
  <c r="G209" i="1"/>
  <c r="G237" i="1" s="1"/>
  <c r="G197" i="1"/>
  <c r="I196" i="1"/>
  <c r="H133" i="1"/>
  <c r="K182" i="1"/>
  <c r="K181" i="1" s="1"/>
  <c r="K189" i="1" s="1"/>
  <c r="L184" i="1"/>
  <c r="L182" i="1" s="1"/>
  <c r="L181" i="1" s="1"/>
  <c r="L189" i="1" s="1"/>
  <c r="K188" i="1"/>
  <c r="G188" i="1"/>
  <c r="G181" i="1"/>
  <c r="G189" i="1" s="1"/>
  <c r="L188" i="1"/>
  <c r="H188" i="1"/>
  <c r="H181" i="1"/>
  <c r="H189" i="1" s="1"/>
  <c r="J181" i="1"/>
  <c r="J189" i="1" s="1"/>
  <c r="J188" i="1"/>
  <c r="I181" i="1"/>
  <c r="I189" i="1" s="1"/>
  <c r="I188" i="1"/>
  <c r="K166" i="1"/>
  <c r="K165" i="1" s="1"/>
  <c r="K173" i="1" s="1"/>
  <c r="L168" i="1"/>
  <c r="L166" i="1" s="1"/>
  <c r="L165" i="1" s="1"/>
  <c r="L173" i="1" s="1"/>
  <c r="K172" i="1"/>
  <c r="G172" i="1"/>
  <c r="G165" i="1"/>
  <c r="G173" i="1" s="1"/>
  <c r="H172" i="1"/>
  <c r="H165" i="1"/>
  <c r="H173" i="1" s="1"/>
  <c r="I165" i="1"/>
  <c r="I173" i="1" s="1"/>
  <c r="I172" i="1"/>
  <c r="L172" i="1"/>
  <c r="J165" i="1"/>
  <c r="J173" i="1" s="1"/>
  <c r="J172" i="1"/>
  <c r="K133" i="1"/>
  <c r="I149" i="1"/>
  <c r="I157" i="1" s="1"/>
  <c r="I156" i="1"/>
  <c r="H156" i="1"/>
  <c r="H149" i="1"/>
  <c r="H157" i="1" s="1"/>
  <c r="J149" i="1"/>
  <c r="J157" i="1" s="1"/>
  <c r="J156" i="1"/>
  <c r="K156" i="1"/>
  <c r="G156" i="1"/>
  <c r="G149" i="1"/>
  <c r="G157" i="1" s="1"/>
  <c r="L156" i="1"/>
  <c r="L152" i="1"/>
  <c r="L150" i="1" s="1"/>
  <c r="L149" i="1" s="1"/>
  <c r="L157" i="1" s="1"/>
  <c r="K150" i="1"/>
  <c r="K149" i="1" s="1"/>
  <c r="K157" i="1" s="1"/>
  <c r="I77" i="1"/>
  <c r="I315" i="1" s="1"/>
  <c r="I86" i="1"/>
  <c r="G80" i="1"/>
  <c r="G87" i="1"/>
  <c r="G321" i="1" s="1"/>
  <c r="H87" i="1"/>
  <c r="H80" i="1"/>
  <c r="I102" i="1"/>
  <c r="I93" i="1"/>
  <c r="I316" i="1" s="1"/>
  <c r="G133" i="1"/>
  <c r="G71" i="1"/>
  <c r="G320" i="1" s="1"/>
  <c r="G64" i="1"/>
  <c r="I70" i="1"/>
  <c r="G112" i="1"/>
  <c r="G119" i="1"/>
  <c r="H119" i="1"/>
  <c r="H112" i="1"/>
  <c r="H292" i="1" s="1"/>
  <c r="H103" i="1"/>
  <c r="H322" i="1" s="1"/>
  <c r="H96" i="1"/>
  <c r="H291" i="1" s="1"/>
  <c r="I118" i="1"/>
  <c r="I109" i="1"/>
  <c r="I317" i="1" s="1"/>
  <c r="G103" i="1"/>
  <c r="G96" i="1"/>
  <c r="G291" i="1" s="1"/>
  <c r="J133" i="1"/>
  <c r="L130" i="1"/>
  <c r="I133" i="1"/>
  <c r="K113" i="1"/>
  <c r="L115" i="1"/>
  <c r="L113" i="1" s="1"/>
  <c r="K81" i="1"/>
  <c r="L83" i="1"/>
  <c r="L81" i="1" s="1"/>
  <c r="H61" i="1"/>
  <c r="H314" i="1" s="1"/>
  <c r="J29" i="1"/>
  <c r="J91" i="1" s="1"/>
  <c r="J32" i="1"/>
  <c r="J107" i="1" s="1"/>
  <c r="J23" i="1"/>
  <c r="J59" i="1" s="1"/>
  <c r="J26" i="1"/>
  <c r="J75" i="1" s="1"/>
  <c r="I214" i="1" l="1"/>
  <c r="G215" i="1"/>
  <c r="G322" i="1"/>
  <c r="H321" i="1"/>
  <c r="H218" i="1"/>
  <c r="H224" i="1" s="1"/>
  <c r="G218" i="1"/>
  <c r="G224" i="1" s="1"/>
  <c r="H323" i="1"/>
  <c r="G323" i="1"/>
  <c r="G326" i="1"/>
  <c r="J265" i="1"/>
  <c r="J302" i="1"/>
  <c r="J266" i="1"/>
  <c r="J303" i="1"/>
  <c r="J268" i="1"/>
  <c r="J305" i="1"/>
  <c r="I274" i="1"/>
  <c r="I311" i="1"/>
  <c r="I273" i="1"/>
  <c r="I310" i="1"/>
  <c r="G88" i="1"/>
  <c r="G333" i="1" s="1"/>
  <c r="G327" i="1"/>
  <c r="G289" i="1"/>
  <c r="G104" i="1"/>
  <c r="G334" i="1" s="1"/>
  <c r="G328" i="1"/>
  <c r="H104" i="1"/>
  <c r="H334" i="1" s="1"/>
  <c r="H328" i="1"/>
  <c r="H88" i="1"/>
  <c r="H333" i="1" s="1"/>
  <c r="H327" i="1"/>
  <c r="I272" i="1"/>
  <c r="I309" i="1"/>
  <c r="J267" i="1"/>
  <c r="J304" i="1"/>
  <c r="G120" i="1"/>
  <c r="G335" i="1" s="1"/>
  <c r="G329" i="1"/>
  <c r="G292" i="1"/>
  <c r="G290" i="1"/>
  <c r="H120" i="1"/>
  <c r="H335" i="1" s="1"/>
  <c r="H329" i="1"/>
  <c r="I271" i="1"/>
  <c r="I308" i="1"/>
  <c r="H290" i="1"/>
  <c r="H286" i="1"/>
  <c r="H277" i="1"/>
  <c r="G286" i="1"/>
  <c r="G298" i="1"/>
  <c r="G283" i="1"/>
  <c r="G297" i="1"/>
  <c r="G285" i="1"/>
  <c r="H285" i="1"/>
  <c r="H284" i="1"/>
  <c r="H296" i="1"/>
  <c r="I278" i="1"/>
  <c r="I280" i="1"/>
  <c r="I279" i="1"/>
  <c r="G284" i="1"/>
  <c r="J205" i="1"/>
  <c r="H206" i="1"/>
  <c r="I141" i="1"/>
  <c r="G141" i="1"/>
  <c r="L140" i="1"/>
  <c r="K141" i="1"/>
  <c r="J141" i="1"/>
  <c r="H141" i="1"/>
  <c r="G210" i="1"/>
  <c r="H237" i="1" s="1"/>
  <c r="G207" i="1"/>
  <c r="I200" i="1"/>
  <c r="I209" i="1"/>
  <c r="G201" i="1"/>
  <c r="H236" i="1" s="1"/>
  <c r="H197" i="1"/>
  <c r="H215" i="1" s="1"/>
  <c r="G198" i="1"/>
  <c r="J196" i="1"/>
  <c r="G72" i="1"/>
  <c r="I61" i="1"/>
  <c r="I314" i="1" s="1"/>
  <c r="J86" i="1"/>
  <c r="J77" i="1"/>
  <c r="J315" i="1" s="1"/>
  <c r="I119" i="1"/>
  <c r="I323" i="1" s="1"/>
  <c r="I112" i="1"/>
  <c r="I103" i="1"/>
  <c r="I322" i="1" s="1"/>
  <c r="I96" i="1"/>
  <c r="I291" i="1" s="1"/>
  <c r="J109" i="1"/>
  <c r="J317" i="1" s="1"/>
  <c r="J118" i="1"/>
  <c r="J70" i="1"/>
  <c r="J93" i="1"/>
  <c r="J316" i="1" s="1"/>
  <c r="J102" i="1"/>
  <c r="I87" i="1"/>
  <c r="I321" i="1" s="1"/>
  <c r="I80" i="1"/>
  <c r="I290" i="1" s="1"/>
  <c r="L133" i="1"/>
  <c r="H64" i="1"/>
  <c r="H326" i="1" s="1"/>
  <c r="H71" i="1"/>
  <c r="H320" i="1" s="1"/>
  <c r="J61" i="1"/>
  <c r="J314" i="1" s="1"/>
  <c r="K29" i="1"/>
  <c r="K91" i="1" s="1"/>
  <c r="K26" i="1"/>
  <c r="K75" i="1" s="1"/>
  <c r="K23" i="1"/>
  <c r="K59" i="1" s="1"/>
  <c r="K32" i="1"/>
  <c r="K107" i="1" s="1"/>
  <c r="H223" i="1" l="1"/>
  <c r="G223" i="1"/>
  <c r="G219" i="1"/>
  <c r="G227" i="1" s="1"/>
  <c r="G296" i="1"/>
  <c r="J214" i="1"/>
  <c r="G216" i="1"/>
  <c r="I218" i="1"/>
  <c r="I223" i="1" s="1"/>
  <c r="H297" i="1"/>
  <c r="H298" i="1"/>
  <c r="G332" i="1"/>
  <c r="G342" i="1" s="1" a="1"/>
  <c r="G342" i="1" s="1"/>
  <c r="K342" i="1" s="1"/>
  <c r="K266" i="1"/>
  <c r="K303" i="1"/>
  <c r="J274" i="1"/>
  <c r="J311" i="1"/>
  <c r="I120" i="1"/>
  <c r="I335" i="1" s="1"/>
  <c r="I329" i="1"/>
  <c r="G295" i="1"/>
  <c r="H289" i="1"/>
  <c r="J273" i="1"/>
  <c r="J310" i="1"/>
  <c r="K268" i="1"/>
  <c r="K305" i="1"/>
  <c r="K267" i="1"/>
  <c r="K304" i="1"/>
  <c r="I104" i="1"/>
  <c r="I334" i="1" s="1"/>
  <c r="I328" i="1"/>
  <c r="I292" i="1"/>
  <c r="K265" i="1"/>
  <c r="K302" i="1"/>
  <c r="I88" i="1"/>
  <c r="I333" i="1" s="1"/>
  <c r="I327" i="1"/>
  <c r="J271" i="1"/>
  <c r="J308" i="1"/>
  <c r="J272" i="1"/>
  <c r="J309" i="1"/>
  <c r="H283" i="1"/>
  <c r="I284" i="1"/>
  <c r="I277" i="1"/>
  <c r="J280" i="1"/>
  <c r="I286" i="1"/>
  <c r="J279" i="1"/>
  <c r="J278" i="1"/>
  <c r="J277" i="1"/>
  <c r="I285" i="1"/>
  <c r="I206" i="1"/>
  <c r="H207" i="1"/>
  <c r="L141" i="1"/>
  <c r="G202" i="1"/>
  <c r="I236" i="1" s="1"/>
  <c r="J236" i="1" s="1"/>
  <c r="G211" i="1"/>
  <c r="I237" i="1" s="1"/>
  <c r="J237" i="1" s="1"/>
  <c r="K205" i="1"/>
  <c r="J206" i="1"/>
  <c r="J200" i="1"/>
  <c r="J209" i="1"/>
  <c r="H201" i="1"/>
  <c r="H210" i="1"/>
  <c r="K196" i="1"/>
  <c r="J197" i="1"/>
  <c r="I64" i="1"/>
  <c r="I326" i="1" s="1"/>
  <c r="I197" i="1"/>
  <c r="H72" i="1"/>
  <c r="H332" i="1" s="1"/>
  <c r="G346" i="1" s="1" a="1"/>
  <c r="G346" i="1" s="1"/>
  <c r="K346" i="1" s="1"/>
  <c r="H198" i="1"/>
  <c r="I71" i="1"/>
  <c r="I320" i="1" s="1"/>
  <c r="K93" i="1"/>
  <c r="K316" i="1" s="1"/>
  <c r="K102" i="1"/>
  <c r="J103" i="1"/>
  <c r="J322" i="1" s="1"/>
  <c r="J96" i="1"/>
  <c r="J291" i="1" s="1"/>
  <c r="K70" i="1"/>
  <c r="J119" i="1"/>
  <c r="J323" i="1" s="1"/>
  <c r="J112" i="1"/>
  <c r="K109" i="1"/>
  <c r="K317" i="1" s="1"/>
  <c r="K118" i="1"/>
  <c r="K77" i="1"/>
  <c r="K315" i="1" s="1"/>
  <c r="K86" i="1"/>
  <c r="J87" i="1"/>
  <c r="J321" i="1" s="1"/>
  <c r="J80" i="1"/>
  <c r="J64" i="1"/>
  <c r="J326" i="1" s="1"/>
  <c r="J71" i="1"/>
  <c r="J320" i="1" s="1"/>
  <c r="L23" i="1"/>
  <c r="L59" i="1" s="1"/>
  <c r="L32" i="1"/>
  <c r="L107" i="1" s="1"/>
  <c r="L29" i="1"/>
  <c r="L91" i="1" s="1"/>
  <c r="L26" i="1"/>
  <c r="L75" i="1" s="1"/>
  <c r="G341" i="1" l="1" a="1"/>
  <c r="G341" i="1" s="1"/>
  <c r="K341" i="1" s="1"/>
  <c r="G226" i="1"/>
  <c r="I224" i="1"/>
  <c r="K214" i="1"/>
  <c r="I215" i="1"/>
  <c r="H216" i="1"/>
  <c r="J215" i="1"/>
  <c r="H219" i="1"/>
  <c r="H226" i="1" s="1"/>
  <c r="J218" i="1"/>
  <c r="G220" i="1"/>
  <c r="G230" i="1" s="1"/>
  <c r="I298" i="1"/>
  <c r="I296" i="1"/>
  <c r="I297" i="1"/>
  <c r="K272" i="1"/>
  <c r="K309" i="1"/>
  <c r="J120" i="1"/>
  <c r="J335" i="1" s="1"/>
  <c r="J329" i="1"/>
  <c r="L267" i="1"/>
  <c r="L304" i="1"/>
  <c r="L268" i="1"/>
  <c r="L305" i="1"/>
  <c r="L265" i="1"/>
  <c r="L302" i="1"/>
  <c r="K273" i="1"/>
  <c r="K310" i="1"/>
  <c r="I289" i="1"/>
  <c r="L266" i="1"/>
  <c r="L303" i="1"/>
  <c r="J88" i="1"/>
  <c r="J333" i="1" s="1"/>
  <c r="J327" i="1"/>
  <c r="K274" i="1"/>
  <c r="K311" i="1"/>
  <c r="K271" i="1"/>
  <c r="K308" i="1"/>
  <c r="J290" i="1"/>
  <c r="H295" i="1"/>
  <c r="G345" i="1" s="1" a="1"/>
  <c r="G345" i="1" s="1"/>
  <c r="K345" i="1" s="1"/>
  <c r="J104" i="1"/>
  <c r="J334" i="1" s="1"/>
  <c r="J328" i="1"/>
  <c r="J289" i="1"/>
  <c r="J292" i="1"/>
  <c r="J296" i="1"/>
  <c r="J284" i="1"/>
  <c r="K280" i="1"/>
  <c r="I283" i="1"/>
  <c r="J283" i="1"/>
  <c r="J285" i="1"/>
  <c r="K278" i="1"/>
  <c r="J286" i="1"/>
  <c r="K279" i="1"/>
  <c r="I207" i="1"/>
  <c r="K209" i="1"/>
  <c r="I201" i="1"/>
  <c r="I210" i="1"/>
  <c r="J201" i="1"/>
  <c r="J210" i="1"/>
  <c r="L205" i="1"/>
  <c r="J207" i="1"/>
  <c r="H202" i="1"/>
  <c r="G240" i="1" s="1" a="1"/>
  <c r="G240" i="1" s="1"/>
  <c r="J240" i="1" s="1"/>
  <c r="H211" i="1"/>
  <c r="G241" i="1" s="1" a="1"/>
  <c r="G241" i="1" s="1"/>
  <c r="J241" i="1" s="1"/>
  <c r="K200" i="1"/>
  <c r="I72" i="1"/>
  <c r="I332" i="1" s="1"/>
  <c r="G350" i="1" s="1" a="1"/>
  <c r="G350" i="1" s="1"/>
  <c r="K350" i="1" s="1"/>
  <c r="I198" i="1"/>
  <c r="I216" i="1" s="1"/>
  <c r="L196" i="1"/>
  <c r="J72" i="1"/>
  <c r="J332" i="1" s="1"/>
  <c r="J198" i="1"/>
  <c r="K87" i="1"/>
  <c r="K321" i="1" s="1"/>
  <c r="K80" i="1"/>
  <c r="K290" i="1" s="1"/>
  <c r="L86" i="1"/>
  <c r="L77" i="1"/>
  <c r="L315" i="1" s="1"/>
  <c r="L102" i="1"/>
  <c r="L93" i="1"/>
  <c r="L316" i="1" s="1"/>
  <c r="L118" i="1"/>
  <c r="L109" i="1"/>
  <c r="L317" i="1" s="1"/>
  <c r="K61" i="1"/>
  <c r="K314" i="1" s="1"/>
  <c r="K119" i="1"/>
  <c r="K323" i="1" s="1"/>
  <c r="K112" i="1"/>
  <c r="K292" i="1" s="1"/>
  <c r="K103" i="1"/>
  <c r="K322" i="1" s="1"/>
  <c r="K96" i="1"/>
  <c r="N24" i="1"/>
  <c r="L70" i="1"/>
  <c r="N33" i="1"/>
  <c r="N30" i="1"/>
  <c r="N27" i="1"/>
  <c r="G354" i="1" l="1" a="1"/>
  <c r="G354" i="1" s="1"/>
  <c r="K354" i="1" s="1"/>
  <c r="J223" i="1"/>
  <c r="J224" i="1"/>
  <c r="G229" i="1"/>
  <c r="H227" i="1"/>
  <c r="J216" i="1"/>
  <c r="K218" i="1"/>
  <c r="J298" i="1"/>
  <c r="H220" i="1"/>
  <c r="H229" i="1" s="1"/>
  <c r="J219" i="1"/>
  <c r="J227" i="1" s="1"/>
  <c r="I219" i="1"/>
  <c r="I227" i="1" s="1"/>
  <c r="L214" i="1"/>
  <c r="J297" i="1"/>
  <c r="K104" i="1"/>
  <c r="K334" i="1" s="1"/>
  <c r="K328" i="1"/>
  <c r="L273" i="1"/>
  <c r="L310" i="1"/>
  <c r="K291" i="1"/>
  <c r="L271" i="1"/>
  <c r="L308" i="1"/>
  <c r="K120" i="1"/>
  <c r="K335" i="1" s="1"/>
  <c r="K329" i="1"/>
  <c r="L274" i="1"/>
  <c r="L311" i="1"/>
  <c r="L272" i="1"/>
  <c r="L309" i="1"/>
  <c r="J295" i="1"/>
  <c r="K88" i="1"/>
  <c r="K333" i="1" s="1"/>
  <c r="K327" i="1"/>
  <c r="I295" i="1"/>
  <c r="G349" i="1" s="1" a="1"/>
  <c r="G349" i="1" s="1"/>
  <c r="K349" i="1" s="1"/>
  <c r="K285" i="1"/>
  <c r="L280" i="1"/>
  <c r="L278" i="1"/>
  <c r="K286" i="1"/>
  <c r="L279" i="1"/>
  <c r="K277" i="1"/>
  <c r="K284" i="1"/>
  <c r="K206" i="1"/>
  <c r="I202" i="1"/>
  <c r="G244" i="1" s="1" a="1"/>
  <c r="G244" i="1" s="1"/>
  <c r="J244" i="1" s="1"/>
  <c r="I211" i="1"/>
  <c r="G245" i="1" s="1" a="1"/>
  <c r="G245" i="1" s="1"/>
  <c r="J245" i="1" s="1"/>
  <c r="L200" i="1"/>
  <c r="L209" i="1"/>
  <c r="J202" i="1"/>
  <c r="G248" i="1" s="1" a="1"/>
  <c r="G248" i="1" s="1"/>
  <c r="J248" i="1" s="1"/>
  <c r="J211" i="1"/>
  <c r="K64" i="1"/>
  <c r="K326" i="1" s="1"/>
  <c r="K197" i="1"/>
  <c r="L119" i="1"/>
  <c r="L323" i="1" s="1"/>
  <c r="L112" i="1"/>
  <c r="L87" i="1"/>
  <c r="L321" i="1" s="1"/>
  <c r="L80" i="1"/>
  <c r="K71" i="1"/>
  <c r="K320" i="1" s="1"/>
  <c r="L103" i="1"/>
  <c r="L322" i="1" s="1"/>
  <c r="L96" i="1"/>
  <c r="L61" i="1"/>
  <c r="L314" i="1" s="1"/>
  <c r="G353" i="1" l="1" a="1"/>
  <c r="G353" i="1" s="1"/>
  <c r="K353" i="1" s="1"/>
  <c r="K223" i="1"/>
  <c r="K215" i="1"/>
  <c r="K224" i="1"/>
  <c r="I226" i="1"/>
  <c r="J226" i="1"/>
  <c r="H230" i="1"/>
  <c r="K298" i="1"/>
  <c r="K296" i="1"/>
  <c r="J220" i="1"/>
  <c r="J230" i="1" s="1"/>
  <c r="I220" i="1"/>
  <c r="I230" i="1" s="1"/>
  <c r="K297" i="1"/>
  <c r="L218" i="1"/>
  <c r="L88" i="1"/>
  <c r="L333" i="1" s="1"/>
  <c r="L327" i="1"/>
  <c r="K289" i="1"/>
  <c r="L104" i="1"/>
  <c r="L334" i="1" s="1"/>
  <c r="L328" i="1"/>
  <c r="L290" i="1"/>
  <c r="L120" i="1"/>
  <c r="L335" i="1" s="1"/>
  <c r="L329" i="1"/>
  <c r="L291" i="1"/>
  <c r="L292" i="1"/>
  <c r="K283" i="1"/>
  <c r="L286" i="1"/>
  <c r="L277" i="1"/>
  <c r="L284" i="1"/>
  <c r="L285" i="1"/>
  <c r="L206" i="1"/>
  <c r="K207" i="1"/>
  <c r="K201" i="1"/>
  <c r="K210" i="1"/>
  <c r="L197" i="1"/>
  <c r="L215" i="1" s="1"/>
  <c r="K72" i="1"/>
  <c r="K332" i="1" s="1"/>
  <c r="G358" i="1" s="1" a="1"/>
  <c r="G358" i="1" s="1"/>
  <c r="K358" i="1" s="1"/>
  <c r="K198" i="1"/>
  <c r="L64" i="1"/>
  <c r="L326" i="1" s="1"/>
  <c r="L71" i="1"/>
  <c r="L320" i="1" s="1"/>
  <c r="L297" i="1" l="1"/>
  <c r="L296" i="1"/>
  <c r="L223" i="1"/>
  <c r="G249" i="1" a="1"/>
  <c r="G249" i="1" s="1"/>
  <c r="J249" i="1" s="1"/>
  <c r="I229" i="1"/>
  <c r="J229" i="1"/>
  <c r="L224" i="1"/>
  <c r="K216" i="1"/>
  <c r="K219" i="1"/>
  <c r="L298" i="1"/>
  <c r="L289" i="1"/>
  <c r="K295" i="1"/>
  <c r="G357" i="1" s="1" a="1"/>
  <c r="G357" i="1" s="1"/>
  <c r="K357" i="1" s="1"/>
  <c r="L283" i="1"/>
  <c r="L207" i="1"/>
  <c r="K202" i="1"/>
  <c r="G252" i="1" s="1" a="1"/>
  <c r="G252" i="1" s="1"/>
  <c r="J252" i="1" s="1"/>
  <c r="K211" i="1"/>
  <c r="L201" i="1"/>
  <c r="L210" i="1"/>
  <c r="L72" i="1"/>
  <c r="L332" i="1" s="1"/>
  <c r="G362" i="1" s="1" a="1"/>
  <c r="G362" i="1" s="1"/>
  <c r="K362" i="1" s="1"/>
  <c r="L198" i="1"/>
  <c r="K226" i="1" l="1"/>
  <c r="K227" i="1"/>
  <c r="L216" i="1"/>
  <c r="L219" i="1"/>
  <c r="K220" i="1"/>
  <c r="K230" i="1" s="1"/>
  <c r="L295" i="1"/>
  <c r="G361" i="1" s="1" a="1"/>
  <c r="G361" i="1" s="1"/>
  <c r="K361" i="1" s="1"/>
  <c r="L202" i="1"/>
  <c r="G256" i="1" s="1" a="1"/>
  <c r="G256" i="1" s="1"/>
  <c r="J256" i="1" s="1"/>
  <c r="L211" i="1"/>
  <c r="G253" i="1" l="1" a="1"/>
  <c r="G253" i="1" s="1"/>
  <c r="J253" i="1" s="1"/>
  <c r="L227" i="1"/>
  <c r="L226" i="1"/>
  <c r="K229" i="1"/>
  <c r="L220" i="1"/>
  <c r="L230" i="1" s="1"/>
  <c r="G257" i="1" l="1" a="1"/>
  <c r="G257" i="1" s="1"/>
  <c r="J257" i="1" s="1"/>
  <c r="L22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<sst xmlns="http://schemas.openxmlformats.org/spreadsheetml/2006/main" count="419" uniqueCount="95">
  <si>
    <t>Initial Forecast Year</t>
  </si>
  <si>
    <t>Units:</t>
  </si>
  <si>
    <t>Projected:</t>
  </si>
  <si>
    <t>#</t>
  </si>
  <si>
    <t>CAGR</t>
  </si>
  <si>
    <t>% Change</t>
  </si>
  <si>
    <t>%</t>
  </si>
  <si>
    <t>Price per Unit</t>
  </si>
  <si>
    <t>$</t>
  </si>
  <si>
    <t>TAM Units</t>
  </si>
  <si>
    <t>SAM Units</t>
  </si>
  <si>
    <t>SOM Units</t>
  </si>
  <si>
    <t>TAM Revenue</t>
  </si>
  <si>
    <t>SAM Revenue</t>
  </si>
  <si>
    <t>SOM Revenue</t>
  </si>
  <si>
    <t>Market Revenue Summary</t>
  </si>
  <si>
    <t>By Product</t>
  </si>
  <si>
    <t>Totals</t>
  </si>
  <si>
    <t>Total</t>
  </si>
  <si>
    <t>Market Revenue Model</t>
  </si>
  <si>
    <t>Xample Co</t>
  </si>
  <si>
    <t>Total Adressable Market</t>
  </si>
  <si>
    <t>Units</t>
  </si>
  <si>
    <t>Segment 1</t>
  </si>
  <si>
    <t>Segment</t>
  </si>
  <si>
    <t>Segment 2</t>
  </si>
  <si>
    <t>Segment 3</t>
  </si>
  <si>
    <t>Segment 4</t>
  </si>
  <si>
    <t>Company Name</t>
  </si>
  <si>
    <t>Name</t>
  </si>
  <si>
    <t>Year</t>
  </si>
  <si>
    <t>General</t>
  </si>
  <si>
    <t>Product 1</t>
  </si>
  <si>
    <t>Product 2</t>
  </si>
  <si>
    <t>Unit Pricing</t>
  </si>
  <si>
    <t>**Line items have corresponding named ranges for initial values</t>
  </si>
  <si>
    <t>Case Scenario</t>
  </si>
  <si>
    <t>Scenario</t>
  </si>
  <si>
    <t>Base</t>
  </si>
  <si>
    <t>Product</t>
  </si>
  <si>
    <t>ID</t>
  </si>
  <si>
    <t>P1</t>
  </si>
  <si>
    <t>P2</t>
  </si>
  <si>
    <t>S1</t>
  </si>
  <si>
    <t>S2</t>
  </si>
  <si>
    <t>S3</t>
  </si>
  <si>
    <t>S4</t>
  </si>
  <si>
    <t>…</t>
  </si>
  <si>
    <t>Seg_ID</t>
  </si>
  <si>
    <t>Product IDs are indexed through column "B" of "Market Revenue" sheet</t>
  </si>
  <si>
    <t>Segment IDs are indexed through column "C" of "Market Revenue" sheet</t>
  </si>
  <si>
    <t>{What's the product; quick description}</t>
  </si>
  <si>
    <t>Market Revenue - TAM / SAM / SOM</t>
  </si>
  <si>
    <t>% SAM of TAM</t>
  </si>
  <si>
    <t>Upside</t>
  </si>
  <si>
    <t>Downside</t>
  </si>
  <si>
    <t>By Product &amp; Segment</t>
  </si>
  <si>
    <t>-</t>
  </si>
  <si>
    <t>Revenue Composition</t>
  </si>
  <si>
    <t>Charting</t>
  </si>
  <si>
    <t>TAM Unaddressed</t>
  </si>
  <si>
    <t>Product &amp; Segment Detail</t>
  </si>
  <si>
    <t>Product_1</t>
  </si>
  <si>
    <t>Product_2</t>
  </si>
  <si>
    <t>{Segment could be region, customer type, end-platform}</t>
  </si>
  <si>
    <t>Driver Element</t>
  </si>
  <si>
    <t>Description</t>
  </si>
  <si>
    <t>{ e.g. X-competitor monopolized segment; high barrier to entry}</t>
  </si>
  <si>
    <t>{ e.g. fragmented + high demand + established segment }</t>
  </si>
  <si>
    <t>{ e.g. fragmented + high growth segment }</t>
  </si>
  <si>
    <t>{ …}</t>
  </si>
  <si>
    <t>SAM</t>
  </si>
  <si>
    <t>Drivers Discussion &amp; Guidance</t>
  </si>
  <si>
    <t>Discussion</t>
  </si>
  <si>
    <t>Guidance</t>
  </si>
  <si>
    <r>
      <t xml:space="preserve">&gt;&gt; What are target SAM / SOM acquisition %s for </t>
    </r>
    <r>
      <rPr>
        <b/>
        <i/>
        <sz val="12"/>
        <color rgb="FF000000"/>
        <rFont val="Arial"/>
        <family val="2"/>
        <scheme val="minor"/>
      </rPr>
      <t>final forecast period.</t>
    </r>
  </si>
  <si>
    <t>SAM / SOM Drivers</t>
  </si>
  <si>
    <t>SOM Base</t>
  </si>
  <si>
    <t>SOM Upside</t>
  </si>
  <si>
    <t>SOM Downside</t>
  </si>
  <si>
    <t>Guidance %</t>
  </si>
  <si>
    <t>Overview</t>
  </si>
  <si>
    <t>TAM Drivers</t>
  </si>
  <si>
    <r>
      <t xml:space="preserve">&gt;&gt; Discussion &amp; guidance of </t>
    </r>
    <r>
      <rPr>
        <b/>
        <sz val="12"/>
        <color rgb="FF000000"/>
        <rFont val="Arial"/>
        <family val="2"/>
        <scheme val="minor"/>
      </rPr>
      <t xml:space="preserve">Total Addressable Market (TAM) </t>
    </r>
    <r>
      <rPr>
        <sz val="12"/>
        <color rgb="FF000000"/>
        <rFont val="Arial"/>
        <family val="2"/>
        <scheme val="minor"/>
      </rPr>
      <t>drivers</t>
    </r>
  </si>
  <si>
    <r>
      <t xml:space="preserve">&gt;&gt; Discussion &amp; guidance of company-specific </t>
    </r>
    <r>
      <rPr>
        <b/>
        <sz val="12"/>
        <color rgb="FF000000"/>
        <rFont val="Arial"/>
        <family val="2"/>
        <scheme val="minor"/>
      </rPr>
      <t xml:space="preserve">SAM / SOM acquisition </t>
    </r>
    <r>
      <rPr>
        <sz val="12"/>
        <color rgb="FF000000"/>
        <rFont val="Arial"/>
        <family val="2"/>
        <scheme val="minor"/>
      </rPr>
      <t>drivers</t>
    </r>
  </si>
  <si>
    <t>&gt;&gt; What macro factors are driving the (i) overall TAM and (ii) segment-level TAM</t>
  </si>
  <si>
    <t>&gt;&gt; What macro + micro factors are driving SAM / SOM revenues (i) generally and (ii) at the segment level</t>
  </si>
  <si>
    <t>TAM Initial</t>
  </si>
  <si>
    <t>TAM Growth</t>
  </si>
  <si>
    <r>
      <t xml:space="preserve">&gt;&gt; What are the estimated </t>
    </r>
    <r>
      <rPr>
        <b/>
        <i/>
        <sz val="12"/>
        <color rgb="FF000000"/>
        <rFont val="Arial"/>
        <family val="2"/>
        <scheme val="minor"/>
      </rPr>
      <t>initial TAM</t>
    </r>
    <r>
      <rPr>
        <i/>
        <sz val="12"/>
        <color rgb="FF000000"/>
        <rFont val="Arial"/>
        <family val="2"/>
        <scheme val="minor"/>
      </rPr>
      <t xml:space="preserve"> and the </t>
    </r>
    <r>
      <rPr>
        <b/>
        <i/>
        <sz val="12"/>
        <color rgb="FF000000"/>
        <rFont val="Arial"/>
        <family val="2"/>
        <scheme val="minor"/>
      </rPr>
      <t>TAM Growth %</t>
    </r>
    <r>
      <rPr>
        <i/>
        <sz val="12"/>
        <color rgb="FF000000"/>
        <rFont val="Arial"/>
        <family val="2"/>
        <scheme val="minor"/>
      </rPr>
      <t xml:space="preserve"> by final forecast period</t>
    </r>
  </si>
  <si>
    <t>Sources</t>
  </si>
  <si>
    <r>
      <t xml:space="preserve">e.g. X </t>
    </r>
    <r>
      <rPr>
        <i/>
        <sz val="12"/>
        <color rgb="FF000000"/>
        <rFont val="Arial"/>
        <family val="2"/>
        <scheme val="minor"/>
      </rPr>
      <t>research report, excerpt ABC</t>
    </r>
  </si>
  <si>
    <t>{ e.g. historically high demand for x type of product, y demographic, etc. }</t>
  </si>
  <si>
    <t>General Assumptions &amp; Initial Values</t>
  </si>
  <si>
    <t>% SOM of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</si>
</sst>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(* #,##0_);_(* \(#,##0\);_(* &quot;-&quot;_);_(@_)"/>
    <numFmt numFmtId="164" formatCode="_-[$£-809]* #,##0.0_-;\-[$£-809]* #,##0.0_-;_-[$£-809]* &quot;-&quot;?_-;_-@"/>
    <numFmt numFmtId="165" formatCode="yyyy"/>
    <numFmt numFmtId="166" formatCode="0.0%;\(0.0%\)"/>
    <numFmt numFmtId="167" formatCode="&quot;FY&quot;yy"/>
    <numFmt numFmtId="168" formatCode="#,##0.0"/>
    <numFmt numFmtId="169" formatCode="0.0%"/>
    <numFmt numFmtId="170" formatCode="_(* #,##0.0_);_(* \(#,##0.0\);_(* &quot;-&quot;_);_(@_)"/>
  </numFmts>
  <fonts count="29" x14ac:knownFonts="1">
    <font>
      <sz val="10"/>
      <color rgb="FF000000"/>
      <name val="Arial"/>
      <scheme val="minor"/>
    </font>
    <font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i/>
      <sz val="12"/>
      <color rgb="FFFFFFFF"/>
      <name val="Arial"/>
      <family val="2"/>
    </font>
    <font>
      <sz val="12"/>
      <color rgb="FF0000FF"/>
      <name val="Arial"/>
      <family val="2"/>
    </font>
    <font>
      <sz val="12"/>
      <color rgb="FF0000FF"/>
      <name val="Calibri"/>
      <family val="2"/>
    </font>
    <font>
      <b/>
      <i/>
      <sz val="12"/>
      <color rgb="FFFFFFFF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2"/>
      <color rgb="FF000000"/>
      <name val="Arial"/>
      <family val="2"/>
    </font>
    <font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sz val="12"/>
      <color rgb="FF000000"/>
      <name val="Arial"/>
      <family val="2"/>
      <scheme val="minor"/>
    </font>
    <font>
      <sz val="12"/>
      <name val="Arial"/>
      <family val="2"/>
    </font>
    <font>
      <i/>
      <sz val="12"/>
      <color rgb="FF000000"/>
      <name val="Arial"/>
      <family val="2"/>
      <scheme val="minor"/>
    </font>
    <font>
      <sz val="12"/>
      <color rgb="FFFF0000"/>
      <name val="Arial"/>
      <family val="2"/>
    </font>
    <font>
      <b/>
      <sz val="12"/>
      <color rgb="FF000000"/>
      <name val="Arial"/>
      <family val="2"/>
      <scheme val="minor"/>
    </font>
    <font>
      <sz val="12"/>
      <color rgb="FF0600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0600FF"/>
      <name val="Arial"/>
      <family val="2"/>
      <scheme val="minor"/>
    </font>
    <font>
      <sz val="12"/>
      <color rgb="FF0600FF"/>
      <name val="Arial"/>
      <family val="2"/>
    </font>
    <font>
      <b/>
      <sz val="12"/>
      <color rgb="FF0000FF"/>
      <name val="Arial"/>
      <family val="2"/>
    </font>
    <font>
      <b/>
      <u/>
      <sz val="12"/>
      <color rgb="FF0600FF"/>
      <name val="Arial"/>
      <family val="2"/>
      <scheme val="minor"/>
    </font>
    <font>
      <sz val="12"/>
      <color rgb="FF0B0BFF"/>
      <name val="Arial"/>
      <family val="2"/>
      <scheme val="minor"/>
    </font>
    <font>
      <b/>
      <sz val="12"/>
      <color rgb="FF0B0BFF"/>
      <name val="Arial"/>
      <family val="2"/>
      <scheme val="minor"/>
    </font>
    <font>
      <b/>
      <i/>
      <sz val="12"/>
      <color rgb="FF000000"/>
      <name val="Arial"/>
      <family val="2"/>
      <scheme val="minor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83C92"/>
        <bgColor rgb="FF083C92"/>
      </patternFill>
    </fill>
    <fill>
      <patternFill patternType="solid">
        <fgColor rgb="FFFFFF99"/>
        <bgColor rgb="FFFFFF99"/>
      </patternFill>
    </fill>
    <fill>
      <patternFill patternType="solid">
        <fgColor rgb="FFFEE1CC"/>
        <bgColor rgb="FFFEE1C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5" borderId="2" applyNumberFormat="0" applyFont="0" applyAlignment="0" applyProtection="0"/>
    <xf numFmtId="9" fontId="19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/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67" fontId="2" fillId="2" borderId="7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3" fontId="5" fillId="3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166" fontId="6" fillId="3" borderId="2" xfId="0" applyNumberFormat="1" applyFont="1" applyFill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/>
    </xf>
    <xf numFmtId="4" fontId="5" fillId="3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1" fontId="8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69" fontId="12" fillId="0" borderId="0" xfId="0" applyNumberFormat="1" applyFont="1" applyAlignment="1">
      <alignment vertical="center"/>
    </xf>
    <xf numFmtId="169" fontId="1" fillId="0" borderId="0" xfId="0" applyNumberFormat="1" applyFont="1" applyAlignment="1">
      <alignment vertical="center"/>
    </xf>
    <xf numFmtId="9" fontId="12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3" fillId="0" borderId="0" xfId="0" applyFont="1" applyAlignment="1"/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5" fillId="0" borderId="0" xfId="0" applyFont="1" applyAlignment="1"/>
    <xf numFmtId="0" fontId="18" fillId="0" borderId="0" xfId="0" applyFont="1" applyAlignment="1">
      <alignment vertical="center"/>
    </xf>
    <xf numFmtId="170" fontId="1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20" fillId="0" borderId="0" xfId="0" applyFont="1" applyAlignment="1">
      <alignment vertical="center"/>
    </xf>
    <xf numFmtId="41" fontId="21" fillId="0" borderId="0" xfId="0" applyNumberFormat="1" applyFont="1" applyAlignment="1">
      <alignment vertical="center"/>
    </xf>
    <xf numFmtId="166" fontId="5" fillId="3" borderId="2" xfId="0" applyNumberFormat="1" applyFont="1" applyFill="1" applyBorder="1" applyAlignment="1">
      <alignment horizontal="center" vertical="center"/>
    </xf>
    <xf numFmtId="166" fontId="5" fillId="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2"/>
    </xf>
    <xf numFmtId="165" fontId="22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2"/>
    </xf>
    <xf numFmtId="0" fontId="23" fillId="0" borderId="0" xfId="0" applyFont="1" applyAlignment="1">
      <alignment vertical="center"/>
    </xf>
    <xf numFmtId="9" fontId="1" fillId="0" borderId="0" xfId="2" applyFont="1" applyAlignment="1">
      <alignment vertical="center"/>
    </xf>
    <xf numFmtId="0" fontId="21" fillId="0" borderId="0" xfId="0" applyFont="1" applyAlignment="1">
      <alignment horizontal="left" vertical="center" indent="1"/>
    </xf>
    <xf numFmtId="167" fontId="8" fillId="0" borderId="0" xfId="0" applyNumberFormat="1" applyFont="1" applyAlignment="1">
      <alignment horizontal="left" vertical="center" indent="1"/>
    </xf>
    <xf numFmtId="167" fontId="8" fillId="0" borderId="3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5" fillId="0" borderId="0" xfId="0" applyFont="1" applyAlignment="1"/>
    <xf numFmtId="0" fontId="24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9" fontId="13" fillId="0" borderId="0" xfId="0" applyNumberFormat="1" applyFont="1" applyAlignment="1"/>
    <xf numFmtId="0" fontId="2" fillId="2" borderId="4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27" fillId="0" borderId="0" xfId="0" applyFont="1"/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28" fillId="0" borderId="0" xfId="0" applyFont="1"/>
    <xf numFmtId="0" fontId="28" fillId="0" borderId="0" xfId="0" applyFont="1" applyAlignment="1"/>
  </cellXfs>
  <cellStyles count="3">
    <cellStyle name="Normal" xfId="0" builtinId="0"/>
    <cellStyle name="Note 2" xfId="1" xr:uid="{3580969B-7CC1-B641-8FF8-8142082EDD55}"/>
    <cellStyle name="Percent" xfId="2" builtinId="5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B0BFF"/>
        <name val="Arial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B0BFF"/>
        <name val="Arial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B0BFF"/>
        <name val="Arial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B0BFF"/>
        <name val="Arial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B0BFF"/>
        <name val="Arial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B0BFF"/>
        <name val="Arial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Opportunities Data-style" pivot="0" count="3" xr9:uid="{00000000-0011-0000-FFFF-FFFF00000000}">
      <tableStyleElement type="headerRow" dxfId="65"/>
      <tableStyleElement type="firstRowStripe" dxfId="64"/>
      <tableStyleElement type="secondRowStripe" dxfId="63"/>
    </tableStyle>
    <tableStyle name="Detail Tables-style" pivot="0" count="3" xr9:uid="{00000000-0011-0000-FFFF-FFFF01000000}">
      <tableStyleElement type="headerRow" dxfId="62"/>
      <tableStyleElement type="firstRowStripe" dxfId="61"/>
      <tableStyleElement type="secondRowStripe" dxfId="60"/>
    </tableStyle>
    <tableStyle name="Detail Tables-style 2" pivot="0" count="3" xr9:uid="{00000000-0011-0000-FFFF-FFFF02000000}">
      <tableStyleElement type="headerRow" dxfId="59"/>
      <tableStyleElement type="firstRowStripe" dxfId="58"/>
      <tableStyleElement type="secondRowStripe" dxfId="57"/>
    </tableStyle>
    <tableStyle name="Detail Tables-style 3" pivot="0" count="3" xr9:uid="{00000000-0011-0000-FFFF-FFFF03000000}">
      <tableStyleElement type="headerRow" dxfId="56"/>
      <tableStyleElement type="firstRowStripe" dxfId="55"/>
      <tableStyleElement type="secondRowStripe" dxfId="54"/>
    </tableStyle>
    <tableStyle name="Detail Tables-style 4" pivot="0" count="3" xr9:uid="{00000000-0011-0000-FFFF-FFFF04000000}">
      <tableStyleElement type="headerRow" dxfId="53"/>
      <tableStyleElement type="firstRowStripe" dxfId="52"/>
      <tableStyleElement type="secondRowStripe" dxfId="51"/>
    </tableStyle>
    <tableStyle name="Detail Tables-style 5" pivot="0" count="3" xr9:uid="{00000000-0011-0000-FFFF-FFFF05000000}">
      <tableStyleElement type="headerRow" dxfId="50"/>
      <tableStyleElement type="firstRowStripe" dxfId="49"/>
      <tableStyleElement type="secondRowStripe" dxfId="48"/>
    </tableStyle>
    <tableStyle name="Detail Tables-style 6" pivot="0" count="3" xr9:uid="{00000000-0011-0000-FFFF-FFFF06000000}">
      <tableStyleElement type="headerRow" dxfId="47"/>
      <tableStyleElement type="firstRowStripe" dxfId="46"/>
      <tableStyleElement type="secondRowStripe" dxfId="45"/>
    </tableStyle>
    <tableStyle name="Detail Tables-style 7" pivot="0" count="3" xr9:uid="{00000000-0011-0000-FFFF-FFFF07000000}">
      <tableStyleElement type="headerRow" dxfId="44"/>
      <tableStyleElement type="firstRowStripe" dxfId="43"/>
      <tableStyleElement type="secondRowStripe" dxfId="42"/>
    </tableStyle>
  </tableStyles>
  <colors>
    <mruColors>
      <color rgb="FF0B0BFF"/>
      <color rgb="FF0600FF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 Revenue by Product ($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'Market Revenue'!$E$195</c:f>
              <c:strCache>
                <c:ptCount val="1"/>
                <c:pt idx="0">
                  <c:v>Product_1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'Market Revenue'!$G$192:$L$192</c:f>
              <c:numCache>
                <c:formatCode>"FY"yy</c:formatCode>
                <c:ptCount val="6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</c:numCache>
            </c:numRef>
          </c:cat>
          <c:val>
            <c:numRef>
              <c:f>'Market Revenue'!$G$200:$L$200</c:f>
              <c:numCache>
                <c:formatCode>_(* #,##0_);_(* \(#,##0\);_(* "-"_);_(@_)</c:formatCode>
                <c:ptCount val="6"/>
                <c:pt idx="0">
                  <c:v>57500</c:v>
                </c:pt>
                <c:pt idx="1">
                  <c:v>59450</c:v>
                </c:pt>
                <c:pt idx="2">
                  <c:v>62625.5</c:v>
                </c:pt>
                <c:pt idx="3">
                  <c:v>67751.977500000008</c:v>
                </c:pt>
                <c:pt idx="4">
                  <c:v>71206.980750000002</c:v>
                </c:pt>
                <c:pt idx="5">
                  <c:v>73707.205353750003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9C-F244-99E0-C8A58C2ABB3B}"/>
            </c:ext>
          </c:extLst>
        </c:ser>
        <c:ser>
          <c:idx val="14"/>
          <c:order val="1"/>
          <c:tx>
            <c:strRef>
              <c:f>'Market Revenue'!$E$204</c:f>
              <c:strCache>
                <c:ptCount val="1"/>
                <c:pt idx="0">
                  <c:v>Product_2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'Market Revenue'!$G$192:$L$192</c:f>
              <c:numCache>
                <c:formatCode>"FY"yy</c:formatCode>
                <c:ptCount val="6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  <c:pt idx="5">
                  <c:v>47118</c:v>
                </c:pt>
              </c:numCache>
            </c:numRef>
          </c:cat>
          <c:val>
            <c:numRef>
              <c:f>'Market Revenue'!$G$209:$L$209</c:f>
              <c:numCache>
                <c:formatCode>_(* #,##0_);_(* \(#,##0\);_(* "-"_);_(@_)</c:formatCode>
                <c:ptCount val="6"/>
                <c:pt idx="0">
                  <c:v>42437.5</c:v>
                </c:pt>
                <c:pt idx="1">
                  <c:v>43925</c:v>
                </c:pt>
                <c:pt idx="2">
                  <c:v>45462.9</c:v>
                </c:pt>
                <c:pt idx="3">
                  <c:v>47079.312000000005</c:v>
                </c:pt>
                <c:pt idx="4">
                  <c:v>48853.131600000001</c:v>
                </c:pt>
                <c:pt idx="5">
                  <c:v>50660.508979499995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A9C-F244-99E0-C8A58C2A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6932335"/>
        <c:axId val="1766933983"/>
      </c:barChart>
      <c:lineChart>
        <c:grouping val="standard"/>
        <c:varyColors val="0"/>
        <c:ser>
          <c:idx val="0"/>
          <c:order val="2"/>
          <c:tx>
            <c:strRef>
              <c:f>'Market Revenue'!$E$218</c:f>
              <c:strCache>
                <c:ptCount val="1"/>
                <c:pt idx="0">
                  <c:v>TAM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'Market Revenue'!$G$218:$L$218</c:f>
              <c:numCache>
                <c:formatCode>_(* #,##0_);_(* \(#,##0\);_(* "-"_);_(@_)</c:formatCode>
                <c:ptCount val="6"/>
                <c:pt idx="0">
                  <c:v>99937.5</c:v>
                </c:pt>
                <c:pt idx="1">
                  <c:v>103375</c:v>
                </c:pt>
                <c:pt idx="2">
                  <c:v>108088.4</c:v>
                </c:pt>
                <c:pt idx="3">
                  <c:v>114831.28950000001</c:v>
                </c:pt>
                <c:pt idx="4">
                  <c:v>120060.11235000001</c:v>
                </c:pt>
                <c:pt idx="5">
                  <c:v>124367.71433325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A9C-F244-99E0-C8A58C2A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932335"/>
        <c:axId val="1766933983"/>
      </c:lineChart>
      <c:catAx>
        <c:axId val="1766932335"/>
        <c:scaling>
          <c:orientation val="minMax"/>
        </c:scaling>
        <c:delete val="0"/>
        <c:axPos val="b"/>
        <c:numFmt formatCode="&quot;FY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33983"/>
        <c:crosses val="autoZero"/>
        <c:auto val="1"/>
        <c:lblAlgn val="ctr"/>
        <c:lblOffset val="100"/>
        <c:noMultiLvlLbl val="0"/>
      </c:catAx>
      <c:valAx>
        <c:axId val="1766933983"/>
        <c:scaling>
          <c:orientation val="minMax"/>
          <c:max val="140000"/>
          <c:min val="0"/>
        </c:scaling>
        <c:delete val="1"/>
        <c:axPos val="l"/>
        <c:numFmt formatCode="_(&quot;$&quot;* #,##0_);_(&quot;$&quot;* \(#,##0\);_(&quot;$&quot;* &quot;-&quot;_);_(@_)" sourceLinked="0"/>
        <c:majorTickMark val="none"/>
        <c:minorTickMark val="none"/>
        <c:tickLblPos val="nextTo"/>
        <c:crossAx val="1766932335"/>
        <c:crosses val="autoZero"/>
        <c:crossBetween val="between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TAM / SAM / SOM Revenues by Product ($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'Market Revenue'!$I$234</c:f>
              <c:strCache>
                <c:ptCount val="1"/>
                <c:pt idx="0">
                  <c:v> SOM Revenue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'Market Revenue'!$E$235:$F$257</c:f>
              <c:multiLvlStrCache>
                <c:ptCount val="23"/>
                <c:lvl>
                  <c:pt idx="1">
                    <c:v>Product_1</c:v>
                  </c:pt>
                  <c:pt idx="2">
                    <c:v>Product_2</c:v>
                  </c:pt>
                  <c:pt idx="5">
                    <c:v>Product_1</c:v>
                  </c:pt>
                  <c:pt idx="6">
                    <c:v>Product_2</c:v>
                  </c:pt>
                  <c:pt idx="9">
                    <c:v>Product_1</c:v>
                  </c:pt>
                  <c:pt idx="10">
                    <c:v>Product_2</c:v>
                  </c:pt>
                  <c:pt idx="13">
                    <c:v>Product_1</c:v>
                  </c:pt>
                  <c:pt idx="14">
                    <c:v>Product_2</c:v>
                  </c:pt>
                  <c:pt idx="17">
                    <c:v>Product_1</c:v>
                  </c:pt>
                  <c:pt idx="18">
                    <c:v>Product_2</c:v>
                  </c:pt>
                  <c:pt idx="21">
                    <c:v>Product_1</c:v>
                  </c:pt>
                  <c:pt idx="22">
                    <c:v>Product_2</c:v>
                  </c:pt>
                </c:lvl>
                <c:lvl>
                  <c:pt idx="0">
                    <c:v>FY23</c:v>
                  </c:pt>
                  <c:pt idx="4">
                    <c:v>FY24</c:v>
                  </c:pt>
                  <c:pt idx="8">
                    <c:v>FY25</c:v>
                  </c:pt>
                  <c:pt idx="12">
                    <c:v>FY26</c:v>
                  </c:pt>
                  <c:pt idx="16">
                    <c:v>FY27</c:v>
                  </c:pt>
                  <c:pt idx="20">
                    <c:v>FY28</c:v>
                  </c:pt>
                </c:lvl>
              </c:multiLvlStrCache>
            </c:multiLvlStrRef>
          </c:cat>
          <c:val>
            <c:numRef>
              <c:f>'Market Revenue'!$I$235:$I$258</c:f>
              <c:numCache>
                <c:formatCode>_(* #,##0_);_(* \(#,##0\);_(* "-"_);_(@_)</c:formatCode>
                <c:ptCount val="24"/>
                <c:pt idx="1">
                  <c:v>2587.5</c:v>
                </c:pt>
                <c:pt idx="2">
                  <c:v>1909.6875</c:v>
                </c:pt>
                <c:pt idx="5">
                  <c:v>3715.625</c:v>
                </c:pt>
                <c:pt idx="6">
                  <c:v>2745.3125</c:v>
                </c:pt>
                <c:pt idx="9">
                  <c:v>5166.6037500000002</c:v>
                </c:pt>
                <c:pt idx="10">
                  <c:v>3750.6892500000008</c:v>
                </c:pt>
                <c:pt idx="13">
                  <c:v>7113.9576374999988</c:v>
                </c:pt>
                <c:pt idx="14">
                  <c:v>12057.2853975</c:v>
                </c:pt>
                <c:pt idx="17">
                  <c:v>9256.9074975000003</c:v>
                </c:pt>
                <c:pt idx="18">
                  <c:v>15607.8146055</c:v>
                </c:pt>
                <c:pt idx="21">
                  <c:v>11608.884843215625</c:v>
                </c:pt>
                <c:pt idx="22">
                  <c:v>19587.915007486874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6-3740-A2C9-A81CA746850F}"/>
            </c:ext>
          </c:extLst>
        </c:ser>
        <c:ser>
          <c:idx val="0"/>
          <c:order val="1"/>
          <c:tx>
            <c:strRef>
              <c:f>'Market Revenue'!$H$234</c:f>
              <c:strCache>
                <c:ptCount val="1"/>
                <c:pt idx="0">
                  <c:v> SAM Revenue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'Market Revenue'!$E$235:$F$257</c:f>
              <c:multiLvlStrCache>
                <c:ptCount val="23"/>
                <c:lvl>
                  <c:pt idx="1">
                    <c:v>Product_1</c:v>
                  </c:pt>
                  <c:pt idx="2">
                    <c:v>Product_2</c:v>
                  </c:pt>
                  <c:pt idx="5">
                    <c:v>Product_1</c:v>
                  </c:pt>
                  <c:pt idx="6">
                    <c:v>Product_2</c:v>
                  </c:pt>
                  <c:pt idx="9">
                    <c:v>Product_1</c:v>
                  </c:pt>
                  <c:pt idx="10">
                    <c:v>Product_2</c:v>
                  </c:pt>
                  <c:pt idx="13">
                    <c:v>Product_1</c:v>
                  </c:pt>
                  <c:pt idx="14">
                    <c:v>Product_2</c:v>
                  </c:pt>
                  <c:pt idx="17">
                    <c:v>Product_1</c:v>
                  </c:pt>
                  <c:pt idx="18">
                    <c:v>Product_2</c:v>
                  </c:pt>
                  <c:pt idx="21">
                    <c:v>Product_1</c:v>
                  </c:pt>
                  <c:pt idx="22">
                    <c:v>Product_2</c:v>
                  </c:pt>
                </c:lvl>
                <c:lvl>
                  <c:pt idx="0">
                    <c:v>FY23</c:v>
                  </c:pt>
                  <c:pt idx="4">
                    <c:v>FY24</c:v>
                  </c:pt>
                  <c:pt idx="8">
                    <c:v>FY25</c:v>
                  </c:pt>
                  <c:pt idx="12">
                    <c:v>FY26</c:v>
                  </c:pt>
                  <c:pt idx="16">
                    <c:v>FY27</c:v>
                  </c:pt>
                  <c:pt idx="20">
                    <c:v>FY28</c:v>
                  </c:pt>
                </c:lvl>
              </c:multiLvlStrCache>
            </c:multiLvlStrRef>
          </c:cat>
          <c:val>
            <c:numRef>
              <c:f>'Market Revenue'!$H$235:$H$258</c:f>
              <c:numCache>
                <c:formatCode>_(* #,##0_);_(* \(#,##0\);_(* "-"_);_(@_)</c:formatCode>
                <c:ptCount val="24"/>
                <c:pt idx="1">
                  <c:v>25875</c:v>
                </c:pt>
                <c:pt idx="2">
                  <c:v>19096.875</c:v>
                </c:pt>
                <c:pt idx="5">
                  <c:v>29725</c:v>
                </c:pt>
                <c:pt idx="6">
                  <c:v>21962.5</c:v>
                </c:pt>
                <c:pt idx="9">
                  <c:v>34444.025000000001</c:v>
                </c:pt>
                <c:pt idx="10">
                  <c:v>25004.595000000005</c:v>
                </c:pt>
                <c:pt idx="13">
                  <c:v>40651.186500000003</c:v>
                </c:pt>
                <c:pt idx="14">
                  <c:v>68898.773700000005</c:v>
                </c:pt>
                <c:pt idx="17">
                  <c:v>46284.537487500005</c:v>
                </c:pt>
                <c:pt idx="18">
                  <c:v>78039.07302750001</c:v>
                </c:pt>
                <c:pt idx="21">
                  <c:v>51595.043747625001</c:v>
                </c:pt>
                <c:pt idx="22">
                  <c:v>87057.400033274986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6-3740-A2C9-A81CA746850F}"/>
            </c:ext>
          </c:extLst>
        </c:ser>
        <c:ser>
          <c:idx val="3"/>
          <c:order val="2"/>
          <c:tx>
            <c:strRef>
              <c:f>'Market Revenue'!$J$234</c:f>
              <c:strCache>
                <c:ptCount val="1"/>
                <c:pt idx="0">
                  <c:v> TAM Unaddressed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'Market Revenue'!$E$235:$F$257</c:f>
              <c:multiLvlStrCache>
                <c:ptCount val="23"/>
                <c:lvl>
                  <c:pt idx="1">
                    <c:v>Product_1</c:v>
                  </c:pt>
                  <c:pt idx="2">
                    <c:v>Product_2</c:v>
                  </c:pt>
                  <c:pt idx="5">
                    <c:v>Product_1</c:v>
                  </c:pt>
                  <c:pt idx="6">
                    <c:v>Product_2</c:v>
                  </c:pt>
                  <c:pt idx="9">
                    <c:v>Product_1</c:v>
                  </c:pt>
                  <c:pt idx="10">
                    <c:v>Product_2</c:v>
                  </c:pt>
                  <c:pt idx="13">
                    <c:v>Product_1</c:v>
                  </c:pt>
                  <c:pt idx="14">
                    <c:v>Product_2</c:v>
                  </c:pt>
                  <c:pt idx="17">
                    <c:v>Product_1</c:v>
                  </c:pt>
                  <c:pt idx="18">
                    <c:v>Product_2</c:v>
                  </c:pt>
                  <c:pt idx="21">
                    <c:v>Product_1</c:v>
                  </c:pt>
                  <c:pt idx="22">
                    <c:v>Product_2</c:v>
                  </c:pt>
                </c:lvl>
                <c:lvl>
                  <c:pt idx="0">
                    <c:v>FY23</c:v>
                  </c:pt>
                  <c:pt idx="4">
                    <c:v>FY24</c:v>
                  </c:pt>
                  <c:pt idx="8">
                    <c:v>FY25</c:v>
                  </c:pt>
                  <c:pt idx="12">
                    <c:v>FY26</c:v>
                  </c:pt>
                  <c:pt idx="16">
                    <c:v>FY27</c:v>
                  </c:pt>
                  <c:pt idx="20">
                    <c:v>FY28</c:v>
                  </c:pt>
                </c:lvl>
              </c:multiLvlStrCache>
            </c:multiLvlStrRef>
          </c:cat>
          <c:val>
            <c:numRef>
              <c:f>'Market Revenue'!$J$235:$J$258</c:f>
              <c:numCache>
                <c:formatCode>_(* #,##0_);_(* \(#,##0\);_(* "-"_);_(@_)</c:formatCode>
                <c:ptCount val="24"/>
                <c:pt idx="1">
                  <c:v>29037.5</c:v>
                </c:pt>
                <c:pt idx="2">
                  <c:v>21430.9375</c:v>
                </c:pt>
                <c:pt idx="5">
                  <c:v>26009.375</c:v>
                </c:pt>
                <c:pt idx="6">
                  <c:v>19217.1875</c:v>
                </c:pt>
                <c:pt idx="9">
                  <c:v>23014.871249999997</c:v>
                </c:pt>
                <c:pt idx="10">
                  <c:v>16707.615749999997</c:v>
                </c:pt>
                <c:pt idx="13">
                  <c:v>19986.833362500009</c:v>
                </c:pt>
                <c:pt idx="14">
                  <c:v>33875.230402500005</c:v>
                </c:pt>
                <c:pt idx="17">
                  <c:v>15665.535764999993</c:v>
                </c:pt>
                <c:pt idx="18">
                  <c:v>26413.224717000005</c:v>
                </c:pt>
                <c:pt idx="21">
                  <c:v>10503.27676290938</c:v>
                </c:pt>
                <c:pt idx="22">
                  <c:v>17722.399292488131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96-3740-A2C9-A81CA746850F}"/>
            </c:ext>
          </c:extLst>
        </c:ser>
        <c:ser>
          <c:idx val="1"/>
          <c:order val="3"/>
          <c:tx>
            <c:strRef>
              <c:f>'Market Revenue'!$G$234</c:f>
              <c:strCache>
                <c:ptCount val="1"/>
                <c:pt idx="0">
                  <c:v> TAM Revenue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'Market Revenue'!$E$235:$F$257</c:f>
              <c:multiLvlStrCache>
                <c:ptCount val="23"/>
                <c:lvl>
                  <c:pt idx="1">
                    <c:v>Product_1</c:v>
                  </c:pt>
                  <c:pt idx="2">
                    <c:v>Product_2</c:v>
                  </c:pt>
                  <c:pt idx="5">
                    <c:v>Product_1</c:v>
                  </c:pt>
                  <c:pt idx="6">
                    <c:v>Product_2</c:v>
                  </c:pt>
                  <c:pt idx="9">
                    <c:v>Product_1</c:v>
                  </c:pt>
                  <c:pt idx="10">
                    <c:v>Product_2</c:v>
                  </c:pt>
                  <c:pt idx="13">
                    <c:v>Product_1</c:v>
                  </c:pt>
                  <c:pt idx="14">
                    <c:v>Product_2</c:v>
                  </c:pt>
                  <c:pt idx="17">
                    <c:v>Product_1</c:v>
                  </c:pt>
                  <c:pt idx="18">
                    <c:v>Product_2</c:v>
                  </c:pt>
                  <c:pt idx="21">
                    <c:v>Product_1</c:v>
                  </c:pt>
                  <c:pt idx="22">
                    <c:v>Product_2</c:v>
                  </c:pt>
                </c:lvl>
                <c:lvl>
                  <c:pt idx="0">
                    <c:v>FY23</c:v>
                  </c:pt>
                  <c:pt idx="4">
                    <c:v>FY24</c:v>
                  </c:pt>
                  <c:pt idx="8">
                    <c:v>FY25</c:v>
                  </c:pt>
                  <c:pt idx="12">
                    <c:v>FY26</c:v>
                  </c:pt>
                  <c:pt idx="16">
                    <c:v>FY27</c:v>
                  </c:pt>
                  <c:pt idx="20">
                    <c:v>FY28</c:v>
                  </c:pt>
                </c:lvl>
              </c:multiLvlStrCache>
            </c:multiLvlStrRef>
          </c:cat>
          <c:val>
            <c:numRef>
              <c:f>'Market Revenue'!$G$235:$G$258</c:f>
              <c:numCache>
                <c:formatCode>_(* #,##0_);_(* \(#,##0\);_(* "-"_);_(@_)</c:formatCode>
                <c:ptCount val="24"/>
                <c:pt idx="1">
                  <c:v>57500</c:v>
                </c:pt>
                <c:pt idx="2">
                  <c:v>42437.5</c:v>
                </c:pt>
                <c:pt idx="5">
                  <c:v>59450</c:v>
                </c:pt>
                <c:pt idx="6">
                  <c:v>43925</c:v>
                </c:pt>
                <c:pt idx="9">
                  <c:v>62625.5</c:v>
                </c:pt>
                <c:pt idx="10">
                  <c:v>45462.9</c:v>
                </c:pt>
                <c:pt idx="13">
                  <c:v>67751.977500000008</c:v>
                </c:pt>
                <c:pt idx="14">
                  <c:v>114831.28950000001</c:v>
                </c:pt>
                <c:pt idx="17">
                  <c:v>71206.980750000002</c:v>
                </c:pt>
                <c:pt idx="18">
                  <c:v>120060.11235000001</c:v>
                </c:pt>
                <c:pt idx="21">
                  <c:v>73707.205353750003</c:v>
                </c:pt>
                <c:pt idx="22">
                  <c:v>124367.71433325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6-3740-A2C9-A81CA746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65048303"/>
        <c:axId val="1176061103"/>
      </c:barChart>
      <c:catAx>
        <c:axId val="116504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61103"/>
        <c:crosses val="autoZero"/>
        <c:auto val="1"/>
        <c:lblAlgn val="ctr"/>
        <c:lblOffset val="100"/>
        <c:tickLblSkip val="1"/>
        <c:noMultiLvlLbl val="0"/>
      </c:catAx>
      <c:valAx>
        <c:axId val="1176061103"/>
        <c:scaling>
          <c:orientation val="minMax"/>
          <c:max val="135000"/>
          <c:min val="0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extTo"/>
        <c:crossAx val="1165048303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SOM Revenue by Product</a:t>
            </a:r>
            <a:r>
              <a:rPr lang="en-US" baseline="0">
                <a:solidFill>
                  <a:schemeClr val="tx1"/>
                </a:solidFill>
              </a:rPr>
              <a:t> &amp; Segment ($ MM)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'Market Revenue'!$G$339</c:f>
              <c:strCache>
                <c:ptCount val="1"/>
                <c:pt idx="0">
                  <c:v> Segment 1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.0_);_(&quot;$&quot;* \(#,##0.0\);_(&quot;$&quot;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'Market Revenue'!$E$340:$F$363</c:f>
              <c:multiLvlStrCache>
                <c:ptCount val="23"/>
                <c:lvl>
                  <c:pt idx="1">
                    <c:v>Product_1</c:v>
                  </c:pt>
                  <c:pt idx="2">
                    <c:v>Product_2</c:v>
                  </c:pt>
                  <c:pt idx="5">
                    <c:v>Product_1</c:v>
                  </c:pt>
                  <c:pt idx="6">
                    <c:v>Product_2</c:v>
                  </c:pt>
                  <c:pt idx="9">
                    <c:v>Product_1</c:v>
                  </c:pt>
                  <c:pt idx="10">
                    <c:v>Product_2</c:v>
                  </c:pt>
                  <c:pt idx="13">
                    <c:v>Product_1</c:v>
                  </c:pt>
                  <c:pt idx="14">
                    <c:v>Product_2</c:v>
                  </c:pt>
                  <c:pt idx="17">
                    <c:v>Product_1</c:v>
                  </c:pt>
                  <c:pt idx="18">
                    <c:v>Product_2</c:v>
                  </c:pt>
                  <c:pt idx="21">
                    <c:v>Product_1</c:v>
                  </c:pt>
                  <c:pt idx="22">
                    <c:v>Product_2</c:v>
                  </c:pt>
                </c:lvl>
                <c:lvl>
                  <c:pt idx="0">
                    <c:v>FY23</c:v>
                  </c:pt>
                  <c:pt idx="4">
                    <c:v>FY24</c:v>
                  </c:pt>
                  <c:pt idx="8">
                    <c:v>FY25</c:v>
                  </c:pt>
                  <c:pt idx="12">
                    <c:v>FY26</c:v>
                  </c:pt>
                  <c:pt idx="16">
                    <c:v>FY27</c:v>
                  </c:pt>
                  <c:pt idx="20">
                    <c:v>FY28</c:v>
                  </c:pt>
                </c:lvl>
              </c:multiLvlStrCache>
            </c:multiLvlStrRef>
          </c:cat>
          <c:val>
            <c:numRef>
              <c:f>'Market Revenue'!$G$340:$G$363</c:f>
              <c:numCache>
                <c:formatCode>_(* #,##0_);_(* \(#,##0\);_(* "-"_);_(@_)</c:formatCode>
                <c:ptCount val="24"/>
                <c:pt idx="1">
                  <c:v>1125</c:v>
                </c:pt>
                <c:pt idx="2">
                  <c:v>945</c:v>
                </c:pt>
                <c:pt idx="5">
                  <c:v>1601.5625</c:v>
                </c:pt>
                <c:pt idx="6">
                  <c:v>1378.125</c:v>
                </c:pt>
                <c:pt idx="9">
                  <c:v>2177.484375</c:v>
                </c:pt>
                <c:pt idx="10">
                  <c:v>1891.8900000000003</c:v>
                </c:pt>
                <c:pt idx="13">
                  <c:v>2909.9109374999994</c:v>
                </c:pt>
                <c:pt idx="14">
                  <c:v>2480.0958000000001</c:v>
                </c:pt>
                <c:pt idx="17">
                  <c:v>3674.8018124999999</c:v>
                </c:pt>
                <c:pt idx="18">
                  <c:v>3132.0066959999999</c:v>
                </c:pt>
                <c:pt idx="21">
                  <c:v>4518.946190390624</c:v>
                </c:pt>
                <c:pt idx="22">
                  <c:v>3832.4920397400001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6-3740-A2C9-A81CA746850F}"/>
            </c:ext>
          </c:extLst>
        </c:ser>
        <c:ser>
          <c:idx val="0"/>
          <c:order val="1"/>
          <c:tx>
            <c:strRef>
              <c:f>'Market Revenue'!$H$339</c:f>
              <c:strCache>
                <c:ptCount val="1"/>
                <c:pt idx="0">
                  <c:v> Segment 2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.0_);_(&quot;$&quot;* \(#,##0.0\);_(&quot;$&quot;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'Market Revenue'!$E$340:$F$363</c:f>
              <c:multiLvlStrCache>
                <c:ptCount val="23"/>
                <c:lvl>
                  <c:pt idx="1">
                    <c:v>Product_1</c:v>
                  </c:pt>
                  <c:pt idx="2">
                    <c:v>Product_2</c:v>
                  </c:pt>
                  <c:pt idx="5">
                    <c:v>Product_1</c:v>
                  </c:pt>
                  <c:pt idx="6">
                    <c:v>Product_2</c:v>
                  </c:pt>
                  <c:pt idx="9">
                    <c:v>Product_1</c:v>
                  </c:pt>
                  <c:pt idx="10">
                    <c:v>Product_2</c:v>
                  </c:pt>
                  <c:pt idx="13">
                    <c:v>Product_1</c:v>
                  </c:pt>
                  <c:pt idx="14">
                    <c:v>Product_2</c:v>
                  </c:pt>
                  <c:pt idx="17">
                    <c:v>Product_1</c:v>
                  </c:pt>
                  <c:pt idx="18">
                    <c:v>Product_2</c:v>
                  </c:pt>
                  <c:pt idx="21">
                    <c:v>Product_1</c:v>
                  </c:pt>
                  <c:pt idx="22">
                    <c:v>Product_2</c:v>
                  </c:pt>
                </c:lvl>
                <c:lvl>
                  <c:pt idx="0">
                    <c:v>FY23</c:v>
                  </c:pt>
                  <c:pt idx="4">
                    <c:v>FY24</c:v>
                  </c:pt>
                  <c:pt idx="8">
                    <c:v>FY25</c:v>
                  </c:pt>
                  <c:pt idx="12">
                    <c:v>FY26</c:v>
                  </c:pt>
                  <c:pt idx="16">
                    <c:v>FY27</c:v>
                  </c:pt>
                  <c:pt idx="20">
                    <c:v>FY28</c:v>
                  </c:pt>
                </c:lvl>
              </c:multiLvlStrCache>
            </c:multiLvlStrRef>
          </c:cat>
          <c:val>
            <c:numRef>
              <c:f>'Market Revenue'!$H$340:$H$363</c:f>
              <c:numCache>
                <c:formatCode>_(* #,##0_);_(* \(#,##0\);_(* "-"_);_(@_)</c:formatCode>
                <c:ptCount val="24"/>
                <c:pt idx="1">
                  <c:v>731.25</c:v>
                </c:pt>
                <c:pt idx="2">
                  <c:v>630</c:v>
                </c:pt>
                <c:pt idx="5">
                  <c:v>1035.9375</c:v>
                </c:pt>
                <c:pt idx="6">
                  <c:v>892.5</c:v>
                </c:pt>
                <c:pt idx="9">
                  <c:v>1422.1350000000002</c:v>
                </c:pt>
                <c:pt idx="10">
                  <c:v>1207.5525000000002</c:v>
                </c:pt>
                <c:pt idx="13">
                  <c:v>1954.7891999999999</c:v>
                </c:pt>
                <c:pt idx="14">
                  <c:v>1582.99155</c:v>
                </c:pt>
                <c:pt idx="17">
                  <c:v>2541.2259599999998</c:v>
                </c:pt>
                <c:pt idx="18">
                  <c:v>2018.6911289999998</c:v>
                </c:pt>
                <c:pt idx="21">
                  <c:v>3171.1567796999998</c:v>
                </c:pt>
                <c:pt idx="22">
                  <c:v>2506.8649933687493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6-3740-A2C9-A81CA746850F}"/>
            </c:ext>
          </c:extLst>
        </c:ser>
        <c:ser>
          <c:idx val="3"/>
          <c:order val="2"/>
          <c:tx>
            <c:strRef>
              <c:f>'Market Revenue'!$I$339</c:f>
              <c:strCache>
                <c:ptCount val="1"/>
                <c:pt idx="0">
                  <c:v> Segment 3 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.0_);_(&quot;$&quot;* \(#,##0.0\);_(&quot;$&quot;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'Market Revenue'!$E$340:$F$363</c:f>
              <c:multiLvlStrCache>
                <c:ptCount val="23"/>
                <c:lvl>
                  <c:pt idx="1">
                    <c:v>Product_1</c:v>
                  </c:pt>
                  <c:pt idx="2">
                    <c:v>Product_2</c:v>
                  </c:pt>
                  <c:pt idx="5">
                    <c:v>Product_1</c:v>
                  </c:pt>
                  <c:pt idx="6">
                    <c:v>Product_2</c:v>
                  </c:pt>
                  <c:pt idx="9">
                    <c:v>Product_1</c:v>
                  </c:pt>
                  <c:pt idx="10">
                    <c:v>Product_2</c:v>
                  </c:pt>
                  <c:pt idx="13">
                    <c:v>Product_1</c:v>
                  </c:pt>
                  <c:pt idx="14">
                    <c:v>Product_2</c:v>
                  </c:pt>
                  <c:pt idx="17">
                    <c:v>Product_1</c:v>
                  </c:pt>
                  <c:pt idx="18">
                    <c:v>Product_2</c:v>
                  </c:pt>
                  <c:pt idx="21">
                    <c:v>Product_1</c:v>
                  </c:pt>
                  <c:pt idx="22">
                    <c:v>Product_2</c:v>
                  </c:pt>
                </c:lvl>
                <c:lvl>
                  <c:pt idx="0">
                    <c:v>FY23</c:v>
                  </c:pt>
                  <c:pt idx="4">
                    <c:v>FY24</c:v>
                  </c:pt>
                  <c:pt idx="8">
                    <c:v>FY25</c:v>
                  </c:pt>
                  <c:pt idx="12">
                    <c:v>FY26</c:v>
                  </c:pt>
                  <c:pt idx="16">
                    <c:v>FY27</c:v>
                  </c:pt>
                  <c:pt idx="20">
                    <c:v>FY28</c:v>
                  </c:pt>
                </c:lvl>
              </c:multiLvlStrCache>
            </c:multiLvlStrRef>
          </c:cat>
          <c:val>
            <c:numRef>
              <c:f>'Market Revenue'!$I$340:$I$363</c:f>
              <c:numCache>
                <c:formatCode>_(* #,##0_);_(* \(#,##0\);_(* "-"_);_(@_)</c:formatCode>
                <c:ptCount val="24"/>
                <c:pt idx="1">
                  <c:v>562.5</c:v>
                </c:pt>
                <c:pt idx="2">
                  <c:v>315</c:v>
                </c:pt>
                <c:pt idx="5">
                  <c:v>820.3125</c:v>
                </c:pt>
                <c:pt idx="6">
                  <c:v>441.875</c:v>
                </c:pt>
                <c:pt idx="9">
                  <c:v>1158.609375</c:v>
                </c:pt>
                <c:pt idx="10">
                  <c:v>594.94050000000016</c:v>
                </c:pt>
                <c:pt idx="13">
                  <c:v>1651.5449999999998</c:v>
                </c:pt>
                <c:pt idx="14">
                  <c:v>779.91291000000001</c:v>
                </c:pt>
                <c:pt idx="17">
                  <c:v>2208.3516000000004</c:v>
                </c:pt>
                <c:pt idx="18">
                  <c:v>1013.8867829999998</c:v>
                </c:pt>
                <c:pt idx="21">
                  <c:v>2809.2780450000005</c:v>
                </c:pt>
                <c:pt idx="22">
                  <c:v>1289.7809749124997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96-3740-A2C9-A81CA746850F}"/>
            </c:ext>
          </c:extLst>
        </c:ser>
        <c:ser>
          <c:idx val="1"/>
          <c:order val="3"/>
          <c:tx>
            <c:strRef>
              <c:f>'Market Revenue'!$J$339</c:f>
              <c:strCache>
                <c:ptCount val="1"/>
                <c:pt idx="0">
                  <c:v> Segment 4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.0_);_(&quot;$&quot;* \(#,##0.0\);_(&quot;$&quot;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'Market Revenue'!$E$340:$F$363</c:f>
              <c:multiLvlStrCache>
                <c:ptCount val="23"/>
                <c:lvl>
                  <c:pt idx="1">
                    <c:v>Product_1</c:v>
                  </c:pt>
                  <c:pt idx="2">
                    <c:v>Product_2</c:v>
                  </c:pt>
                  <c:pt idx="5">
                    <c:v>Product_1</c:v>
                  </c:pt>
                  <c:pt idx="6">
                    <c:v>Product_2</c:v>
                  </c:pt>
                  <c:pt idx="9">
                    <c:v>Product_1</c:v>
                  </c:pt>
                  <c:pt idx="10">
                    <c:v>Product_2</c:v>
                  </c:pt>
                  <c:pt idx="13">
                    <c:v>Product_1</c:v>
                  </c:pt>
                  <c:pt idx="14">
                    <c:v>Product_2</c:v>
                  </c:pt>
                  <c:pt idx="17">
                    <c:v>Product_1</c:v>
                  </c:pt>
                  <c:pt idx="18">
                    <c:v>Product_2</c:v>
                  </c:pt>
                  <c:pt idx="21">
                    <c:v>Product_1</c:v>
                  </c:pt>
                  <c:pt idx="22">
                    <c:v>Product_2</c:v>
                  </c:pt>
                </c:lvl>
                <c:lvl>
                  <c:pt idx="0">
                    <c:v>FY23</c:v>
                  </c:pt>
                  <c:pt idx="4">
                    <c:v>FY24</c:v>
                  </c:pt>
                  <c:pt idx="8">
                    <c:v>FY25</c:v>
                  </c:pt>
                  <c:pt idx="12">
                    <c:v>FY26</c:v>
                  </c:pt>
                  <c:pt idx="16">
                    <c:v>FY27</c:v>
                  </c:pt>
                  <c:pt idx="20">
                    <c:v>FY28</c:v>
                  </c:pt>
                </c:lvl>
              </c:multiLvlStrCache>
            </c:multiLvlStrRef>
          </c:cat>
          <c:val>
            <c:numRef>
              <c:f>'Market Revenue'!$J$340:$J$363</c:f>
              <c:numCache>
                <c:formatCode>_(* #,##0_);_(* \(#,##0\);_(* "-"_);_(@_)</c:formatCode>
                <c:ptCount val="24"/>
                <c:pt idx="1">
                  <c:v>168.75</c:v>
                </c:pt>
                <c:pt idx="2">
                  <c:v>19.6875</c:v>
                </c:pt>
                <c:pt idx="5">
                  <c:v>257.81250000000006</c:v>
                </c:pt>
                <c:pt idx="6">
                  <c:v>32.8125</c:v>
                </c:pt>
                <c:pt idx="9">
                  <c:v>408.37500000000006</c:v>
                </c:pt>
                <c:pt idx="10">
                  <c:v>56.306250000000006</c:v>
                </c:pt>
                <c:pt idx="13">
                  <c:v>597.71249999999998</c:v>
                </c:pt>
                <c:pt idx="14">
                  <c:v>100.32749999999999</c:v>
                </c:pt>
                <c:pt idx="17">
                  <c:v>832.52812500000005</c:v>
                </c:pt>
                <c:pt idx="18">
                  <c:v>186.32249999999999</c:v>
                </c:pt>
                <c:pt idx="21">
                  <c:v>1109.5038281249999</c:v>
                </c:pt>
                <c:pt idx="22">
                  <c:v>349.89215624999997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6-3740-A2C9-A81CA746850F}"/>
            </c:ext>
          </c:extLst>
        </c:ser>
        <c:ser>
          <c:idx val="4"/>
          <c:order val="4"/>
          <c:tx>
            <c:strRef>
              <c:f>'Market Revenue'!$K$339</c:f>
              <c:strCache>
                <c:ptCount val="1"/>
                <c:pt idx="0">
                  <c:v> Total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&quot;$&quot;* #,##0.0_);_(&quot;$&quot;* \(#,##0.0\);_(&quot;$&quot;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'Market Revenue'!$E$340:$F$363</c:f>
              <c:multiLvlStrCache>
                <c:ptCount val="23"/>
                <c:lvl>
                  <c:pt idx="1">
                    <c:v>Product_1</c:v>
                  </c:pt>
                  <c:pt idx="2">
                    <c:v>Product_2</c:v>
                  </c:pt>
                  <c:pt idx="5">
                    <c:v>Product_1</c:v>
                  </c:pt>
                  <c:pt idx="6">
                    <c:v>Product_2</c:v>
                  </c:pt>
                  <c:pt idx="9">
                    <c:v>Product_1</c:v>
                  </c:pt>
                  <c:pt idx="10">
                    <c:v>Product_2</c:v>
                  </c:pt>
                  <c:pt idx="13">
                    <c:v>Product_1</c:v>
                  </c:pt>
                  <c:pt idx="14">
                    <c:v>Product_2</c:v>
                  </c:pt>
                  <c:pt idx="17">
                    <c:v>Product_1</c:v>
                  </c:pt>
                  <c:pt idx="18">
                    <c:v>Product_2</c:v>
                  </c:pt>
                  <c:pt idx="21">
                    <c:v>Product_1</c:v>
                  </c:pt>
                  <c:pt idx="22">
                    <c:v>Product_2</c:v>
                  </c:pt>
                </c:lvl>
                <c:lvl>
                  <c:pt idx="0">
                    <c:v>FY23</c:v>
                  </c:pt>
                  <c:pt idx="4">
                    <c:v>FY24</c:v>
                  </c:pt>
                  <c:pt idx="8">
                    <c:v>FY25</c:v>
                  </c:pt>
                  <c:pt idx="12">
                    <c:v>FY26</c:v>
                  </c:pt>
                  <c:pt idx="16">
                    <c:v>FY27</c:v>
                  </c:pt>
                  <c:pt idx="20">
                    <c:v>FY28</c:v>
                  </c:pt>
                </c:lvl>
              </c:multiLvlStrCache>
            </c:multiLvlStrRef>
          </c:cat>
          <c:val>
            <c:numRef>
              <c:f>'Market Revenue'!$K$340:$K$363</c:f>
              <c:numCache>
                <c:formatCode>_(* #,##0_);_(* \(#,##0\);_(* "-"_);_(@_)</c:formatCode>
                <c:ptCount val="24"/>
                <c:pt idx="1">
                  <c:v>2587.5</c:v>
                </c:pt>
                <c:pt idx="2">
                  <c:v>1909.6875</c:v>
                </c:pt>
                <c:pt idx="5">
                  <c:v>3715.625</c:v>
                </c:pt>
                <c:pt idx="6">
                  <c:v>2745.3125</c:v>
                </c:pt>
                <c:pt idx="9">
                  <c:v>5166.6037500000002</c:v>
                </c:pt>
                <c:pt idx="10">
                  <c:v>3750.6892500000008</c:v>
                </c:pt>
                <c:pt idx="13">
                  <c:v>7113.9576374999988</c:v>
                </c:pt>
                <c:pt idx="14">
                  <c:v>4943.3277600000001</c:v>
                </c:pt>
                <c:pt idx="17">
                  <c:v>9256.9074975000003</c:v>
                </c:pt>
                <c:pt idx="18">
                  <c:v>6350.9071079999994</c:v>
                </c:pt>
                <c:pt idx="21">
                  <c:v>11608.884843215625</c:v>
                </c:pt>
                <c:pt idx="22">
                  <c:v>7979.0301642712493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A-3B48-B9AA-34461917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65048303"/>
        <c:axId val="1176061103"/>
      </c:barChart>
      <c:catAx>
        <c:axId val="116504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61103"/>
        <c:crosses val="autoZero"/>
        <c:auto val="1"/>
        <c:lblAlgn val="ctr"/>
        <c:lblOffset val="100"/>
        <c:tickLblSkip val="1"/>
        <c:noMultiLvlLbl val="0"/>
      </c:catAx>
      <c:valAx>
        <c:axId val="1176061103"/>
        <c:scaling>
          <c:orientation val="minMax"/>
          <c:max val="12000"/>
          <c:min val="0"/>
        </c:scaling>
        <c:delete val="1"/>
        <c:axPos val="l"/>
        <c:numFmt formatCode="_(* #,##0_);_(* \(#,##0\);_(* &quot;-&quot;_);_(@_)" sourceLinked="1"/>
        <c:majorTickMark val="out"/>
        <c:minorTickMark val="none"/>
        <c:tickLblPos val="nextTo"/>
        <c:crossAx val="1165048303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81935</xdr:colOff>
      <xdr:row>234</xdr:row>
      <xdr:rowOff>51637</xdr:rowOff>
    </xdr:from>
    <xdr:to>
      <xdr:col>33</xdr:col>
      <xdr:colOff>582935</xdr:colOff>
      <xdr:row>257</xdr:row>
      <xdr:rowOff>163871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F86E4-7922-4FF7-3A39-D9F4FF230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364098</xdr:colOff>
      <xdr:row>194</xdr:row>
      <xdr:rowOff>61451</xdr:rowOff>
    </xdr:from>
    <xdr:to>
      <xdr:col>28</xdr:col>
      <xdr:colOff>415650</xdr:colOff>
      <xdr:row>233</xdr:row>
      <xdr:rowOff>87911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7FEB14-AC98-79F5-721F-85E3AFAD5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350493</xdr:colOff>
      <xdr:row>194</xdr:row>
      <xdr:rowOff>0</xdr:rowOff>
    </xdr:from>
    <xdr:to>
      <xdr:col>42</xdr:col>
      <xdr:colOff>389194</xdr:colOff>
      <xdr:row>233</xdr:row>
      <xdr:rowOff>56331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69570F-0987-E839-EAC4-8BFAC37B7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9427C-F261-3346-AC05-254010E183D4}" name="product_table" displayName="product_table" ref="E8:G10" totalsRowShown="0" headerRowDxfId="41" dataDxfId="40">
  <autoFilter ref="E8:G10" xr:uid="{8919427C-F261-3346-AC05-254010E183D4}"/>
  <tableColumns count="3">
    <tableColumn id="1" xr3:uid="{44D0A12F-8581-E84C-AC2F-B8B8E669A3A3}" name="Product" dataDxfId="39"/>
    <tableColumn id="2" xr3:uid="{0C71BF6A-7EFA-2F4E-9C4A-0AA61970DF56}" name="ID" dataDxfId="38"/>
    <tableColumn id="3" xr3:uid="{66E76155-2984-AE40-B6FF-BA766BF6F844}" name="Description" dataDxfId="3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82E67A-8C9A-CC4C-86E4-81051274C38F}" name="segment_table" displayName="segment_table" ref="E12:G16" totalsRowShown="0" headerRowDxfId="36" dataDxfId="35">
  <autoFilter ref="E12:G16" xr:uid="{4582E67A-8C9A-CC4C-86E4-81051274C38F}"/>
  <tableColumns count="3">
    <tableColumn id="1" xr3:uid="{34FBEE35-408B-3A46-BF18-9C8091A686D7}" name="Segment" dataDxfId="34"/>
    <tableColumn id="3" xr3:uid="{54FB1A22-CC06-A446-8722-F6B1801AFB32}" name="Seg_ID" dataDxfId="33"/>
    <tableColumn id="5" xr3:uid="{0187EC03-353B-A143-AD24-FBDA48D58AF0}" name="Description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DC007F-A1B6-C843-B191-FA83B8AC3B11}" name="p1_TAM_driver_table" displayName="p1_TAM_driver_table" ref="E29:J33" totalsRowShown="0" headerRowDxfId="25">
  <autoFilter ref="E29:J33" xr:uid="{09DC007F-A1B6-C843-B191-FA83B8AC3B11}"/>
  <tableColumns count="6">
    <tableColumn id="1" xr3:uid="{3CFFE964-B98C-354D-975B-6AAFF0280EF3}" name="Driver Element" dataDxfId="31">
      <calculatedColumnFormula>+E13</calculatedColumnFormula>
    </tableColumn>
    <tableColumn id="2" xr3:uid="{115788CC-CEF4-C242-A563-A9E12DDDBBBE}" name="ID" dataDxfId="30">
      <calculatedColumnFormula>+$F$9&amp;F13&amp;"-TAM"</calculatedColumnFormula>
    </tableColumn>
    <tableColumn id="3" xr3:uid="{330F25ED-5DF6-1242-A3C4-8788BA90F311}" name="Discussion" dataDxfId="29"/>
    <tableColumn id="4" xr3:uid="{AB38ABED-D184-8E4C-9545-69AAE5119E38}" name="TAM Initial" dataDxfId="28"/>
    <tableColumn id="5" xr3:uid="{955D1D10-F0EA-7B45-A23B-7DAE362A6705}" name="TAM Growth" dataDxfId="27"/>
    <tableColumn id="6" xr3:uid="{F768E5A1-E05F-4941-BF6B-CE34015BE9E1}" name="Sources" dataDxfId="2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93A4B2-5E4E-D44D-8B52-7461C1685107}" name="p2_TAM_driver_table" displayName="p2_TAM_driver_table" ref="E37:J41" totalsRowShown="0" headerRowDxfId="18">
  <autoFilter ref="E37:J41" xr:uid="{5D93A4B2-5E4E-D44D-8B52-7461C1685107}"/>
  <tableColumns count="6">
    <tableColumn id="1" xr3:uid="{682D57AF-BFB6-114D-8AE6-8CC476626E66}" name="Driver Element" dataDxfId="24">
      <calculatedColumnFormula>+E13</calculatedColumnFormula>
    </tableColumn>
    <tableColumn id="2" xr3:uid="{F09D189E-9510-CC43-A697-2105D48C505C}" name="ID" dataDxfId="23">
      <calculatedColumnFormula>+$F$10&amp;F13&amp;"-TAM"</calculatedColumnFormula>
    </tableColumn>
    <tableColumn id="3" xr3:uid="{5DE01F1B-C447-B640-AB3A-084018898FFA}" name="Discussion" dataDxfId="22"/>
    <tableColumn id="4" xr3:uid="{9A009715-02D3-FA4B-B3A6-FA2102EAFF8C}" name="TAM Initial" dataDxfId="21"/>
    <tableColumn id="5" xr3:uid="{4F0CE5CE-7146-F748-8547-802897B3384C}" name="TAM Growth" dataDxfId="20"/>
    <tableColumn id="6" xr3:uid="{44F43250-F86C-8C40-AE7A-777A10FC1528}" name="Sources" dataDxfId="1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2917D9-AE33-2441-83A7-CE0B10DA0920}" name="p1_SAMSOM_driver_table" displayName="p1_SAMSOM_driver_table" ref="E51:K55" totalsRowShown="0" headerRowDxfId="9" dataDxfId="10">
  <autoFilter ref="E51:K55" xr:uid="{F22917D9-AE33-2441-83A7-CE0B10DA0920}"/>
  <tableColumns count="7">
    <tableColumn id="1" xr3:uid="{E38BE7DF-5FD8-D041-9B96-50FF3A57BAFF}" name="Driver Element" dataDxfId="17">
      <calculatedColumnFormula>+E13</calculatedColumnFormula>
    </tableColumn>
    <tableColumn id="2" xr3:uid="{180715EF-A28B-C645-A5B1-957CB64911B3}" name="ID" dataDxfId="16">
      <calculatedColumnFormula>+$F$9&amp;F13&amp; "-Drivers"</calculatedColumnFormula>
    </tableColumn>
    <tableColumn id="3" xr3:uid="{2DC05E69-A2FD-6146-975F-DA16022E2D47}" name="Discussion" dataDxfId="15"/>
    <tableColumn id="4" xr3:uid="{7467443A-8F7C-144C-9ED1-1A9473BA55B7}" name="SAM" dataDxfId="14"/>
    <tableColumn id="5" xr3:uid="{141ED496-6684-6C4A-810F-842D04D74DA7}" name="SOM Base" dataDxfId="13"/>
    <tableColumn id="6" xr3:uid="{9F7037BD-28B4-5E4E-8BC4-A37D5C5836E9}" name="SOM Upside" dataDxfId="12"/>
    <tableColumn id="7" xr3:uid="{3666516E-757A-7C4C-86AB-4DF300AB3C1A}" name="SOM Downside" dataDxfId="1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B12474-6C00-6D45-86B5-A53DB856D182}" name="p2_SAMSOM_driver_table" displayName="p2_SAMSOM_driver_table" ref="E59:K63" totalsRowShown="0" headerRowDxfId="0" dataDxfId="1">
  <autoFilter ref="E59:K63" xr:uid="{00B12474-6C00-6D45-86B5-A53DB856D182}"/>
  <tableColumns count="7">
    <tableColumn id="1" xr3:uid="{A4C69780-4BED-D344-9F96-CF2C7E6681FD}" name="Driver Element" dataDxfId="8">
      <calculatedColumnFormula>+E13</calculatedColumnFormula>
    </tableColumn>
    <tableColumn id="2" xr3:uid="{3E0AFEF7-8A75-3D41-85DF-E0FD0A60BCB2}" name="ID" dataDxfId="7">
      <calculatedColumnFormula>+$F$10&amp;F13&amp;"-Drivers"</calculatedColumnFormula>
    </tableColumn>
    <tableColumn id="3" xr3:uid="{63EB35AA-248B-5A49-8A7A-9C526BCFBC70}" name="Discussion" dataDxfId="6"/>
    <tableColumn id="4" xr3:uid="{011BAFC6-755A-2042-B1D1-050F81C21F60}" name="SAM" dataDxfId="5"/>
    <tableColumn id="5" xr3:uid="{F35E8B8B-6812-E542-A09B-7F8226FF6E64}" name="SOM Base" dataDxfId="4"/>
    <tableColumn id="6" xr3:uid="{66A6114E-B381-C142-A4E6-855DCBD75509}" name="SOM Upside" dataDxfId="3"/>
    <tableColumn id="7" xr3:uid="{0DD729F2-5CC0-DF42-A00B-C77CACB277FF}" name="SOM Downsid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AF499"/>
  <sheetViews>
    <sheetView showGridLines="0" tabSelected="1" zoomScale="108" workbookViewId="0">
      <selection activeCell="O11" sqref="O11"/>
    </sheetView>
  </sheetViews>
  <sheetFormatPr baseColWidth="10" defaultColWidth="12.6640625" defaultRowHeight="15" customHeight="1" outlineLevelRow="1" outlineLevelCol="1" x14ac:dyDescent="0.2"/>
  <cols>
    <col min="1" max="1" width="2.83203125" style="28" customWidth="1"/>
    <col min="2" max="3" width="2.83203125" style="28" customWidth="1" outlineLevel="1"/>
    <col min="4" max="4" width="2.83203125" style="28" customWidth="1"/>
    <col min="5" max="5" width="46" style="28" customWidth="1"/>
    <col min="6" max="12" width="12.6640625" style="28" customWidth="1"/>
    <col min="13" max="13" width="8.83203125" style="28" customWidth="1"/>
    <col min="14" max="14" width="11.83203125" style="28" customWidth="1"/>
    <col min="15" max="15" width="10.5" style="28" customWidth="1"/>
    <col min="16" max="16" width="10.33203125" style="28" customWidth="1"/>
    <col min="17" max="32" width="8.83203125" style="28" customWidth="1"/>
    <col min="33" max="16384" width="12.6640625" style="28"/>
  </cols>
  <sheetData>
    <row r="1" spans="1:32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" customHeight="1" x14ac:dyDescent="0.2">
      <c r="A2" s="1"/>
      <c r="B2" s="1"/>
      <c r="C2" s="1"/>
      <c r="D2" s="64" t="s">
        <v>19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4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9" customFormat="1" ht="14" customHeight="1" x14ac:dyDescent="0.2">
      <c r="A4" s="8"/>
      <c r="B4" s="8"/>
      <c r="C4" s="8"/>
      <c r="D4" s="3" t="s">
        <v>93</v>
      </c>
      <c r="E4" s="9"/>
      <c r="F4" s="4" t="s">
        <v>22</v>
      </c>
      <c r="G4" s="10"/>
      <c r="H4" s="1"/>
      <c r="I4" s="1"/>
      <c r="J4" s="1"/>
      <c r="K4" s="1"/>
      <c r="L4" s="1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s="29" customFormat="1" ht="14" customHeight="1" outlineLevel="1" x14ac:dyDescent="0.15">
      <c r="A5" s="8"/>
      <c r="B5" s="8"/>
      <c r="C5" s="8"/>
      <c r="D5" s="8"/>
      <c r="F5" s="34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s="29" customFormat="1" ht="14" customHeight="1" outlineLevel="1" x14ac:dyDescent="0.15">
      <c r="A6" s="8"/>
      <c r="B6" s="8"/>
      <c r="C6" s="8"/>
      <c r="D6" s="8"/>
      <c r="E6" s="33" t="s">
        <v>35</v>
      </c>
      <c r="F6" s="34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s="29" customFormat="1" ht="14" customHeight="1" outlineLevel="1" x14ac:dyDescent="0.15">
      <c r="A7" s="8"/>
      <c r="B7" s="8"/>
      <c r="C7" s="8"/>
      <c r="D7" s="8"/>
      <c r="E7" s="33"/>
      <c r="F7" s="3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s="29" customFormat="1" ht="14" customHeight="1" outlineLevel="1" x14ac:dyDescent="0.15">
      <c r="A8" s="8"/>
      <c r="B8" s="8"/>
      <c r="C8" s="8"/>
      <c r="D8" s="8"/>
      <c r="E8" s="30" t="s">
        <v>31</v>
      </c>
      <c r="F8" s="34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s="29" customFormat="1" ht="14" customHeight="1" outlineLevel="1" x14ac:dyDescent="0.15">
      <c r="A9" s="8"/>
      <c r="B9" s="8"/>
      <c r="C9" s="8"/>
      <c r="D9" s="8"/>
      <c r="E9" s="8" t="s">
        <v>36</v>
      </c>
      <c r="F9" s="35" t="s">
        <v>37</v>
      </c>
      <c r="G9" s="48" t="s">
        <v>38</v>
      </c>
      <c r="H9" s="30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s="29" customFormat="1" ht="14" customHeight="1" outlineLevel="1" x14ac:dyDescent="0.15">
      <c r="A10" s="8"/>
      <c r="B10" s="8"/>
      <c r="C10" s="8"/>
      <c r="D10" s="8"/>
      <c r="E10" s="8" t="s">
        <v>28</v>
      </c>
      <c r="F10" s="35" t="s">
        <v>29</v>
      </c>
      <c r="G10" s="12" t="s">
        <v>20</v>
      </c>
      <c r="H10" s="8"/>
      <c r="I10" s="8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s="29" customFormat="1" ht="14" customHeight="1" outlineLevel="1" x14ac:dyDescent="0.15">
      <c r="A11" s="8"/>
      <c r="B11" s="8"/>
      <c r="C11" s="8"/>
      <c r="D11" s="8"/>
      <c r="E11" s="8" t="s">
        <v>0</v>
      </c>
      <c r="F11" s="35" t="s">
        <v>30</v>
      </c>
      <c r="G11" s="12">
        <v>44926</v>
      </c>
      <c r="H11" s="8"/>
      <c r="I11" s="8"/>
      <c r="J11" s="1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s="29" customFormat="1" ht="14" customHeight="1" outlineLevel="1" x14ac:dyDescent="0.15">
      <c r="A12" s="8"/>
      <c r="B12" s="8"/>
      <c r="C12" s="8"/>
      <c r="D12" s="8"/>
      <c r="E12" s="8" t="s">
        <v>22</v>
      </c>
      <c r="F12" s="35" t="s">
        <v>3</v>
      </c>
      <c r="G12" s="14">
        <v>1000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s="29" customFormat="1" ht="14" customHeight="1" outlineLevel="1" x14ac:dyDescent="0.15">
      <c r="A13" s="8"/>
      <c r="B13" s="8"/>
      <c r="C13" s="8"/>
      <c r="D13" s="8"/>
      <c r="E13" s="8"/>
      <c r="F13" s="3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s="29" customFormat="1" ht="14" customHeight="1" outlineLevel="1" x14ac:dyDescent="0.15">
      <c r="A14" s="8"/>
      <c r="B14" s="8"/>
      <c r="C14" s="8"/>
      <c r="D14" s="8"/>
      <c r="E14" s="30" t="s">
        <v>34</v>
      </c>
      <c r="F14" s="3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s="29" customFormat="1" ht="14" customHeight="1" outlineLevel="1" x14ac:dyDescent="0.15">
      <c r="A15" s="8"/>
      <c r="B15" s="8"/>
      <c r="C15" s="8"/>
      <c r="D15" s="8"/>
      <c r="E15" s="8" t="s">
        <v>32</v>
      </c>
      <c r="F15" s="35" t="s">
        <v>8</v>
      </c>
      <c r="G15" s="19">
        <v>2.5</v>
      </c>
      <c r="H15" s="3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s="29" customFormat="1" ht="14" customHeight="1" outlineLevel="1" x14ac:dyDescent="0.15">
      <c r="A16" s="8"/>
      <c r="B16" s="8"/>
      <c r="C16" s="8"/>
      <c r="D16" s="8"/>
      <c r="E16" s="8" t="s">
        <v>33</v>
      </c>
      <c r="F16" s="35" t="s">
        <v>8</v>
      </c>
      <c r="G16" s="19">
        <v>1.75</v>
      </c>
      <c r="H16" s="3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32" s="29" customFormat="1" ht="14" customHeight="1" outlineLevel="1" x14ac:dyDescent="0.15">
      <c r="A17" s="8"/>
      <c r="B17" s="8"/>
      <c r="C17" s="8"/>
      <c r="D17" s="8"/>
      <c r="E17" s="8"/>
      <c r="F17" s="3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1:32" s="29" customFormat="1" ht="14" customHeight="1" x14ac:dyDescent="0.15">
      <c r="A18" s="8"/>
      <c r="B18" s="8"/>
      <c r="C18" s="8"/>
      <c r="D18" s="8"/>
      <c r="E18" s="8"/>
      <c r="F18" s="3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 s="29" customFormat="1" ht="14" customHeight="1" x14ac:dyDescent="0.15">
      <c r="A19" s="8"/>
      <c r="B19" s="8"/>
      <c r="C19" s="8"/>
      <c r="D19" s="2"/>
      <c r="E19" s="2"/>
      <c r="F19" s="2"/>
      <c r="G19" s="61" t="s">
        <v>2</v>
      </c>
      <c r="H19" s="62"/>
      <c r="I19" s="62"/>
      <c r="J19" s="62"/>
      <c r="K19" s="62"/>
      <c r="L19" s="63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s="29" customFormat="1" ht="14" customHeight="1" x14ac:dyDescent="0.15">
      <c r="A20" s="8"/>
      <c r="B20" s="8"/>
      <c r="C20" s="8"/>
      <c r="D20" s="3" t="s">
        <v>21</v>
      </c>
      <c r="E20" s="3"/>
      <c r="F20" s="4" t="s">
        <v>1</v>
      </c>
      <c r="G20" s="5">
        <f>EOMONTH(initial_year,12)</f>
        <v>45291</v>
      </c>
      <c r="H20" s="6">
        <f t="shared" ref="H20:L20" si="0">EOMONTH(G20,12)</f>
        <v>45657</v>
      </c>
      <c r="I20" s="6">
        <f t="shared" si="0"/>
        <v>46022</v>
      </c>
      <c r="J20" s="6">
        <f t="shared" si="0"/>
        <v>46387</v>
      </c>
      <c r="K20" s="6">
        <f t="shared" si="0"/>
        <v>46752</v>
      </c>
      <c r="L20" s="6">
        <f t="shared" si="0"/>
        <v>47118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 s="29" customFormat="1" ht="14" customHeight="1" x14ac:dyDescent="0.15">
      <c r="A21" s="8"/>
      <c r="B21" s="8"/>
      <c r="C21" s="8"/>
      <c r="D21" s="7" t="str">
        <f>'Product &amp; Segment Detail'!$E$9</f>
        <v>Product_1</v>
      </c>
      <c r="E21" s="7"/>
      <c r="F21" s="7"/>
      <c r="G21" s="7"/>
      <c r="H21" s="7"/>
      <c r="I21" s="7"/>
      <c r="J21" s="7"/>
      <c r="K21" s="7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32" s="29" customFormat="1" ht="14" hidden="1" customHeight="1" outlineLevel="1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spans="1:32" s="29" customFormat="1" ht="14" hidden="1" customHeight="1" outlineLevel="1" x14ac:dyDescent="0.15">
      <c r="A23" s="22"/>
      <c r="B23" s="39" t="str">
        <f>INDEX(product_table[], MATCH($D$21, product_table[Product],0), MATCH("ID", product_table[#Headers],0))</f>
        <v>P1</v>
      </c>
      <c r="C23" s="39" t="str">
        <f>INDEX(segment_table[],MATCH(E23,segment_table[Segment],0),MATCH("Seg_ID", segment_table[#Headers],0))</f>
        <v>S1</v>
      </c>
      <c r="D23" s="22"/>
      <c r="E23" s="42" t="str">
        <f>+'Product &amp; Segment Detail'!$E$13</f>
        <v>Segment 1</v>
      </c>
      <c r="F23" s="15" t="s">
        <v>3</v>
      </c>
      <c r="G23" s="14">
        <v>10000</v>
      </c>
      <c r="H23" s="16">
        <f t="shared" ref="H23:L23" si="1">+G23*(1+H24)</f>
        <v>10250</v>
      </c>
      <c r="I23" s="16">
        <f t="shared" si="1"/>
        <v>10557.5</v>
      </c>
      <c r="J23" s="16">
        <f t="shared" si="1"/>
        <v>11085.375</v>
      </c>
      <c r="K23" s="16">
        <f t="shared" si="1"/>
        <v>11307.0825</v>
      </c>
      <c r="L23" s="16">
        <f t="shared" si="1"/>
        <v>11476.688737499999</v>
      </c>
      <c r="M23" s="22"/>
      <c r="N23" s="30" t="s">
        <v>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4" spans="1:32" s="29" customFormat="1" ht="14" hidden="1" customHeight="1" outlineLevel="1" x14ac:dyDescent="0.15">
      <c r="A24" s="22"/>
      <c r="B24" s="22"/>
      <c r="D24" s="22"/>
      <c r="E24" s="27" t="s">
        <v>5</v>
      </c>
      <c r="F24" s="15" t="s">
        <v>6</v>
      </c>
      <c r="G24" s="8"/>
      <c r="H24" s="17">
        <v>2.5000000000000001E-2</v>
      </c>
      <c r="I24" s="17">
        <v>0.03</v>
      </c>
      <c r="J24" s="17">
        <v>0.05</v>
      </c>
      <c r="K24" s="17">
        <v>0.02</v>
      </c>
      <c r="L24" s="17">
        <v>1.4999999999999999E-2</v>
      </c>
      <c r="M24" s="22"/>
      <c r="N24" s="23">
        <f>(L23/G23)^(1/COUNT(G23:L23))-1</f>
        <v>2.3220974296592978E-2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spans="1:32" s="29" customFormat="1" ht="14" hidden="1" customHeight="1" outlineLevel="1" x14ac:dyDescent="0.15">
      <c r="A25" s="22"/>
      <c r="B25" s="22"/>
      <c r="C25" s="22"/>
      <c r="D25" s="22"/>
      <c r="E25" s="8"/>
      <c r="F25" s="22"/>
      <c r="G25" s="22"/>
      <c r="H25" s="22"/>
      <c r="I25" s="22"/>
      <c r="J25" s="22"/>
      <c r="K25" s="22"/>
      <c r="L25" s="22"/>
      <c r="M25" s="22"/>
      <c r="N25" s="23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s="29" customFormat="1" ht="14" hidden="1" customHeight="1" outlineLevel="1" x14ac:dyDescent="0.15">
      <c r="A26" s="22"/>
      <c r="B26" s="39" t="str">
        <f>INDEX(product_table[], MATCH($D$21, product_table[Product],0), MATCH("ID", product_table[#Headers],0))</f>
        <v>P1</v>
      </c>
      <c r="C26" s="39" t="str">
        <f>INDEX(segment_table[],MATCH(E26,segment_table[Segment],0),MATCH("Seg_ID", segment_table[#Headers],0))</f>
        <v>S2</v>
      </c>
      <c r="D26" s="22"/>
      <c r="E26" s="42" t="str">
        <f>+'Product &amp; Segment Detail'!$E$14</f>
        <v>Segment 2</v>
      </c>
      <c r="F26" s="15" t="s">
        <v>3</v>
      </c>
      <c r="G26" s="14">
        <v>6500</v>
      </c>
      <c r="H26" s="16">
        <f t="shared" ref="H26:L26" si="2">+G26*(1+H27)</f>
        <v>6630</v>
      </c>
      <c r="I26" s="16">
        <f t="shared" si="2"/>
        <v>6895.2</v>
      </c>
      <c r="J26" s="16">
        <f t="shared" si="2"/>
        <v>7446.8160000000007</v>
      </c>
      <c r="K26" s="16">
        <f t="shared" si="2"/>
        <v>7819.1568000000007</v>
      </c>
      <c r="L26" s="16">
        <f t="shared" si="2"/>
        <v>8053.7315040000012</v>
      </c>
      <c r="M26" s="22"/>
      <c r="N26" s="24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s="29" customFormat="1" ht="14" hidden="1" customHeight="1" outlineLevel="1" x14ac:dyDescent="0.15">
      <c r="A27" s="22"/>
      <c r="B27" s="22"/>
      <c r="D27" s="22"/>
      <c r="E27" s="27" t="s">
        <v>5</v>
      </c>
      <c r="F27" s="15" t="s">
        <v>6</v>
      </c>
      <c r="G27" s="8"/>
      <c r="H27" s="17">
        <v>0.02</v>
      </c>
      <c r="I27" s="17">
        <v>0.04</v>
      </c>
      <c r="J27" s="17">
        <v>0.08</v>
      </c>
      <c r="K27" s="17">
        <v>0.05</v>
      </c>
      <c r="L27" s="17">
        <v>0.03</v>
      </c>
      <c r="M27" s="22"/>
      <c r="N27" s="23">
        <f>(L26/G26)^(1/COUNT(G26:L26))-1</f>
        <v>3.6367929057051329E-2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 spans="1:32" s="29" customFormat="1" ht="14" hidden="1" customHeight="1" outlineLevel="1" x14ac:dyDescent="0.15">
      <c r="A28" s="22"/>
      <c r="B28" s="22"/>
      <c r="C28" s="22"/>
      <c r="D28" s="22"/>
      <c r="E28" s="8"/>
      <c r="F28" s="22"/>
      <c r="G28" s="22"/>
      <c r="H28" s="22"/>
      <c r="I28" s="22"/>
      <c r="J28" s="22"/>
      <c r="K28" s="22"/>
      <c r="L28" s="22"/>
      <c r="M28" s="22"/>
      <c r="N28" s="23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 spans="1:32" s="29" customFormat="1" ht="14" hidden="1" customHeight="1" outlineLevel="1" x14ac:dyDescent="0.15">
      <c r="A29" s="22"/>
      <c r="B29" s="39" t="str">
        <f>INDEX(product_table[], MATCH($D$21, product_table[Product],0), MATCH("ID", product_table[#Headers],0))</f>
        <v>P1</v>
      </c>
      <c r="C29" s="39" t="str">
        <f>INDEX(segment_table[],MATCH(E29,segment_table[Segment],0),MATCH("Seg_ID", segment_table[#Headers],0))</f>
        <v>S3</v>
      </c>
      <c r="D29" s="22"/>
      <c r="E29" s="42" t="str">
        <f>+'Product &amp; Segment Detail'!$E$15</f>
        <v>Segment 3</v>
      </c>
      <c r="F29" s="15" t="s">
        <v>3</v>
      </c>
      <c r="G29" s="14">
        <v>5000</v>
      </c>
      <c r="H29" s="16">
        <f t="shared" ref="H29:L29" si="3">+G29*(1+H30)</f>
        <v>5250</v>
      </c>
      <c r="I29" s="16">
        <f t="shared" si="3"/>
        <v>5617.5</v>
      </c>
      <c r="J29" s="16">
        <f t="shared" si="3"/>
        <v>6291.6</v>
      </c>
      <c r="K29" s="16">
        <f t="shared" si="3"/>
        <v>6794.9280000000008</v>
      </c>
      <c r="L29" s="16">
        <f t="shared" si="3"/>
        <v>7134.6744000000008</v>
      </c>
      <c r="M29" s="22"/>
      <c r="N29" s="24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 spans="1:32" s="29" customFormat="1" ht="14" hidden="1" customHeight="1" outlineLevel="1" x14ac:dyDescent="0.15">
      <c r="A30" s="22"/>
      <c r="B30" s="22"/>
      <c r="D30" s="22"/>
      <c r="E30" s="27" t="s">
        <v>5</v>
      </c>
      <c r="F30" s="15" t="s">
        <v>6</v>
      </c>
      <c r="G30" s="8"/>
      <c r="H30" s="17">
        <v>0.05</v>
      </c>
      <c r="I30" s="17">
        <v>7.0000000000000007E-2</v>
      </c>
      <c r="J30" s="17">
        <v>0.12</v>
      </c>
      <c r="K30" s="17">
        <v>0.08</v>
      </c>
      <c r="L30" s="17">
        <v>0.05</v>
      </c>
      <c r="M30" s="22"/>
      <c r="N30" s="23">
        <f>(L29/G29)^(1/COUNT(G29:L29))-1</f>
        <v>6.1045543600469099E-2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 spans="1:32" s="29" customFormat="1" ht="14" hidden="1" customHeight="1" outlineLevel="1" x14ac:dyDescent="0.15">
      <c r="A31" s="22"/>
      <c r="B31" s="22"/>
      <c r="C31" s="22"/>
      <c r="D31" s="22"/>
      <c r="E31" s="8"/>
      <c r="F31" s="22"/>
      <c r="G31" s="22"/>
      <c r="H31" s="22"/>
      <c r="I31" s="22"/>
      <c r="J31" s="22"/>
      <c r="K31" s="22"/>
      <c r="L31" s="22"/>
      <c r="M31" s="22"/>
      <c r="N31" s="23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 spans="1:32" s="29" customFormat="1" ht="14" hidden="1" customHeight="1" outlineLevel="1" x14ac:dyDescent="0.15">
      <c r="A32" s="22"/>
      <c r="B32" s="39" t="str">
        <f>INDEX(product_table[], MATCH($D$21, product_table[Product],0), MATCH("ID", product_table[#Headers],0))</f>
        <v>P1</v>
      </c>
      <c r="C32" s="39" t="str">
        <f>INDEX(segment_table[],MATCH(E32,segment_table[Segment],0),MATCH("Seg_ID", segment_table[#Headers],0))</f>
        <v>S4</v>
      </c>
      <c r="D32" s="22"/>
      <c r="E32" s="42" t="str">
        <f>+'Product &amp; Segment Detail'!$E$16</f>
        <v>Segment 4</v>
      </c>
      <c r="F32" s="15" t="s">
        <v>3</v>
      </c>
      <c r="G32" s="14">
        <v>1500</v>
      </c>
      <c r="H32" s="16">
        <f t="shared" ref="H32:L32" si="4">+G32*(1+H33)</f>
        <v>1650.0000000000002</v>
      </c>
      <c r="I32" s="16">
        <f t="shared" si="4"/>
        <v>1980.0000000000002</v>
      </c>
      <c r="J32" s="16">
        <f t="shared" si="4"/>
        <v>2277</v>
      </c>
      <c r="K32" s="16">
        <f t="shared" si="4"/>
        <v>2561.625</v>
      </c>
      <c r="L32" s="16">
        <f t="shared" si="4"/>
        <v>2817.7875000000004</v>
      </c>
      <c r="M32" s="22"/>
      <c r="N32" s="24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 spans="1:32" s="29" customFormat="1" ht="14" hidden="1" customHeight="1" outlineLevel="1" x14ac:dyDescent="0.15">
      <c r="A33" s="22"/>
      <c r="B33" s="22"/>
      <c r="D33" s="22"/>
      <c r="E33" s="27" t="s">
        <v>5</v>
      </c>
      <c r="F33" s="15" t="s">
        <v>6</v>
      </c>
      <c r="G33" s="8"/>
      <c r="H33" s="17">
        <v>0.1</v>
      </c>
      <c r="I33" s="17">
        <v>0.2</v>
      </c>
      <c r="J33" s="17">
        <v>0.15</v>
      </c>
      <c r="K33" s="17">
        <v>0.125</v>
      </c>
      <c r="L33" s="17">
        <v>0.1</v>
      </c>
      <c r="M33" s="22"/>
      <c r="N33" s="23">
        <f>(L32/G32)^(1/COUNT(G32:L32))-1</f>
        <v>0.11080074714860255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 spans="1:32" s="29" customFormat="1" ht="14" hidden="1" customHeight="1" outlineLevel="1" x14ac:dyDescent="0.15">
      <c r="A34" s="22"/>
      <c r="B34" s="22"/>
      <c r="C34" s="22"/>
      <c r="D34" s="22"/>
      <c r="E34" s="8"/>
      <c r="F34" s="22"/>
      <c r="G34" s="22"/>
      <c r="H34" s="22"/>
      <c r="I34" s="22"/>
      <c r="J34" s="22"/>
      <c r="K34" s="22"/>
      <c r="L34" s="22"/>
      <c r="M34" s="22"/>
      <c r="N34" s="25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spans="1:32" s="29" customFormat="1" ht="14" customHeight="1" collapsed="1" x14ac:dyDescent="0.15">
      <c r="A35" s="22"/>
      <c r="B35" s="22"/>
      <c r="C35" s="22"/>
      <c r="D35" s="22"/>
      <c r="E35" s="8"/>
      <c r="F35" s="22"/>
      <c r="G35" s="22"/>
      <c r="H35" s="22"/>
      <c r="I35" s="22"/>
      <c r="J35" s="22"/>
      <c r="K35" s="22"/>
      <c r="L35" s="22"/>
      <c r="M35" s="22"/>
      <c r="N35" s="25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</row>
    <row r="36" spans="1:32" s="29" customFormat="1" ht="14" customHeight="1" x14ac:dyDescent="0.15">
      <c r="A36" s="8"/>
      <c r="B36" s="8"/>
      <c r="C36" s="8"/>
      <c r="D36" s="7" t="str">
        <f>+'Product &amp; Segment Detail'!$E$10</f>
        <v>Product_2</v>
      </c>
      <c r="E36" s="7"/>
      <c r="F36" s="7"/>
      <c r="G36" s="7"/>
      <c r="H36" s="7"/>
      <c r="I36" s="7"/>
      <c r="J36" s="7"/>
      <c r="K36" s="7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 s="29" customFormat="1" ht="14" hidden="1" customHeight="1" outlineLevel="1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s="29" customFormat="1" ht="14" hidden="1" customHeight="1" outlineLevel="1" x14ac:dyDescent="0.15">
      <c r="A38" s="22"/>
      <c r="B38" s="39" t="str">
        <f>INDEX(product_table[], MATCH($D$36, product_table[Product],0), MATCH("ID", product_table[#Headers],0))</f>
        <v>P2</v>
      </c>
      <c r="C38" s="39" t="str">
        <f>INDEX(segment_table[],MATCH(E38,segment_table[Segment],0),MATCH("Seg_ID", segment_table[#Headers],0))</f>
        <v>S1</v>
      </c>
      <c r="D38" s="22"/>
      <c r="E38" s="42" t="str">
        <f>+'Product &amp; Segment Detail'!$E$13</f>
        <v>Segment 1</v>
      </c>
      <c r="F38" s="15" t="s">
        <v>3</v>
      </c>
      <c r="G38" s="14">
        <v>12000</v>
      </c>
      <c r="H38" s="16">
        <f t="shared" ref="H38" si="5">+G38*(1+H39)</f>
        <v>12600</v>
      </c>
      <c r="I38" s="16">
        <f t="shared" ref="I38" si="6">+H38*(1+I39)</f>
        <v>13104</v>
      </c>
      <c r="J38" s="16">
        <f t="shared" ref="J38" si="7">+I38*(1+J39)</f>
        <v>13497.12</v>
      </c>
      <c r="K38" s="16">
        <f t="shared" ref="K38" si="8">+J38*(1+K39)</f>
        <v>13767.062400000001</v>
      </c>
      <c r="L38" s="16">
        <f t="shared" ref="L38" si="9">+K38*(1+L39)</f>
        <v>13904.733024000001</v>
      </c>
      <c r="M38" s="22"/>
      <c r="N38" s="30" t="s">
        <v>4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 spans="1:32" s="29" customFormat="1" ht="14" hidden="1" customHeight="1" outlineLevel="1" x14ac:dyDescent="0.15">
      <c r="A39" s="22"/>
      <c r="B39" s="39"/>
      <c r="C39" s="39"/>
      <c r="D39" s="22"/>
      <c r="E39" s="27" t="s">
        <v>5</v>
      </c>
      <c r="F39" s="15" t="s">
        <v>6</v>
      </c>
      <c r="G39" s="8"/>
      <c r="H39" s="17">
        <v>0.05</v>
      </c>
      <c r="I39" s="17">
        <v>0.04</v>
      </c>
      <c r="J39" s="17">
        <v>0.03</v>
      </c>
      <c r="K39" s="17">
        <v>0.02</v>
      </c>
      <c r="L39" s="17">
        <v>0.01</v>
      </c>
      <c r="M39" s="22"/>
      <c r="N39" s="23">
        <f>(L38/G38)^(1/COUNT(G38:L38))-1</f>
        <v>2.4857699249664522E-2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 spans="1:32" s="29" customFormat="1" ht="14" hidden="1" customHeight="1" outlineLevel="1" x14ac:dyDescent="0.15">
      <c r="A40" s="22"/>
      <c r="B40" s="39"/>
      <c r="C40" s="39"/>
      <c r="D40" s="22"/>
      <c r="E40" s="8"/>
      <c r="F40" s="22"/>
      <c r="G40" s="22"/>
      <c r="H40" s="22"/>
      <c r="I40" s="22"/>
      <c r="J40" s="22"/>
      <c r="K40" s="22"/>
      <c r="L40" s="22"/>
      <c r="M40" s="22"/>
      <c r="N40" s="23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 spans="1:32" s="29" customFormat="1" ht="14" hidden="1" customHeight="1" outlineLevel="1" x14ac:dyDescent="0.15">
      <c r="A41" s="22"/>
      <c r="B41" s="39" t="str">
        <f>INDEX(product_table[], MATCH($D$36, product_table[Product],0), MATCH("ID", product_table[#Headers],0))</f>
        <v>P2</v>
      </c>
      <c r="C41" s="39" t="str">
        <f>INDEX(segment_table[],MATCH(E41,segment_table[Segment],0),MATCH("Seg_ID", segment_table[#Headers],0))</f>
        <v>S2</v>
      </c>
      <c r="D41" s="22"/>
      <c r="E41" s="42" t="str">
        <f>+'Product &amp; Segment Detail'!$E$14</f>
        <v>Segment 2</v>
      </c>
      <c r="F41" s="15" t="s">
        <v>3</v>
      </c>
      <c r="G41" s="14">
        <v>8000</v>
      </c>
      <c r="H41" s="16">
        <f t="shared" ref="H41" si="10">+G41*(1+H42)</f>
        <v>8160</v>
      </c>
      <c r="I41" s="16">
        <f t="shared" ref="I41" si="11">+H41*(1+I42)</f>
        <v>8364</v>
      </c>
      <c r="J41" s="16">
        <f t="shared" ref="J41" si="12">+I41*(1+J42)</f>
        <v>8614.92</v>
      </c>
      <c r="K41" s="16">
        <f t="shared" ref="K41" si="13">+J41*(1+K42)</f>
        <v>8873.3675999999996</v>
      </c>
      <c r="L41" s="16">
        <f t="shared" ref="L41" si="14">+K41*(1+L42)</f>
        <v>9095.2017899999992</v>
      </c>
      <c r="M41" s="22"/>
      <c r="N41" s="24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spans="1:32" s="29" customFormat="1" ht="14" hidden="1" customHeight="1" outlineLevel="1" x14ac:dyDescent="0.15">
      <c r="A42" s="22"/>
      <c r="B42" s="39"/>
      <c r="C42" s="39"/>
      <c r="D42" s="22"/>
      <c r="E42" s="27" t="s">
        <v>5</v>
      </c>
      <c r="F42" s="15" t="s">
        <v>6</v>
      </c>
      <c r="G42" s="8"/>
      <c r="H42" s="17">
        <v>0.02</v>
      </c>
      <c r="I42" s="17">
        <v>2.5000000000000001E-2</v>
      </c>
      <c r="J42" s="17">
        <v>0.03</v>
      </c>
      <c r="K42" s="17">
        <v>0.03</v>
      </c>
      <c r="L42" s="17">
        <v>2.5000000000000001E-2</v>
      </c>
      <c r="M42" s="22"/>
      <c r="N42" s="23">
        <f>(L41/G41)^(1/COUNT(G41:L41))-1</f>
        <v>2.161452428287669E-2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 s="29" customFormat="1" ht="14" hidden="1" customHeight="1" outlineLevel="1" x14ac:dyDescent="0.15">
      <c r="A43" s="22"/>
      <c r="B43" s="39"/>
      <c r="C43" s="39"/>
      <c r="D43" s="22"/>
      <c r="E43" s="8"/>
      <c r="F43" s="22"/>
      <c r="G43" s="22"/>
      <c r="H43" s="22"/>
      <c r="I43" s="22"/>
      <c r="J43" s="22"/>
      <c r="K43" s="22"/>
      <c r="L43" s="22"/>
      <c r="M43" s="22"/>
      <c r="N43" s="23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 s="29" customFormat="1" ht="14" hidden="1" customHeight="1" outlineLevel="1" x14ac:dyDescent="0.15">
      <c r="A44" s="22"/>
      <c r="B44" s="39" t="str">
        <f>INDEX(product_table[], MATCH($D$36, product_table[Product],0), MATCH("ID", product_table[#Headers],0))</f>
        <v>P2</v>
      </c>
      <c r="C44" s="39" t="str">
        <f>INDEX(segment_table[],MATCH(E44,segment_table[Segment],0),MATCH("Seg_ID", segment_table[#Headers],0))</f>
        <v>S3</v>
      </c>
      <c r="D44" s="22"/>
      <c r="E44" s="42" t="str">
        <f>+'Product &amp; Segment Detail'!$E$15</f>
        <v>Segment 3</v>
      </c>
      <c r="F44" s="15" t="s">
        <v>3</v>
      </c>
      <c r="G44" s="14">
        <v>4000</v>
      </c>
      <c r="H44" s="16">
        <f t="shared" ref="H44" si="15">+G44*(1+H45)</f>
        <v>4040</v>
      </c>
      <c r="I44" s="16">
        <f t="shared" ref="I44" si="16">+H44*(1+I45)</f>
        <v>4120.8</v>
      </c>
      <c r="J44" s="16">
        <f t="shared" ref="J44" si="17">+I44*(1+J45)</f>
        <v>4244.424</v>
      </c>
      <c r="K44" s="16">
        <f t="shared" ref="K44" si="18">+J44*(1+K45)</f>
        <v>4456.6451999999999</v>
      </c>
      <c r="L44" s="16">
        <f t="shared" ref="L44" si="19">+K44*(1+L45)</f>
        <v>4679.4774600000001</v>
      </c>
      <c r="M44" s="22"/>
      <c r="N44" s="24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 s="29" customFormat="1" ht="14" hidden="1" customHeight="1" outlineLevel="1" x14ac:dyDescent="0.15">
      <c r="A45" s="22"/>
      <c r="B45" s="39"/>
      <c r="C45" s="39"/>
      <c r="D45" s="22"/>
      <c r="E45" s="27" t="s">
        <v>5</v>
      </c>
      <c r="F45" s="15" t="s">
        <v>6</v>
      </c>
      <c r="G45" s="8"/>
      <c r="H45" s="17">
        <v>0.01</v>
      </c>
      <c r="I45" s="17">
        <v>0.02</v>
      </c>
      <c r="J45" s="17">
        <v>0.03</v>
      </c>
      <c r="K45" s="17">
        <v>0.05</v>
      </c>
      <c r="L45" s="17">
        <v>0.05</v>
      </c>
      <c r="M45" s="22"/>
      <c r="N45" s="23">
        <f>(L44/G44)^(1/COUNT(G44:L44))-1</f>
        <v>2.6493557683744173E-2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 s="29" customFormat="1" ht="14" hidden="1" customHeight="1" outlineLevel="1" x14ac:dyDescent="0.15">
      <c r="A46" s="22"/>
      <c r="B46" s="39"/>
      <c r="C46" s="39"/>
      <c r="D46" s="22"/>
      <c r="E46" s="8"/>
      <c r="F46" s="22"/>
      <c r="G46" s="22"/>
      <c r="H46" s="22"/>
      <c r="I46" s="22"/>
      <c r="J46" s="22"/>
      <c r="K46" s="22"/>
      <c r="L46" s="22"/>
      <c r="M46" s="22"/>
      <c r="N46" s="23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 s="29" customFormat="1" ht="14" hidden="1" customHeight="1" outlineLevel="1" x14ac:dyDescent="0.15">
      <c r="A47" s="22"/>
      <c r="B47" s="39" t="str">
        <f>INDEX(product_table[], MATCH($D$36, product_table[Product],0), MATCH("ID", product_table[#Headers],0))</f>
        <v>P2</v>
      </c>
      <c r="C47" s="39" t="str">
        <f>INDEX(segment_table[],MATCH(E47,segment_table[Segment],0),MATCH("Seg_ID", segment_table[#Headers],0))</f>
        <v>S4</v>
      </c>
      <c r="D47" s="22"/>
      <c r="E47" s="42" t="str">
        <f>+'Product &amp; Segment Detail'!$E$16</f>
        <v>Segment 4</v>
      </c>
      <c r="F47" s="15" t="s">
        <v>3</v>
      </c>
      <c r="G47" s="14">
        <v>250</v>
      </c>
      <c r="H47" s="16">
        <f t="shared" ref="H47" si="20">+G47*(1+H48)</f>
        <v>300</v>
      </c>
      <c r="I47" s="16">
        <f t="shared" ref="I47" si="21">+H47*(1+I48)</f>
        <v>390</v>
      </c>
      <c r="J47" s="16">
        <f t="shared" ref="J47" si="22">+I47*(1+J48)</f>
        <v>546</v>
      </c>
      <c r="K47" s="16">
        <f t="shared" ref="K47" si="23">+J47*(1+K48)</f>
        <v>819</v>
      </c>
      <c r="L47" s="16">
        <f t="shared" ref="L47" si="24">+K47*(1+L48)</f>
        <v>1269.45</v>
      </c>
      <c r="M47" s="22"/>
      <c r="N47" s="24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 s="29" customFormat="1" ht="14" hidden="1" customHeight="1" outlineLevel="1" x14ac:dyDescent="0.15">
      <c r="A48" s="22"/>
      <c r="B48" s="39"/>
      <c r="C48" s="39"/>
      <c r="D48" s="22"/>
      <c r="E48" s="27" t="s">
        <v>5</v>
      </c>
      <c r="F48" s="15" t="s">
        <v>6</v>
      </c>
      <c r="G48" s="8"/>
      <c r="H48" s="17">
        <v>0.2</v>
      </c>
      <c r="I48" s="17">
        <v>0.3</v>
      </c>
      <c r="J48" s="17">
        <v>0.4</v>
      </c>
      <c r="K48" s="17">
        <v>0.5</v>
      </c>
      <c r="L48" s="17">
        <v>0.55000000000000004</v>
      </c>
      <c r="M48" s="22"/>
      <c r="N48" s="23">
        <f>(L47/G47)^(1/COUNT(G47:L47))-1</f>
        <v>0.31102990604992109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 s="29" customFormat="1" ht="14" hidden="1" customHeight="1" outlineLevel="1" x14ac:dyDescent="0.15">
      <c r="A49" s="22"/>
      <c r="B49" s="39"/>
      <c r="C49" s="39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2" s="29" customFormat="1" ht="14" customHeight="1" collapsed="1" x14ac:dyDescent="0.15">
      <c r="A50" s="22"/>
      <c r="B50" s="39"/>
      <c r="C50" s="39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 s="29" customFormat="1" ht="14" customHeight="1" x14ac:dyDescent="0.15">
      <c r="A51" s="8"/>
      <c r="B51" s="39"/>
      <c r="C51" s="39"/>
      <c r="D51" s="2"/>
      <c r="E51" s="2"/>
      <c r="F51" s="2"/>
      <c r="G51" s="61" t="s">
        <v>2</v>
      </c>
      <c r="H51" s="62"/>
      <c r="I51" s="62"/>
      <c r="J51" s="62"/>
      <c r="K51" s="62"/>
      <c r="L51" s="63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:32" s="29" customFormat="1" ht="14" customHeight="1" x14ac:dyDescent="0.15">
      <c r="A52" s="8"/>
      <c r="B52" s="39"/>
      <c r="C52" s="39"/>
      <c r="D52" s="3" t="s">
        <v>52</v>
      </c>
      <c r="E52" s="3"/>
      <c r="F52" s="4" t="s">
        <v>1</v>
      </c>
      <c r="G52" s="5">
        <f>EOMONTH(initial_year,12)</f>
        <v>45291</v>
      </c>
      <c r="H52" s="6">
        <f t="shared" ref="H52" si="25">EOMONTH(G52,12)</f>
        <v>45657</v>
      </c>
      <c r="I52" s="6">
        <f t="shared" ref="I52" si="26">EOMONTH(H52,12)</f>
        <v>46022</v>
      </c>
      <c r="J52" s="6">
        <f t="shared" ref="J52" si="27">EOMONTH(I52,12)</f>
        <v>46387</v>
      </c>
      <c r="K52" s="6">
        <f t="shared" ref="K52" si="28">EOMONTH(J52,12)</f>
        <v>46752</v>
      </c>
      <c r="L52" s="6">
        <f t="shared" ref="L52" si="29">EOMONTH(K52,12)</f>
        <v>47118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2" s="29" customFormat="1" ht="14" customHeight="1" x14ac:dyDescent="0.15">
      <c r="A53" s="8"/>
      <c r="B53" s="39"/>
      <c r="C53" s="39"/>
      <c r="D53" s="7" t="str">
        <f>'Product &amp; Segment Detail'!$E$9</f>
        <v>Product_1</v>
      </c>
      <c r="E53" s="7"/>
      <c r="F53" s="7"/>
      <c r="G53" s="7"/>
      <c r="H53" s="7"/>
      <c r="I53" s="7"/>
      <c r="J53" s="7"/>
      <c r="K53" s="7"/>
      <c r="L53" s="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:32" s="29" customFormat="1" ht="14" hidden="1" customHeight="1" outlineLevel="1" x14ac:dyDescent="0.15">
      <c r="A54" s="22"/>
      <c r="B54" s="39"/>
      <c r="C54" s="39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</row>
    <row r="55" spans="1:32" s="29" customFormat="1" ht="14" hidden="1" customHeight="1" outlineLevel="1" x14ac:dyDescent="0.15">
      <c r="A55" s="8"/>
      <c r="B55" s="39" t="str">
        <f>INDEX(product_table[], MATCH($D$53, product_table[Product],0), MATCH("ID", product_table[#Headers],0))</f>
        <v>P1</v>
      </c>
      <c r="C55" s="39"/>
      <c r="D55" s="8"/>
      <c r="E55" s="31" t="s">
        <v>7</v>
      </c>
      <c r="F55" s="15" t="s">
        <v>8</v>
      </c>
      <c r="G55" s="18">
        <f>p1_unit_price</f>
        <v>2.5</v>
      </c>
      <c r="H55" s="40">
        <f>+G55*(1+ H56)</f>
        <v>2.5</v>
      </c>
      <c r="I55" s="40">
        <f t="shared" ref="I55:L55" si="30">+H55*(1+ I56)</f>
        <v>2.5</v>
      </c>
      <c r="J55" s="40">
        <f t="shared" si="30"/>
        <v>2.5</v>
      </c>
      <c r="K55" s="40">
        <f t="shared" si="30"/>
        <v>2.5</v>
      </c>
      <c r="L55" s="40">
        <f t="shared" si="30"/>
        <v>2.5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:32" s="29" customFormat="1" ht="14" hidden="1" customHeight="1" outlineLevel="1" x14ac:dyDescent="0.15">
      <c r="A56" s="22"/>
      <c r="B56" s="39" t="str">
        <f>INDEX(product_table[], MATCH($D$53, product_table[Product],0), MATCH("ID", product_table[#Headers],0))</f>
        <v>P1</v>
      </c>
      <c r="C56" s="39"/>
      <c r="D56" s="22"/>
      <c r="E56" s="27" t="s">
        <v>5</v>
      </c>
      <c r="F56" s="15" t="s">
        <v>6</v>
      </c>
      <c r="G56" s="8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22"/>
      <c r="N56" s="24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 spans="1:32" s="29" customFormat="1" ht="14" hidden="1" customHeight="1" outlineLevel="1" x14ac:dyDescent="0.15">
      <c r="A57" s="22"/>
      <c r="B57" s="39"/>
      <c r="C57" s="39"/>
      <c r="D57" s="22"/>
      <c r="G57" s="8"/>
      <c r="M57" s="22"/>
      <c r="N57" s="23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 spans="1:32" s="29" customFormat="1" ht="14" hidden="1" customHeight="1" outlineLevel="1" x14ac:dyDescent="0.15">
      <c r="A58" s="22"/>
      <c r="B58" s="39"/>
      <c r="C58" s="39"/>
      <c r="D58" s="22"/>
      <c r="E58" s="42" t="str">
        <f>+'Product &amp; Segment Detail'!$E$13</f>
        <v>Segment 1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 spans="1:32" s="29" customFormat="1" ht="14" hidden="1" customHeight="1" outlineLevel="1" x14ac:dyDescent="0.15">
      <c r="A59" s="22"/>
      <c r="B59" s="39" t="str">
        <f>INDEX(product_table[], MATCH($D$53, product_table[Product],0), MATCH("ID", product_table[#Headers],0))</f>
        <v>P1</v>
      </c>
      <c r="C59" s="39" t="str">
        <f>INDEX(segment_table[],MATCH(E58,segment_table[Segment],0),MATCH("Seg_ID", segment_table[#Headers],0))</f>
        <v>S1</v>
      </c>
      <c r="D59" s="22"/>
      <c r="E59" s="41" t="s">
        <v>9</v>
      </c>
      <c r="F59" s="15" t="s">
        <v>3</v>
      </c>
      <c r="G59" s="43">
        <f t="shared" ref="G59:L59" si="31">SUMIFS(G$21:G$50,tam_range_prod_id,$B59, tam_range_seg_ids, $C59)</f>
        <v>10000</v>
      </c>
      <c r="H59" s="43">
        <f t="shared" si="31"/>
        <v>10250</v>
      </c>
      <c r="I59" s="43">
        <f t="shared" si="31"/>
        <v>10557.5</v>
      </c>
      <c r="J59" s="43">
        <f t="shared" si="31"/>
        <v>11085.375</v>
      </c>
      <c r="K59" s="43">
        <f t="shared" si="31"/>
        <v>11307.0825</v>
      </c>
      <c r="L59" s="43">
        <f t="shared" si="31"/>
        <v>11476.688737499999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 spans="1:32" s="29" customFormat="1" ht="14" hidden="1" customHeight="1" outlineLevel="1" x14ac:dyDescent="0.15">
      <c r="A60" s="22"/>
      <c r="B60" s="39"/>
      <c r="C60" s="39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 spans="1:32" s="29" customFormat="1" ht="14" hidden="1" customHeight="1" outlineLevel="1" x14ac:dyDescent="0.15">
      <c r="A61" s="22"/>
      <c r="B61" s="39" t="str">
        <f>INDEX(product_table[], MATCH($D$53, product_table[Product],0), MATCH("ID", product_table[#Headers],0))</f>
        <v>P1</v>
      </c>
      <c r="C61" s="39" t="str">
        <f>INDEX(segment_table[],MATCH(E58,segment_table[Segment],0),MATCH("Seg_ID", segment_table[#Headers],0))</f>
        <v>S1</v>
      </c>
      <c r="D61" s="22"/>
      <c r="E61" s="41" t="s">
        <v>10</v>
      </c>
      <c r="F61" s="15" t="s">
        <v>3</v>
      </c>
      <c r="G61" s="16">
        <f t="shared" ref="G61:L61" si="32">+G59*G62</f>
        <v>4500</v>
      </c>
      <c r="H61" s="16">
        <f t="shared" si="32"/>
        <v>5125</v>
      </c>
      <c r="I61" s="16">
        <f t="shared" si="32"/>
        <v>5806.6250000000009</v>
      </c>
      <c r="J61" s="16">
        <f t="shared" si="32"/>
        <v>6651.2249999999995</v>
      </c>
      <c r="K61" s="16">
        <f t="shared" si="32"/>
        <v>7349.6036250000006</v>
      </c>
      <c r="L61" s="16">
        <f t="shared" si="32"/>
        <v>8033.6821162499982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 spans="1:32" s="29" customFormat="1" ht="14" hidden="1" customHeight="1" outlineLevel="1" x14ac:dyDescent="0.15">
      <c r="A62" s="22"/>
      <c r="B62" s="39" t="str">
        <f>INDEX(product_table[], MATCH($D$53, product_table[Product],0), MATCH("ID", product_table[#Headers],0))</f>
        <v>P1</v>
      </c>
      <c r="C62" s="39" t="str">
        <f>INDEX(segment_table[],MATCH(E58,segment_table[Segment],0),MATCH("Seg_ID", segment_table[#Headers],0))</f>
        <v>S1</v>
      </c>
      <c r="D62" s="22"/>
      <c r="E62" s="41" t="s">
        <v>53</v>
      </c>
      <c r="F62" s="15" t="s">
        <v>6</v>
      </c>
      <c r="G62" s="44">
        <v>0.45</v>
      </c>
      <c r="H62" s="44">
        <v>0.5</v>
      </c>
      <c r="I62" s="44">
        <v>0.55000000000000004</v>
      </c>
      <c r="J62" s="44">
        <v>0.6</v>
      </c>
      <c r="K62" s="44">
        <v>0.65</v>
      </c>
      <c r="L62" s="44">
        <v>0.7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 spans="1:32" s="29" customFormat="1" ht="14" hidden="1" customHeight="1" outlineLevel="1" x14ac:dyDescent="0.15">
      <c r="A63" s="22"/>
      <c r="B63" s="39"/>
      <c r="C63" s="39"/>
      <c r="D63" s="22"/>
      <c r="E63" s="4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 spans="1:32" s="29" customFormat="1" ht="14" hidden="1" customHeight="1" outlineLevel="1" x14ac:dyDescent="0.15">
      <c r="A64" s="22"/>
      <c r="B64" s="39" t="str">
        <f>INDEX(product_table[], MATCH($D$53, product_table[Product],0), MATCH("ID", product_table[#Headers],0))</f>
        <v>P1</v>
      </c>
      <c r="C64" s="39" t="str">
        <f>INDEX(segment_table[],MATCH(E58,segment_table[Segment],0),MATCH("Seg_ID", segment_table[#Headers],0))</f>
        <v>S1</v>
      </c>
      <c r="D64" s="22"/>
      <c r="E64" s="41" t="s">
        <v>11</v>
      </c>
      <c r="F64" s="15" t="s">
        <v>3</v>
      </c>
      <c r="G64" s="16">
        <f t="shared" ref="G64:L64" si="33">+G61*G65</f>
        <v>450</v>
      </c>
      <c r="H64" s="16">
        <f t="shared" si="33"/>
        <v>640.625</v>
      </c>
      <c r="I64" s="16">
        <f t="shared" si="33"/>
        <v>870.99375000000009</v>
      </c>
      <c r="J64" s="16">
        <f t="shared" si="33"/>
        <v>1163.9643749999998</v>
      </c>
      <c r="K64" s="16">
        <f t="shared" si="33"/>
        <v>1469.9207249999999</v>
      </c>
      <c r="L64" s="16">
        <f t="shared" si="33"/>
        <v>1807.5784761562495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 spans="1:32" s="29" customFormat="1" ht="14" hidden="1" customHeight="1" outlineLevel="1" x14ac:dyDescent="0.15">
      <c r="A65" s="22"/>
      <c r="B65" s="39" t="str">
        <f>INDEX(product_table[], MATCH($D$53, product_table[Product],0), MATCH("ID", product_table[#Headers],0))</f>
        <v>P1</v>
      </c>
      <c r="C65" s="39" t="str">
        <f>INDEX(segment_table[],MATCH(E58,segment_table[Segment],0),MATCH("Seg_ID", segment_table[#Headers],0))</f>
        <v>S1</v>
      </c>
      <c r="D65" s="22"/>
      <c r="E65" s="41" t="s">
        <v>94</v>
      </c>
      <c r="F65" s="15" t="s">
        <v>6</v>
      </c>
      <c r="G65" s="45">
        <f t="shared" ref="G65:L65" si="34">INDEX(G66:G68,MATCH(scenario,$E66:$E68,0))</f>
        <v>0.1</v>
      </c>
      <c r="H65" s="45">
        <f t="shared" si="34"/>
        <v>0.125</v>
      </c>
      <c r="I65" s="45">
        <f t="shared" si="34"/>
        <v>0.15</v>
      </c>
      <c r="J65" s="45">
        <f t="shared" si="34"/>
        <v>0.17499999999999999</v>
      </c>
      <c r="K65" s="45">
        <f t="shared" si="34"/>
        <v>0.19999999999999998</v>
      </c>
      <c r="L65" s="45">
        <f t="shared" si="34"/>
        <v>0.22499999999999998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 spans="1:32" s="29" customFormat="1" ht="14" hidden="1" customHeight="1" outlineLevel="1" x14ac:dyDescent="0.15">
      <c r="A66" s="22"/>
      <c r="B66" s="39" t="str">
        <f>INDEX(product_table[], MATCH($D$53, product_table[Product],0), MATCH("ID", product_table[#Headers],0))</f>
        <v>P1</v>
      </c>
      <c r="C66" s="39" t="str">
        <f>INDEX(segment_table[],MATCH(E58,segment_table[Segment],0),MATCH("Seg_ID", segment_table[#Headers],0))</f>
        <v>S1</v>
      </c>
      <c r="D66" s="22"/>
      <c r="E66" s="46" t="s">
        <v>54</v>
      </c>
      <c r="F66" s="15"/>
      <c r="G66" s="44">
        <v>0.15</v>
      </c>
      <c r="H66" s="44">
        <f t="shared" ref="H66:L66" si="35">+G66+0.025</f>
        <v>0.17499999999999999</v>
      </c>
      <c r="I66" s="44">
        <f t="shared" si="35"/>
        <v>0.19999999999999998</v>
      </c>
      <c r="J66" s="44">
        <f t="shared" si="35"/>
        <v>0.22499999999999998</v>
      </c>
      <c r="K66" s="44">
        <f t="shared" si="35"/>
        <v>0.24999999999999997</v>
      </c>
      <c r="L66" s="44">
        <f t="shared" si="35"/>
        <v>0.27499999999999997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 spans="1:32" s="29" customFormat="1" ht="14" hidden="1" customHeight="1" outlineLevel="1" x14ac:dyDescent="0.15">
      <c r="A67" s="22"/>
      <c r="B67" s="39" t="str">
        <f>INDEX(product_table[], MATCH($D$53, product_table[Product],0), MATCH("ID", product_table[#Headers],0))</f>
        <v>P1</v>
      </c>
      <c r="C67" s="39" t="str">
        <f>INDEX(segment_table[],MATCH(E58,segment_table[Segment],0),MATCH("Seg_ID", segment_table[#Headers],0))</f>
        <v>S1</v>
      </c>
      <c r="D67" s="22"/>
      <c r="E67" s="46" t="s">
        <v>38</v>
      </c>
      <c r="F67" s="22"/>
      <c r="G67" s="44">
        <v>0.1</v>
      </c>
      <c r="H67" s="44">
        <f>+G67+0.025</f>
        <v>0.125</v>
      </c>
      <c r="I67" s="44">
        <f t="shared" ref="I67:L67" si="36">+H67+0.025</f>
        <v>0.15</v>
      </c>
      <c r="J67" s="44">
        <f t="shared" si="36"/>
        <v>0.17499999999999999</v>
      </c>
      <c r="K67" s="44">
        <f t="shared" si="36"/>
        <v>0.19999999999999998</v>
      </c>
      <c r="L67" s="44">
        <f t="shared" si="36"/>
        <v>0.22499999999999998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 spans="1:32" s="29" customFormat="1" ht="14" hidden="1" customHeight="1" outlineLevel="1" x14ac:dyDescent="0.15">
      <c r="A68" s="22"/>
      <c r="B68" s="39" t="str">
        <f>INDEX(product_table[], MATCH($D$53, product_table[Product],0), MATCH("ID", product_table[#Headers],0))</f>
        <v>P1</v>
      </c>
      <c r="C68" s="39" t="str">
        <f>INDEX(segment_table[],MATCH(E58,segment_table[Segment],0),MATCH("Seg_ID", segment_table[#Headers],0))</f>
        <v>S1</v>
      </c>
      <c r="D68" s="22"/>
      <c r="E68" s="46" t="s">
        <v>55</v>
      </c>
      <c r="F68" s="22"/>
      <c r="G68" s="44">
        <v>0.05</v>
      </c>
      <c r="H68" s="44">
        <f t="shared" ref="H68:L68" si="37">+G68+0.025</f>
        <v>7.5000000000000011E-2</v>
      </c>
      <c r="I68" s="44">
        <f t="shared" si="37"/>
        <v>0.1</v>
      </c>
      <c r="J68" s="44">
        <f t="shared" si="37"/>
        <v>0.125</v>
      </c>
      <c r="K68" s="44">
        <f t="shared" si="37"/>
        <v>0.15</v>
      </c>
      <c r="L68" s="44">
        <f t="shared" si="37"/>
        <v>0.17499999999999999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 spans="1:32" s="29" customFormat="1" ht="14" hidden="1" customHeight="1" outlineLevel="1" x14ac:dyDescent="0.15">
      <c r="A69" s="22"/>
      <c r="B69" s="39"/>
      <c r="C69" s="3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</row>
    <row r="70" spans="1:32" s="29" customFormat="1" ht="14" hidden="1" customHeight="1" outlineLevel="1" x14ac:dyDescent="0.15">
      <c r="A70" s="22"/>
      <c r="B70" s="39" t="str">
        <f>INDEX(product_table[], MATCH($D$53, product_table[Product],0), MATCH("ID", product_table[#Headers],0))</f>
        <v>P1</v>
      </c>
      <c r="C70" s="39" t="str">
        <f>INDEX(segment_table[],MATCH(E58,segment_table[Segment],0),MATCH("Seg_ID", segment_table[#Headers],0))</f>
        <v>S1</v>
      </c>
      <c r="D70" s="22"/>
      <c r="E70" s="41" t="s">
        <v>12</v>
      </c>
      <c r="F70" s="15" t="s">
        <v>8</v>
      </c>
      <c r="G70" s="16">
        <f>+G59*G$55</f>
        <v>25000</v>
      </c>
      <c r="H70" s="16">
        <f t="shared" ref="H70:L70" si="38">+H59*H$55</f>
        <v>25625</v>
      </c>
      <c r="I70" s="16">
        <f t="shared" si="38"/>
        <v>26393.75</v>
      </c>
      <c r="J70" s="16">
        <f t="shared" si="38"/>
        <v>27713.4375</v>
      </c>
      <c r="K70" s="16">
        <f t="shared" si="38"/>
        <v>28267.706250000003</v>
      </c>
      <c r="L70" s="16">
        <f t="shared" si="38"/>
        <v>28691.721843749998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</row>
    <row r="71" spans="1:32" s="29" customFormat="1" ht="14" hidden="1" customHeight="1" outlineLevel="1" x14ac:dyDescent="0.15">
      <c r="A71" s="22"/>
      <c r="B71" s="39" t="str">
        <f>INDEX(product_table[], MATCH($D$53, product_table[Product],0), MATCH("ID", product_table[#Headers],0))</f>
        <v>P1</v>
      </c>
      <c r="C71" s="39" t="str">
        <f>INDEX(segment_table[],MATCH(E58,segment_table[Segment],0),MATCH("Seg_ID", segment_table[#Headers],0))</f>
        <v>S1</v>
      </c>
      <c r="D71" s="22"/>
      <c r="E71" s="41" t="s">
        <v>13</v>
      </c>
      <c r="F71" s="15" t="s">
        <v>8</v>
      </c>
      <c r="G71" s="16">
        <f>+G61*G$55</f>
        <v>11250</v>
      </c>
      <c r="H71" s="16">
        <f t="shared" ref="H71:L71" si="39">+H61*H$55</f>
        <v>12812.5</v>
      </c>
      <c r="I71" s="16">
        <f t="shared" si="39"/>
        <v>14516.562500000002</v>
      </c>
      <c r="J71" s="16">
        <f t="shared" si="39"/>
        <v>16628.0625</v>
      </c>
      <c r="K71" s="16">
        <f t="shared" si="39"/>
        <v>18374.009062500001</v>
      </c>
      <c r="L71" s="16">
        <f t="shared" si="39"/>
        <v>20084.205290624996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 spans="1:32" s="29" customFormat="1" ht="14" hidden="1" customHeight="1" outlineLevel="1" x14ac:dyDescent="0.15">
      <c r="A72" s="22"/>
      <c r="B72" s="39" t="str">
        <f>INDEX(product_table[], MATCH($D$53, product_table[Product],0), MATCH("ID", product_table[#Headers],0))</f>
        <v>P1</v>
      </c>
      <c r="C72" s="39" t="str">
        <f>INDEX(segment_table[],MATCH(E58,segment_table[Segment],0),MATCH("Seg_ID", segment_table[#Headers],0))</f>
        <v>S1</v>
      </c>
      <c r="D72" s="22"/>
      <c r="E72" s="41" t="s">
        <v>14</v>
      </c>
      <c r="F72" s="15" t="s">
        <v>8</v>
      </c>
      <c r="G72" s="16">
        <f>+G$55*G64</f>
        <v>1125</v>
      </c>
      <c r="H72" s="16">
        <f t="shared" ref="H72:L72" si="40">+H$55*H64</f>
        <v>1601.5625</v>
      </c>
      <c r="I72" s="16">
        <f t="shared" si="40"/>
        <v>2177.484375</v>
      </c>
      <c r="J72" s="16">
        <f t="shared" si="40"/>
        <v>2909.9109374999994</v>
      </c>
      <c r="K72" s="16">
        <f t="shared" si="40"/>
        <v>3674.8018124999999</v>
      </c>
      <c r="L72" s="16">
        <f t="shared" si="40"/>
        <v>4518.946190390624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 spans="1:32" s="29" customFormat="1" ht="14" hidden="1" customHeight="1" outlineLevel="1" x14ac:dyDescent="0.15">
      <c r="A73" s="22"/>
      <c r="B73" s="39"/>
      <c r="C73" s="39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4" spans="1:32" s="29" customFormat="1" ht="14" hidden="1" customHeight="1" outlineLevel="1" x14ac:dyDescent="0.15">
      <c r="A74" s="22"/>
      <c r="B74" s="39"/>
      <c r="C74" s="39"/>
      <c r="D74" s="22"/>
      <c r="E74" s="42" t="str">
        <f>+'Product &amp; Segment Detail'!$E$14</f>
        <v>Segment 2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</row>
    <row r="75" spans="1:32" s="29" customFormat="1" ht="14" hidden="1" customHeight="1" outlineLevel="1" x14ac:dyDescent="0.15">
      <c r="A75" s="22"/>
      <c r="B75" s="39" t="str">
        <f>INDEX(product_table[], MATCH($D$53, product_table[Product],0), MATCH("ID", product_table[#Headers],0))</f>
        <v>P1</v>
      </c>
      <c r="C75" s="39" t="str">
        <f>INDEX(segment_table[],MATCH(E74,segment_table[Segment],0),MATCH("Seg_ID", segment_table[#Headers],0))</f>
        <v>S2</v>
      </c>
      <c r="D75" s="22"/>
      <c r="E75" s="41" t="s">
        <v>9</v>
      </c>
      <c r="F75" s="15" t="s">
        <v>3</v>
      </c>
      <c r="G75" s="43">
        <f t="shared" ref="G75:L75" si="41">SUMIFS(G$21:G$50,tam_range_prod_id,$B75, tam_range_seg_ids, $C75)</f>
        <v>6500</v>
      </c>
      <c r="H75" s="43">
        <f t="shared" si="41"/>
        <v>6630</v>
      </c>
      <c r="I75" s="43">
        <f t="shared" si="41"/>
        <v>6895.2</v>
      </c>
      <c r="J75" s="43">
        <f t="shared" si="41"/>
        <v>7446.8160000000007</v>
      </c>
      <c r="K75" s="43">
        <f t="shared" si="41"/>
        <v>7819.1568000000007</v>
      </c>
      <c r="L75" s="43">
        <f t="shared" si="41"/>
        <v>8053.7315040000012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</row>
    <row r="76" spans="1:32" s="29" customFormat="1" ht="14" hidden="1" customHeight="1" outlineLevel="1" x14ac:dyDescent="0.15">
      <c r="A76" s="22"/>
      <c r="B76" s="39"/>
      <c r="C76" s="39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</row>
    <row r="77" spans="1:32" s="29" customFormat="1" ht="14" hidden="1" customHeight="1" outlineLevel="1" x14ac:dyDescent="0.15">
      <c r="A77" s="22"/>
      <c r="B77" s="39" t="str">
        <f>INDEX(product_table[], MATCH($D$53, product_table[Product],0), MATCH("ID", product_table[#Headers],0))</f>
        <v>P1</v>
      </c>
      <c r="C77" s="39" t="str">
        <f>INDEX(segment_table[],MATCH(E74,segment_table[Segment],0),MATCH("Seg_ID", segment_table[#Headers],0))</f>
        <v>S2</v>
      </c>
      <c r="D77" s="22"/>
      <c r="E77" s="41" t="s">
        <v>10</v>
      </c>
      <c r="F77" s="15" t="s">
        <v>3</v>
      </c>
      <c r="G77" s="16">
        <f t="shared" ref="G77:L77" si="42">+G75*G78</f>
        <v>2925</v>
      </c>
      <c r="H77" s="16">
        <f t="shared" si="42"/>
        <v>3315</v>
      </c>
      <c r="I77" s="16">
        <f t="shared" si="42"/>
        <v>3792.36</v>
      </c>
      <c r="J77" s="16">
        <f t="shared" si="42"/>
        <v>4468.0896000000002</v>
      </c>
      <c r="K77" s="16">
        <f t="shared" si="42"/>
        <v>5082.4519200000004</v>
      </c>
      <c r="L77" s="16">
        <f t="shared" si="42"/>
        <v>5637.6120528000001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</row>
    <row r="78" spans="1:32" s="29" customFormat="1" ht="14" hidden="1" customHeight="1" outlineLevel="1" x14ac:dyDescent="0.15">
      <c r="A78" s="22"/>
      <c r="B78" s="39" t="str">
        <f>INDEX(product_table[], MATCH($D$53, product_table[Product],0), MATCH("ID", product_table[#Headers],0))</f>
        <v>P1</v>
      </c>
      <c r="C78" s="39" t="str">
        <f>INDEX(segment_table[],MATCH(E74,segment_table[Segment],0),MATCH("Seg_ID", segment_table[#Headers],0))</f>
        <v>S2</v>
      </c>
      <c r="D78" s="22"/>
      <c r="E78" s="41" t="s">
        <v>53</v>
      </c>
      <c r="F78" s="15" t="s">
        <v>6</v>
      </c>
      <c r="G78" s="44">
        <v>0.45</v>
      </c>
      <c r="H78" s="44">
        <v>0.5</v>
      </c>
      <c r="I78" s="44">
        <v>0.55000000000000004</v>
      </c>
      <c r="J78" s="44">
        <v>0.6</v>
      </c>
      <c r="K78" s="44">
        <v>0.65</v>
      </c>
      <c r="L78" s="44">
        <v>0.7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</row>
    <row r="79" spans="1:32" s="29" customFormat="1" ht="14" hidden="1" customHeight="1" outlineLevel="1" x14ac:dyDescent="0.15">
      <c r="A79" s="22"/>
      <c r="B79" s="39"/>
      <c r="C79" s="39"/>
      <c r="D79" s="22"/>
      <c r="E79" s="41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</row>
    <row r="80" spans="1:32" s="29" customFormat="1" ht="14" hidden="1" customHeight="1" outlineLevel="1" x14ac:dyDescent="0.15">
      <c r="A80" s="22"/>
      <c r="B80" s="39" t="str">
        <f>INDEX(product_table[], MATCH($D$53, product_table[Product],0), MATCH("ID", product_table[#Headers],0))</f>
        <v>P1</v>
      </c>
      <c r="C80" s="39" t="str">
        <f>INDEX(segment_table[],MATCH(E74,segment_table[Segment],0),MATCH("Seg_ID", segment_table[#Headers],0))</f>
        <v>S2</v>
      </c>
      <c r="D80" s="22"/>
      <c r="E80" s="41" t="s">
        <v>11</v>
      </c>
      <c r="F80" s="15" t="s">
        <v>3</v>
      </c>
      <c r="G80" s="16">
        <f t="shared" ref="G80:L80" si="43">+G77*G81</f>
        <v>292.5</v>
      </c>
      <c r="H80" s="16">
        <f t="shared" si="43"/>
        <v>414.375</v>
      </c>
      <c r="I80" s="16">
        <f t="shared" si="43"/>
        <v>568.85400000000004</v>
      </c>
      <c r="J80" s="16">
        <f t="shared" si="43"/>
        <v>781.91567999999995</v>
      </c>
      <c r="K80" s="16">
        <f t="shared" si="43"/>
        <v>1016.4903839999999</v>
      </c>
      <c r="L80" s="16">
        <f t="shared" si="43"/>
        <v>1268.4627118799999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</row>
    <row r="81" spans="1:32" s="29" customFormat="1" ht="14" hidden="1" customHeight="1" outlineLevel="1" x14ac:dyDescent="0.15">
      <c r="A81" s="22"/>
      <c r="B81" s="39" t="str">
        <f>INDEX(product_table[], MATCH($D$53, product_table[Product],0), MATCH("ID", product_table[#Headers],0))</f>
        <v>P1</v>
      </c>
      <c r="C81" s="39" t="str">
        <f>INDEX(segment_table[],MATCH(E74,segment_table[Segment],0),MATCH("Seg_ID", segment_table[#Headers],0))</f>
        <v>S2</v>
      </c>
      <c r="D81" s="22"/>
      <c r="E81" s="41" t="s">
        <v>94</v>
      </c>
      <c r="F81" s="15" t="s">
        <v>6</v>
      </c>
      <c r="G81" s="45">
        <f t="shared" ref="G81:L81" si="44">INDEX(G82:G84,MATCH(scenario,$E82:$E84,0))</f>
        <v>0.1</v>
      </c>
      <c r="H81" s="45">
        <f t="shared" si="44"/>
        <v>0.125</v>
      </c>
      <c r="I81" s="45">
        <f t="shared" si="44"/>
        <v>0.15</v>
      </c>
      <c r="J81" s="45">
        <f t="shared" si="44"/>
        <v>0.17499999999999999</v>
      </c>
      <c r="K81" s="45">
        <f t="shared" si="44"/>
        <v>0.19999999999999998</v>
      </c>
      <c r="L81" s="45">
        <f t="shared" si="44"/>
        <v>0.22499999999999998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 spans="1:32" s="29" customFormat="1" ht="14" hidden="1" customHeight="1" outlineLevel="1" x14ac:dyDescent="0.15">
      <c r="A82" s="22"/>
      <c r="B82" s="39" t="str">
        <f>INDEX(product_table[], MATCH($D$53, product_table[Product],0), MATCH("ID", product_table[#Headers],0))</f>
        <v>P1</v>
      </c>
      <c r="C82" s="39" t="str">
        <f>INDEX(segment_table[],MATCH(E74,segment_table[Segment],0),MATCH("Seg_ID", segment_table[#Headers],0))</f>
        <v>S2</v>
      </c>
      <c r="D82" s="22"/>
      <c r="E82" s="46" t="s">
        <v>54</v>
      </c>
      <c r="F82" s="15"/>
      <c r="G82" s="44">
        <v>0.15</v>
      </c>
      <c r="H82" s="44">
        <f t="shared" ref="H82:L82" si="45">+G82+0.025</f>
        <v>0.17499999999999999</v>
      </c>
      <c r="I82" s="44">
        <f t="shared" si="45"/>
        <v>0.19999999999999998</v>
      </c>
      <c r="J82" s="44">
        <f t="shared" si="45"/>
        <v>0.22499999999999998</v>
      </c>
      <c r="K82" s="44">
        <f t="shared" si="45"/>
        <v>0.24999999999999997</v>
      </c>
      <c r="L82" s="44">
        <f t="shared" si="45"/>
        <v>0.27499999999999997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</row>
    <row r="83" spans="1:32" s="29" customFormat="1" ht="14" hidden="1" customHeight="1" outlineLevel="1" x14ac:dyDescent="0.15">
      <c r="A83" s="22"/>
      <c r="B83" s="39" t="str">
        <f>INDEX(product_table[], MATCH($D$53, product_table[Product],0), MATCH("ID", product_table[#Headers],0))</f>
        <v>P1</v>
      </c>
      <c r="C83" s="39" t="str">
        <f>INDEX(segment_table[],MATCH(E74,segment_table[Segment],0),MATCH("Seg_ID", segment_table[#Headers],0))</f>
        <v>S2</v>
      </c>
      <c r="D83" s="22"/>
      <c r="E83" s="46" t="s">
        <v>38</v>
      </c>
      <c r="F83" s="22"/>
      <c r="G83" s="44">
        <v>0.1</v>
      </c>
      <c r="H83" s="44">
        <f>+G83+0.025</f>
        <v>0.125</v>
      </c>
      <c r="I83" s="44">
        <f t="shared" ref="I83:L83" si="46">+H83+0.025</f>
        <v>0.15</v>
      </c>
      <c r="J83" s="44">
        <f t="shared" si="46"/>
        <v>0.17499999999999999</v>
      </c>
      <c r="K83" s="44">
        <f t="shared" si="46"/>
        <v>0.19999999999999998</v>
      </c>
      <c r="L83" s="44">
        <f t="shared" si="46"/>
        <v>0.22499999999999998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</row>
    <row r="84" spans="1:32" s="29" customFormat="1" ht="14" hidden="1" customHeight="1" outlineLevel="1" x14ac:dyDescent="0.15">
      <c r="A84" s="22"/>
      <c r="B84" s="39" t="str">
        <f>INDEX(product_table[], MATCH($D$53, product_table[Product],0), MATCH("ID", product_table[#Headers],0))</f>
        <v>P1</v>
      </c>
      <c r="C84" s="39" t="str">
        <f>INDEX(segment_table[],MATCH(E74,segment_table[Segment],0),MATCH("Seg_ID", segment_table[#Headers],0))</f>
        <v>S2</v>
      </c>
      <c r="D84" s="22"/>
      <c r="E84" s="46" t="s">
        <v>55</v>
      </c>
      <c r="F84" s="22"/>
      <c r="G84" s="44">
        <v>0.05</v>
      </c>
      <c r="H84" s="44">
        <f t="shared" ref="H84:L84" si="47">+G84+0.025</f>
        <v>7.5000000000000011E-2</v>
      </c>
      <c r="I84" s="44">
        <f t="shared" si="47"/>
        <v>0.1</v>
      </c>
      <c r="J84" s="44">
        <f t="shared" si="47"/>
        <v>0.125</v>
      </c>
      <c r="K84" s="44">
        <f t="shared" si="47"/>
        <v>0.15</v>
      </c>
      <c r="L84" s="44">
        <f t="shared" si="47"/>
        <v>0.17499999999999999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</row>
    <row r="85" spans="1:32" s="29" customFormat="1" ht="14" hidden="1" customHeight="1" outlineLevel="1" x14ac:dyDescent="0.15">
      <c r="A85" s="22"/>
      <c r="B85" s="39"/>
      <c r="C85" s="39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 spans="1:32" s="29" customFormat="1" ht="14" hidden="1" customHeight="1" outlineLevel="1" x14ac:dyDescent="0.15">
      <c r="A86" s="22"/>
      <c r="B86" s="39" t="str">
        <f>INDEX(product_table[], MATCH($D$53, product_table[Product],0), MATCH("ID", product_table[#Headers],0))</f>
        <v>P1</v>
      </c>
      <c r="C86" s="39" t="str">
        <f>INDEX(segment_table[],MATCH(E74,segment_table[Segment],0),MATCH("Seg_ID", segment_table[#Headers],0))</f>
        <v>S2</v>
      </c>
      <c r="D86" s="22"/>
      <c r="E86" s="41" t="s">
        <v>12</v>
      </c>
      <c r="F86" s="15" t="s">
        <v>8</v>
      </c>
      <c r="G86" s="16">
        <f>+G75*G$55</f>
        <v>16250</v>
      </c>
      <c r="H86" s="16">
        <f t="shared" ref="H86:L86" si="48">+H75*H$55</f>
        <v>16575</v>
      </c>
      <c r="I86" s="16">
        <f t="shared" si="48"/>
        <v>17238</v>
      </c>
      <c r="J86" s="16">
        <f t="shared" si="48"/>
        <v>18617.04</v>
      </c>
      <c r="K86" s="16">
        <f t="shared" si="48"/>
        <v>19547.892</v>
      </c>
      <c r="L86" s="16">
        <f t="shared" si="48"/>
        <v>20134.328760000004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</row>
    <row r="87" spans="1:32" s="29" customFormat="1" ht="14" hidden="1" customHeight="1" outlineLevel="1" x14ac:dyDescent="0.15">
      <c r="A87" s="22"/>
      <c r="B87" s="39" t="str">
        <f>INDEX(product_table[], MATCH($D$53, product_table[Product],0), MATCH("ID", product_table[#Headers],0))</f>
        <v>P1</v>
      </c>
      <c r="C87" s="39" t="str">
        <f>INDEX(segment_table[],MATCH(E74,segment_table[Segment],0),MATCH("Seg_ID", segment_table[#Headers],0))</f>
        <v>S2</v>
      </c>
      <c r="D87" s="22"/>
      <c r="E87" s="41" t="s">
        <v>13</v>
      </c>
      <c r="F87" s="15" t="s">
        <v>8</v>
      </c>
      <c r="G87" s="16">
        <f>+G77*G$55</f>
        <v>7312.5</v>
      </c>
      <c r="H87" s="16">
        <f t="shared" ref="H87:L87" si="49">+H77*H$55</f>
        <v>8287.5</v>
      </c>
      <c r="I87" s="16">
        <f t="shared" si="49"/>
        <v>9480.9</v>
      </c>
      <c r="J87" s="16">
        <f t="shared" si="49"/>
        <v>11170.224</v>
      </c>
      <c r="K87" s="16">
        <f t="shared" si="49"/>
        <v>12706.129800000001</v>
      </c>
      <c r="L87" s="16">
        <f t="shared" si="49"/>
        <v>14094.030132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</row>
    <row r="88" spans="1:32" s="29" customFormat="1" ht="14" hidden="1" customHeight="1" outlineLevel="1" x14ac:dyDescent="0.15">
      <c r="A88" s="22"/>
      <c r="B88" s="39" t="str">
        <f>INDEX(product_table[], MATCH($D$53, product_table[Product],0), MATCH("ID", product_table[#Headers],0))</f>
        <v>P1</v>
      </c>
      <c r="C88" s="39" t="str">
        <f>INDEX(segment_table[],MATCH(E74,segment_table[Segment],0),MATCH("Seg_ID", segment_table[#Headers],0))</f>
        <v>S2</v>
      </c>
      <c r="D88" s="22"/>
      <c r="E88" s="41" t="s">
        <v>14</v>
      </c>
      <c r="F88" s="15" t="s">
        <v>8</v>
      </c>
      <c r="G88" s="16">
        <f>+G$55*G80</f>
        <v>731.25</v>
      </c>
      <c r="H88" s="16">
        <f t="shared" ref="H88:L88" si="50">+H$55*H80</f>
        <v>1035.9375</v>
      </c>
      <c r="I88" s="16">
        <f t="shared" si="50"/>
        <v>1422.1350000000002</v>
      </c>
      <c r="J88" s="16">
        <f t="shared" si="50"/>
        <v>1954.7891999999999</v>
      </c>
      <c r="K88" s="16">
        <f t="shared" si="50"/>
        <v>2541.2259599999998</v>
      </c>
      <c r="L88" s="16">
        <f t="shared" si="50"/>
        <v>3171.1567796999998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 spans="1:32" s="29" customFormat="1" ht="14" hidden="1" customHeight="1" outlineLevel="1" x14ac:dyDescent="0.15">
      <c r="A89" s="22"/>
      <c r="B89" s="39"/>
      <c r="C89" s="39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</row>
    <row r="90" spans="1:32" s="29" customFormat="1" ht="14" hidden="1" customHeight="1" outlineLevel="1" x14ac:dyDescent="0.15">
      <c r="A90" s="22"/>
      <c r="B90" s="39"/>
      <c r="C90" s="39"/>
      <c r="D90" s="22"/>
      <c r="E90" s="42" t="str">
        <f>+'Product &amp; Segment Detail'!$E$15</f>
        <v>Segment 3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</row>
    <row r="91" spans="1:32" s="29" customFormat="1" ht="14" hidden="1" customHeight="1" outlineLevel="1" x14ac:dyDescent="0.15">
      <c r="A91" s="22"/>
      <c r="B91" s="39" t="str">
        <f>INDEX(product_table[], MATCH($D$53, product_table[Product],0), MATCH("ID", product_table[#Headers],0))</f>
        <v>P1</v>
      </c>
      <c r="C91" s="39" t="str">
        <f>INDEX(segment_table[],MATCH(E90,segment_table[Segment],0),MATCH("Seg_ID", segment_table[#Headers],0))</f>
        <v>S3</v>
      </c>
      <c r="D91" s="22"/>
      <c r="E91" s="41" t="s">
        <v>9</v>
      </c>
      <c r="F91" s="15" t="s">
        <v>3</v>
      </c>
      <c r="G91" s="43">
        <f t="shared" ref="G91:L91" si="51">SUMIFS(G$21:G$50,tam_range_prod_id,$B91, tam_range_seg_ids, $C91)</f>
        <v>5000</v>
      </c>
      <c r="H91" s="43">
        <f t="shared" si="51"/>
        <v>5250</v>
      </c>
      <c r="I91" s="43">
        <f t="shared" si="51"/>
        <v>5617.5</v>
      </c>
      <c r="J91" s="43">
        <f t="shared" si="51"/>
        <v>6291.6</v>
      </c>
      <c r="K91" s="43">
        <f t="shared" si="51"/>
        <v>6794.9280000000008</v>
      </c>
      <c r="L91" s="43">
        <f t="shared" si="51"/>
        <v>7134.6744000000008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</row>
    <row r="92" spans="1:32" s="29" customFormat="1" ht="14" hidden="1" customHeight="1" outlineLevel="1" x14ac:dyDescent="0.15">
      <c r="A92" s="22"/>
      <c r="B92" s="39"/>
      <c r="C92" s="39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</row>
    <row r="93" spans="1:32" s="29" customFormat="1" ht="14" hidden="1" customHeight="1" outlineLevel="1" x14ac:dyDescent="0.15">
      <c r="A93" s="22"/>
      <c r="B93" s="39" t="str">
        <f>INDEX(product_table[], MATCH($D$53, product_table[Product],0), MATCH("ID", product_table[#Headers],0))</f>
        <v>P1</v>
      </c>
      <c r="C93" s="39" t="str">
        <f>INDEX(segment_table[],MATCH(E90,segment_table[Segment],0),MATCH("Seg_ID", segment_table[#Headers],0))</f>
        <v>S3</v>
      </c>
      <c r="D93" s="22"/>
      <c r="E93" s="41" t="s">
        <v>10</v>
      </c>
      <c r="F93" s="15" t="s">
        <v>3</v>
      </c>
      <c r="G93" s="16">
        <f t="shared" ref="G93:L93" si="52">+G91*G94</f>
        <v>2250</v>
      </c>
      <c r="H93" s="16">
        <f t="shared" si="52"/>
        <v>2625</v>
      </c>
      <c r="I93" s="16">
        <f t="shared" si="52"/>
        <v>3089.6250000000005</v>
      </c>
      <c r="J93" s="16">
        <f t="shared" si="52"/>
        <v>3774.96</v>
      </c>
      <c r="K93" s="16">
        <f t="shared" si="52"/>
        <v>4416.7032000000008</v>
      </c>
      <c r="L93" s="16">
        <f t="shared" si="52"/>
        <v>4994.2720800000006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</row>
    <row r="94" spans="1:32" s="29" customFormat="1" ht="14" hidden="1" customHeight="1" outlineLevel="1" x14ac:dyDescent="0.15">
      <c r="A94" s="22"/>
      <c r="B94" s="39" t="str">
        <f>INDEX(product_table[], MATCH($D$53, product_table[Product],0), MATCH("ID", product_table[#Headers],0))</f>
        <v>P1</v>
      </c>
      <c r="C94" s="39" t="str">
        <f>INDEX(segment_table[],MATCH(E90,segment_table[Segment],0),MATCH("Seg_ID", segment_table[#Headers],0))</f>
        <v>S3</v>
      </c>
      <c r="D94" s="22"/>
      <c r="E94" s="41" t="s">
        <v>53</v>
      </c>
      <c r="F94" s="15" t="s">
        <v>6</v>
      </c>
      <c r="G94" s="44">
        <v>0.45</v>
      </c>
      <c r="H94" s="44">
        <v>0.5</v>
      </c>
      <c r="I94" s="44">
        <v>0.55000000000000004</v>
      </c>
      <c r="J94" s="44">
        <v>0.6</v>
      </c>
      <c r="K94" s="44">
        <v>0.65</v>
      </c>
      <c r="L94" s="44">
        <v>0.7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 spans="1:32" s="29" customFormat="1" ht="14" hidden="1" customHeight="1" outlineLevel="1" x14ac:dyDescent="0.15">
      <c r="A95" s="22"/>
      <c r="B95" s="39"/>
      <c r="C95" s="39"/>
      <c r="D95" s="22"/>
      <c r="E95" s="41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</row>
    <row r="96" spans="1:32" s="29" customFormat="1" ht="14" hidden="1" customHeight="1" outlineLevel="1" x14ac:dyDescent="0.15">
      <c r="A96" s="22"/>
      <c r="B96" s="39" t="str">
        <f>INDEX(product_table[], MATCH($D$53, product_table[Product],0), MATCH("ID", product_table[#Headers],0))</f>
        <v>P1</v>
      </c>
      <c r="C96" s="39" t="str">
        <f>INDEX(segment_table[],MATCH(E90,segment_table[Segment],0),MATCH("Seg_ID", segment_table[#Headers],0))</f>
        <v>S3</v>
      </c>
      <c r="D96" s="22"/>
      <c r="E96" s="41" t="s">
        <v>11</v>
      </c>
      <c r="F96" s="15" t="s">
        <v>3</v>
      </c>
      <c r="G96" s="16">
        <f t="shared" ref="G96:L96" si="53">+G93*G97</f>
        <v>225</v>
      </c>
      <c r="H96" s="16">
        <f t="shared" si="53"/>
        <v>328.125</v>
      </c>
      <c r="I96" s="16">
        <f t="shared" si="53"/>
        <v>463.44375000000002</v>
      </c>
      <c r="J96" s="16">
        <f t="shared" si="53"/>
        <v>660.61799999999994</v>
      </c>
      <c r="K96" s="16">
        <f t="shared" si="53"/>
        <v>883.34064000000012</v>
      </c>
      <c r="L96" s="16">
        <f t="shared" si="53"/>
        <v>1123.7112180000001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</row>
    <row r="97" spans="1:32" s="29" customFormat="1" ht="14" hidden="1" customHeight="1" outlineLevel="1" x14ac:dyDescent="0.15">
      <c r="A97" s="22"/>
      <c r="B97" s="39" t="str">
        <f>INDEX(product_table[], MATCH($D$53, product_table[Product],0), MATCH("ID", product_table[#Headers],0))</f>
        <v>P1</v>
      </c>
      <c r="C97" s="39" t="str">
        <f>INDEX(segment_table[],MATCH(E90,segment_table[Segment],0),MATCH("Seg_ID", segment_table[#Headers],0))</f>
        <v>S3</v>
      </c>
      <c r="D97" s="22"/>
      <c r="E97" s="41" t="s">
        <v>94</v>
      </c>
      <c r="F97" s="15" t="s">
        <v>6</v>
      </c>
      <c r="G97" s="45">
        <f t="shared" ref="G97:L97" si="54">INDEX(G98:G100,MATCH(scenario,$E98:$E100,0))</f>
        <v>0.1</v>
      </c>
      <c r="H97" s="45">
        <f t="shared" si="54"/>
        <v>0.125</v>
      </c>
      <c r="I97" s="45">
        <f t="shared" si="54"/>
        <v>0.15</v>
      </c>
      <c r="J97" s="45">
        <f t="shared" si="54"/>
        <v>0.17499999999999999</v>
      </c>
      <c r="K97" s="45">
        <f t="shared" si="54"/>
        <v>0.19999999999999998</v>
      </c>
      <c r="L97" s="45">
        <f t="shared" si="54"/>
        <v>0.22499999999999998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</row>
    <row r="98" spans="1:32" s="29" customFormat="1" ht="14" hidden="1" customHeight="1" outlineLevel="1" x14ac:dyDescent="0.15">
      <c r="A98" s="22"/>
      <c r="B98" s="39" t="str">
        <f>INDEX(product_table[], MATCH($D$53, product_table[Product],0), MATCH("ID", product_table[#Headers],0))</f>
        <v>P1</v>
      </c>
      <c r="C98" s="39" t="str">
        <f>INDEX(segment_table[],MATCH(E90,segment_table[Segment],0),MATCH("Seg_ID", segment_table[#Headers],0))</f>
        <v>S3</v>
      </c>
      <c r="D98" s="22"/>
      <c r="E98" s="46" t="s">
        <v>54</v>
      </c>
      <c r="F98" s="15"/>
      <c r="G98" s="44">
        <v>0.15</v>
      </c>
      <c r="H98" s="44">
        <f t="shared" ref="H98:L98" si="55">+G98+0.025</f>
        <v>0.17499999999999999</v>
      </c>
      <c r="I98" s="44">
        <f t="shared" si="55"/>
        <v>0.19999999999999998</v>
      </c>
      <c r="J98" s="44">
        <f t="shared" si="55"/>
        <v>0.22499999999999998</v>
      </c>
      <c r="K98" s="44">
        <f t="shared" si="55"/>
        <v>0.24999999999999997</v>
      </c>
      <c r="L98" s="44">
        <f t="shared" si="55"/>
        <v>0.27499999999999997</v>
      </c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</row>
    <row r="99" spans="1:32" s="29" customFormat="1" ht="14" hidden="1" customHeight="1" outlineLevel="1" x14ac:dyDescent="0.15">
      <c r="A99" s="22"/>
      <c r="B99" s="39" t="str">
        <f>INDEX(product_table[], MATCH($D$53, product_table[Product],0), MATCH("ID", product_table[#Headers],0))</f>
        <v>P1</v>
      </c>
      <c r="C99" s="39" t="str">
        <f>INDEX(segment_table[],MATCH(E90,segment_table[Segment],0),MATCH("Seg_ID", segment_table[#Headers],0))</f>
        <v>S3</v>
      </c>
      <c r="D99" s="22"/>
      <c r="E99" s="46" t="s">
        <v>38</v>
      </c>
      <c r="F99" s="22"/>
      <c r="G99" s="44">
        <v>0.1</v>
      </c>
      <c r="H99" s="44">
        <f>+G99+0.025</f>
        <v>0.125</v>
      </c>
      <c r="I99" s="44">
        <f t="shared" ref="I99:L99" si="56">+H99+0.025</f>
        <v>0.15</v>
      </c>
      <c r="J99" s="44">
        <f t="shared" si="56"/>
        <v>0.17499999999999999</v>
      </c>
      <c r="K99" s="44">
        <f t="shared" si="56"/>
        <v>0.19999999999999998</v>
      </c>
      <c r="L99" s="44">
        <f t="shared" si="56"/>
        <v>0.22499999999999998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</row>
    <row r="100" spans="1:32" s="29" customFormat="1" ht="14" hidden="1" customHeight="1" outlineLevel="1" x14ac:dyDescent="0.15">
      <c r="A100" s="22"/>
      <c r="B100" s="39" t="str">
        <f>INDEX(product_table[], MATCH($D$53, product_table[Product],0), MATCH("ID", product_table[#Headers],0))</f>
        <v>P1</v>
      </c>
      <c r="C100" s="39" t="str">
        <f>INDEX(segment_table[],MATCH(E90,segment_table[Segment],0),MATCH("Seg_ID", segment_table[#Headers],0))</f>
        <v>S3</v>
      </c>
      <c r="D100" s="22"/>
      <c r="E100" s="46" t="s">
        <v>55</v>
      </c>
      <c r="F100" s="22"/>
      <c r="G100" s="44">
        <v>0.05</v>
      </c>
      <c r="H100" s="44">
        <f t="shared" ref="H100:L100" si="57">+G100+0.025</f>
        <v>7.5000000000000011E-2</v>
      </c>
      <c r="I100" s="44">
        <f t="shared" si="57"/>
        <v>0.1</v>
      </c>
      <c r="J100" s="44">
        <f t="shared" si="57"/>
        <v>0.125</v>
      </c>
      <c r="K100" s="44">
        <f t="shared" si="57"/>
        <v>0.15</v>
      </c>
      <c r="L100" s="44">
        <f t="shared" si="57"/>
        <v>0.17499999999999999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</row>
    <row r="101" spans="1:32" s="29" customFormat="1" ht="14" hidden="1" customHeight="1" outlineLevel="1" x14ac:dyDescent="0.15">
      <c r="A101" s="22"/>
      <c r="B101" s="39"/>
      <c r="C101" s="39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</row>
    <row r="102" spans="1:32" s="29" customFormat="1" ht="14" hidden="1" customHeight="1" outlineLevel="1" x14ac:dyDescent="0.15">
      <c r="A102" s="22"/>
      <c r="B102" s="39" t="str">
        <f>INDEX(product_table[], MATCH($D$53, product_table[Product],0), MATCH("ID", product_table[#Headers],0))</f>
        <v>P1</v>
      </c>
      <c r="C102" s="39" t="str">
        <f>INDEX(segment_table[],MATCH(E90,segment_table[Segment],0),MATCH("Seg_ID", segment_table[#Headers],0))</f>
        <v>S3</v>
      </c>
      <c r="D102" s="22"/>
      <c r="E102" s="41" t="s">
        <v>12</v>
      </c>
      <c r="F102" s="15" t="s">
        <v>8</v>
      </c>
      <c r="G102" s="16">
        <f>+G91*G$55</f>
        <v>12500</v>
      </c>
      <c r="H102" s="16">
        <f t="shared" ref="H102:L102" si="58">+H91*H$55</f>
        <v>13125</v>
      </c>
      <c r="I102" s="16">
        <f t="shared" si="58"/>
        <v>14043.75</v>
      </c>
      <c r="J102" s="16">
        <f t="shared" si="58"/>
        <v>15729</v>
      </c>
      <c r="K102" s="16">
        <f t="shared" si="58"/>
        <v>16987.320000000003</v>
      </c>
      <c r="L102" s="16">
        <f t="shared" si="58"/>
        <v>17836.686000000002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</row>
    <row r="103" spans="1:32" s="29" customFormat="1" ht="14" hidden="1" customHeight="1" outlineLevel="1" x14ac:dyDescent="0.15">
      <c r="A103" s="22"/>
      <c r="B103" s="39" t="str">
        <f>INDEX(product_table[], MATCH($D$53, product_table[Product],0), MATCH("ID", product_table[#Headers],0))</f>
        <v>P1</v>
      </c>
      <c r="C103" s="39" t="str">
        <f>INDEX(segment_table[],MATCH(E90,segment_table[Segment],0),MATCH("Seg_ID", segment_table[#Headers],0))</f>
        <v>S3</v>
      </c>
      <c r="D103" s="22"/>
      <c r="E103" s="41" t="s">
        <v>13</v>
      </c>
      <c r="F103" s="15" t="s">
        <v>8</v>
      </c>
      <c r="G103" s="16">
        <f>+G93*G$55</f>
        <v>5625</v>
      </c>
      <c r="H103" s="16">
        <f t="shared" ref="H103:L103" si="59">+H93*H$55</f>
        <v>6562.5</v>
      </c>
      <c r="I103" s="16">
        <f t="shared" si="59"/>
        <v>7724.0625000000009</v>
      </c>
      <c r="J103" s="16">
        <f t="shared" si="59"/>
        <v>9437.4</v>
      </c>
      <c r="K103" s="16">
        <f t="shared" si="59"/>
        <v>11041.758000000002</v>
      </c>
      <c r="L103" s="16">
        <f t="shared" si="59"/>
        <v>12485.680200000003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</row>
    <row r="104" spans="1:32" s="29" customFormat="1" ht="14" hidden="1" customHeight="1" outlineLevel="1" x14ac:dyDescent="0.15">
      <c r="A104" s="22"/>
      <c r="B104" s="39" t="str">
        <f>INDEX(product_table[], MATCH($D$53, product_table[Product],0), MATCH("ID", product_table[#Headers],0))</f>
        <v>P1</v>
      </c>
      <c r="C104" s="39" t="str">
        <f>INDEX(segment_table[],MATCH(E90,segment_table[Segment],0),MATCH("Seg_ID", segment_table[#Headers],0))</f>
        <v>S3</v>
      </c>
      <c r="D104" s="22"/>
      <c r="E104" s="41" t="s">
        <v>14</v>
      </c>
      <c r="F104" s="15" t="s">
        <v>8</v>
      </c>
      <c r="G104" s="16">
        <f>+G$55*G96</f>
        <v>562.5</v>
      </c>
      <c r="H104" s="16">
        <f t="shared" ref="H104:L104" si="60">+H$55*H96</f>
        <v>820.3125</v>
      </c>
      <c r="I104" s="16">
        <f t="shared" si="60"/>
        <v>1158.609375</v>
      </c>
      <c r="J104" s="16">
        <f t="shared" si="60"/>
        <v>1651.5449999999998</v>
      </c>
      <c r="K104" s="16">
        <f t="shared" si="60"/>
        <v>2208.3516000000004</v>
      </c>
      <c r="L104" s="16">
        <f t="shared" si="60"/>
        <v>2809.2780450000005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</row>
    <row r="105" spans="1:32" s="29" customFormat="1" ht="14" hidden="1" customHeight="1" outlineLevel="1" x14ac:dyDescent="0.15">
      <c r="A105" s="8"/>
      <c r="B105" s="39"/>
      <c r="C105" s="39"/>
      <c r="D105" s="8"/>
      <c r="E105" s="31"/>
      <c r="F105" s="15"/>
      <c r="G105" s="16"/>
      <c r="H105" s="16"/>
      <c r="I105" s="16"/>
      <c r="J105" s="16"/>
      <c r="K105" s="16"/>
      <c r="L105" s="16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spans="1:32" s="29" customFormat="1" ht="14" hidden="1" customHeight="1" outlineLevel="1" x14ac:dyDescent="0.15">
      <c r="A106" s="22"/>
      <c r="B106" s="39"/>
      <c r="C106" s="39"/>
      <c r="D106" s="22"/>
      <c r="E106" s="42" t="str">
        <f>+'Product &amp; Segment Detail'!$E$16</f>
        <v>Segment 4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</row>
    <row r="107" spans="1:32" s="29" customFormat="1" ht="14" hidden="1" customHeight="1" outlineLevel="1" x14ac:dyDescent="0.15">
      <c r="A107" s="22"/>
      <c r="B107" s="39" t="str">
        <f>INDEX(product_table[], MATCH($D$53, product_table[Product],0), MATCH("ID", product_table[#Headers],0))</f>
        <v>P1</v>
      </c>
      <c r="C107" s="39" t="str">
        <f>INDEX(segment_table[],MATCH(E106,segment_table[Segment],0),MATCH("Seg_ID", segment_table[#Headers],0))</f>
        <v>S4</v>
      </c>
      <c r="D107" s="22"/>
      <c r="E107" s="41" t="s">
        <v>9</v>
      </c>
      <c r="F107" s="15" t="s">
        <v>3</v>
      </c>
      <c r="G107" s="43">
        <f t="shared" ref="G107:L107" si="61">SUMIFS(G$21:G$50,tam_range_prod_id,$B107, tam_range_seg_ids, $C107)</f>
        <v>1500</v>
      </c>
      <c r="H107" s="43">
        <f t="shared" si="61"/>
        <v>1650.0000000000002</v>
      </c>
      <c r="I107" s="43">
        <f t="shared" si="61"/>
        <v>1980.0000000000002</v>
      </c>
      <c r="J107" s="43">
        <f t="shared" si="61"/>
        <v>2277</v>
      </c>
      <c r="K107" s="43">
        <f t="shared" si="61"/>
        <v>2561.625</v>
      </c>
      <c r="L107" s="43">
        <f t="shared" si="61"/>
        <v>2817.7875000000004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</row>
    <row r="108" spans="1:32" s="29" customFormat="1" ht="14" hidden="1" customHeight="1" outlineLevel="1" x14ac:dyDescent="0.15">
      <c r="A108" s="22"/>
      <c r="B108" s="39"/>
      <c r="C108" s="39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</row>
    <row r="109" spans="1:32" s="29" customFormat="1" ht="14" hidden="1" customHeight="1" outlineLevel="1" x14ac:dyDescent="0.15">
      <c r="A109" s="22"/>
      <c r="B109" s="39" t="str">
        <f>INDEX(product_table[], MATCH($D$53, product_table[Product],0), MATCH("ID", product_table[#Headers],0))</f>
        <v>P1</v>
      </c>
      <c r="C109" s="39" t="str">
        <f>INDEX(segment_table[],MATCH(E106,segment_table[Segment],0),MATCH("Seg_ID", segment_table[#Headers],0))</f>
        <v>S4</v>
      </c>
      <c r="D109" s="22"/>
      <c r="E109" s="41" t="s">
        <v>10</v>
      </c>
      <c r="F109" s="15" t="s">
        <v>3</v>
      </c>
      <c r="G109" s="16">
        <f t="shared" ref="G109:L109" si="62">+G107*G110</f>
        <v>675</v>
      </c>
      <c r="H109" s="16">
        <f t="shared" si="62"/>
        <v>825.00000000000011</v>
      </c>
      <c r="I109" s="16">
        <f t="shared" si="62"/>
        <v>1089.0000000000002</v>
      </c>
      <c r="J109" s="16">
        <f t="shared" si="62"/>
        <v>1366.2</v>
      </c>
      <c r="K109" s="16">
        <f t="shared" si="62"/>
        <v>1665.0562500000001</v>
      </c>
      <c r="L109" s="16">
        <f t="shared" si="62"/>
        <v>1972.4512500000001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</row>
    <row r="110" spans="1:32" s="29" customFormat="1" ht="14" hidden="1" customHeight="1" outlineLevel="1" x14ac:dyDescent="0.15">
      <c r="A110" s="22"/>
      <c r="B110" s="39" t="str">
        <f>INDEX(product_table[], MATCH($D$53, product_table[Product],0), MATCH("ID", product_table[#Headers],0))</f>
        <v>P1</v>
      </c>
      <c r="C110" s="39" t="str">
        <f>INDEX(segment_table[],MATCH(E106,segment_table[Segment],0),MATCH("Seg_ID", segment_table[#Headers],0))</f>
        <v>S4</v>
      </c>
      <c r="D110" s="22"/>
      <c r="E110" s="41" t="s">
        <v>53</v>
      </c>
      <c r="F110" s="15" t="s">
        <v>6</v>
      </c>
      <c r="G110" s="44">
        <v>0.45</v>
      </c>
      <c r="H110" s="44">
        <v>0.5</v>
      </c>
      <c r="I110" s="44">
        <v>0.55000000000000004</v>
      </c>
      <c r="J110" s="44">
        <v>0.6</v>
      </c>
      <c r="K110" s="44">
        <v>0.65</v>
      </c>
      <c r="L110" s="44">
        <v>0.7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</row>
    <row r="111" spans="1:32" s="29" customFormat="1" ht="14" hidden="1" customHeight="1" outlineLevel="1" x14ac:dyDescent="0.15">
      <c r="A111" s="22"/>
      <c r="B111" s="39"/>
      <c r="C111" s="39"/>
      <c r="D111" s="22"/>
      <c r="E111" s="41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</row>
    <row r="112" spans="1:32" s="29" customFormat="1" ht="14" hidden="1" customHeight="1" outlineLevel="1" x14ac:dyDescent="0.15">
      <c r="A112" s="22"/>
      <c r="B112" s="39" t="str">
        <f>INDEX(product_table[], MATCH($D$53, product_table[Product],0), MATCH("ID", product_table[#Headers],0))</f>
        <v>P1</v>
      </c>
      <c r="C112" s="39" t="str">
        <f>INDEX(segment_table[],MATCH(E106,segment_table[Segment],0),MATCH("Seg_ID", segment_table[#Headers],0))</f>
        <v>S4</v>
      </c>
      <c r="D112" s="22"/>
      <c r="E112" s="41" t="s">
        <v>11</v>
      </c>
      <c r="F112" s="15" t="s">
        <v>3</v>
      </c>
      <c r="G112" s="16">
        <f t="shared" ref="G112:L112" si="63">+G109*G113</f>
        <v>67.5</v>
      </c>
      <c r="H112" s="16">
        <f t="shared" si="63"/>
        <v>103.12500000000001</v>
      </c>
      <c r="I112" s="16">
        <f t="shared" si="63"/>
        <v>163.35000000000002</v>
      </c>
      <c r="J112" s="16">
        <f t="shared" si="63"/>
        <v>239.08499999999998</v>
      </c>
      <c r="K112" s="16">
        <f t="shared" si="63"/>
        <v>333.01125000000002</v>
      </c>
      <c r="L112" s="16">
        <f t="shared" si="63"/>
        <v>443.80153124999998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</row>
    <row r="113" spans="1:32" s="29" customFormat="1" ht="14" hidden="1" customHeight="1" outlineLevel="1" x14ac:dyDescent="0.15">
      <c r="A113" s="22"/>
      <c r="B113" s="39" t="str">
        <f>INDEX(product_table[], MATCH($D$53, product_table[Product],0), MATCH("ID", product_table[#Headers],0))</f>
        <v>P1</v>
      </c>
      <c r="C113" s="39" t="str">
        <f>INDEX(segment_table[],MATCH(E106,segment_table[Segment],0),MATCH("Seg_ID", segment_table[#Headers],0))</f>
        <v>S4</v>
      </c>
      <c r="D113" s="22"/>
      <c r="E113" s="41" t="s">
        <v>94</v>
      </c>
      <c r="F113" s="15" t="s">
        <v>6</v>
      </c>
      <c r="G113" s="45">
        <f t="shared" ref="G113:L113" si="64">INDEX(G114:G116,MATCH(scenario,$E114:$E116,0))</f>
        <v>0.1</v>
      </c>
      <c r="H113" s="45">
        <f t="shared" si="64"/>
        <v>0.125</v>
      </c>
      <c r="I113" s="45">
        <f t="shared" si="64"/>
        <v>0.15</v>
      </c>
      <c r="J113" s="45">
        <f t="shared" si="64"/>
        <v>0.17499999999999999</v>
      </c>
      <c r="K113" s="45">
        <f t="shared" si="64"/>
        <v>0.19999999999999998</v>
      </c>
      <c r="L113" s="45">
        <f t="shared" si="64"/>
        <v>0.22499999999999998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</row>
    <row r="114" spans="1:32" s="29" customFormat="1" ht="14" hidden="1" customHeight="1" outlineLevel="1" x14ac:dyDescent="0.15">
      <c r="A114" s="22"/>
      <c r="B114" s="39" t="str">
        <f>INDEX(product_table[], MATCH($D$53, product_table[Product],0), MATCH("ID", product_table[#Headers],0))</f>
        <v>P1</v>
      </c>
      <c r="C114" s="39" t="str">
        <f>INDEX(segment_table[],MATCH(E106,segment_table[Segment],0),MATCH("Seg_ID", segment_table[#Headers],0))</f>
        <v>S4</v>
      </c>
      <c r="D114" s="22"/>
      <c r="E114" s="46" t="s">
        <v>54</v>
      </c>
      <c r="F114" s="15"/>
      <c r="G114" s="44">
        <v>0.15</v>
      </c>
      <c r="H114" s="44">
        <f t="shared" ref="H114:L114" si="65">+G114+0.025</f>
        <v>0.17499999999999999</v>
      </c>
      <c r="I114" s="44">
        <f t="shared" si="65"/>
        <v>0.19999999999999998</v>
      </c>
      <c r="J114" s="44">
        <f t="shared" si="65"/>
        <v>0.22499999999999998</v>
      </c>
      <c r="K114" s="44">
        <f t="shared" si="65"/>
        <v>0.24999999999999997</v>
      </c>
      <c r="L114" s="44">
        <f t="shared" si="65"/>
        <v>0.27499999999999997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</row>
    <row r="115" spans="1:32" s="29" customFormat="1" ht="14" hidden="1" customHeight="1" outlineLevel="1" x14ac:dyDescent="0.15">
      <c r="A115" s="22"/>
      <c r="B115" s="39" t="str">
        <f>INDEX(product_table[], MATCH($D$53, product_table[Product],0), MATCH("ID", product_table[#Headers],0))</f>
        <v>P1</v>
      </c>
      <c r="C115" s="39" t="str">
        <f>INDEX(segment_table[],MATCH(E106,segment_table[Segment],0),MATCH("Seg_ID", segment_table[#Headers],0))</f>
        <v>S4</v>
      </c>
      <c r="D115" s="22"/>
      <c r="E115" s="46" t="s">
        <v>38</v>
      </c>
      <c r="F115" s="22"/>
      <c r="G115" s="44">
        <v>0.1</v>
      </c>
      <c r="H115" s="44">
        <f>+G115+0.025</f>
        <v>0.125</v>
      </c>
      <c r="I115" s="44">
        <f t="shared" ref="I115:L115" si="66">+H115+0.025</f>
        <v>0.15</v>
      </c>
      <c r="J115" s="44">
        <f t="shared" si="66"/>
        <v>0.17499999999999999</v>
      </c>
      <c r="K115" s="44">
        <f t="shared" si="66"/>
        <v>0.19999999999999998</v>
      </c>
      <c r="L115" s="44">
        <f t="shared" si="66"/>
        <v>0.22499999999999998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r="116" spans="1:32" s="29" customFormat="1" ht="14" hidden="1" customHeight="1" outlineLevel="1" x14ac:dyDescent="0.15">
      <c r="A116" s="22"/>
      <c r="B116" s="39" t="str">
        <f>INDEX(product_table[], MATCH($D$53, product_table[Product],0), MATCH("ID", product_table[#Headers],0))</f>
        <v>P1</v>
      </c>
      <c r="C116" s="39" t="str">
        <f>INDEX(segment_table[],MATCH(E106,segment_table[Segment],0),MATCH("Seg_ID", segment_table[#Headers],0))</f>
        <v>S4</v>
      </c>
      <c r="D116" s="22"/>
      <c r="E116" s="46" t="s">
        <v>55</v>
      </c>
      <c r="F116" s="22"/>
      <c r="G116" s="44">
        <v>0.05</v>
      </c>
      <c r="H116" s="44">
        <f t="shared" ref="H116:L116" si="67">+G116+0.025</f>
        <v>7.5000000000000011E-2</v>
      </c>
      <c r="I116" s="44">
        <f t="shared" si="67"/>
        <v>0.1</v>
      </c>
      <c r="J116" s="44">
        <f t="shared" si="67"/>
        <v>0.125</v>
      </c>
      <c r="K116" s="44">
        <f t="shared" si="67"/>
        <v>0.15</v>
      </c>
      <c r="L116" s="44">
        <f t="shared" si="67"/>
        <v>0.17499999999999999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</row>
    <row r="117" spans="1:32" s="29" customFormat="1" ht="14" hidden="1" customHeight="1" outlineLevel="1" x14ac:dyDescent="0.15">
      <c r="A117" s="22"/>
      <c r="B117" s="39"/>
      <c r="C117" s="39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</row>
    <row r="118" spans="1:32" s="29" customFormat="1" ht="14" hidden="1" customHeight="1" outlineLevel="1" x14ac:dyDescent="0.15">
      <c r="A118" s="22"/>
      <c r="B118" s="39" t="str">
        <f>INDEX(product_table[], MATCH($D$53, product_table[Product],0), MATCH("ID", product_table[#Headers],0))</f>
        <v>P1</v>
      </c>
      <c r="C118" s="39" t="str">
        <f>INDEX(segment_table[],MATCH(E106,segment_table[Segment],0),MATCH("Seg_ID", segment_table[#Headers],0))</f>
        <v>S4</v>
      </c>
      <c r="D118" s="22"/>
      <c r="E118" s="41" t="s">
        <v>12</v>
      </c>
      <c r="F118" s="15" t="s">
        <v>8</v>
      </c>
      <c r="G118" s="16">
        <f>+G107*G$55</f>
        <v>3750</v>
      </c>
      <c r="H118" s="16">
        <f t="shared" ref="H118:L118" si="68">+H107*H$55</f>
        <v>4125.0000000000009</v>
      </c>
      <c r="I118" s="16">
        <f t="shared" si="68"/>
        <v>4950.0000000000009</v>
      </c>
      <c r="J118" s="16">
        <f t="shared" si="68"/>
        <v>5692.5</v>
      </c>
      <c r="K118" s="16">
        <f t="shared" si="68"/>
        <v>6404.0625</v>
      </c>
      <c r="L118" s="16">
        <f t="shared" si="68"/>
        <v>7044.4687500000009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</row>
    <row r="119" spans="1:32" s="29" customFormat="1" ht="14" hidden="1" customHeight="1" outlineLevel="1" x14ac:dyDescent="0.15">
      <c r="A119" s="22"/>
      <c r="B119" s="39" t="str">
        <f>INDEX(product_table[], MATCH($D$53, product_table[Product],0), MATCH("ID", product_table[#Headers],0))</f>
        <v>P1</v>
      </c>
      <c r="C119" s="39" t="str">
        <f>INDEX(segment_table[],MATCH(E106,segment_table[Segment],0),MATCH("Seg_ID", segment_table[#Headers],0))</f>
        <v>S4</v>
      </c>
      <c r="D119" s="22"/>
      <c r="E119" s="41" t="s">
        <v>13</v>
      </c>
      <c r="F119" s="15" t="s">
        <v>8</v>
      </c>
      <c r="G119" s="16">
        <f>+G109*G$55</f>
        <v>1687.5</v>
      </c>
      <c r="H119" s="16">
        <f t="shared" ref="H119:L119" si="69">+H109*H$55</f>
        <v>2062.5000000000005</v>
      </c>
      <c r="I119" s="16">
        <f t="shared" si="69"/>
        <v>2722.5000000000005</v>
      </c>
      <c r="J119" s="16">
        <f t="shared" si="69"/>
        <v>3415.5</v>
      </c>
      <c r="K119" s="16">
        <f t="shared" si="69"/>
        <v>4162.640625</v>
      </c>
      <c r="L119" s="16">
        <f t="shared" si="69"/>
        <v>4931.1281250000002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</row>
    <row r="120" spans="1:32" s="29" customFormat="1" ht="14" hidden="1" customHeight="1" outlineLevel="1" x14ac:dyDescent="0.15">
      <c r="A120" s="22"/>
      <c r="B120" s="39" t="str">
        <f>INDEX(product_table[], MATCH($D$53, product_table[Product],0), MATCH("ID", product_table[#Headers],0))</f>
        <v>P1</v>
      </c>
      <c r="C120" s="39" t="str">
        <f>INDEX(segment_table[],MATCH(E106,segment_table[Segment],0),MATCH("Seg_ID", segment_table[#Headers],0))</f>
        <v>S4</v>
      </c>
      <c r="D120" s="22"/>
      <c r="E120" s="41" t="s">
        <v>14</v>
      </c>
      <c r="F120" s="15" t="s">
        <v>8</v>
      </c>
      <c r="G120" s="16">
        <f>+G$55*G112</f>
        <v>168.75</v>
      </c>
      <c r="H120" s="16">
        <f t="shared" ref="H120:L120" si="70">+H$55*H112</f>
        <v>257.81250000000006</v>
      </c>
      <c r="I120" s="16">
        <f t="shared" si="70"/>
        <v>408.37500000000006</v>
      </c>
      <c r="J120" s="16">
        <f t="shared" si="70"/>
        <v>597.71249999999998</v>
      </c>
      <c r="K120" s="16">
        <f t="shared" si="70"/>
        <v>832.52812500000005</v>
      </c>
      <c r="L120" s="16">
        <f t="shared" si="70"/>
        <v>1109.5038281249999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</row>
    <row r="121" spans="1:32" s="29" customFormat="1" ht="14" customHeight="1" collapsed="1" x14ac:dyDescent="0.15">
      <c r="A121" s="8"/>
      <c r="B121" s="39"/>
      <c r="C121" s="39"/>
      <c r="D121" s="8"/>
      <c r="E121" s="31"/>
      <c r="F121" s="15"/>
      <c r="G121" s="16"/>
      <c r="H121" s="16"/>
      <c r="I121" s="16"/>
      <c r="J121" s="16"/>
      <c r="K121" s="16"/>
      <c r="L121" s="16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spans="1:32" s="29" customFormat="1" ht="14" customHeight="1" x14ac:dyDescent="0.15">
      <c r="A122" s="8"/>
      <c r="B122" s="39"/>
      <c r="C122" s="39"/>
      <c r="D122" s="7" t="str">
        <f>'Product &amp; Segment Detail'!$E$10</f>
        <v>Product_2</v>
      </c>
      <c r="E122" s="7"/>
      <c r="F122" s="7"/>
      <c r="G122" s="7"/>
      <c r="H122" s="7"/>
      <c r="I122" s="7"/>
      <c r="J122" s="7"/>
      <c r="K122" s="7"/>
      <c r="L122" s="7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spans="1:32" s="29" customFormat="1" ht="14" hidden="1" customHeight="1" outlineLevel="1" x14ac:dyDescent="0.15">
      <c r="A123" s="22"/>
      <c r="B123" s="39"/>
      <c r="C123" s="39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</row>
    <row r="124" spans="1:32" s="29" customFormat="1" ht="14" hidden="1" customHeight="1" outlineLevel="1" x14ac:dyDescent="0.15">
      <c r="A124" s="8"/>
      <c r="B124" s="39" t="str">
        <f>INDEX(product_table[], MATCH($D$122, product_table[Product],0), MATCH("ID", product_table[#Headers],0))</f>
        <v>P2</v>
      </c>
      <c r="C124" s="39"/>
      <c r="D124" s="8"/>
      <c r="E124" s="31" t="s">
        <v>7</v>
      </c>
      <c r="F124" s="15" t="s">
        <v>8</v>
      </c>
      <c r="G124" s="18">
        <f>p2_unit_price</f>
        <v>1.75</v>
      </c>
      <c r="H124" s="40">
        <f>+G124*(1+ H125)</f>
        <v>1.75</v>
      </c>
      <c r="I124" s="40">
        <f t="shared" ref="I124" si="71">+H124*(1+ I125)</f>
        <v>1.75</v>
      </c>
      <c r="J124" s="40">
        <f t="shared" ref="J124" si="72">+I124*(1+ J125)</f>
        <v>1.75</v>
      </c>
      <c r="K124" s="40">
        <f t="shared" ref="K124" si="73">+J124*(1+ K125)</f>
        <v>1.75</v>
      </c>
      <c r="L124" s="40">
        <f t="shared" ref="L124" si="74">+K124*(1+ L125)</f>
        <v>1.75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spans="1:32" s="29" customFormat="1" ht="14" hidden="1" customHeight="1" outlineLevel="1" x14ac:dyDescent="0.15">
      <c r="A125" s="22"/>
      <c r="B125" s="39" t="str">
        <f>INDEX(product_table[], MATCH($D$122, product_table[Product],0), MATCH("ID", product_table[#Headers],0))</f>
        <v>P2</v>
      </c>
      <c r="C125" s="39"/>
      <c r="D125" s="22"/>
      <c r="E125" s="27" t="s">
        <v>5</v>
      </c>
      <c r="F125" s="15" t="s">
        <v>6</v>
      </c>
      <c r="G125" s="8"/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22"/>
      <c r="N125" s="24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</row>
    <row r="126" spans="1:32" s="29" customFormat="1" ht="14" hidden="1" customHeight="1" outlineLevel="1" x14ac:dyDescent="0.15">
      <c r="A126" s="22"/>
      <c r="B126" s="39"/>
      <c r="C126" s="39"/>
      <c r="D126" s="22"/>
      <c r="G126" s="8"/>
      <c r="M126" s="22"/>
      <c r="N126" s="23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</row>
    <row r="127" spans="1:32" s="29" customFormat="1" ht="14" hidden="1" customHeight="1" outlineLevel="1" x14ac:dyDescent="0.15">
      <c r="A127" s="22"/>
      <c r="B127" s="39"/>
      <c r="C127" s="39"/>
      <c r="D127" s="22"/>
      <c r="E127" s="42" t="str">
        <f>+'Product &amp; Segment Detail'!$E$13</f>
        <v>Segment 1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</row>
    <row r="128" spans="1:32" s="29" customFormat="1" ht="14" hidden="1" customHeight="1" outlineLevel="1" x14ac:dyDescent="0.15">
      <c r="A128" s="22"/>
      <c r="B128" s="39" t="str">
        <f>INDEX(product_table[], MATCH($D$122, product_table[Product],0), MATCH("ID", product_table[#Headers],0))</f>
        <v>P2</v>
      </c>
      <c r="C128" s="39" t="str">
        <f>INDEX(segment_table[],MATCH(E127,segment_table[Segment],0),MATCH("Seg_ID", segment_table[#Headers],0))</f>
        <v>S1</v>
      </c>
      <c r="D128" s="22"/>
      <c r="E128" s="41" t="s">
        <v>9</v>
      </c>
      <c r="F128" s="15" t="s">
        <v>3</v>
      </c>
      <c r="G128" s="43">
        <f t="shared" ref="G128:L128" si="75">SUMIFS(G$21:G$50,tam_range_prod_id,$B128, tam_range_seg_ids, $C128)</f>
        <v>12000</v>
      </c>
      <c r="H128" s="43">
        <f t="shared" si="75"/>
        <v>12600</v>
      </c>
      <c r="I128" s="43">
        <f t="shared" si="75"/>
        <v>13104</v>
      </c>
      <c r="J128" s="43">
        <f t="shared" si="75"/>
        <v>13497.12</v>
      </c>
      <c r="K128" s="43">
        <f t="shared" si="75"/>
        <v>13767.062400000001</v>
      </c>
      <c r="L128" s="43">
        <f t="shared" si="75"/>
        <v>13904.733024000001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</row>
    <row r="129" spans="1:32" s="29" customFormat="1" ht="14" hidden="1" customHeight="1" outlineLevel="1" x14ac:dyDescent="0.15">
      <c r="A129" s="22"/>
      <c r="B129" s="39"/>
      <c r="C129" s="39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</row>
    <row r="130" spans="1:32" s="29" customFormat="1" ht="14" hidden="1" customHeight="1" outlineLevel="1" x14ac:dyDescent="0.15">
      <c r="A130" s="22"/>
      <c r="B130" s="39" t="str">
        <f>INDEX(product_table[], MATCH($D$122, product_table[Product],0), MATCH("ID", product_table[#Headers],0))</f>
        <v>P2</v>
      </c>
      <c r="C130" s="39" t="str">
        <f>INDEX(segment_table[],MATCH(E127,segment_table[Segment],0),MATCH("Seg_ID", segment_table[#Headers],0))</f>
        <v>S1</v>
      </c>
      <c r="D130" s="22"/>
      <c r="E130" s="41" t="s">
        <v>10</v>
      </c>
      <c r="F130" s="15" t="s">
        <v>3</v>
      </c>
      <c r="G130" s="16">
        <f t="shared" ref="G130:L130" si="76">+G128*G131</f>
        <v>5400</v>
      </c>
      <c r="H130" s="16">
        <f t="shared" si="76"/>
        <v>6300</v>
      </c>
      <c r="I130" s="16">
        <f t="shared" si="76"/>
        <v>7207.2000000000007</v>
      </c>
      <c r="J130" s="16">
        <f t="shared" si="76"/>
        <v>8098.2719999999999</v>
      </c>
      <c r="K130" s="16">
        <f t="shared" si="76"/>
        <v>8948.5905600000006</v>
      </c>
      <c r="L130" s="16">
        <f t="shared" si="76"/>
        <v>9733.3131168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</row>
    <row r="131" spans="1:32" s="29" customFormat="1" ht="14" hidden="1" customHeight="1" outlineLevel="1" x14ac:dyDescent="0.15">
      <c r="A131" s="22"/>
      <c r="B131" s="39" t="str">
        <f>INDEX(product_table[], MATCH($D$122, product_table[Product],0), MATCH("ID", product_table[#Headers],0))</f>
        <v>P2</v>
      </c>
      <c r="C131" s="39" t="str">
        <f>INDEX(segment_table[],MATCH(E127,segment_table[Segment],0),MATCH("Seg_ID", segment_table[#Headers],0))</f>
        <v>S1</v>
      </c>
      <c r="D131" s="22"/>
      <c r="E131" s="41" t="s">
        <v>53</v>
      </c>
      <c r="F131" s="15" t="s">
        <v>6</v>
      </c>
      <c r="G131" s="44">
        <v>0.45</v>
      </c>
      <c r="H131" s="44">
        <v>0.5</v>
      </c>
      <c r="I131" s="44">
        <v>0.55000000000000004</v>
      </c>
      <c r="J131" s="44">
        <v>0.6</v>
      </c>
      <c r="K131" s="44">
        <v>0.65</v>
      </c>
      <c r="L131" s="44">
        <v>0.7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</row>
    <row r="132" spans="1:32" s="29" customFormat="1" ht="14" hidden="1" customHeight="1" outlineLevel="1" x14ac:dyDescent="0.15">
      <c r="A132" s="22"/>
      <c r="B132" s="39"/>
      <c r="C132" s="39"/>
      <c r="D132" s="22"/>
      <c r="E132" s="41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</row>
    <row r="133" spans="1:32" s="29" customFormat="1" ht="14" hidden="1" customHeight="1" outlineLevel="1" x14ac:dyDescent="0.15">
      <c r="A133" s="22"/>
      <c r="B133" s="39" t="str">
        <f>INDEX(product_table[], MATCH($D$122, product_table[Product],0), MATCH("ID", product_table[#Headers],0))</f>
        <v>P2</v>
      </c>
      <c r="C133" s="39" t="str">
        <f>INDEX(segment_table[],MATCH(E127,segment_table[Segment],0),MATCH("Seg_ID", segment_table[#Headers],0))</f>
        <v>S1</v>
      </c>
      <c r="D133" s="22"/>
      <c r="E133" s="41" t="s">
        <v>11</v>
      </c>
      <c r="F133" s="15" t="s">
        <v>3</v>
      </c>
      <c r="G133" s="16">
        <f t="shared" ref="G133:L133" si="77">+G130*G134</f>
        <v>540</v>
      </c>
      <c r="H133" s="16">
        <f t="shared" si="77"/>
        <v>787.5</v>
      </c>
      <c r="I133" s="16">
        <f t="shared" si="77"/>
        <v>1081.0800000000002</v>
      </c>
      <c r="J133" s="16">
        <f t="shared" si="77"/>
        <v>1417.1976</v>
      </c>
      <c r="K133" s="16">
        <f t="shared" si="77"/>
        <v>1789.718112</v>
      </c>
      <c r="L133" s="16">
        <f t="shared" si="77"/>
        <v>2189.99545128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</row>
    <row r="134" spans="1:32" s="29" customFormat="1" ht="14" hidden="1" customHeight="1" outlineLevel="1" x14ac:dyDescent="0.15">
      <c r="A134" s="22"/>
      <c r="B134" s="39" t="str">
        <f>INDEX(product_table[], MATCH($D$122, product_table[Product],0), MATCH("ID", product_table[#Headers],0))</f>
        <v>P2</v>
      </c>
      <c r="C134" s="39" t="str">
        <f>INDEX(segment_table[],MATCH(E127,segment_table[Segment],0),MATCH("Seg_ID", segment_table[#Headers],0))</f>
        <v>S1</v>
      </c>
      <c r="D134" s="22"/>
      <c r="E134" s="41" t="s">
        <v>94</v>
      </c>
      <c r="F134" s="15" t="s">
        <v>6</v>
      </c>
      <c r="G134" s="45">
        <f t="shared" ref="G134:L134" si="78">INDEX(G135:G137,MATCH(scenario,$E135:$E137,0))</f>
        <v>0.1</v>
      </c>
      <c r="H134" s="45">
        <f t="shared" si="78"/>
        <v>0.125</v>
      </c>
      <c r="I134" s="45">
        <f t="shared" si="78"/>
        <v>0.15</v>
      </c>
      <c r="J134" s="45">
        <f t="shared" si="78"/>
        <v>0.17499999999999999</v>
      </c>
      <c r="K134" s="45">
        <f t="shared" si="78"/>
        <v>0.19999999999999998</v>
      </c>
      <c r="L134" s="45">
        <f t="shared" si="78"/>
        <v>0.22499999999999998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</row>
    <row r="135" spans="1:32" s="29" customFormat="1" ht="14" hidden="1" customHeight="1" outlineLevel="1" x14ac:dyDescent="0.15">
      <c r="A135" s="22"/>
      <c r="B135" s="39" t="str">
        <f>INDEX(product_table[], MATCH($D$122, product_table[Product],0), MATCH("ID", product_table[#Headers],0))</f>
        <v>P2</v>
      </c>
      <c r="C135" s="39" t="str">
        <f>INDEX(segment_table[],MATCH(E127,segment_table[Segment],0),MATCH("Seg_ID", segment_table[#Headers],0))</f>
        <v>S1</v>
      </c>
      <c r="D135" s="22"/>
      <c r="E135" s="46" t="s">
        <v>54</v>
      </c>
      <c r="F135" s="15"/>
      <c r="G135" s="44">
        <v>0.15</v>
      </c>
      <c r="H135" s="44">
        <f t="shared" ref="H135:L135" si="79">+G135+0.025</f>
        <v>0.17499999999999999</v>
      </c>
      <c r="I135" s="44">
        <f t="shared" si="79"/>
        <v>0.19999999999999998</v>
      </c>
      <c r="J135" s="44">
        <f t="shared" si="79"/>
        <v>0.22499999999999998</v>
      </c>
      <c r="K135" s="44">
        <f t="shared" si="79"/>
        <v>0.24999999999999997</v>
      </c>
      <c r="L135" s="44">
        <f t="shared" si="79"/>
        <v>0.27499999999999997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</row>
    <row r="136" spans="1:32" s="29" customFormat="1" ht="14" hidden="1" customHeight="1" outlineLevel="1" x14ac:dyDescent="0.15">
      <c r="A136" s="22"/>
      <c r="B136" s="39" t="str">
        <f>INDEX(product_table[], MATCH($D$122, product_table[Product],0), MATCH("ID", product_table[#Headers],0))</f>
        <v>P2</v>
      </c>
      <c r="C136" s="39" t="str">
        <f>INDEX(segment_table[],MATCH(E127,segment_table[Segment],0),MATCH("Seg_ID", segment_table[#Headers],0))</f>
        <v>S1</v>
      </c>
      <c r="D136" s="22"/>
      <c r="E136" s="46" t="s">
        <v>38</v>
      </c>
      <c r="F136" s="22"/>
      <c r="G136" s="44">
        <v>0.1</v>
      </c>
      <c r="H136" s="44">
        <f>+G136+0.025</f>
        <v>0.125</v>
      </c>
      <c r="I136" s="44">
        <f t="shared" ref="I136:L136" si="80">+H136+0.025</f>
        <v>0.15</v>
      </c>
      <c r="J136" s="44">
        <f t="shared" si="80"/>
        <v>0.17499999999999999</v>
      </c>
      <c r="K136" s="44">
        <f t="shared" si="80"/>
        <v>0.19999999999999998</v>
      </c>
      <c r="L136" s="44">
        <f t="shared" si="80"/>
        <v>0.22499999999999998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</row>
    <row r="137" spans="1:32" s="29" customFormat="1" ht="14" hidden="1" customHeight="1" outlineLevel="1" x14ac:dyDescent="0.15">
      <c r="A137" s="22"/>
      <c r="B137" s="39" t="str">
        <f>INDEX(product_table[], MATCH($D$122, product_table[Product],0), MATCH("ID", product_table[#Headers],0))</f>
        <v>P2</v>
      </c>
      <c r="C137" s="39" t="str">
        <f>INDEX(segment_table[],MATCH(E127,segment_table[Segment],0),MATCH("Seg_ID", segment_table[#Headers],0))</f>
        <v>S1</v>
      </c>
      <c r="D137" s="22"/>
      <c r="E137" s="46" t="s">
        <v>55</v>
      </c>
      <c r="F137" s="22"/>
      <c r="G137" s="44">
        <v>0.05</v>
      </c>
      <c r="H137" s="44">
        <f t="shared" ref="H137:L137" si="81">+G137+0.025</f>
        <v>7.5000000000000011E-2</v>
      </c>
      <c r="I137" s="44">
        <f t="shared" si="81"/>
        <v>0.1</v>
      </c>
      <c r="J137" s="44">
        <f t="shared" si="81"/>
        <v>0.125</v>
      </c>
      <c r="K137" s="44">
        <f t="shared" si="81"/>
        <v>0.15</v>
      </c>
      <c r="L137" s="44">
        <f t="shared" si="81"/>
        <v>0.17499999999999999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</row>
    <row r="138" spans="1:32" s="29" customFormat="1" ht="14" hidden="1" customHeight="1" outlineLevel="1" x14ac:dyDescent="0.15">
      <c r="A138" s="22"/>
      <c r="B138" s="39"/>
      <c r="C138" s="39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</row>
    <row r="139" spans="1:32" s="29" customFormat="1" ht="14" hidden="1" customHeight="1" outlineLevel="1" x14ac:dyDescent="0.15">
      <c r="A139" s="22"/>
      <c r="B139" s="39" t="str">
        <f>INDEX(product_table[], MATCH($D$122, product_table[Product],0), MATCH("ID", product_table[#Headers],0))</f>
        <v>P2</v>
      </c>
      <c r="C139" s="39" t="str">
        <f>INDEX(segment_table[],MATCH(E127,segment_table[Segment],0),MATCH("Seg_ID", segment_table[#Headers],0))</f>
        <v>S1</v>
      </c>
      <c r="D139" s="22"/>
      <c r="E139" s="41" t="s">
        <v>12</v>
      </c>
      <c r="F139" s="15" t="s">
        <v>8</v>
      </c>
      <c r="G139" s="16">
        <f>+G128*G$124</f>
        <v>21000</v>
      </c>
      <c r="H139" s="16">
        <f t="shared" ref="H139:L139" si="82">+H128*H$124</f>
        <v>22050</v>
      </c>
      <c r="I139" s="16">
        <f t="shared" si="82"/>
        <v>22932</v>
      </c>
      <c r="J139" s="16">
        <f t="shared" si="82"/>
        <v>23619.960000000003</v>
      </c>
      <c r="K139" s="16">
        <f t="shared" si="82"/>
        <v>24092.359200000003</v>
      </c>
      <c r="L139" s="16">
        <f t="shared" si="82"/>
        <v>24333.282792000002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</row>
    <row r="140" spans="1:32" s="29" customFormat="1" ht="14" hidden="1" customHeight="1" outlineLevel="1" x14ac:dyDescent="0.15">
      <c r="A140" s="22"/>
      <c r="B140" s="39" t="str">
        <f>INDEX(product_table[], MATCH($D$122, product_table[Product],0), MATCH("ID", product_table[#Headers],0))</f>
        <v>P2</v>
      </c>
      <c r="C140" s="39" t="str">
        <f>INDEX(segment_table[],MATCH(E127,segment_table[Segment],0),MATCH("Seg_ID", segment_table[#Headers],0))</f>
        <v>S1</v>
      </c>
      <c r="D140" s="22"/>
      <c r="E140" s="41" t="s">
        <v>13</v>
      </c>
      <c r="F140" s="15" t="s">
        <v>8</v>
      </c>
      <c r="G140" s="16">
        <f>+G130*G$124</f>
        <v>9450</v>
      </c>
      <c r="H140" s="16">
        <f t="shared" ref="H140:L140" si="83">+H130*H$124</f>
        <v>11025</v>
      </c>
      <c r="I140" s="16">
        <f t="shared" si="83"/>
        <v>12612.600000000002</v>
      </c>
      <c r="J140" s="16">
        <f t="shared" si="83"/>
        <v>14171.976000000001</v>
      </c>
      <c r="K140" s="16">
        <f t="shared" si="83"/>
        <v>15660.033480000002</v>
      </c>
      <c r="L140" s="16">
        <f t="shared" si="83"/>
        <v>17033.297954400001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</row>
    <row r="141" spans="1:32" s="29" customFormat="1" ht="14" hidden="1" customHeight="1" outlineLevel="1" x14ac:dyDescent="0.15">
      <c r="A141" s="22"/>
      <c r="B141" s="39" t="str">
        <f>INDEX(product_table[], MATCH($D$122, product_table[Product],0), MATCH("ID", product_table[#Headers],0))</f>
        <v>P2</v>
      </c>
      <c r="C141" s="39" t="str">
        <f>INDEX(segment_table[],MATCH(E127,segment_table[Segment],0),MATCH("Seg_ID", segment_table[#Headers],0))</f>
        <v>S1</v>
      </c>
      <c r="D141" s="22"/>
      <c r="E141" s="41" t="s">
        <v>14</v>
      </c>
      <c r="F141" s="15" t="s">
        <v>8</v>
      </c>
      <c r="G141" s="16">
        <f>+G133*G$124</f>
        <v>945</v>
      </c>
      <c r="H141" s="16">
        <f t="shared" ref="H141:L141" si="84">+H133*H$124</f>
        <v>1378.125</v>
      </c>
      <c r="I141" s="16">
        <f t="shared" si="84"/>
        <v>1891.8900000000003</v>
      </c>
      <c r="J141" s="16">
        <f t="shared" si="84"/>
        <v>2480.0958000000001</v>
      </c>
      <c r="K141" s="16">
        <f t="shared" si="84"/>
        <v>3132.0066959999999</v>
      </c>
      <c r="L141" s="16">
        <f t="shared" si="84"/>
        <v>3832.4920397400001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</row>
    <row r="142" spans="1:32" s="29" customFormat="1" ht="14" hidden="1" customHeight="1" outlineLevel="1" x14ac:dyDescent="0.15">
      <c r="A142" s="22"/>
      <c r="B142" s="39"/>
      <c r="C142" s="39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</row>
    <row r="143" spans="1:32" s="29" customFormat="1" ht="14" hidden="1" customHeight="1" outlineLevel="1" x14ac:dyDescent="0.15">
      <c r="A143" s="22"/>
      <c r="B143" s="39"/>
      <c r="C143" s="39"/>
      <c r="D143" s="22"/>
      <c r="E143" s="42" t="str">
        <f>+'Product &amp; Segment Detail'!$E$14</f>
        <v>Segment 2</v>
      </c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</row>
    <row r="144" spans="1:32" s="29" customFormat="1" ht="14" hidden="1" customHeight="1" outlineLevel="1" x14ac:dyDescent="0.15">
      <c r="A144" s="22"/>
      <c r="B144" s="39" t="str">
        <f>INDEX(product_table[], MATCH($D$122, product_table[Product],0), MATCH("ID", product_table[#Headers],0))</f>
        <v>P2</v>
      </c>
      <c r="C144" s="39" t="str">
        <f>INDEX(segment_table[],MATCH(E143,segment_table[Segment],0),MATCH("Seg_ID", segment_table[#Headers],0))</f>
        <v>S2</v>
      </c>
      <c r="D144" s="22"/>
      <c r="E144" s="41" t="s">
        <v>9</v>
      </c>
      <c r="F144" s="15" t="s">
        <v>3</v>
      </c>
      <c r="G144" s="43">
        <f t="shared" ref="G144:L144" si="85">SUMIFS(G$21:G$50,tam_range_prod_id,$B144, tam_range_seg_ids, $C144)</f>
        <v>8000</v>
      </c>
      <c r="H144" s="43">
        <f t="shared" si="85"/>
        <v>8160</v>
      </c>
      <c r="I144" s="43">
        <f t="shared" si="85"/>
        <v>8364</v>
      </c>
      <c r="J144" s="43">
        <f t="shared" si="85"/>
        <v>8614.92</v>
      </c>
      <c r="K144" s="43">
        <f t="shared" si="85"/>
        <v>8873.3675999999996</v>
      </c>
      <c r="L144" s="43">
        <f t="shared" si="85"/>
        <v>9095.2017899999992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</row>
    <row r="145" spans="1:32" s="29" customFormat="1" ht="14" hidden="1" customHeight="1" outlineLevel="1" x14ac:dyDescent="0.15">
      <c r="A145" s="22"/>
      <c r="B145" s="39"/>
      <c r="C145" s="39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</row>
    <row r="146" spans="1:32" s="29" customFormat="1" ht="14" hidden="1" customHeight="1" outlineLevel="1" x14ac:dyDescent="0.15">
      <c r="A146" s="22"/>
      <c r="B146" s="39" t="str">
        <f>INDEX(product_table[], MATCH($D$122, product_table[Product],0), MATCH("ID", product_table[#Headers],0))</f>
        <v>P2</v>
      </c>
      <c r="C146" s="39" t="str">
        <f>INDEX(segment_table[],MATCH(E143,segment_table[Segment],0),MATCH("Seg_ID", segment_table[#Headers],0))</f>
        <v>S2</v>
      </c>
      <c r="D146" s="22"/>
      <c r="E146" s="41" t="s">
        <v>10</v>
      </c>
      <c r="F146" s="15" t="s">
        <v>3</v>
      </c>
      <c r="G146" s="16">
        <f t="shared" ref="G146:L146" si="86">+G144*G147</f>
        <v>3600</v>
      </c>
      <c r="H146" s="16">
        <f t="shared" si="86"/>
        <v>4080</v>
      </c>
      <c r="I146" s="16">
        <f t="shared" si="86"/>
        <v>4600.2000000000007</v>
      </c>
      <c r="J146" s="16">
        <f t="shared" si="86"/>
        <v>5168.9520000000002</v>
      </c>
      <c r="K146" s="16">
        <f t="shared" si="86"/>
        <v>5767.68894</v>
      </c>
      <c r="L146" s="16">
        <f t="shared" si="86"/>
        <v>6366.6412529999989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</row>
    <row r="147" spans="1:32" s="29" customFormat="1" ht="14" hidden="1" customHeight="1" outlineLevel="1" x14ac:dyDescent="0.15">
      <c r="A147" s="22"/>
      <c r="B147" s="39" t="str">
        <f>INDEX(product_table[], MATCH($D$122, product_table[Product],0), MATCH("ID", product_table[#Headers],0))</f>
        <v>P2</v>
      </c>
      <c r="C147" s="39" t="str">
        <f>INDEX(segment_table[],MATCH(E143,segment_table[Segment],0),MATCH("Seg_ID", segment_table[#Headers],0))</f>
        <v>S2</v>
      </c>
      <c r="D147" s="22"/>
      <c r="E147" s="41" t="s">
        <v>53</v>
      </c>
      <c r="F147" s="15" t="s">
        <v>6</v>
      </c>
      <c r="G147" s="44">
        <v>0.45</v>
      </c>
      <c r="H147" s="44">
        <v>0.5</v>
      </c>
      <c r="I147" s="44">
        <v>0.55000000000000004</v>
      </c>
      <c r="J147" s="44">
        <v>0.6</v>
      </c>
      <c r="K147" s="44">
        <v>0.65</v>
      </c>
      <c r="L147" s="44">
        <v>0.7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</row>
    <row r="148" spans="1:32" s="29" customFormat="1" ht="14" hidden="1" customHeight="1" outlineLevel="1" x14ac:dyDescent="0.15">
      <c r="A148" s="22"/>
      <c r="B148" s="39"/>
      <c r="C148" s="39"/>
      <c r="D148" s="22"/>
      <c r="E148" s="41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</row>
    <row r="149" spans="1:32" s="29" customFormat="1" ht="14" hidden="1" customHeight="1" outlineLevel="1" x14ac:dyDescent="0.15">
      <c r="A149" s="22"/>
      <c r="B149" s="39" t="str">
        <f>INDEX(product_table[], MATCH($D$122, product_table[Product],0), MATCH("ID", product_table[#Headers],0))</f>
        <v>P2</v>
      </c>
      <c r="C149" s="39" t="str">
        <f>INDEX(segment_table[],MATCH(E143,segment_table[Segment],0),MATCH("Seg_ID", segment_table[#Headers],0))</f>
        <v>S2</v>
      </c>
      <c r="D149" s="22"/>
      <c r="E149" s="41" t="s">
        <v>11</v>
      </c>
      <c r="F149" s="15" t="s">
        <v>3</v>
      </c>
      <c r="G149" s="16">
        <f t="shared" ref="G149:L149" si="87">+G146*G150</f>
        <v>360</v>
      </c>
      <c r="H149" s="16">
        <f t="shared" si="87"/>
        <v>510</v>
      </c>
      <c r="I149" s="16">
        <f t="shared" si="87"/>
        <v>690.03000000000009</v>
      </c>
      <c r="J149" s="16">
        <f t="shared" si="87"/>
        <v>904.56659999999999</v>
      </c>
      <c r="K149" s="16">
        <f t="shared" si="87"/>
        <v>1153.5377879999999</v>
      </c>
      <c r="L149" s="16">
        <f t="shared" si="87"/>
        <v>1432.4942819249995</v>
      </c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</row>
    <row r="150" spans="1:32" s="29" customFormat="1" ht="14" hidden="1" customHeight="1" outlineLevel="1" x14ac:dyDescent="0.15">
      <c r="A150" s="22"/>
      <c r="B150" s="39" t="str">
        <f>INDEX(product_table[], MATCH($D$122, product_table[Product],0), MATCH("ID", product_table[#Headers],0))</f>
        <v>P2</v>
      </c>
      <c r="C150" s="39" t="str">
        <f>INDEX(segment_table[],MATCH(E143,segment_table[Segment],0),MATCH("Seg_ID", segment_table[#Headers],0))</f>
        <v>S2</v>
      </c>
      <c r="D150" s="22"/>
      <c r="E150" s="41" t="s">
        <v>94</v>
      </c>
      <c r="F150" s="15" t="s">
        <v>6</v>
      </c>
      <c r="G150" s="45">
        <f t="shared" ref="G150:L150" si="88">INDEX(G151:G153,MATCH(scenario,$E151:$E153,0))</f>
        <v>0.1</v>
      </c>
      <c r="H150" s="45">
        <f t="shared" si="88"/>
        <v>0.125</v>
      </c>
      <c r="I150" s="45">
        <f t="shared" si="88"/>
        <v>0.15</v>
      </c>
      <c r="J150" s="45">
        <f t="shared" si="88"/>
        <v>0.17499999999999999</v>
      </c>
      <c r="K150" s="45">
        <f t="shared" si="88"/>
        <v>0.19999999999999998</v>
      </c>
      <c r="L150" s="45">
        <f t="shared" si="88"/>
        <v>0.22499999999999998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</row>
    <row r="151" spans="1:32" s="29" customFormat="1" ht="14" hidden="1" customHeight="1" outlineLevel="1" x14ac:dyDescent="0.15">
      <c r="A151" s="22"/>
      <c r="B151" s="39" t="str">
        <f>INDEX(product_table[], MATCH($D$122, product_table[Product],0), MATCH("ID", product_table[#Headers],0))</f>
        <v>P2</v>
      </c>
      <c r="C151" s="39" t="str">
        <f>INDEX(segment_table[],MATCH(E143,segment_table[Segment],0),MATCH("Seg_ID", segment_table[#Headers],0))</f>
        <v>S2</v>
      </c>
      <c r="D151" s="22"/>
      <c r="E151" s="46" t="s">
        <v>54</v>
      </c>
      <c r="F151" s="15"/>
      <c r="G151" s="44">
        <v>0.15</v>
      </c>
      <c r="H151" s="44">
        <f t="shared" ref="H151:L151" si="89">+G151+0.025</f>
        <v>0.17499999999999999</v>
      </c>
      <c r="I151" s="44">
        <f t="shared" si="89"/>
        <v>0.19999999999999998</v>
      </c>
      <c r="J151" s="44">
        <f t="shared" si="89"/>
        <v>0.22499999999999998</v>
      </c>
      <c r="K151" s="44">
        <f t="shared" si="89"/>
        <v>0.24999999999999997</v>
      </c>
      <c r="L151" s="44">
        <f t="shared" si="89"/>
        <v>0.27499999999999997</v>
      </c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</row>
    <row r="152" spans="1:32" s="29" customFormat="1" ht="14" hidden="1" customHeight="1" outlineLevel="1" x14ac:dyDescent="0.15">
      <c r="A152" s="22"/>
      <c r="B152" s="39" t="str">
        <f>INDEX(product_table[], MATCH($D$122, product_table[Product],0), MATCH("ID", product_table[#Headers],0))</f>
        <v>P2</v>
      </c>
      <c r="C152" s="39" t="str">
        <f>INDEX(segment_table[],MATCH(E143,segment_table[Segment],0),MATCH("Seg_ID", segment_table[#Headers],0))</f>
        <v>S2</v>
      </c>
      <c r="D152" s="22"/>
      <c r="E152" s="46" t="s">
        <v>38</v>
      </c>
      <c r="F152" s="22"/>
      <c r="G152" s="44">
        <v>0.1</v>
      </c>
      <c r="H152" s="44">
        <f>+G152+0.025</f>
        <v>0.125</v>
      </c>
      <c r="I152" s="44">
        <f t="shared" ref="I152:L152" si="90">+H152+0.025</f>
        <v>0.15</v>
      </c>
      <c r="J152" s="44">
        <f t="shared" si="90"/>
        <v>0.17499999999999999</v>
      </c>
      <c r="K152" s="44">
        <f t="shared" si="90"/>
        <v>0.19999999999999998</v>
      </c>
      <c r="L152" s="44">
        <f t="shared" si="90"/>
        <v>0.22499999999999998</v>
      </c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</row>
    <row r="153" spans="1:32" s="29" customFormat="1" ht="14" hidden="1" customHeight="1" outlineLevel="1" x14ac:dyDescent="0.15">
      <c r="A153" s="22"/>
      <c r="B153" s="39" t="str">
        <f>INDEX(product_table[], MATCH($D$122, product_table[Product],0), MATCH("ID", product_table[#Headers],0))</f>
        <v>P2</v>
      </c>
      <c r="C153" s="39" t="str">
        <f>INDEX(segment_table[],MATCH(E143,segment_table[Segment],0),MATCH("Seg_ID", segment_table[#Headers],0))</f>
        <v>S2</v>
      </c>
      <c r="D153" s="22"/>
      <c r="E153" s="46" t="s">
        <v>55</v>
      </c>
      <c r="F153" s="22"/>
      <c r="G153" s="44">
        <v>0.05</v>
      </c>
      <c r="H153" s="44">
        <f t="shared" ref="H153:L153" si="91">+G153+0.025</f>
        <v>7.5000000000000011E-2</v>
      </c>
      <c r="I153" s="44">
        <f t="shared" si="91"/>
        <v>0.1</v>
      </c>
      <c r="J153" s="44">
        <f t="shared" si="91"/>
        <v>0.125</v>
      </c>
      <c r="K153" s="44">
        <f t="shared" si="91"/>
        <v>0.15</v>
      </c>
      <c r="L153" s="44">
        <f t="shared" si="91"/>
        <v>0.17499999999999999</v>
      </c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</row>
    <row r="154" spans="1:32" s="29" customFormat="1" ht="14" hidden="1" customHeight="1" outlineLevel="1" x14ac:dyDescent="0.15">
      <c r="A154" s="22"/>
      <c r="B154" s="39"/>
      <c r="C154" s="39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</row>
    <row r="155" spans="1:32" s="29" customFormat="1" ht="14" hidden="1" customHeight="1" outlineLevel="1" x14ac:dyDescent="0.15">
      <c r="A155" s="22"/>
      <c r="B155" s="39" t="str">
        <f>INDEX(product_table[], MATCH($D$122, product_table[Product],0), MATCH("ID", product_table[#Headers],0))</f>
        <v>P2</v>
      </c>
      <c r="C155" s="39" t="str">
        <f>INDEX(segment_table[],MATCH(E143,segment_table[Segment],0),MATCH("Seg_ID", segment_table[#Headers],0))</f>
        <v>S2</v>
      </c>
      <c r="D155" s="22"/>
      <c r="E155" s="41" t="s">
        <v>12</v>
      </c>
      <c r="F155" s="15" t="s">
        <v>8</v>
      </c>
      <c r="G155" s="16">
        <f>+G144*G$124</f>
        <v>14000</v>
      </c>
      <c r="H155" s="16">
        <f t="shared" ref="H155:L155" si="92">+H144*H$124</f>
        <v>14280</v>
      </c>
      <c r="I155" s="16">
        <f t="shared" si="92"/>
        <v>14637</v>
      </c>
      <c r="J155" s="16">
        <f t="shared" si="92"/>
        <v>15076.11</v>
      </c>
      <c r="K155" s="16">
        <f t="shared" si="92"/>
        <v>15528.3933</v>
      </c>
      <c r="L155" s="16">
        <f t="shared" si="92"/>
        <v>15916.603132499999</v>
      </c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</row>
    <row r="156" spans="1:32" s="29" customFormat="1" ht="14" hidden="1" customHeight="1" outlineLevel="1" x14ac:dyDescent="0.15">
      <c r="A156" s="22"/>
      <c r="B156" s="39" t="str">
        <f>INDEX(product_table[], MATCH($D$122, product_table[Product],0), MATCH("ID", product_table[#Headers],0))</f>
        <v>P2</v>
      </c>
      <c r="C156" s="39" t="str">
        <f>INDEX(segment_table[],MATCH(E143,segment_table[Segment],0),MATCH("Seg_ID", segment_table[#Headers],0))</f>
        <v>S2</v>
      </c>
      <c r="D156" s="22"/>
      <c r="E156" s="41" t="s">
        <v>13</v>
      </c>
      <c r="F156" s="15" t="s">
        <v>8</v>
      </c>
      <c r="G156" s="16">
        <f>+G146*G$124</f>
        <v>6300</v>
      </c>
      <c r="H156" s="16">
        <f t="shared" ref="H156:L156" si="93">+H146*H$124</f>
        <v>7140</v>
      </c>
      <c r="I156" s="16">
        <f t="shared" si="93"/>
        <v>8050.3500000000013</v>
      </c>
      <c r="J156" s="16">
        <f t="shared" si="93"/>
        <v>9045.6660000000011</v>
      </c>
      <c r="K156" s="16">
        <f t="shared" si="93"/>
        <v>10093.455645</v>
      </c>
      <c r="L156" s="16">
        <f t="shared" si="93"/>
        <v>11141.622192749997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</row>
    <row r="157" spans="1:32" s="29" customFormat="1" ht="14" hidden="1" customHeight="1" outlineLevel="1" x14ac:dyDescent="0.15">
      <c r="A157" s="22"/>
      <c r="B157" s="39" t="str">
        <f>INDEX(product_table[], MATCH($D$122, product_table[Product],0), MATCH("ID", product_table[#Headers],0))</f>
        <v>P2</v>
      </c>
      <c r="C157" s="39" t="str">
        <f>INDEX(segment_table[],MATCH(E143,segment_table[Segment],0),MATCH("Seg_ID", segment_table[#Headers],0))</f>
        <v>S2</v>
      </c>
      <c r="D157" s="22"/>
      <c r="E157" s="41" t="s">
        <v>14</v>
      </c>
      <c r="F157" s="15" t="s">
        <v>8</v>
      </c>
      <c r="G157" s="16">
        <f>+G149*G$124</f>
        <v>630</v>
      </c>
      <c r="H157" s="16">
        <f t="shared" ref="H157:L157" si="94">+H149*H$124</f>
        <v>892.5</v>
      </c>
      <c r="I157" s="16">
        <f t="shared" si="94"/>
        <v>1207.5525000000002</v>
      </c>
      <c r="J157" s="16">
        <f t="shared" si="94"/>
        <v>1582.99155</v>
      </c>
      <c r="K157" s="16">
        <f t="shared" si="94"/>
        <v>2018.6911289999998</v>
      </c>
      <c r="L157" s="16">
        <f t="shared" si="94"/>
        <v>2506.8649933687493</v>
      </c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</row>
    <row r="158" spans="1:32" s="29" customFormat="1" ht="14" hidden="1" customHeight="1" outlineLevel="1" x14ac:dyDescent="0.15">
      <c r="A158" s="8"/>
      <c r="B158" s="39"/>
      <c r="C158" s="39"/>
      <c r="D158" s="8"/>
      <c r="E158" s="31"/>
      <c r="F158" s="15"/>
      <c r="G158" s="16"/>
      <c r="H158" s="16"/>
      <c r="I158" s="16"/>
      <c r="J158" s="16"/>
      <c r="K158" s="16"/>
      <c r="L158" s="16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pans="1:32" s="29" customFormat="1" ht="14" hidden="1" customHeight="1" outlineLevel="1" x14ac:dyDescent="0.15">
      <c r="A159" s="22"/>
      <c r="B159" s="39"/>
      <c r="C159" s="39"/>
      <c r="D159" s="22"/>
      <c r="E159" s="42" t="str">
        <f>+'Product &amp; Segment Detail'!$E$15</f>
        <v>Segment 3</v>
      </c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</row>
    <row r="160" spans="1:32" s="29" customFormat="1" ht="14" hidden="1" customHeight="1" outlineLevel="1" x14ac:dyDescent="0.15">
      <c r="A160" s="22"/>
      <c r="B160" s="39" t="str">
        <f>INDEX(product_table[], MATCH($D$122, product_table[Product],0), MATCH("ID", product_table[#Headers],0))</f>
        <v>P2</v>
      </c>
      <c r="C160" s="39" t="str">
        <f>INDEX(segment_table[],MATCH(E159,segment_table[Segment],0),MATCH("Seg_ID", segment_table[#Headers],0))</f>
        <v>S3</v>
      </c>
      <c r="D160" s="22"/>
      <c r="E160" s="41" t="s">
        <v>9</v>
      </c>
      <c r="F160" s="15" t="s">
        <v>3</v>
      </c>
      <c r="G160" s="43">
        <f t="shared" ref="G160:L160" si="95">SUMIFS(G$21:G$50,tam_range_prod_id,$B160, tam_range_seg_ids, $C160)</f>
        <v>4000</v>
      </c>
      <c r="H160" s="43">
        <f t="shared" si="95"/>
        <v>4040</v>
      </c>
      <c r="I160" s="43">
        <f t="shared" si="95"/>
        <v>4120.8</v>
      </c>
      <c r="J160" s="43">
        <f t="shared" si="95"/>
        <v>4244.424</v>
      </c>
      <c r="K160" s="43">
        <f t="shared" si="95"/>
        <v>4456.6451999999999</v>
      </c>
      <c r="L160" s="43">
        <f t="shared" si="95"/>
        <v>4679.4774600000001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</row>
    <row r="161" spans="1:32" s="29" customFormat="1" ht="14" hidden="1" customHeight="1" outlineLevel="1" x14ac:dyDescent="0.15">
      <c r="A161" s="22"/>
      <c r="B161" s="39"/>
      <c r="C161" s="39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</row>
    <row r="162" spans="1:32" s="29" customFormat="1" ht="14" hidden="1" customHeight="1" outlineLevel="1" x14ac:dyDescent="0.15">
      <c r="A162" s="22"/>
      <c r="B162" s="39" t="str">
        <f>INDEX(product_table[], MATCH($D$122, product_table[Product],0), MATCH("ID", product_table[#Headers],0))</f>
        <v>P2</v>
      </c>
      <c r="C162" s="39" t="str">
        <f>INDEX(segment_table[],MATCH(E159,segment_table[Segment],0),MATCH("Seg_ID", segment_table[#Headers],0))</f>
        <v>S3</v>
      </c>
      <c r="D162" s="22"/>
      <c r="E162" s="41" t="s">
        <v>10</v>
      </c>
      <c r="F162" s="15" t="s">
        <v>3</v>
      </c>
      <c r="G162" s="16">
        <f t="shared" ref="G162:L162" si="96">+G160*G163</f>
        <v>1800</v>
      </c>
      <c r="H162" s="16">
        <f t="shared" si="96"/>
        <v>2020</v>
      </c>
      <c r="I162" s="16">
        <f t="shared" si="96"/>
        <v>2266.4400000000005</v>
      </c>
      <c r="J162" s="16">
        <f t="shared" si="96"/>
        <v>2546.6543999999999</v>
      </c>
      <c r="K162" s="16">
        <f t="shared" si="96"/>
        <v>2896.8193799999999</v>
      </c>
      <c r="L162" s="16">
        <f t="shared" si="96"/>
        <v>3275.6342219999997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</row>
    <row r="163" spans="1:32" s="29" customFormat="1" ht="14" hidden="1" customHeight="1" outlineLevel="1" x14ac:dyDescent="0.15">
      <c r="A163" s="22"/>
      <c r="B163" s="39" t="str">
        <f>INDEX(product_table[], MATCH($D$122, product_table[Product],0), MATCH("ID", product_table[#Headers],0))</f>
        <v>P2</v>
      </c>
      <c r="C163" s="39" t="str">
        <f>INDEX(segment_table[],MATCH(E159,segment_table[Segment],0),MATCH("Seg_ID", segment_table[#Headers],0))</f>
        <v>S3</v>
      </c>
      <c r="D163" s="22"/>
      <c r="E163" s="41" t="s">
        <v>53</v>
      </c>
      <c r="F163" s="15" t="s">
        <v>6</v>
      </c>
      <c r="G163" s="44">
        <v>0.45</v>
      </c>
      <c r="H163" s="44">
        <v>0.5</v>
      </c>
      <c r="I163" s="44">
        <v>0.55000000000000004</v>
      </c>
      <c r="J163" s="44">
        <v>0.6</v>
      </c>
      <c r="K163" s="44">
        <v>0.65</v>
      </c>
      <c r="L163" s="44">
        <v>0.7</v>
      </c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</row>
    <row r="164" spans="1:32" s="29" customFormat="1" ht="14" hidden="1" customHeight="1" outlineLevel="1" x14ac:dyDescent="0.15">
      <c r="A164" s="22"/>
      <c r="B164" s="39"/>
      <c r="C164" s="39"/>
      <c r="D164" s="22"/>
      <c r="E164" s="41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</row>
    <row r="165" spans="1:32" s="29" customFormat="1" ht="14" hidden="1" customHeight="1" outlineLevel="1" x14ac:dyDescent="0.15">
      <c r="A165" s="22"/>
      <c r="B165" s="39" t="str">
        <f>INDEX(product_table[], MATCH($D$122, product_table[Product],0), MATCH("ID", product_table[#Headers],0))</f>
        <v>P2</v>
      </c>
      <c r="C165" s="39" t="str">
        <f>INDEX(segment_table[],MATCH(E159,segment_table[Segment],0),MATCH("Seg_ID", segment_table[#Headers],0))</f>
        <v>S3</v>
      </c>
      <c r="D165" s="22"/>
      <c r="E165" s="41" t="s">
        <v>11</v>
      </c>
      <c r="F165" s="15" t="s">
        <v>3</v>
      </c>
      <c r="G165" s="16">
        <f t="shared" ref="G165:L165" si="97">+G162*G166</f>
        <v>180</v>
      </c>
      <c r="H165" s="16">
        <f t="shared" si="97"/>
        <v>252.5</v>
      </c>
      <c r="I165" s="16">
        <f t="shared" si="97"/>
        <v>339.96600000000007</v>
      </c>
      <c r="J165" s="16">
        <f t="shared" si="97"/>
        <v>445.66451999999998</v>
      </c>
      <c r="K165" s="16">
        <f t="shared" si="97"/>
        <v>579.36387599999989</v>
      </c>
      <c r="L165" s="16">
        <f t="shared" si="97"/>
        <v>737.01769994999984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</row>
    <row r="166" spans="1:32" s="29" customFormat="1" ht="14" hidden="1" customHeight="1" outlineLevel="1" x14ac:dyDescent="0.15">
      <c r="A166" s="22"/>
      <c r="B166" s="39" t="str">
        <f>INDEX(product_table[], MATCH($D$122, product_table[Product],0), MATCH("ID", product_table[#Headers],0))</f>
        <v>P2</v>
      </c>
      <c r="C166" s="39" t="str">
        <f>INDEX(segment_table[],MATCH(E159,segment_table[Segment],0),MATCH("Seg_ID", segment_table[#Headers],0))</f>
        <v>S3</v>
      </c>
      <c r="D166" s="22"/>
      <c r="E166" s="41" t="s">
        <v>94</v>
      </c>
      <c r="F166" s="15" t="s">
        <v>6</v>
      </c>
      <c r="G166" s="45">
        <f t="shared" ref="G166:L166" si="98">INDEX(G167:G169,MATCH(scenario,$E167:$E169,0))</f>
        <v>0.1</v>
      </c>
      <c r="H166" s="45">
        <f t="shared" si="98"/>
        <v>0.125</v>
      </c>
      <c r="I166" s="45">
        <f t="shared" si="98"/>
        <v>0.15</v>
      </c>
      <c r="J166" s="45">
        <f t="shared" si="98"/>
        <v>0.17499999999999999</v>
      </c>
      <c r="K166" s="45">
        <f t="shared" si="98"/>
        <v>0.19999999999999998</v>
      </c>
      <c r="L166" s="45">
        <f t="shared" si="98"/>
        <v>0.22499999999999998</v>
      </c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</row>
    <row r="167" spans="1:32" s="29" customFormat="1" ht="14" hidden="1" customHeight="1" outlineLevel="1" x14ac:dyDescent="0.15">
      <c r="A167" s="22"/>
      <c r="B167" s="39" t="str">
        <f>INDEX(product_table[], MATCH($D$122, product_table[Product],0), MATCH("ID", product_table[#Headers],0))</f>
        <v>P2</v>
      </c>
      <c r="C167" s="39" t="str">
        <f>INDEX(segment_table[],MATCH(E159,segment_table[Segment],0),MATCH("Seg_ID", segment_table[#Headers],0))</f>
        <v>S3</v>
      </c>
      <c r="D167" s="22"/>
      <c r="E167" s="46" t="s">
        <v>54</v>
      </c>
      <c r="F167" s="15"/>
      <c r="G167" s="44">
        <v>0.15</v>
      </c>
      <c r="H167" s="44">
        <f t="shared" ref="H167:L167" si="99">+G167+0.025</f>
        <v>0.17499999999999999</v>
      </c>
      <c r="I167" s="44">
        <f t="shared" si="99"/>
        <v>0.19999999999999998</v>
      </c>
      <c r="J167" s="44">
        <f t="shared" si="99"/>
        <v>0.22499999999999998</v>
      </c>
      <c r="K167" s="44">
        <f t="shared" si="99"/>
        <v>0.24999999999999997</v>
      </c>
      <c r="L167" s="44">
        <f t="shared" si="99"/>
        <v>0.27499999999999997</v>
      </c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</row>
    <row r="168" spans="1:32" s="29" customFormat="1" ht="14" hidden="1" customHeight="1" outlineLevel="1" x14ac:dyDescent="0.15">
      <c r="A168" s="22"/>
      <c r="B168" s="39" t="str">
        <f>INDEX(product_table[], MATCH($D$122, product_table[Product],0), MATCH("ID", product_table[#Headers],0))</f>
        <v>P2</v>
      </c>
      <c r="C168" s="39" t="str">
        <f>INDEX(segment_table[],MATCH(E159,segment_table[Segment],0),MATCH("Seg_ID", segment_table[#Headers],0))</f>
        <v>S3</v>
      </c>
      <c r="D168" s="22"/>
      <c r="E168" s="46" t="s">
        <v>38</v>
      </c>
      <c r="F168" s="22"/>
      <c r="G168" s="44">
        <v>0.1</v>
      </c>
      <c r="H168" s="44">
        <f>+G168+0.025</f>
        <v>0.125</v>
      </c>
      <c r="I168" s="44">
        <f t="shared" ref="I168:L168" si="100">+H168+0.025</f>
        <v>0.15</v>
      </c>
      <c r="J168" s="44">
        <f t="shared" si="100"/>
        <v>0.17499999999999999</v>
      </c>
      <c r="K168" s="44">
        <f t="shared" si="100"/>
        <v>0.19999999999999998</v>
      </c>
      <c r="L168" s="44">
        <f t="shared" si="100"/>
        <v>0.22499999999999998</v>
      </c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</row>
    <row r="169" spans="1:32" s="29" customFormat="1" ht="14" hidden="1" customHeight="1" outlineLevel="1" x14ac:dyDescent="0.15">
      <c r="A169" s="22"/>
      <c r="B169" s="39" t="str">
        <f>INDEX(product_table[], MATCH($D$122, product_table[Product],0), MATCH("ID", product_table[#Headers],0))</f>
        <v>P2</v>
      </c>
      <c r="C169" s="39" t="str">
        <f>INDEX(segment_table[],MATCH(E159,segment_table[Segment],0),MATCH("Seg_ID", segment_table[#Headers],0))</f>
        <v>S3</v>
      </c>
      <c r="D169" s="22"/>
      <c r="E169" s="46" t="s">
        <v>55</v>
      </c>
      <c r="F169" s="22"/>
      <c r="G169" s="44">
        <v>0.05</v>
      </c>
      <c r="H169" s="44">
        <f t="shared" ref="H169:L169" si="101">+G169+0.025</f>
        <v>7.5000000000000011E-2</v>
      </c>
      <c r="I169" s="44">
        <f t="shared" si="101"/>
        <v>0.1</v>
      </c>
      <c r="J169" s="44">
        <f t="shared" si="101"/>
        <v>0.125</v>
      </c>
      <c r="K169" s="44">
        <f t="shared" si="101"/>
        <v>0.15</v>
      </c>
      <c r="L169" s="44">
        <f t="shared" si="101"/>
        <v>0.17499999999999999</v>
      </c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</row>
    <row r="170" spans="1:32" s="29" customFormat="1" ht="14" hidden="1" customHeight="1" outlineLevel="1" x14ac:dyDescent="0.15">
      <c r="A170" s="22"/>
      <c r="B170" s="39"/>
      <c r="C170" s="39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</row>
    <row r="171" spans="1:32" s="29" customFormat="1" ht="14" hidden="1" customHeight="1" outlineLevel="1" x14ac:dyDescent="0.15">
      <c r="A171" s="22"/>
      <c r="B171" s="39" t="str">
        <f>INDEX(product_table[], MATCH($D$122, product_table[Product],0), MATCH("ID", product_table[#Headers],0))</f>
        <v>P2</v>
      </c>
      <c r="C171" s="39" t="str">
        <f>INDEX(segment_table[],MATCH(E159,segment_table[Segment],0),MATCH("Seg_ID", segment_table[#Headers],0))</f>
        <v>S3</v>
      </c>
      <c r="D171" s="22"/>
      <c r="E171" s="41" t="s">
        <v>12</v>
      </c>
      <c r="F171" s="15" t="s">
        <v>8</v>
      </c>
      <c r="G171" s="16">
        <f>+G160*G$124</f>
        <v>7000</v>
      </c>
      <c r="H171" s="16">
        <f t="shared" ref="H171:L171" si="102">+H160*H$124</f>
        <v>7070</v>
      </c>
      <c r="I171" s="16">
        <f t="shared" si="102"/>
        <v>7211.4000000000005</v>
      </c>
      <c r="J171" s="16">
        <f t="shared" si="102"/>
        <v>7427.7420000000002</v>
      </c>
      <c r="K171" s="16">
        <f t="shared" si="102"/>
        <v>7799.1291000000001</v>
      </c>
      <c r="L171" s="16">
        <f t="shared" si="102"/>
        <v>8189.0855549999997</v>
      </c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</row>
    <row r="172" spans="1:32" s="29" customFormat="1" ht="14" hidden="1" customHeight="1" outlineLevel="1" x14ac:dyDescent="0.15">
      <c r="A172" s="22"/>
      <c r="B172" s="39" t="str">
        <f>INDEX(product_table[], MATCH($D$122, product_table[Product],0), MATCH("ID", product_table[#Headers],0))</f>
        <v>P2</v>
      </c>
      <c r="C172" s="39" t="str">
        <f>INDEX(segment_table[],MATCH(E159,segment_table[Segment],0),MATCH("Seg_ID", segment_table[#Headers],0))</f>
        <v>S3</v>
      </c>
      <c r="D172" s="22"/>
      <c r="E172" s="41" t="s">
        <v>13</v>
      </c>
      <c r="F172" s="15" t="s">
        <v>8</v>
      </c>
      <c r="G172" s="16">
        <f>+G162*G$124</f>
        <v>3150</v>
      </c>
      <c r="H172" s="16">
        <f t="shared" ref="H172:L172" si="103">+H162*H$124</f>
        <v>3535</v>
      </c>
      <c r="I172" s="16">
        <f t="shared" si="103"/>
        <v>3966.2700000000009</v>
      </c>
      <c r="J172" s="16">
        <f t="shared" si="103"/>
        <v>4456.6451999999999</v>
      </c>
      <c r="K172" s="16">
        <f t="shared" si="103"/>
        <v>5069.4339149999996</v>
      </c>
      <c r="L172" s="16">
        <f t="shared" si="103"/>
        <v>5732.3598884999992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</row>
    <row r="173" spans="1:32" s="29" customFormat="1" ht="14" hidden="1" customHeight="1" outlineLevel="1" x14ac:dyDescent="0.15">
      <c r="A173" s="22"/>
      <c r="B173" s="39" t="str">
        <f>INDEX(product_table[], MATCH($D$122, product_table[Product],0), MATCH("ID", product_table[#Headers],0))</f>
        <v>P2</v>
      </c>
      <c r="C173" s="39" t="str">
        <f>INDEX(segment_table[],MATCH(E159,segment_table[Segment],0),MATCH("Seg_ID", segment_table[#Headers],0))</f>
        <v>S3</v>
      </c>
      <c r="D173" s="22"/>
      <c r="E173" s="41" t="s">
        <v>14</v>
      </c>
      <c r="F173" s="15" t="s">
        <v>8</v>
      </c>
      <c r="G173" s="16">
        <f>+G165*G$124</f>
        <v>315</v>
      </c>
      <c r="H173" s="16">
        <f t="shared" ref="H173:L173" si="104">+H165*H$124</f>
        <v>441.875</v>
      </c>
      <c r="I173" s="16">
        <f t="shared" si="104"/>
        <v>594.94050000000016</v>
      </c>
      <c r="J173" s="16">
        <f t="shared" si="104"/>
        <v>779.91291000000001</v>
      </c>
      <c r="K173" s="16">
        <f t="shared" si="104"/>
        <v>1013.8867829999998</v>
      </c>
      <c r="L173" s="16">
        <f t="shared" si="104"/>
        <v>1289.7809749124997</v>
      </c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</row>
    <row r="174" spans="1:32" s="29" customFormat="1" ht="14" hidden="1" customHeight="1" outlineLevel="1" x14ac:dyDescent="0.15">
      <c r="A174" s="22"/>
      <c r="B174" s="39"/>
      <c r="C174" s="39"/>
      <c r="D174" s="22"/>
      <c r="E174" s="41"/>
      <c r="F174" s="15"/>
      <c r="G174" s="16"/>
      <c r="H174" s="16"/>
      <c r="I174" s="16"/>
      <c r="J174" s="16"/>
      <c r="K174" s="16"/>
      <c r="L174" s="16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</row>
    <row r="175" spans="1:32" s="29" customFormat="1" ht="14" hidden="1" customHeight="1" outlineLevel="1" x14ac:dyDescent="0.15">
      <c r="A175" s="22"/>
      <c r="B175" s="39"/>
      <c r="C175" s="39"/>
      <c r="D175" s="22"/>
      <c r="E175" s="42" t="str">
        <f>+'Product &amp; Segment Detail'!$E$16</f>
        <v>Segment 4</v>
      </c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</row>
    <row r="176" spans="1:32" s="29" customFormat="1" ht="14" hidden="1" customHeight="1" outlineLevel="1" x14ac:dyDescent="0.15">
      <c r="A176" s="22"/>
      <c r="B176" s="39" t="str">
        <f>INDEX(product_table[], MATCH($D$122, product_table[Product],0), MATCH("ID", product_table[#Headers],0))</f>
        <v>P2</v>
      </c>
      <c r="C176" s="39" t="str">
        <f>INDEX(segment_table[],MATCH(E175,segment_table[Segment],0),MATCH("Seg_ID", segment_table[#Headers],0))</f>
        <v>S4</v>
      </c>
      <c r="D176" s="22"/>
      <c r="E176" s="41" t="s">
        <v>9</v>
      </c>
      <c r="F176" s="15" t="s">
        <v>3</v>
      </c>
      <c r="G176" s="43">
        <f t="shared" ref="G176:L176" si="105">SUMIFS(G$21:G$50,tam_range_prod_id,$B176, tam_range_seg_ids, $C176)</f>
        <v>250</v>
      </c>
      <c r="H176" s="43">
        <f t="shared" si="105"/>
        <v>300</v>
      </c>
      <c r="I176" s="43">
        <f t="shared" si="105"/>
        <v>390</v>
      </c>
      <c r="J176" s="43">
        <f t="shared" si="105"/>
        <v>546</v>
      </c>
      <c r="K176" s="43">
        <f t="shared" si="105"/>
        <v>819</v>
      </c>
      <c r="L176" s="43">
        <f t="shared" si="105"/>
        <v>1269.45</v>
      </c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</row>
    <row r="177" spans="1:32" s="29" customFormat="1" ht="14" hidden="1" customHeight="1" outlineLevel="1" x14ac:dyDescent="0.15">
      <c r="A177" s="22"/>
      <c r="B177" s="39"/>
      <c r="C177" s="39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</row>
    <row r="178" spans="1:32" s="29" customFormat="1" ht="14" hidden="1" customHeight="1" outlineLevel="1" x14ac:dyDescent="0.15">
      <c r="A178" s="22"/>
      <c r="B178" s="39" t="str">
        <f>INDEX(product_table[], MATCH($D$122, product_table[Product],0), MATCH("ID", product_table[#Headers],0))</f>
        <v>P2</v>
      </c>
      <c r="C178" s="39" t="str">
        <f>INDEX(segment_table[],MATCH(E175,segment_table[Segment],0),MATCH("Seg_ID", segment_table[#Headers],0))</f>
        <v>S4</v>
      </c>
      <c r="D178" s="22"/>
      <c r="E178" s="41" t="s">
        <v>10</v>
      </c>
      <c r="F178" s="15" t="s">
        <v>3</v>
      </c>
      <c r="G178" s="16">
        <f t="shared" ref="G178:L178" si="106">+G176*G179</f>
        <v>112.5</v>
      </c>
      <c r="H178" s="16">
        <f t="shared" si="106"/>
        <v>150</v>
      </c>
      <c r="I178" s="16">
        <f t="shared" si="106"/>
        <v>214.50000000000003</v>
      </c>
      <c r="J178" s="16">
        <f t="shared" si="106"/>
        <v>327.59999999999997</v>
      </c>
      <c r="K178" s="16">
        <f t="shared" si="106"/>
        <v>532.35</v>
      </c>
      <c r="L178" s="16">
        <f t="shared" si="106"/>
        <v>888.61500000000001</v>
      </c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</row>
    <row r="179" spans="1:32" s="29" customFormat="1" ht="14" hidden="1" customHeight="1" outlineLevel="1" x14ac:dyDescent="0.15">
      <c r="A179" s="22"/>
      <c r="B179" s="39" t="str">
        <f>INDEX(product_table[], MATCH($D$122, product_table[Product],0), MATCH("ID", product_table[#Headers],0))</f>
        <v>P2</v>
      </c>
      <c r="C179" s="39" t="str">
        <f>INDEX(segment_table[],MATCH(E175,segment_table[Segment],0),MATCH("Seg_ID", segment_table[#Headers],0))</f>
        <v>S4</v>
      </c>
      <c r="D179" s="22"/>
      <c r="E179" s="41" t="s">
        <v>53</v>
      </c>
      <c r="F179" s="15" t="s">
        <v>6</v>
      </c>
      <c r="G179" s="44">
        <v>0.45</v>
      </c>
      <c r="H179" s="44">
        <v>0.5</v>
      </c>
      <c r="I179" s="44">
        <v>0.55000000000000004</v>
      </c>
      <c r="J179" s="44">
        <v>0.6</v>
      </c>
      <c r="K179" s="44">
        <v>0.65</v>
      </c>
      <c r="L179" s="44">
        <v>0.7</v>
      </c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</row>
    <row r="180" spans="1:32" s="29" customFormat="1" ht="14" hidden="1" customHeight="1" outlineLevel="1" x14ac:dyDescent="0.15">
      <c r="A180" s="22"/>
      <c r="B180" s="39"/>
      <c r="C180" s="39"/>
      <c r="D180" s="22"/>
      <c r="E180" s="41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</row>
    <row r="181" spans="1:32" s="29" customFormat="1" ht="14" hidden="1" customHeight="1" outlineLevel="1" x14ac:dyDescent="0.15">
      <c r="A181" s="22"/>
      <c r="B181" s="39" t="str">
        <f>INDEX(product_table[], MATCH($D$122, product_table[Product],0), MATCH("ID", product_table[#Headers],0))</f>
        <v>P2</v>
      </c>
      <c r="C181" s="39" t="str">
        <f>INDEX(segment_table[],MATCH(E175,segment_table[Segment],0),MATCH("Seg_ID", segment_table[#Headers],0))</f>
        <v>S4</v>
      </c>
      <c r="D181" s="22"/>
      <c r="E181" s="41" t="s">
        <v>11</v>
      </c>
      <c r="F181" s="15" t="s">
        <v>3</v>
      </c>
      <c r="G181" s="16">
        <f t="shared" ref="G181:L181" si="107">+G178*G182</f>
        <v>11.25</v>
      </c>
      <c r="H181" s="16">
        <f t="shared" si="107"/>
        <v>18.75</v>
      </c>
      <c r="I181" s="16">
        <f t="shared" si="107"/>
        <v>32.175000000000004</v>
      </c>
      <c r="J181" s="16">
        <f t="shared" si="107"/>
        <v>57.329999999999991</v>
      </c>
      <c r="K181" s="16">
        <f t="shared" si="107"/>
        <v>106.47</v>
      </c>
      <c r="L181" s="16">
        <f t="shared" si="107"/>
        <v>199.93837499999998</v>
      </c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</row>
    <row r="182" spans="1:32" s="29" customFormat="1" ht="14" hidden="1" customHeight="1" outlineLevel="1" x14ac:dyDescent="0.15">
      <c r="A182" s="22"/>
      <c r="B182" s="39" t="str">
        <f>INDEX(product_table[], MATCH($D$122, product_table[Product],0), MATCH("ID", product_table[#Headers],0))</f>
        <v>P2</v>
      </c>
      <c r="C182" s="39" t="str">
        <f>INDEX(segment_table[],MATCH(E175,segment_table[Segment],0),MATCH("Seg_ID", segment_table[#Headers],0))</f>
        <v>S4</v>
      </c>
      <c r="D182" s="22"/>
      <c r="E182" s="41" t="s">
        <v>94</v>
      </c>
      <c r="F182" s="15" t="s">
        <v>6</v>
      </c>
      <c r="G182" s="45">
        <f t="shared" ref="G182:L182" si="108">INDEX(G183:G185,MATCH(scenario,$E183:$E185,0))</f>
        <v>0.1</v>
      </c>
      <c r="H182" s="45">
        <f t="shared" si="108"/>
        <v>0.125</v>
      </c>
      <c r="I182" s="45">
        <f t="shared" si="108"/>
        <v>0.15</v>
      </c>
      <c r="J182" s="45">
        <f t="shared" si="108"/>
        <v>0.17499999999999999</v>
      </c>
      <c r="K182" s="45">
        <f t="shared" si="108"/>
        <v>0.19999999999999998</v>
      </c>
      <c r="L182" s="45">
        <f t="shared" si="108"/>
        <v>0.22499999999999998</v>
      </c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</row>
    <row r="183" spans="1:32" s="29" customFormat="1" ht="14" hidden="1" customHeight="1" outlineLevel="1" x14ac:dyDescent="0.15">
      <c r="A183" s="22"/>
      <c r="B183" s="39" t="str">
        <f>INDEX(product_table[], MATCH($D$122, product_table[Product],0), MATCH("ID", product_table[#Headers],0))</f>
        <v>P2</v>
      </c>
      <c r="C183" s="39" t="str">
        <f>INDEX(segment_table[],MATCH(E175,segment_table[Segment],0),MATCH("Seg_ID", segment_table[#Headers],0))</f>
        <v>S4</v>
      </c>
      <c r="D183" s="22"/>
      <c r="E183" s="46" t="s">
        <v>54</v>
      </c>
      <c r="F183" s="15"/>
      <c r="G183" s="44">
        <v>0.15</v>
      </c>
      <c r="H183" s="44">
        <f t="shared" ref="H183:L183" si="109">+G183+0.025</f>
        <v>0.17499999999999999</v>
      </c>
      <c r="I183" s="44">
        <f t="shared" si="109"/>
        <v>0.19999999999999998</v>
      </c>
      <c r="J183" s="44">
        <f t="shared" si="109"/>
        <v>0.22499999999999998</v>
      </c>
      <c r="K183" s="44">
        <f t="shared" si="109"/>
        <v>0.24999999999999997</v>
      </c>
      <c r="L183" s="44">
        <f t="shared" si="109"/>
        <v>0.27499999999999997</v>
      </c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</row>
    <row r="184" spans="1:32" s="29" customFormat="1" ht="14" hidden="1" customHeight="1" outlineLevel="1" x14ac:dyDescent="0.15">
      <c r="A184" s="22"/>
      <c r="B184" s="39" t="str">
        <f>INDEX(product_table[], MATCH($D$122, product_table[Product],0), MATCH("ID", product_table[#Headers],0))</f>
        <v>P2</v>
      </c>
      <c r="C184" s="39" t="str">
        <f>INDEX(segment_table[],MATCH(E175,segment_table[Segment],0),MATCH("Seg_ID", segment_table[#Headers],0))</f>
        <v>S4</v>
      </c>
      <c r="D184" s="22"/>
      <c r="E184" s="46" t="s">
        <v>38</v>
      </c>
      <c r="F184" s="22"/>
      <c r="G184" s="44">
        <v>0.1</v>
      </c>
      <c r="H184" s="44">
        <f>+G184+0.025</f>
        <v>0.125</v>
      </c>
      <c r="I184" s="44">
        <f t="shared" ref="I184:L184" si="110">+H184+0.025</f>
        <v>0.15</v>
      </c>
      <c r="J184" s="44">
        <f t="shared" si="110"/>
        <v>0.17499999999999999</v>
      </c>
      <c r="K184" s="44">
        <f t="shared" si="110"/>
        <v>0.19999999999999998</v>
      </c>
      <c r="L184" s="44">
        <f t="shared" si="110"/>
        <v>0.22499999999999998</v>
      </c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</row>
    <row r="185" spans="1:32" s="29" customFormat="1" ht="14" hidden="1" customHeight="1" outlineLevel="1" x14ac:dyDescent="0.15">
      <c r="A185" s="22"/>
      <c r="B185" s="39" t="str">
        <f>INDEX(product_table[], MATCH($D$122, product_table[Product],0), MATCH("ID", product_table[#Headers],0))</f>
        <v>P2</v>
      </c>
      <c r="C185" s="39" t="str">
        <f>INDEX(segment_table[],MATCH(E175,segment_table[Segment],0),MATCH("Seg_ID", segment_table[#Headers],0))</f>
        <v>S4</v>
      </c>
      <c r="D185" s="22"/>
      <c r="E185" s="46" t="s">
        <v>55</v>
      </c>
      <c r="F185" s="22"/>
      <c r="G185" s="44">
        <v>0.05</v>
      </c>
      <c r="H185" s="44">
        <f t="shared" ref="H185:L185" si="111">+G185+0.025</f>
        <v>7.5000000000000011E-2</v>
      </c>
      <c r="I185" s="44">
        <f t="shared" si="111"/>
        <v>0.1</v>
      </c>
      <c r="J185" s="44">
        <f t="shared" si="111"/>
        <v>0.125</v>
      </c>
      <c r="K185" s="44">
        <f t="shared" si="111"/>
        <v>0.15</v>
      </c>
      <c r="L185" s="44">
        <f t="shared" si="111"/>
        <v>0.17499999999999999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</row>
    <row r="186" spans="1:32" s="29" customFormat="1" ht="14" hidden="1" customHeight="1" outlineLevel="1" x14ac:dyDescent="0.15">
      <c r="A186" s="22"/>
      <c r="B186" s="39"/>
      <c r="C186" s="39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</row>
    <row r="187" spans="1:32" s="29" customFormat="1" ht="14" hidden="1" customHeight="1" outlineLevel="1" x14ac:dyDescent="0.15">
      <c r="A187" s="22"/>
      <c r="B187" s="39" t="str">
        <f>INDEX(product_table[], MATCH($D$122, product_table[Product],0), MATCH("ID", product_table[#Headers],0))</f>
        <v>P2</v>
      </c>
      <c r="C187" s="39" t="str">
        <f>INDEX(segment_table[],MATCH(E175,segment_table[Segment],0),MATCH("Seg_ID", segment_table[#Headers],0))</f>
        <v>S4</v>
      </c>
      <c r="D187" s="22"/>
      <c r="E187" s="41" t="s">
        <v>12</v>
      </c>
      <c r="F187" s="15" t="s">
        <v>8</v>
      </c>
      <c r="G187" s="16">
        <f>+G176*G$124</f>
        <v>437.5</v>
      </c>
      <c r="H187" s="16">
        <f t="shared" ref="H187:L187" si="112">+H176*H$124</f>
        <v>525</v>
      </c>
      <c r="I187" s="16">
        <f t="shared" si="112"/>
        <v>682.5</v>
      </c>
      <c r="J187" s="16">
        <f t="shared" si="112"/>
        <v>955.5</v>
      </c>
      <c r="K187" s="16">
        <f t="shared" si="112"/>
        <v>1433.25</v>
      </c>
      <c r="L187" s="16">
        <f t="shared" si="112"/>
        <v>2221.5374999999999</v>
      </c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</row>
    <row r="188" spans="1:32" s="29" customFormat="1" ht="14" hidden="1" customHeight="1" outlineLevel="1" x14ac:dyDescent="0.15">
      <c r="A188" s="22"/>
      <c r="B188" s="39" t="str">
        <f>INDEX(product_table[], MATCH($D$122, product_table[Product],0), MATCH("ID", product_table[#Headers],0))</f>
        <v>P2</v>
      </c>
      <c r="C188" s="39" t="str">
        <f>INDEX(segment_table[],MATCH(E175,segment_table[Segment],0),MATCH("Seg_ID", segment_table[#Headers],0))</f>
        <v>S4</v>
      </c>
      <c r="D188" s="22"/>
      <c r="E188" s="41" t="s">
        <v>13</v>
      </c>
      <c r="F188" s="15" t="s">
        <v>8</v>
      </c>
      <c r="G188" s="16">
        <f>+G178*G$124</f>
        <v>196.875</v>
      </c>
      <c r="H188" s="16">
        <f t="shared" ref="H188:L188" si="113">+H178*H$124</f>
        <v>262.5</v>
      </c>
      <c r="I188" s="16">
        <f t="shared" si="113"/>
        <v>375.37500000000006</v>
      </c>
      <c r="J188" s="16">
        <f t="shared" si="113"/>
        <v>573.29999999999995</v>
      </c>
      <c r="K188" s="16">
        <f t="shared" si="113"/>
        <v>931.61250000000007</v>
      </c>
      <c r="L188" s="16">
        <f t="shared" si="113"/>
        <v>1555.0762500000001</v>
      </c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</row>
    <row r="189" spans="1:32" s="29" customFormat="1" ht="14" hidden="1" customHeight="1" outlineLevel="1" x14ac:dyDescent="0.15">
      <c r="A189" s="22"/>
      <c r="B189" s="39" t="str">
        <f>INDEX(product_table[], MATCH($D$122, product_table[Product],0), MATCH("ID", product_table[#Headers],0))</f>
        <v>P2</v>
      </c>
      <c r="C189" s="39" t="str">
        <f>INDEX(segment_table[],MATCH(E175,segment_table[Segment],0),MATCH("Seg_ID", segment_table[#Headers],0))</f>
        <v>S4</v>
      </c>
      <c r="D189" s="22"/>
      <c r="E189" s="41" t="s">
        <v>14</v>
      </c>
      <c r="F189" s="15" t="s">
        <v>8</v>
      </c>
      <c r="G189" s="16">
        <f>+G181*G$124</f>
        <v>19.6875</v>
      </c>
      <c r="H189" s="16">
        <f t="shared" ref="H189:L189" si="114">+H181*H$124</f>
        <v>32.8125</v>
      </c>
      <c r="I189" s="16">
        <f t="shared" si="114"/>
        <v>56.306250000000006</v>
      </c>
      <c r="J189" s="16">
        <f t="shared" si="114"/>
        <v>100.32749999999999</v>
      </c>
      <c r="K189" s="16">
        <f t="shared" si="114"/>
        <v>186.32249999999999</v>
      </c>
      <c r="L189" s="16">
        <f t="shared" si="114"/>
        <v>349.89215624999997</v>
      </c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</row>
    <row r="190" spans="1:32" s="29" customFormat="1" ht="14" customHeight="1" collapsed="1" x14ac:dyDescent="0.15">
      <c r="A190" s="22"/>
      <c r="B190" s="39"/>
      <c r="C190" s="39"/>
      <c r="D190" s="22"/>
      <c r="E190" s="41"/>
      <c r="F190" s="15"/>
      <c r="G190" s="16"/>
      <c r="H190" s="16"/>
      <c r="I190" s="16"/>
      <c r="J190" s="16"/>
      <c r="K190" s="16"/>
      <c r="L190" s="16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</row>
    <row r="191" spans="1:32" s="29" customFormat="1" ht="14" customHeight="1" x14ac:dyDescent="0.15">
      <c r="A191" s="8"/>
      <c r="B191" s="8"/>
      <c r="C191" s="8"/>
      <c r="D191" s="2"/>
      <c r="E191" s="2"/>
      <c r="F191" s="2"/>
      <c r="G191" s="61" t="s">
        <v>2</v>
      </c>
      <c r="H191" s="62"/>
      <c r="I191" s="62"/>
      <c r="J191" s="62"/>
      <c r="K191" s="62"/>
      <c r="L191" s="63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1:32" s="29" customFormat="1" ht="14" customHeight="1" x14ac:dyDescent="0.15">
      <c r="A192" s="8"/>
      <c r="B192" s="8"/>
      <c r="C192" s="8"/>
      <c r="D192" s="3" t="s">
        <v>15</v>
      </c>
      <c r="E192" s="3"/>
      <c r="F192" s="4" t="s">
        <v>1</v>
      </c>
      <c r="G192" s="5">
        <f>EOMONTH(initial_year,12)</f>
        <v>45291</v>
      </c>
      <c r="H192" s="6">
        <f t="shared" ref="H192" si="115">EOMONTH(G192,12)</f>
        <v>45657</v>
      </c>
      <c r="I192" s="6">
        <f t="shared" ref="I192" si="116">EOMONTH(H192,12)</f>
        <v>46022</v>
      </c>
      <c r="J192" s="6">
        <f t="shared" ref="J192" si="117">EOMONTH(I192,12)</f>
        <v>46387</v>
      </c>
      <c r="K192" s="6">
        <f t="shared" ref="K192" si="118">EOMONTH(J192,12)</f>
        <v>46752</v>
      </c>
      <c r="L192" s="6">
        <f t="shared" ref="L192" si="119">EOMONTH(K192,12)</f>
        <v>47118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spans="1:32" s="29" customFormat="1" ht="14" customHeight="1" x14ac:dyDescent="0.15">
      <c r="A193" s="8"/>
      <c r="B193" s="8"/>
      <c r="C193" s="8"/>
      <c r="D193" s="7" t="s">
        <v>16</v>
      </c>
      <c r="E193" s="7"/>
      <c r="F193" s="7"/>
      <c r="G193" s="7"/>
      <c r="H193" s="7"/>
      <c r="I193" s="7"/>
      <c r="J193" s="7"/>
      <c r="K193" s="7"/>
      <c r="L193" s="7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1:32" s="29" customFormat="1" ht="14" customHeight="1" outlineLevel="1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spans="1:32" s="29" customFormat="1" ht="14" customHeight="1" outlineLevel="1" x14ac:dyDescent="0.15">
      <c r="A195" s="8"/>
      <c r="B195" s="8"/>
      <c r="C195" s="8"/>
      <c r="D195" s="8"/>
      <c r="E195" s="42" t="str">
        <f>'Product &amp; Segment Detail'!$E$9</f>
        <v>Product_1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spans="1:32" s="29" customFormat="1" ht="14" customHeight="1" outlineLevel="1" x14ac:dyDescent="0.15">
      <c r="A196" s="8"/>
      <c r="B196" s="39" t="str">
        <f>INDEX(product_table[], MATCH(E195, product_table[Product],0), MATCH("ID", product_table[#Headers],0))</f>
        <v>P1</v>
      </c>
      <c r="C196" s="39" t="s">
        <v>57</v>
      </c>
      <c r="D196" s="8"/>
      <c r="E196" s="27" t="s">
        <v>9</v>
      </c>
      <c r="F196" s="20" t="s">
        <v>3</v>
      </c>
      <c r="G196" s="16">
        <f t="shared" ref="G196:L198" si="120">SUMIFS(G$53:G$190, $E$53:$E$190, $E196, marketrev_range_prod_ids, $B196)</f>
        <v>23000</v>
      </c>
      <c r="H196" s="16">
        <f t="shared" si="120"/>
        <v>23780</v>
      </c>
      <c r="I196" s="16">
        <f t="shared" si="120"/>
        <v>25050.2</v>
      </c>
      <c r="J196" s="16">
        <f t="shared" si="120"/>
        <v>27100.790999999997</v>
      </c>
      <c r="K196" s="16">
        <f t="shared" si="120"/>
        <v>28482.792300000001</v>
      </c>
      <c r="L196" s="16">
        <f t="shared" si="120"/>
        <v>29482.882141499998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1:32" s="29" customFormat="1" ht="14" customHeight="1" outlineLevel="1" x14ac:dyDescent="0.15">
      <c r="A197" s="8"/>
      <c r="B197" s="39" t="str">
        <f>INDEX(product_table[], MATCH(E195, product_table[Product],0), MATCH("ID", product_table[#Headers],0))</f>
        <v>P1</v>
      </c>
      <c r="C197" s="39" t="s">
        <v>57</v>
      </c>
      <c r="D197" s="8"/>
      <c r="E197" s="27" t="s">
        <v>10</v>
      </c>
      <c r="F197" s="20" t="s">
        <v>3</v>
      </c>
      <c r="G197" s="16">
        <f t="shared" si="120"/>
        <v>10350</v>
      </c>
      <c r="H197" s="16">
        <f t="shared" si="120"/>
        <v>11890</v>
      </c>
      <c r="I197" s="16">
        <f t="shared" si="120"/>
        <v>13777.61</v>
      </c>
      <c r="J197" s="16">
        <f t="shared" si="120"/>
        <v>16260.474600000001</v>
      </c>
      <c r="K197" s="16">
        <f t="shared" si="120"/>
        <v>18513.814995000004</v>
      </c>
      <c r="L197" s="16">
        <f t="shared" si="120"/>
        <v>20638.017499049995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1:32" s="29" customFormat="1" ht="14" customHeight="1" outlineLevel="1" x14ac:dyDescent="0.15">
      <c r="A198" s="8"/>
      <c r="B198" s="39" t="str">
        <f>INDEX(product_table[], MATCH(E195, product_table[Product],0), MATCH("ID", product_table[#Headers],0))</f>
        <v>P1</v>
      </c>
      <c r="C198" s="39" t="s">
        <v>57</v>
      </c>
      <c r="D198" s="8"/>
      <c r="E198" s="27" t="s">
        <v>11</v>
      </c>
      <c r="F198" s="20" t="s">
        <v>3</v>
      </c>
      <c r="G198" s="16">
        <f t="shared" si="120"/>
        <v>1035</v>
      </c>
      <c r="H198" s="16">
        <f t="shared" si="120"/>
        <v>1486.25</v>
      </c>
      <c r="I198" s="16">
        <f t="shared" si="120"/>
        <v>2066.6415000000002</v>
      </c>
      <c r="J198" s="16">
        <f t="shared" si="120"/>
        <v>2845.5830549999996</v>
      </c>
      <c r="K198" s="16">
        <f t="shared" si="120"/>
        <v>3702.762999</v>
      </c>
      <c r="L198" s="16">
        <f t="shared" si="120"/>
        <v>4643.5539372862495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spans="1:32" s="29" customFormat="1" ht="14" customHeight="1" outlineLevel="1" x14ac:dyDescent="0.15">
      <c r="A199" s="8"/>
      <c r="B199" s="39"/>
      <c r="C199" s="8"/>
      <c r="D199" s="8"/>
      <c r="E199" s="27"/>
      <c r="F199" s="20"/>
      <c r="G199" s="16"/>
      <c r="H199" s="16"/>
      <c r="I199" s="16"/>
      <c r="J199" s="16"/>
      <c r="K199" s="16"/>
      <c r="L199" s="16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1:32" s="29" customFormat="1" ht="14" customHeight="1" outlineLevel="1" x14ac:dyDescent="0.15">
      <c r="A200" s="8"/>
      <c r="B200" s="39" t="str">
        <f>INDEX(product_table[], MATCH(E195, product_table[Product],0), MATCH("ID", product_table[#Headers],0))</f>
        <v>P1</v>
      </c>
      <c r="C200" s="39" t="s">
        <v>57</v>
      </c>
      <c r="D200" s="8"/>
      <c r="E200" s="41" t="s">
        <v>12</v>
      </c>
      <c r="F200" s="15" t="s">
        <v>8</v>
      </c>
      <c r="G200" s="16">
        <f t="shared" ref="G200:L202" si="121">SUMIFS(G$53:G$190, $E$53:$E$190, $E200, marketrev_range_prod_ids, $B200)</f>
        <v>57500</v>
      </c>
      <c r="H200" s="16">
        <f t="shared" si="121"/>
        <v>59450</v>
      </c>
      <c r="I200" s="16">
        <f t="shared" si="121"/>
        <v>62625.5</v>
      </c>
      <c r="J200" s="16">
        <f t="shared" si="121"/>
        <v>67751.977500000008</v>
      </c>
      <c r="K200" s="16">
        <f t="shared" si="121"/>
        <v>71206.980750000002</v>
      </c>
      <c r="L200" s="16">
        <f t="shared" si="121"/>
        <v>73707.205353750003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spans="1:32" s="29" customFormat="1" ht="14" customHeight="1" outlineLevel="1" x14ac:dyDescent="0.15">
      <c r="A201" s="8"/>
      <c r="B201" s="39" t="str">
        <f>INDEX(product_table[], MATCH(E195, product_table[Product],0), MATCH("ID", product_table[#Headers],0))</f>
        <v>P1</v>
      </c>
      <c r="C201" s="39" t="s">
        <v>57</v>
      </c>
      <c r="D201" s="8"/>
      <c r="E201" s="41" t="s">
        <v>13</v>
      </c>
      <c r="F201" s="15" t="s">
        <v>8</v>
      </c>
      <c r="G201" s="16">
        <f t="shared" si="121"/>
        <v>25875</v>
      </c>
      <c r="H201" s="16">
        <f t="shared" si="121"/>
        <v>29725</v>
      </c>
      <c r="I201" s="16">
        <f t="shared" si="121"/>
        <v>34444.025000000001</v>
      </c>
      <c r="J201" s="16">
        <f t="shared" si="121"/>
        <v>40651.186500000003</v>
      </c>
      <c r="K201" s="16">
        <f t="shared" si="121"/>
        <v>46284.537487500005</v>
      </c>
      <c r="L201" s="16">
        <f t="shared" si="121"/>
        <v>51595.043747625001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spans="1:32" s="29" customFormat="1" ht="14" customHeight="1" outlineLevel="1" x14ac:dyDescent="0.15">
      <c r="A202" s="8"/>
      <c r="B202" s="39" t="str">
        <f>INDEX(product_table[], MATCH(E195, product_table[Product],0), MATCH("ID", product_table[#Headers],0))</f>
        <v>P1</v>
      </c>
      <c r="C202" s="39" t="s">
        <v>57</v>
      </c>
      <c r="D202" s="8"/>
      <c r="E202" s="41" t="s">
        <v>14</v>
      </c>
      <c r="F202" s="15" t="s">
        <v>8</v>
      </c>
      <c r="G202" s="16">
        <f t="shared" si="121"/>
        <v>2587.5</v>
      </c>
      <c r="H202" s="16">
        <f t="shared" si="121"/>
        <v>3715.625</v>
      </c>
      <c r="I202" s="16">
        <f t="shared" si="121"/>
        <v>5166.6037500000002</v>
      </c>
      <c r="J202" s="16">
        <f t="shared" si="121"/>
        <v>7113.9576374999988</v>
      </c>
      <c r="K202" s="16">
        <f t="shared" si="121"/>
        <v>9256.9074975000003</v>
      </c>
      <c r="L202" s="16">
        <f t="shared" si="121"/>
        <v>11608.884843215625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1:32" s="29" customFormat="1" ht="14" customHeight="1" outlineLevel="1" x14ac:dyDescent="0.15">
      <c r="A203" s="8"/>
      <c r="B203" s="39"/>
      <c r="C203" s="8"/>
      <c r="D203" s="8"/>
      <c r="E203" s="27"/>
      <c r="F203" s="20"/>
      <c r="G203" s="16"/>
      <c r="H203" s="16"/>
      <c r="I203" s="16"/>
      <c r="J203" s="16"/>
      <c r="K203" s="16"/>
      <c r="L203" s="16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1:32" s="29" customFormat="1" ht="14" customHeight="1" outlineLevel="1" x14ac:dyDescent="0.15">
      <c r="A204" s="8"/>
      <c r="B204" s="8"/>
      <c r="C204" s="8"/>
      <c r="D204" s="8"/>
      <c r="E204" s="42" t="str">
        <f>'Product &amp; Segment Detail'!$E$10</f>
        <v>Product_2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spans="1:32" s="29" customFormat="1" ht="14" customHeight="1" outlineLevel="1" x14ac:dyDescent="0.15">
      <c r="A205" s="8"/>
      <c r="B205" s="39" t="str">
        <f>INDEX(product_table[], MATCH(E204, product_table[Product],0), MATCH("ID", product_table[#Headers],0))</f>
        <v>P2</v>
      </c>
      <c r="C205" s="39" t="s">
        <v>57</v>
      </c>
      <c r="D205" s="8"/>
      <c r="E205" s="27" t="s">
        <v>9</v>
      </c>
      <c r="F205" s="20" t="s">
        <v>3</v>
      </c>
      <c r="G205" s="16">
        <f t="shared" ref="G205:L207" si="122">SUMIFS(G$53:G$190, $E$53:$E$190, $E205, marketrev_range_prod_ids, $B205)</f>
        <v>24250</v>
      </c>
      <c r="H205" s="16">
        <f t="shared" si="122"/>
        <v>25100</v>
      </c>
      <c r="I205" s="16">
        <f t="shared" si="122"/>
        <v>25978.799999999999</v>
      </c>
      <c r="J205" s="16">
        <f t="shared" si="122"/>
        <v>26902.464</v>
      </c>
      <c r="K205" s="16">
        <f t="shared" si="122"/>
        <v>27916.075199999999</v>
      </c>
      <c r="L205" s="16">
        <f t="shared" si="122"/>
        <v>28948.862274000003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spans="1:32" s="29" customFormat="1" ht="14" customHeight="1" outlineLevel="1" x14ac:dyDescent="0.15">
      <c r="A206" s="8"/>
      <c r="B206" s="39" t="str">
        <f>INDEX(product_table[], MATCH(E204, product_table[Product],0), MATCH("ID", product_table[#Headers],0))</f>
        <v>P2</v>
      </c>
      <c r="C206" s="39" t="s">
        <v>57</v>
      </c>
      <c r="D206" s="8"/>
      <c r="E206" s="27" t="s">
        <v>10</v>
      </c>
      <c r="F206" s="20" t="s">
        <v>3</v>
      </c>
      <c r="G206" s="16">
        <f t="shared" si="122"/>
        <v>10912.5</v>
      </c>
      <c r="H206" s="16">
        <f t="shared" si="122"/>
        <v>12550</v>
      </c>
      <c r="I206" s="16">
        <f t="shared" si="122"/>
        <v>14288.340000000002</v>
      </c>
      <c r="J206" s="16">
        <f t="shared" si="122"/>
        <v>16141.4784</v>
      </c>
      <c r="K206" s="16">
        <f t="shared" si="122"/>
        <v>18145.44888</v>
      </c>
      <c r="L206" s="16">
        <f t="shared" si="122"/>
        <v>20264.2035918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pans="1:32" s="29" customFormat="1" ht="14" customHeight="1" outlineLevel="1" x14ac:dyDescent="0.15">
      <c r="A207" s="8"/>
      <c r="B207" s="39" t="str">
        <f>INDEX(product_table[], MATCH(E204, product_table[Product],0), MATCH("ID", product_table[#Headers],0))</f>
        <v>P2</v>
      </c>
      <c r="C207" s="39" t="s">
        <v>57</v>
      </c>
      <c r="D207" s="8"/>
      <c r="E207" s="27" t="s">
        <v>11</v>
      </c>
      <c r="F207" s="20" t="s">
        <v>3</v>
      </c>
      <c r="G207" s="16">
        <f t="shared" si="122"/>
        <v>1091.25</v>
      </c>
      <c r="H207" s="16">
        <f t="shared" si="122"/>
        <v>1568.75</v>
      </c>
      <c r="I207" s="16">
        <f t="shared" si="122"/>
        <v>2143.2510000000002</v>
      </c>
      <c r="J207" s="16">
        <f t="shared" si="122"/>
        <v>2824.7587199999998</v>
      </c>
      <c r="K207" s="16">
        <f t="shared" si="122"/>
        <v>3629.0897759999998</v>
      </c>
      <c r="L207" s="16">
        <f t="shared" si="122"/>
        <v>4559.4458081549992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spans="1:32" s="29" customFormat="1" ht="14" customHeight="1" outlineLevel="1" x14ac:dyDescent="0.15">
      <c r="A208" s="8"/>
      <c r="B208" s="39"/>
      <c r="C208" s="8"/>
      <c r="D208" s="8"/>
      <c r="E208" s="27"/>
      <c r="F208" s="20"/>
      <c r="G208" s="16"/>
      <c r="H208" s="16"/>
      <c r="I208" s="16"/>
      <c r="J208" s="16"/>
      <c r="K208" s="16"/>
      <c r="L208" s="16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spans="1:32" s="29" customFormat="1" ht="14" customHeight="1" outlineLevel="1" x14ac:dyDescent="0.15">
      <c r="A209" s="8"/>
      <c r="B209" s="39" t="str">
        <f>INDEX(product_table[], MATCH(E204, product_table[Product],0), MATCH("ID", product_table[#Headers],0))</f>
        <v>P2</v>
      </c>
      <c r="C209" s="39" t="s">
        <v>57</v>
      </c>
      <c r="D209" s="8"/>
      <c r="E209" s="41" t="s">
        <v>12</v>
      </c>
      <c r="F209" s="15" t="s">
        <v>8</v>
      </c>
      <c r="G209" s="16">
        <f t="shared" ref="G209:L211" si="123">SUMIFS(G$53:G$190, $E$53:$E$190, $E209, marketrev_range_prod_ids, $B209)</f>
        <v>42437.5</v>
      </c>
      <c r="H209" s="16">
        <f t="shared" si="123"/>
        <v>43925</v>
      </c>
      <c r="I209" s="16">
        <f t="shared" si="123"/>
        <v>45462.9</v>
      </c>
      <c r="J209" s="16">
        <f t="shared" si="123"/>
        <v>47079.312000000005</v>
      </c>
      <c r="K209" s="16">
        <f t="shared" si="123"/>
        <v>48853.131600000001</v>
      </c>
      <c r="L209" s="16">
        <f t="shared" si="123"/>
        <v>50660.508979499995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spans="1:32" s="29" customFormat="1" ht="14" customHeight="1" outlineLevel="1" x14ac:dyDescent="0.15">
      <c r="A210" s="8"/>
      <c r="B210" s="39" t="str">
        <f>INDEX(product_table[], MATCH(E204, product_table[Product],0), MATCH("ID", product_table[#Headers],0))</f>
        <v>P2</v>
      </c>
      <c r="C210" s="39" t="s">
        <v>57</v>
      </c>
      <c r="D210" s="8"/>
      <c r="E210" s="41" t="s">
        <v>13</v>
      </c>
      <c r="F210" s="15" t="s">
        <v>8</v>
      </c>
      <c r="G210" s="16">
        <f t="shared" si="123"/>
        <v>19096.875</v>
      </c>
      <c r="H210" s="16">
        <f t="shared" si="123"/>
        <v>21962.5</v>
      </c>
      <c r="I210" s="16">
        <f t="shared" si="123"/>
        <v>25004.595000000005</v>
      </c>
      <c r="J210" s="16">
        <f t="shared" si="123"/>
        <v>28247.587199999998</v>
      </c>
      <c r="K210" s="16">
        <f t="shared" si="123"/>
        <v>31754.535540000001</v>
      </c>
      <c r="L210" s="16">
        <f t="shared" si="123"/>
        <v>35462.356285649992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spans="1:32" s="29" customFormat="1" ht="14" customHeight="1" outlineLevel="1" x14ac:dyDescent="0.15">
      <c r="A211" s="8"/>
      <c r="B211" s="39" t="str">
        <f>INDEX(product_table[], MATCH(E204, product_table[Product],0), MATCH("ID", product_table[#Headers],0))</f>
        <v>P2</v>
      </c>
      <c r="C211" s="39" t="s">
        <v>57</v>
      </c>
      <c r="D211" s="8"/>
      <c r="E211" s="41" t="s">
        <v>14</v>
      </c>
      <c r="F211" s="15" t="s">
        <v>8</v>
      </c>
      <c r="G211" s="16">
        <f t="shared" si="123"/>
        <v>1909.6875</v>
      </c>
      <c r="H211" s="16">
        <f t="shared" si="123"/>
        <v>2745.3125</v>
      </c>
      <c r="I211" s="16">
        <f t="shared" si="123"/>
        <v>3750.6892500000008</v>
      </c>
      <c r="J211" s="16">
        <f t="shared" si="123"/>
        <v>4943.3277600000001</v>
      </c>
      <c r="K211" s="16">
        <f t="shared" si="123"/>
        <v>6350.9071079999994</v>
      </c>
      <c r="L211" s="16">
        <f t="shared" si="123"/>
        <v>7979.0301642712493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spans="1:32" s="29" customFormat="1" ht="14" customHeight="1" outlineLevel="1" x14ac:dyDescent="0.15">
      <c r="A212" s="8"/>
      <c r="B212" s="39"/>
      <c r="C212" s="39"/>
      <c r="D212" s="8"/>
      <c r="E212" s="41"/>
      <c r="F212" s="15"/>
      <c r="G212" s="16"/>
      <c r="H212" s="16"/>
      <c r="I212" s="16"/>
      <c r="J212" s="16"/>
      <c r="K212" s="16"/>
      <c r="L212" s="16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spans="1:32" s="29" customFormat="1" ht="14" customHeight="1" outlineLevel="1" x14ac:dyDescent="0.15">
      <c r="A213" s="8"/>
      <c r="B213" s="39"/>
      <c r="C213" s="8"/>
      <c r="D213" s="8"/>
      <c r="E213" s="32" t="s">
        <v>17</v>
      </c>
      <c r="F213" s="20"/>
      <c r="G213" s="16"/>
      <c r="H213" s="16"/>
      <c r="I213" s="16"/>
      <c r="J213" s="16"/>
      <c r="K213" s="16"/>
      <c r="L213" s="16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spans="1:32" s="29" customFormat="1" ht="14" customHeight="1" outlineLevel="1" x14ac:dyDescent="0.15">
      <c r="A214" s="8"/>
      <c r="B214" s="39"/>
      <c r="C214" s="8"/>
      <c r="D214" s="8"/>
      <c r="E214" s="27" t="s">
        <v>9</v>
      </c>
      <c r="F214" s="20" t="s">
        <v>3</v>
      </c>
      <c r="G214" s="16">
        <f>+G196+G205</f>
        <v>47250</v>
      </c>
      <c r="H214" s="16">
        <f t="shared" ref="H214:L214" si="124">+H196+H205</f>
        <v>48880</v>
      </c>
      <c r="I214" s="16">
        <f t="shared" si="124"/>
        <v>51029</v>
      </c>
      <c r="J214" s="16">
        <f t="shared" si="124"/>
        <v>54003.254999999997</v>
      </c>
      <c r="K214" s="16">
        <f t="shared" si="124"/>
        <v>56398.8675</v>
      </c>
      <c r="L214" s="16">
        <f t="shared" si="124"/>
        <v>58431.744415499998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spans="1:32" s="29" customFormat="1" ht="14" customHeight="1" outlineLevel="1" x14ac:dyDescent="0.15">
      <c r="A215" s="8"/>
      <c r="B215" s="39"/>
      <c r="C215" s="8"/>
      <c r="D215" s="8"/>
      <c r="E215" s="27" t="s">
        <v>10</v>
      </c>
      <c r="F215" s="20" t="s">
        <v>3</v>
      </c>
      <c r="G215" s="16">
        <f t="shared" ref="G215:L216" si="125">+G197+G206</f>
        <v>21262.5</v>
      </c>
      <c r="H215" s="16">
        <f t="shared" si="125"/>
        <v>24440</v>
      </c>
      <c r="I215" s="16">
        <f t="shared" si="125"/>
        <v>28065.950000000004</v>
      </c>
      <c r="J215" s="16">
        <f t="shared" si="125"/>
        <v>32401.953000000001</v>
      </c>
      <c r="K215" s="16">
        <f t="shared" si="125"/>
        <v>36659.263875000004</v>
      </c>
      <c r="L215" s="16">
        <f t="shared" si="125"/>
        <v>40902.221090849998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spans="1:32" s="29" customFormat="1" ht="14" customHeight="1" outlineLevel="1" x14ac:dyDescent="0.15">
      <c r="A216" s="8"/>
      <c r="B216" s="39"/>
      <c r="C216" s="8"/>
      <c r="D216" s="8"/>
      <c r="E216" s="27" t="s">
        <v>11</v>
      </c>
      <c r="F216" s="20" t="s">
        <v>3</v>
      </c>
      <c r="G216" s="16">
        <f t="shared" si="125"/>
        <v>2126.25</v>
      </c>
      <c r="H216" s="16">
        <f t="shared" si="125"/>
        <v>3055</v>
      </c>
      <c r="I216" s="16">
        <f t="shared" si="125"/>
        <v>4209.8924999999999</v>
      </c>
      <c r="J216" s="16">
        <f t="shared" si="125"/>
        <v>5670.341774999999</v>
      </c>
      <c r="K216" s="16">
        <f t="shared" si="125"/>
        <v>7331.8527749999994</v>
      </c>
      <c r="L216" s="16">
        <f t="shared" si="125"/>
        <v>9202.9997454412478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spans="1:32" s="29" customFormat="1" ht="14" customHeight="1" outlineLevel="1" x14ac:dyDescent="0.15">
      <c r="A217" s="8"/>
      <c r="B217" s="39"/>
      <c r="C217" s="8"/>
      <c r="D217" s="8"/>
      <c r="E217" s="27"/>
      <c r="F217" s="20"/>
      <c r="G217" s="16"/>
      <c r="H217" s="16"/>
      <c r="I217" s="16"/>
      <c r="J217" s="16"/>
      <c r="K217" s="16"/>
      <c r="L217" s="16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spans="1:32" s="29" customFormat="1" ht="14" customHeight="1" outlineLevel="1" x14ac:dyDescent="0.15">
      <c r="A218" s="8"/>
      <c r="B218" s="39"/>
      <c r="C218" s="8"/>
      <c r="D218" s="8"/>
      <c r="E218" s="41" t="s">
        <v>12</v>
      </c>
      <c r="F218" s="15" t="s">
        <v>8</v>
      </c>
      <c r="G218" s="16">
        <f>+G200+G209</f>
        <v>99937.5</v>
      </c>
      <c r="H218" s="16">
        <f t="shared" ref="H218:L218" si="126">+H200+H209</f>
        <v>103375</v>
      </c>
      <c r="I218" s="16">
        <f t="shared" si="126"/>
        <v>108088.4</v>
      </c>
      <c r="J218" s="16">
        <f t="shared" si="126"/>
        <v>114831.28950000001</v>
      </c>
      <c r="K218" s="16">
        <f t="shared" si="126"/>
        <v>120060.11235000001</v>
      </c>
      <c r="L218" s="16">
        <f t="shared" si="126"/>
        <v>124367.71433325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pans="1:32" s="29" customFormat="1" ht="14" customHeight="1" outlineLevel="1" x14ac:dyDescent="0.15">
      <c r="A219" s="8"/>
      <c r="B219" s="39"/>
      <c r="C219" s="8"/>
      <c r="D219" s="8"/>
      <c r="E219" s="41" t="s">
        <v>13</v>
      </c>
      <c r="F219" s="15" t="s">
        <v>8</v>
      </c>
      <c r="G219" s="16">
        <f t="shared" ref="G219:L220" si="127">+G201+G210</f>
        <v>44971.875</v>
      </c>
      <c r="H219" s="16">
        <f t="shared" si="127"/>
        <v>51687.5</v>
      </c>
      <c r="I219" s="16">
        <f t="shared" si="127"/>
        <v>59448.62000000001</v>
      </c>
      <c r="J219" s="16">
        <f t="shared" si="127"/>
        <v>68898.773700000005</v>
      </c>
      <c r="K219" s="16">
        <f t="shared" si="127"/>
        <v>78039.07302750001</v>
      </c>
      <c r="L219" s="16">
        <f t="shared" si="127"/>
        <v>87057.400033274986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spans="1:32" s="29" customFormat="1" ht="14" customHeight="1" outlineLevel="1" x14ac:dyDescent="0.15">
      <c r="A220" s="8"/>
      <c r="B220" s="39"/>
      <c r="C220" s="8"/>
      <c r="D220" s="8"/>
      <c r="E220" s="41" t="s">
        <v>14</v>
      </c>
      <c r="F220" s="15" t="s">
        <v>8</v>
      </c>
      <c r="G220" s="16">
        <f t="shared" si="127"/>
        <v>4497.1875</v>
      </c>
      <c r="H220" s="16">
        <f t="shared" si="127"/>
        <v>6460.9375</v>
      </c>
      <c r="I220" s="16">
        <f t="shared" si="127"/>
        <v>8917.2930000000015</v>
      </c>
      <c r="J220" s="16">
        <f t="shared" si="127"/>
        <v>12057.2853975</v>
      </c>
      <c r="K220" s="16">
        <f t="shared" si="127"/>
        <v>15607.8146055</v>
      </c>
      <c r="L220" s="16">
        <f t="shared" si="127"/>
        <v>19587.915007486874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spans="1:32" s="29" customFormat="1" ht="14" customHeight="1" outlineLevel="1" x14ac:dyDescent="0.15">
      <c r="A221" s="8"/>
      <c r="B221" s="39"/>
      <c r="C221" s="8"/>
      <c r="D221" s="8"/>
      <c r="E221" s="27"/>
      <c r="F221" s="20"/>
      <c r="G221" s="16"/>
      <c r="H221" s="16"/>
      <c r="I221" s="16"/>
      <c r="J221" s="16"/>
      <c r="K221" s="16"/>
      <c r="L221" s="16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pans="1:32" s="29" customFormat="1" ht="14" customHeight="1" outlineLevel="1" x14ac:dyDescent="0.15">
      <c r="A222" s="8"/>
      <c r="B222" s="39"/>
      <c r="C222" s="8"/>
      <c r="D222" s="8"/>
      <c r="E222" s="32" t="s">
        <v>58</v>
      </c>
      <c r="F222" s="20"/>
      <c r="G222" s="16"/>
      <c r="H222" s="16"/>
      <c r="I222" s="16"/>
      <c r="J222" s="16"/>
      <c r="K222" s="16"/>
      <c r="L222" s="16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spans="1:32" s="29" customFormat="1" ht="14" customHeight="1" outlineLevel="1" x14ac:dyDescent="0.15">
      <c r="A223" s="8"/>
      <c r="B223" s="39"/>
      <c r="C223" s="8"/>
      <c r="D223" s="8"/>
      <c r="E223" s="53" t="str">
        <f>+$E$195&amp;" "&amp;"% Total "&amp;+E218</f>
        <v>Product_1 % Total TAM Revenue</v>
      </c>
      <c r="F223" s="20" t="s">
        <v>6</v>
      </c>
      <c r="G223" s="52">
        <f>+G200/G$218</f>
        <v>0.57535959974984363</v>
      </c>
      <c r="H223" s="52">
        <f t="shared" ref="H223:L223" si="128">+H200/H$218</f>
        <v>0.57509068923821038</v>
      </c>
      <c r="I223" s="52">
        <f t="shared" si="128"/>
        <v>0.57939149807009827</v>
      </c>
      <c r="J223" s="52">
        <f t="shared" si="128"/>
        <v>0.59001320802898416</v>
      </c>
      <c r="K223" s="52">
        <f t="shared" si="128"/>
        <v>0.59309440376348266</v>
      </c>
      <c r="L223" s="52">
        <f t="shared" si="128"/>
        <v>0.59265546326796337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spans="1:32" s="29" customFormat="1" ht="14" customHeight="1" outlineLevel="1" x14ac:dyDescent="0.15">
      <c r="A224" s="8"/>
      <c r="B224" s="39"/>
      <c r="C224" s="8"/>
      <c r="D224" s="8"/>
      <c r="E224" s="53" t="str">
        <f>+$E$204&amp;" "&amp;"% Total "&amp;+E218</f>
        <v>Product_2 % Total TAM Revenue</v>
      </c>
      <c r="F224" s="20" t="s">
        <v>6</v>
      </c>
      <c r="G224" s="52">
        <f>+G209/G$218</f>
        <v>0.42464040025015637</v>
      </c>
      <c r="H224" s="52">
        <f t="shared" ref="H224:L224" si="129">+H209/H$218</f>
        <v>0.42490931076178962</v>
      </c>
      <c r="I224" s="52">
        <f t="shared" si="129"/>
        <v>0.42060850192990185</v>
      </c>
      <c r="J224" s="52">
        <f t="shared" si="129"/>
        <v>0.4099867919710159</v>
      </c>
      <c r="K224" s="52">
        <f t="shared" si="129"/>
        <v>0.40690559623651723</v>
      </c>
      <c r="L224" s="52">
        <f t="shared" si="129"/>
        <v>0.40734453673203663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pans="1:32" s="29" customFormat="1" ht="14" customHeight="1" outlineLevel="1" x14ac:dyDescent="0.15">
      <c r="A225" s="8"/>
      <c r="B225" s="39"/>
      <c r="C225" s="8"/>
      <c r="D225" s="8"/>
      <c r="E225" s="27"/>
      <c r="F225" s="20"/>
      <c r="G225" s="16"/>
      <c r="H225" s="16"/>
      <c r="I225" s="16"/>
      <c r="J225" s="16"/>
      <c r="K225" s="16"/>
      <c r="L225" s="16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spans="1:32" s="29" customFormat="1" ht="14" customHeight="1" outlineLevel="1" x14ac:dyDescent="0.15">
      <c r="A226" s="8"/>
      <c r="B226" s="39"/>
      <c r="C226" s="8"/>
      <c r="D226" s="8"/>
      <c r="E226" s="53" t="str">
        <f>+$E$195&amp;" "&amp;"% Total "&amp;+E219</f>
        <v>Product_1 % Total SAM Revenue</v>
      </c>
      <c r="F226" s="20" t="s">
        <v>6</v>
      </c>
      <c r="G226" s="52">
        <f>+G201/G$219</f>
        <v>0.57535959974984363</v>
      </c>
      <c r="H226" s="52">
        <f t="shared" ref="H226:L226" si="130">+H201/H$219</f>
        <v>0.57509068923821038</v>
      </c>
      <c r="I226" s="52">
        <f t="shared" si="130"/>
        <v>0.57939149807009815</v>
      </c>
      <c r="J226" s="52">
        <f t="shared" si="130"/>
        <v>0.59001320802898416</v>
      </c>
      <c r="K226" s="52">
        <f t="shared" si="130"/>
        <v>0.59309440376348277</v>
      </c>
      <c r="L226" s="52">
        <f t="shared" si="130"/>
        <v>0.59265546326796337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spans="1:32" s="29" customFormat="1" ht="14" customHeight="1" outlineLevel="1" x14ac:dyDescent="0.15">
      <c r="A227" s="8"/>
      <c r="B227" s="39"/>
      <c r="C227" s="8"/>
      <c r="D227" s="8"/>
      <c r="E227" s="53" t="str">
        <f>+$E$204&amp;" "&amp;"% Total "&amp;+E219</f>
        <v>Product_2 % Total SAM Revenue</v>
      </c>
      <c r="F227" s="20" t="s">
        <v>6</v>
      </c>
      <c r="G227" s="52">
        <f>+G210/G$219</f>
        <v>0.42464040025015637</v>
      </c>
      <c r="H227" s="52">
        <f t="shared" ref="H227:L227" si="131">+H210/H$219</f>
        <v>0.42490931076178962</v>
      </c>
      <c r="I227" s="52">
        <f t="shared" si="131"/>
        <v>0.42060850192990185</v>
      </c>
      <c r="J227" s="52">
        <f t="shared" si="131"/>
        <v>0.40998679197101584</v>
      </c>
      <c r="K227" s="52">
        <f t="shared" si="131"/>
        <v>0.40690559623651723</v>
      </c>
      <c r="L227" s="52">
        <f t="shared" si="131"/>
        <v>0.40734453673203669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1:32" s="29" customFormat="1" ht="14" customHeight="1" outlineLevel="1" x14ac:dyDescent="0.15">
      <c r="A228" s="8"/>
      <c r="B228" s="39"/>
      <c r="C228" s="8"/>
      <c r="D228" s="8"/>
      <c r="E228" s="27"/>
      <c r="F228" s="20"/>
      <c r="G228" s="16"/>
      <c r="H228" s="16"/>
      <c r="I228" s="16"/>
      <c r="J228" s="16"/>
      <c r="K228" s="16"/>
      <c r="L228" s="16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spans="1:32" s="29" customFormat="1" ht="14" customHeight="1" outlineLevel="1" x14ac:dyDescent="0.15">
      <c r="A229" s="8"/>
      <c r="B229" s="39"/>
      <c r="C229" s="8"/>
      <c r="D229" s="8"/>
      <c r="E229" s="53" t="str">
        <f>+$E$195&amp;" "&amp;"% Total "&amp;+E220</f>
        <v>Product_1 % Total SOM Revenue</v>
      </c>
      <c r="F229" s="20" t="s">
        <v>6</v>
      </c>
      <c r="G229" s="52">
        <f>+G211/G$220</f>
        <v>0.42464040025015637</v>
      </c>
      <c r="H229" s="52">
        <f t="shared" ref="H229:L229" si="132">+H211/H$220</f>
        <v>0.42490931076178962</v>
      </c>
      <c r="I229" s="52">
        <f t="shared" si="132"/>
        <v>0.42060850192990185</v>
      </c>
      <c r="J229" s="52">
        <f t="shared" si="132"/>
        <v>0.4099867919710159</v>
      </c>
      <c r="K229" s="52">
        <f t="shared" si="132"/>
        <v>0.40690559623651723</v>
      </c>
      <c r="L229" s="52">
        <f t="shared" si="132"/>
        <v>0.40734453673203669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spans="1:32" s="29" customFormat="1" ht="14" customHeight="1" outlineLevel="1" x14ac:dyDescent="0.15">
      <c r="A230" s="8"/>
      <c r="B230" s="39"/>
      <c r="C230" s="8"/>
      <c r="D230" s="8"/>
      <c r="E230" s="53" t="str">
        <f>+$E$204&amp;" "&amp;"% Total "&amp;+E220</f>
        <v>Product_2 % Total SOM Revenue</v>
      </c>
      <c r="F230" s="20" t="s">
        <v>6</v>
      </c>
      <c r="G230" s="52">
        <f>+G202/G$220</f>
        <v>0.57535959974984363</v>
      </c>
      <c r="H230" s="52">
        <f t="shared" ref="H230:L230" si="133">+H202/H$220</f>
        <v>0.57509068923821038</v>
      </c>
      <c r="I230" s="52">
        <f t="shared" si="133"/>
        <v>0.57939149807009815</v>
      </c>
      <c r="J230" s="52">
        <f t="shared" si="133"/>
        <v>0.59001320802898405</v>
      </c>
      <c r="K230" s="52">
        <f t="shared" si="133"/>
        <v>0.59309440376348277</v>
      </c>
      <c r="L230" s="52">
        <f t="shared" si="133"/>
        <v>0.59265546326796337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spans="1:32" s="29" customFormat="1" ht="14" customHeight="1" outlineLevel="1" x14ac:dyDescent="0.15">
      <c r="A231" s="8"/>
      <c r="B231" s="39"/>
      <c r="C231" s="8"/>
      <c r="D231" s="8"/>
      <c r="E231" s="27"/>
      <c r="F231" s="20"/>
      <c r="G231" s="16"/>
      <c r="H231" s="16"/>
      <c r="I231" s="16"/>
      <c r="J231" s="16"/>
      <c r="K231" s="16"/>
      <c r="L231" s="16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1:32" s="29" customFormat="1" ht="14" customHeight="1" outlineLevel="1" x14ac:dyDescent="0.15">
      <c r="A232" s="8"/>
      <c r="B232" s="39"/>
      <c r="C232" s="8"/>
      <c r="D232" s="8"/>
      <c r="E232" s="32" t="s">
        <v>59</v>
      </c>
      <c r="F232" s="20"/>
      <c r="G232" s="16"/>
      <c r="H232" s="16"/>
      <c r="I232" s="16"/>
      <c r="J232" s="16"/>
      <c r="K232" s="16"/>
      <c r="L232" s="16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1:32" s="29" customFormat="1" ht="14" customHeight="1" outlineLevel="1" x14ac:dyDescent="0.15">
      <c r="A233" s="8"/>
      <c r="B233" s="39"/>
      <c r="C233" s="8"/>
      <c r="D233" s="8"/>
      <c r="E233" s="32"/>
      <c r="F233" s="20"/>
      <c r="G233" s="16"/>
      <c r="H233" s="16"/>
      <c r="I233" s="16"/>
      <c r="J233" s="16"/>
      <c r="K233" s="16"/>
      <c r="L233" s="16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spans="1:32" s="29" customFormat="1" ht="14" customHeight="1" outlineLevel="1" x14ac:dyDescent="0.15">
      <c r="A234" s="8"/>
      <c r="B234" s="39"/>
      <c r="C234" s="8"/>
      <c r="D234" s="8"/>
      <c r="F234" s="20"/>
      <c r="G234" s="16" t="str">
        <f>+E218</f>
        <v>TAM Revenue</v>
      </c>
      <c r="H234" s="16" t="str">
        <f>+E219</f>
        <v>SAM Revenue</v>
      </c>
      <c r="I234" s="16" t="str">
        <f>+E220</f>
        <v>SOM Revenue</v>
      </c>
      <c r="J234" s="16" t="s">
        <v>60</v>
      </c>
      <c r="K234" s="16"/>
      <c r="L234" s="16"/>
      <c r="M234" s="16"/>
      <c r="N234" s="16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spans="1:32" s="29" customFormat="1" ht="14" customHeight="1" outlineLevel="1" x14ac:dyDescent="0.15">
      <c r="A235" s="8"/>
      <c r="B235" s="39"/>
      <c r="C235" s="8"/>
      <c r="D235" s="8"/>
      <c r="E235" s="54">
        <v>45291</v>
      </c>
      <c r="G235" s="16"/>
      <c r="H235" s="16"/>
      <c r="I235" s="16"/>
      <c r="J235" s="16"/>
      <c r="K235" s="16"/>
      <c r="L235" s="16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spans="1:32" s="29" customFormat="1" ht="14" customHeight="1" outlineLevel="1" x14ac:dyDescent="0.15">
      <c r="A236" s="8"/>
      <c r="B236" s="39" t="e">
        <f>INDEX(product_table[], MATCH(E230, product_table[Product],0), MATCH("ID", product_table[#Headers],0))</f>
        <v>#N/A</v>
      </c>
      <c r="C236" s="39" t="s">
        <v>57</v>
      </c>
      <c r="D236" s="8"/>
      <c r="F236" s="47" t="str">
        <f>+$E$195</f>
        <v>Product_1</v>
      </c>
      <c r="G236" s="43">
        <f>+G200</f>
        <v>57500</v>
      </c>
      <c r="H236" s="43">
        <f>+G201</f>
        <v>25875</v>
      </c>
      <c r="I236" s="43">
        <f>+G202</f>
        <v>2587.5</v>
      </c>
      <c r="J236" s="43">
        <f>+G236-(H236+I236)</f>
        <v>29037.5</v>
      </c>
      <c r="K236" s="16"/>
      <c r="L236" s="16"/>
      <c r="M236" s="16"/>
      <c r="N236" s="16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spans="1:32" s="29" customFormat="1" ht="14" customHeight="1" outlineLevel="1" x14ac:dyDescent="0.15">
      <c r="A237" s="8"/>
      <c r="B237" s="39" t="e">
        <f>INDEX(product_table[], MATCH(E230, product_table[Product],0), MATCH("ID", product_table[#Headers],0))</f>
        <v>#N/A</v>
      </c>
      <c r="C237" s="39" t="s">
        <v>57</v>
      </c>
      <c r="D237" s="8"/>
      <c r="F237" s="47" t="str">
        <f>+$E$204</f>
        <v>Product_2</v>
      </c>
      <c r="G237" s="43">
        <f>+G209</f>
        <v>42437.5</v>
      </c>
      <c r="H237" s="43">
        <f>+G210</f>
        <v>19096.875</v>
      </c>
      <c r="I237" s="43">
        <f>+G211</f>
        <v>1909.6875</v>
      </c>
      <c r="J237" s="43">
        <f>+G237-(H237+I237)</f>
        <v>21430.9375</v>
      </c>
      <c r="K237" s="16"/>
      <c r="L237" s="16"/>
      <c r="M237" s="16"/>
      <c r="N237" s="16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spans="1:32" s="29" customFormat="1" ht="14" customHeight="1" outlineLevel="1" x14ac:dyDescent="0.15">
      <c r="A238" s="8"/>
      <c r="B238" s="39"/>
      <c r="C238" s="39"/>
      <c r="D238" s="8"/>
      <c r="F238" s="47"/>
      <c r="G238" s="43"/>
      <c r="H238" s="43"/>
      <c r="I238" s="43"/>
      <c r="J238" s="43"/>
      <c r="K238" s="16"/>
      <c r="L238" s="16"/>
      <c r="M238" s="16"/>
      <c r="N238" s="16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spans="1:32" s="29" customFormat="1" ht="14" customHeight="1" outlineLevel="1" x14ac:dyDescent="0.15">
      <c r="A239" s="8"/>
      <c r="B239" s="39"/>
      <c r="C239" s="8"/>
      <c r="D239" s="8"/>
      <c r="E239" s="54">
        <v>45657</v>
      </c>
      <c r="G239" s="43"/>
      <c r="H239" s="43"/>
      <c r="I239" s="43"/>
      <c r="J239" s="43"/>
      <c r="K239" s="16"/>
      <c r="L239" s="16"/>
      <c r="M239" s="16"/>
      <c r="N239" s="16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spans="1:32" s="29" customFormat="1" ht="14" customHeight="1" outlineLevel="1" x14ac:dyDescent="0.15">
      <c r="A240" s="8"/>
      <c r="B240" s="39" t="e">
        <f>INDEX(product_table[], MATCH(E234, product_table[Product],0), MATCH("ID", product_table[#Headers],0))</f>
        <v>#N/A</v>
      </c>
      <c r="C240" s="39" t="s">
        <v>57</v>
      </c>
      <c r="D240" s="8"/>
      <c r="F240" s="47" t="str">
        <f>+$E$195</f>
        <v>Product_1</v>
      </c>
      <c r="G240" s="43" cm="1">
        <f t="array" ref="G240:I240">TRANSPOSE(H200:H202)</f>
        <v>59450</v>
      </c>
      <c r="H240" s="43">
        <v>29725</v>
      </c>
      <c r="I240" s="43">
        <v>3715.625</v>
      </c>
      <c r="J240" s="43">
        <f>+G240-(H240+I240)</f>
        <v>26009.375</v>
      </c>
      <c r="K240" s="16"/>
      <c r="L240" s="16"/>
      <c r="M240" s="16"/>
      <c r="N240" s="16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spans="1:32" s="29" customFormat="1" ht="14" customHeight="1" outlineLevel="1" x14ac:dyDescent="0.15">
      <c r="A241" s="8"/>
      <c r="B241" s="39" t="e">
        <f>INDEX(product_table[], MATCH(E234, product_table[Product],0), MATCH("ID", product_table[#Headers],0))</f>
        <v>#N/A</v>
      </c>
      <c r="C241" s="39" t="s">
        <v>57</v>
      </c>
      <c r="D241" s="8"/>
      <c r="F241" s="47" t="str">
        <f>+$E$204</f>
        <v>Product_2</v>
      </c>
      <c r="G241" s="43" cm="1">
        <f t="array" ref="G241:I241">TRANSPOSE(H209:H211)</f>
        <v>43925</v>
      </c>
      <c r="H241" s="43">
        <v>21962.5</v>
      </c>
      <c r="I241" s="43">
        <v>2745.3125</v>
      </c>
      <c r="J241" s="43">
        <f>+G241-(H241+I241)</f>
        <v>19217.1875</v>
      </c>
      <c r="K241" s="16"/>
      <c r="L241" s="16"/>
      <c r="M241" s="16"/>
      <c r="N241" s="16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spans="1:32" s="29" customFormat="1" ht="14" customHeight="1" outlineLevel="1" x14ac:dyDescent="0.15">
      <c r="A242" s="8"/>
      <c r="B242" s="39"/>
      <c r="C242" s="39"/>
      <c r="D242" s="8"/>
      <c r="F242" s="47"/>
      <c r="G242" s="43"/>
      <c r="H242" s="43"/>
      <c r="I242" s="43"/>
      <c r="J242" s="43"/>
      <c r="K242" s="16"/>
      <c r="L242" s="16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spans="1:32" s="29" customFormat="1" ht="14" customHeight="1" outlineLevel="1" x14ac:dyDescent="0.15">
      <c r="A243" s="8"/>
      <c r="B243" s="39"/>
      <c r="C243" s="8"/>
      <c r="D243" s="8"/>
      <c r="E243" s="54">
        <v>46022</v>
      </c>
      <c r="G243" s="43"/>
      <c r="H243" s="43"/>
      <c r="I243" s="43"/>
      <c r="J243" s="43"/>
      <c r="K243" s="16"/>
      <c r="L243" s="16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spans="1:32" s="29" customFormat="1" ht="14" customHeight="1" outlineLevel="1" x14ac:dyDescent="0.15">
      <c r="A244" s="8"/>
      <c r="B244" s="39" t="e">
        <f>INDEX(product_table[], MATCH(F238, product_table[Product],0), MATCH("ID", product_table[#Headers],0))</f>
        <v>#N/A</v>
      </c>
      <c r="C244" s="39" t="s">
        <v>57</v>
      </c>
      <c r="D244" s="8"/>
      <c r="F244" s="47" t="str">
        <f>+$E$195</f>
        <v>Product_1</v>
      </c>
      <c r="G244" s="43" cm="1">
        <f t="array" ref="G244:I244">TRANSPOSE(I200:I202)</f>
        <v>62625.5</v>
      </c>
      <c r="H244" s="43">
        <v>34444.025000000001</v>
      </c>
      <c r="I244" s="43">
        <v>5166.6037500000002</v>
      </c>
      <c r="J244" s="43">
        <f>+G244-(H244+I244)</f>
        <v>23014.871249999997</v>
      </c>
      <c r="K244" s="16"/>
      <c r="L244" s="16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spans="1:32" s="29" customFormat="1" ht="14" customHeight="1" outlineLevel="1" x14ac:dyDescent="0.15">
      <c r="A245" s="8"/>
      <c r="B245" s="39" t="e">
        <f>INDEX(product_table[], MATCH(F238, product_table[Product],0), MATCH("ID", product_table[#Headers],0))</f>
        <v>#N/A</v>
      </c>
      <c r="C245" s="39" t="s">
        <v>57</v>
      </c>
      <c r="D245" s="8"/>
      <c r="F245" s="47" t="str">
        <f>+$E$204</f>
        <v>Product_2</v>
      </c>
      <c r="G245" s="43" cm="1">
        <f t="array" ref="G245:I245">TRANSPOSE(I209:I211)</f>
        <v>45462.9</v>
      </c>
      <c r="H245" s="43">
        <v>25004.595000000005</v>
      </c>
      <c r="I245" s="43">
        <v>3750.6892500000008</v>
      </c>
      <c r="J245" s="43">
        <f>+G245-(H245+I245)</f>
        <v>16707.615749999997</v>
      </c>
      <c r="K245" s="16"/>
      <c r="L245" s="16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spans="1:32" s="29" customFormat="1" ht="14" customHeight="1" outlineLevel="1" x14ac:dyDescent="0.15">
      <c r="A246" s="8"/>
      <c r="B246" s="39"/>
      <c r="C246" s="39"/>
      <c r="D246" s="8"/>
      <c r="F246" s="47"/>
      <c r="G246" s="43"/>
      <c r="H246" s="43"/>
      <c r="I246" s="43"/>
      <c r="J246" s="43"/>
      <c r="K246" s="16"/>
      <c r="L246" s="16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spans="1:32" s="29" customFormat="1" ht="14" customHeight="1" outlineLevel="1" x14ac:dyDescent="0.15">
      <c r="A247" s="8"/>
      <c r="B247" s="39"/>
      <c r="C247" s="8"/>
      <c r="D247" s="8"/>
      <c r="E247" s="54">
        <v>46387</v>
      </c>
      <c r="G247" s="43"/>
      <c r="H247" s="43"/>
      <c r="I247" s="43"/>
      <c r="J247" s="43"/>
      <c r="K247" s="16"/>
      <c r="L247" s="16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spans="1:32" s="29" customFormat="1" ht="14" customHeight="1" outlineLevel="1" x14ac:dyDescent="0.15">
      <c r="A248" s="8"/>
      <c r="B248" s="39" t="str">
        <f>INDEX(product_table[], MATCH(F241, product_table[Product],0), MATCH("ID", product_table[#Headers],0))</f>
        <v>P2</v>
      </c>
      <c r="C248" s="39" t="s">
        <v>57</v>
      </c>
      <c r="D248" s="8"/>
      <c r="F248" s="47" t="str">
        <f>+$E$195</f>
        <v>Product_1</v>
      </c>
      <c r="G248" s="43" cm="1">
        <f t="array" ref="G248:I248">TRANSPOSE(J200:J202)</f>
        <v>67751.977500000008</v>
      </c>
      <c r="H248" s="43">
        <v>40651.186500000003</v>
      </c>
      <c r="I248" s="43">
        <v>7113.9576374999988</v>
      </c>
      <c r="J248" s="43">
        <f>+G248-(H248+I248)</f>
        <v>19986.833362500009</v>
      </c>
      <c r="K248" s="16"/>
      <c r="L248" s="16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spans="1:32" s="29" customFormat="1" ht="14" customHeight="1" outlineLevel="1" x14ac:dyDescent="0.15">
      <c r="A249" s="8"/>
      <c r="B249" s="39" t="str">
        <f>INDEX(product_table[], MATCH(F241, product_table[Product],0), MATCH("ID", product_table[#Headers],0))</f>
        <v>P2</v>
      </c>
      <c r="C249" s="39" t="s">
        <v>57</v>
      </c>
      <c r="D249" s="8"/>
      <c r="F249" s="47" t="str">
        <f>+$E$204</f>
        <v>Product_2</v>
      </c>
      <c r="G249" s="43" cm="1">
        <f t="array" ref="G249:I249">TRANSPOSE(J218:J220)</f>
        <v>114831.28950000001</v>
      </c>
      <c r="H249" s="43">
        <v>68898.773700000005</v>
      </c>
      <c r="I249" s="43">
        <v>12057.2853975</v>
      </c>
      <c r="J249" s="43">
        <f>+G249-(H249+I249)</f>
        <v>33875.230402500005</v>
      </c>
      <c r="K249" s="16"/>
      <c r="L249" s="16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spans="1:32" s="29" customFormat="1" ht="14" customHeight="1" outlineLevel="1" x14ac:dyDescent="0.15">
      <c r="A250" s="8"/>
      <c r="B250" s="39"/>
      <c r="C250" s="8"/>
      <c r="D250" s="8"/>
      <c r="F250" s="54"/>
      <c r="G250" s="43"/>
      <c r="H250" s="43"/>
      <c r="I250" s="43"/>
      <c r="J250" s="43"/>
      <c r="K250" s="16"/>
      <c r="L250" s="16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spans="1:32" s="29" customFormat="1" ht="14" customHeight="1" outlineLevel="1" x14ac:dyDescent="0.15">
      <c r="A251" s="8"/>
      <c r="B251" s="39"/>
      <c r="C251" s="8"/>
      <c r="D251" s="8"/>
      <c r="E251" s="54">
        <v>46752</v>
      </c>
      <c r="G251" s="43"/>
      <c r="H251" s="43"/>
      <c r="I251" s="43"/>
      <c r="J251" s="43"/>
      <c r="K251" s="16"/>
      <c r="L251" s="16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spans="1:32" s="29" customFormat="1" ht="14" customHeight="1" outlineLevel="1" x14ac:dyDescent="0.15">
      <c r="A252" s="8"/>
      <c r="B252" s="39" t="str">
        <f>INDEX(product_table[], MATCH(F245, product_table[Product],0), MATCH("ID", product_table[#Headers],0))</f>
        <v>P2</v>
      </c>
      <c r="C252" s="39" t="s">
        <v>57</v>
      </c>
      <c r="D252" s="8"/>
      <c r="F252" s="47" t="str">
        <f>+$E$195</f>
        <v>Product_1</v>
      </c>
      <c r="G252" s="43" cm="1">
        <f t="array" ref="G252:I252">TRANSPOSE(K200:K202)</f>
        <v>71206.980750000002</v>
      </c>
      <c r="H252" s="43">
        <v>46284.537487500005</v>
      </c>
      <c r="I252" s="43">
        <v>9256.9074975000003</v>
      </c>
      <c r="J252" s="43">
        <f>+G252-(H252+I252)</f>
        <v>15665.535764999993</v>
      </c>
      <c r="K252" s="16"/>
      <c r="L252" s="16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spans="1:32" s="29" customFormat="1" ht="14" customHeight="1" outlineLevel="1" x14ac:dyDescent="0.15">
      <c r="A253" s="8"/>
      <c r="B253" s="39" t="str">
        <f>INDEX(product_table[], MATCH(F245, product_table[Product],0), MATCH("ID", product_table[#Headers],0))</f>
        <v>P2</v>
      </c>
      <c r="C253" s="39" t="s">
        <v>57</v>
      </c>
      <c r="D253" s="8"/>
      <c r="F253" s="47" t="str">
        <f>+$E$204</f>
        <v>Product_2</v>
      </c>
      <c r="G253" s="43" cm="1">
        <f t="array" ref="G253:I253">TRANSPOSE(K218:K220)</f>
        <v>120060.11235000001</v>
      </c>
      <c r="H253" s="43">
        <v>78039.07302750001</v>
      </c>
      <c r="I253" s="43">
        <v>15607.8146055</v>
      </c>
      <c r="J253" s="43">
        <f>+G253-(H253+I253)</f>
        <v>26413.224717000005</v>
      </c>
      <c r="K253" s="16"/>
      <c r="L253" s="16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spans="1:32" s="29" customFormat="1" ht="14" customHeight="1" outlineLevel="1" x14ac:dyDescent="0.15">
      <c r="A254" s="8"/>
      <c r="B254" s="39"/>
      <c r="C254" s="39"/>
      <c r="D254" s="8"/>
      <c r="F254" s="47"/>
      <c r="G254" s="43"/>
      <c r="H254" s="43"/>
      <c r="I254" s="43"/>
      <c r="J254" s="43"/>
      <c r="K254" s="16"/>
      <c r="L254" s="16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spans="1:32" s="29" customFormat="1" ht="14" customHeight="1" outlineLevel="1" x14ac:dyDescent="0.15">
      <c r="A255" s="8"/>
      <c r="B255" s="39"/>
      <c r="C255" s="8"/>
      <c r="D255" s="8"/>
      <c r="E255" s="54">
        <v>47118</v>
      </c>
      <c r="G255" s="43"/>
      <c r="H255" s="43"/>
      <c r="I255" s="43"/>
      <c r="J255" s="43"/>
      <c r="K255" s="16"/>
      <c r="L255" s="16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spans="1:32" s="29" customFormat="1" ht="14" customHeight="1" outlineLevel="1" x14ac:dyDescent="0.15">
      <c r="A256" s="8"/>
      <c r="B256" s="39" t="str">
        <f>INDEX(product_table[], MATCH(F249, product_table[Product],0), MATCH("ID", product_table[#Headers],0))</f>
        <v>P2</v>
      </c>
      <c r="C256" s="39" t="s">
        <v>57</v>
      </c>
      <c r="D256" s="8"/>
      <c r="F256" s="47" t="str">
        <f>+$E$195</f>
        <v>Product_1</v>
      </c>
      <c r="G256" s="43" cm="1">
        <f t="array" ref="G256:I256">TRANSPOSE(L200:L202)</f>
        <v>73707.205353750003</v>
      </c>
      <c r="H256" s="43">
        <v>51595.043747625001</v>
      </c>
      <c r="I256" s="43">
        <v>11608.884843215625</v>
      </c>
      <c r="J256" s="43">
        <f>+G256-(H256+I256)</f>
        <v>10503.27676290938</v>
      </c>
      <c r="K256" s="16"/>
      <c r="L256" s="16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spans="1:32" s="29" customFormat="1" ht="14" customHeight="1" outlineLevel="1" x14ac:dyDescent="0.15">
      <c r="A257" s="8"/>
      <c r="B257" s="39" t="str">
        <f>INDEX(product_table[], MATCH(F249, product_table[Product],0), MATCH("ID", product_table[#Headers],0))</f>
        <v>P2</v>
      </c>
      <c r="C257" s="39" t="s">
        <v>57</v>
      </c>
      <c r="D257" s="8"/>
      <c r="F257" s="47" t="str">
        <f>+$E$204</f>
        <v>Product_2</v>
      </c>
      <c r="G257" s="43" cm="1">
        <f t="array" ref="G257:I257">TRANSPOSE(L218:L220)</f>
        <v>124367.71433325</v>
      </c>
      <c r="H257" s="43">
        <v>87057.400033274986</v>
      </c>
      <c r="I257" s="43">
        <v>19587.915007486874</v>
      </c>
      <c r="J257" s="43">
        <f>+G257-(H257+I257)</f>
        <v>17722.399292488131</v>
      </c>
      <c r="K257" s="16"/>
      <c r="L257" s="16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spans="1:32" s="29" customFormat="1" ht="14" customHeight="1" outlineLevel="1" x14ac:dyDescent="0.15">
      <c r="A258" s="8"/>
      <c r="B258" s="39"/>
      <c r="C258" s="8"/>
      <c r="D258" s="8"/>
      <c r="E258" s="32"/>
      <c r="F258" s="20"/>
      <c r="G258" s="16"/>
      <c r="H258" s="16"/>
      <c r="I258" s="16"/>
      <c r="J258" s="16"/>
      <c r="K258" s="16"/>
      <c r="L258" s="16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spans="1:32" s="29" customFormat="1" ht="14" customHeight="1" outlineLevel="1" x14ac:dyDescent="0.15">
      <c r="A259" s="8"/>
      <c r="B259" s="39"/>
      <c r="C259" s="8"/>
      <c r="D259" s="8"/>
      <c r="E259" s="27"/>
      <c r="F259" s="20"/>
      <c r="G259" s="16"/>
      <c r="H259" s="16"/>
      <c r="I259" s="16"/>
      <c r="J259" s="16"/>
      <c r="K259" s="16"/>
      <c r="L259" s="16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spans="1:32" s="29" customFormat="1" ht="14" customHeight="1" x14ac:dyDescent="0.15">
      <c r="A260" s="8"/>
      <c r="B260" s="39"/>
      <c r="C260" s="8"/>
      <c r="D260" s="8"/>
      <c r="E260" s="27"/>
      <c r="F260" s="20"/>
      <c r="G260" s="16"/>
      <c r="H260" s="16"/>
      <c r="I260" s="16"/>
      <c r="J260" s="16"/>
      <c r="K260" s="16"/>
      <c r="L260" s="16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spans="1:32" s="29" customFormat="1" ht="14" customHeight="1" x14ac:dyDescent="0.15">
      <c r="A261" s="8"/>
      <c r="B261" s="8"/>
      <c r="C261" s="8"/>
      <c r="D261" s="7" t="s">
        <v>56</v>
      </c>
      <c r="E261" s="7"/>
      <c r="F261" s="7"/>
      <c r="G261" s="7"/>
      <c r="H261" s="7"/>
      <c r="I261" s="7"/>
      <c r="J261" s="7"/>
      <c r="K261" s="7"/>
      <c r="L261" s="7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spans="1:32" s="29" customFormat="1" ht="14" customHeight="1" outlineLevel="1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spans="1:32" s="29" customFormat="1" ht="14" customHeight="1" outlineLevel="1" x14ac:dyDescent="0.15">
      <c r="A263" s="8"/>
      <c r="B263" s="8"/>
      <c r="C263" s="8"/>
      <c r="D263" s="8"/>
      <c r="E263" s="51" t="str">
        <f>'Product &amp; Segment Detail'!$E$9</f>
        <v>Product_1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spans="1:32" s="29" customFormat="1" ht="14" customHeight="1" outlineLevel="1" x14ac:dyDescent="0.15">
      <c r="A264" s="8"/>
      <c r="D264" s="8"/>
      <c r="E264" s="49" t="s">
        <v>9</v>
      </c>
      <c r="F264" s="20" t="s">
        <v>3</v>
      </c>
      <c r="G264" s="16"/>
      <c r="H264" s="16"/>
      <c r="I264" s="16"/>
      <c r="J264" s="16"/>
      <c r="K264" s="16"/>
      <c r="L264" s="16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spans="1:32" s="29" customFormat="1" ht="14" customHeight="1" outlineLevel="1" x14ac:dyDescent="0.15">
      <c r="A265" s="8"/>
      <c r="B265" s="39" t="str">
        <f>INDEX(product_table[], MATCH($E$263, product_table[Product],0), MATCH("ID", product_table[#Headers],0))</f>
        <v>P1</v>
      </c>
      <c r="C265" s="39" t="str">
        <f>INDEX(segment_table[],MATCH(E265,segment_table[Segment],0),MATCH("Seg_ID", segment_table[#Headers],0))</f>
        <v>S1</v>
      </c>
      <c r="D265" s="8"/>
      <c r="E265" s="50" t="str">
        <f>+'Product &amp; Segment Detail'!$E$13</f>
        <v>Segment 1</v>
      </c>
      <c r="F265" s="20"/>
      <c r="G265" s="16">
        <f t="shared" ref="G265:L265" si="134">SUMIFS(G$53:G$190, $E$53:$E$190, $E264, marketrev_range_prod_ids, $B265, marketrev_range_seg_ids, $C265)</f>
        <v>10000</v>
      </c>
      <c r="H265" s="16">
        <f t="shared" si="134"/>
        <v>10250</v>
      </c>
      <c r="I265" s="16">
        <f t="shared" si="134"/>
        <v>10557.5</v>
      </c>
      <c r="J265" s="16">
        <f t="shared" si="134"/>
        <v>11085.375</v>
      </c>
      <c r="K265" s="16">
        <f t="shared" si="134"/>
        <v>11307.0825</v>
      </c>
      <c r="L265" s="16">
        <f t="shared" si="134"/>
        <v>11476.688737499999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spans="1:32" s="29" customFormat="1" ht="14" customHeight="1" outlineLevel="1" x14ac:dyDescent="0.15">
      <c r="A266" s="8"/>
      <c r="B266" s="39" t="str">
        <f>INDEX(product_table[], MATCH($E$263, product_table[Product],0), MATCH("ID", product_table[#Headers],0))</f>
        <v>P1</v>
      </c>
      <c r="C266" s="39" t="str">
        <f>INDEX(segment_table[],MATCH(E266,segment_table[Segment],0),MATCH("Seg_ID", segment_table[#Headers],0))</f>
        <v>S2</v>
      </c>
      <c r="D266" s="8"/>
      <c r="E266" s="50" t="str">
        <f>+'Product &amp; Segment Detail'!$E$14</f>
        <v>Segment 2</v>
      </c>
      <c r="F266" s="20"/>
      <c r="G266" s="16">
        <f t="shared" ref="G266:L266" si="135">SUMIFS(G$53:G$190, $E$53:$E$190, $E264, marketrev_range_prod_ids, $B266, marketrev_range_seg_ids, $C266)</f>
        <v>6500</v>
      </c>
      <c r="H266" s="16">
        <f t="shared" si="135"/>
        <v>6630</v>
      </c>
      <c r="I266" s="16">
        <f t="shared" si="135"/>
        <v>6895.2</v>
      </c>
      <c r="J266" s="16">
        <f t="shared" si="135"/>
        <v>7446.8160000000007</v>
      </c>
      <c r="K266" s="16">
        <f t="shared" si="135"/>
        <v>7819.1568000000007</v>
      </c>
      <c r="L266" s="16">
        <f t="shared" si="135"/>
        <v>8053.7315040000012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spans="1:32" s="29" customFormat="1" ht="14" customHeight="1" outlineLevel="1" x14ac:dyDescent="0.15">
      <c r="A267" s="8"/>
      <c r="B267" s="39" t="str">
        <f>INDEX(product_table[], MATCH($E$263, product_table[Product],0), MATCH("ID", product_table[#Headers],0))</f>
        <v>P1</v>
      </c>
      <c r="C267" s="39" t="str">
        <f>INDEX(segment_table[],MATCH(E267,segment_table[Segment],0),MATCH("Seg_ID", segment_table[#Headers],0))</f>
        <v>S3</v>
      </c>
      <c r="D267" s="8"/>
      <c r="E267" s="50" t="str">
        <f>+'Product &amp; Segment Detail'!$E$15</f>
        <v>Segment 3</v>
      </c>
      <c r="F267" s="20"/>
      <c r="G267" s="16">
        <f t="shared" ref="G267:L267" si="136">SUMIFS(G$53:G$190, $E$53:$E$190, $E264, marketrev_range_prod_ids, $B267, marketrev_range_seg_ids, $C267)</f>
        <v>5000</v>
      </c>
      <c r="H267" s="16">
        <f t="shared" si="136"/>
        <v>5250</v>
      </c>
      <c r="I267" s="16">
        <f t="shared" si="136"/>
        <v>5617.5</v>
      </c>
      <c r="J267" s="16">
        <f t="shared" si="136"/>
        <v>6291.6</v>
      </c>
      <c r="K267" s="16">
        <f t="shared" si="136"/>
        <v>6794.9280000000008</v>
      </c>
      <c r="L267" s="16">
        <f t="shared" si="136"/>
        <v>7134.6744000000008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spans="1:32" s="29" customFormat="1" ht="14" customHeight="1" outlineLevel="1" x14ac:dyDescent="0.15">
      <c r="A268" s="8"/>
      <c r="B268" s="39" t="str">
        <f>INDEX(product_table[], MATCH($E$263, product_table[Product],0), MATCH("ID", product_table[#Headers],0))</f>
        <v>P1</v>
      </c>
      <c r="C268" s="39" t="str">
        <f>INDEX(segment_table[],MATCH(E268,segment_table[Segment],0),MATCH("Seg_ID", segment_table[#Headers],0))</f>
        <v>S4</v>
      </c>
      <c r="D268" s="8"/>
      <c r="E268" s="50" t="str">
        <f>+'Product &amp; Segment Detail'!$E$16</f>
        <v>Segment 4</v>
      </c>
      <c r="F268" s="20"/>
      <c r="G268" s="16">
        <f t="shared" ref="G268:L268" si="137">SUMIFS(G$53:G$190, $E$53:$E$190, $E264, marketrev_range_prod_ids, $B268, marketrev_range_seg_ids, $C268)</f>
        <v>1500</v>
      </c>
      <c r="H268" s="16">
        <f t="shared" si="137"/>
        <v>1650.0000000000002</v>
      </c>
      <c r="I268" s="16">
        <f t="shared" si="137"/>
        <v>1980.0000000000002</v>
      </c>
      <c r="J268" s="16">
        <f t="shared" si="137"/>
        <v>2277</v>
      </c>
      <c r="K268" s="16">
        <f t="shared" si="137"/>
        <v>2561.625</v>
      </c>
      <c r="L268" s="16">
        <f t="shared" si="137"/>
        <v>2817.7875000000004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spans="1:32" s="29" customFormat="1" ht="14" customHeight="1" outlineLevel="1" x14ac:dyDescent="0.15">
      <c r="A269" s="8"/>
      <c r="B269" s="39"/>
      <c r="C269" s="39"/>
      <c r="D269" s="8"/>
      <c r="E269" s="27"/>
      <c r="F269" s="20"/>
      <c r="G269" s="16"/>
      <c r="H269" s="16"/>
      <c r="I269" s="16"/>
      <c r="J269" s="16"/>
      <c r="K269" s="16"/>
      <c r="L269" s="16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spans="1:32" s="29" customFormat="1" ht="14" customHeight="1" outlineLevel="1" x14ac:dyDescent="0.15">
      <c r="A270" s="8"/>
      <c r="D270" s="8"/>
      <c r="E270" s="49" t="s">
        <v>12</v>
      </c>
      <c r="F270" s="20" t="s">
        <v>8</v>
      </c>
      <c r="G270" s="16"/>
      <c r="H270" s="16"/>
      <c r="I270" s="16"/>
      <c r="J270" s="16"/>
      <c r="K270" s="16"/>
      <c r="L270" s="16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spans="1:32" s="29" customFormat="1" ht="14" customHeight="1" outlineLevel="1" x14ac:dyDescent="0.15">
      <c r="A271" s="8"/>
      <c r="B271" s="39" t="str">
        <f>INDEX(product_table[], MATCH($E$263, product_table[Product],0), MATCH("ID", product_table[#Headers],0))</f>
        <v>P1</v>
      </c>
      <c r="C271" s="39" t="str">
        <f>INDEX(segment_table[],MATCH(E271,segment_table[Segment],0),MATCH("Seg_ID", segment_table[#Headers],0))</f>
        <v>S1</v>
      </c>
      <c r="D271" s="8"/>
      <c r="E271" s="50" t="str">
        <f>+'Product &amp; Segment Detail'!$E$13</f>
        <v>Segment 1</v>
      </c>
      <c r="F271" s="20"/>
      <c r="G271" s="16">
        <f t="shared" ref="G271:L271" si="138">SUMIFS(G$53:G$190, $E$53:$E$190, $E270, marketrev_range_prod_ids, $B271, marketrev_range_seg_ids, $C271)</f>
        <v>25000</v>
      </c>
      <c r="H271" s="16">
        <f t="shared" si="138"/>
        <v>25625</v>
      </c>
      <c r="I271" s="16">
        <f t="shared" si="138"/>
        <v>26393.75</v>
      </c>
      <c r="J271" s="16">
        <f t="shared" si="138"/>
        <v>27713.4375</v>
      </c>
      <c r="K271" s="16">
        <f t="shared" si="138"/>
        <v>28267.706250000003</v>
      </c>
      <c r="L271" s="16">
        <f t="shared" si="138"/>
        <v>28691.721843749998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spans="1:32" s="29" customFormat="1" ht="14" customHeight="1" outlineLevel="1" x14ac:dyDescent="0.15">
      <c r="A272" s="8"/>
      <c r="B272" s="39" t="str">
        <f>INDEX(product_table[], MATCH($E$263, product_table[Product],0), MATCH("ID", product_table[#Headers],0))</f>
        <v>P1</v>
      </c>
      <c r="C272" s="39" t="str">
        <f>INDEX(segment_table[],MATCH(E272,segment_table[Segment],0),MATCH("Seg_ID", segment_table[#Headers],0))</f>
        <v>S2</v>
      </c>
      <c r="D272" s="8"/>
      <c r="E272" s="50" t="str">
        <f>+'Product &amp; Segment Detail'!$E$14</f>
        <v>Segment 2</v>
      </c>
      <c r="F272" s="20"/>
      <c r="G272" s="16">
        <f t="shared" ref="G272:L272" si="139">SUMIFS(G$53:G$190, $E$53:$E$190, $E270, marketrev_range_prod_ids, $B272, marketrev_range_seg_ids, $C272)</f>
        <v>16250</v>
      </c>
      <c r="H272" s="16">
        <f t="shared" si="139"/>
        <v>16575</v>
      </c>
      <c r="I272" s="16">
        <f t="shared" si="139"/>
        <v>17238</v>
      </c>
      <c r="J272" s="16">
        <f t="shared" si="139"/>
        <v>18617.04</v>
      </c>
      <c r="K272" s="16">
        <f t="shared" si="139"/>
        <v>19547.892</v>
      </c>
      <c r="L272" s="16">
        <f t="shared" si="139"/>
        <v>20134.328760000004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spans="1:32" s="29" customFormat="1" ht="14" customHeight="1" outlineLevel="1" x14ac:dyDescent="0.15">
      <c r="A273" s="8"/>
      <c r="B273" s="39" t="str">
        <f>INDEX(product_table[], MATCH($E$263, product_table[Product],0), MATCH("ID", product_table[#Headers],0))</f>
        <v>P1</v>
      </c>
      <c r="C273" s="39" t="str">
        <f>INDEX(segment_table[],MATCH(E273,segment_table[Segment],0),MATCH("Seg_ID", segment_table[#Headers],0))</f>
        <v>S3</v>
      </c>
      <c r="D273" s="8"/>
      <c r="E273" s="50" t="str">
        <f>+'Product &amp; Segment Detail'!$E$15</f>
        <v>Segment 3</v>
      </c>
      <c r="F273" s="20"/>
      <c r="G273" s="16">
        <f t="shared" ref="G273:L273" si="140">SUMIFS(G$53:G$190, $E$53:$E$190, $E270, marketrev_range_prod_ids, $B273, marketrev_range_seg_ids, $C273)</f>
        <v>12500</v>
      </c>
      <c r="H273" s="16">
        <f t="shared" si="140"/>
        <v>13125</v>
      </c>
      <c r="I273" s="16">
        <f t="shared" si="140"/>
        <v>14043.75</v>
      </c>
      <c r="J273" s="16">
        <f t="shared" si="140"/>
        <v>15729</v>
      </c>
      <c r="K273" s="16">
        <f t="shared" si="140"/>
        <v>16987.320000000003</v>
      </c>
      <c r="L273" s="16">
        <f t="shared" si="140"/>
        <v>17836.686000000002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spans="1:32" s="29" customFormat="1" ht="14" customHeight="1" outlineLevel="1" x14ac:dyDescent="0.15">
      <c r="A274" s="8"/>
      <c r="B274" s="39" t="str">
        <f>INDEX(product_table[], MATCH($E$263, product_table[Product],0), MATCH("ID", product_table[#Headers],0))</f>
        <v>P1</v>
      </c>
      <c r="C274" s="39" t="str">
        <f>INDEX(segment_table[],MATCH(E274,segment_table[Segment],0),MATCH("Seg_ID", segment_table[#Headers],0))</f>
        <v>S4</v>
      </c>
      <c r="D274" s="8"/>
      <c r="E274" s="50" t="str">
        <f>+'Product &amp; Segment Detail'!$E$16</f>
        <v>Segment 4</v>
      </c>
      <c r="F274" s="20"/>
      <c r="G274" s="16">
        <f t="shared" ref="G274:L274" si="141">SUMIFS(G$53:G$190, $E$53:$E$190, $E270, marketrev_range_prod_ids, $B274, marketrev_range_seg_ids, $C274)</f>
        <v>3750</v>
      </c>
      <c r="H274" s="16">
        <f t="shared" si="141"/>
        <v>4125.0000000000009</v>
      </c>
      <c r="I274" s="16">
        <f t="shared" si="141"/>
        <v>4950.0000000000009</v>
      </c>
      <c r="J274" s="16">
        <f t="shared" si="141"/>
        <v>5692.5</v>
      </c>
      <c r="K274" s="16">
        <f t="shared" si="141"/>
        <v>6404.0625</v>
      </c>
      <c r="L274" s="16">
        <f t="shared" si="141"/>
        <v>7044.4687500000009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spans="1:32" s="29" customFormat="1" ht="14" customHeight="1" outlineLevel="1" x14ac:dyDescent="0.15">
      <c r="A275" s="8"/>
      <c r="B275" s="8"/>
      <c r="C275" s="8"/>
      <c r="D275" s="8"/>
      <c r="E275" s="3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spans="1:32" s="29" customFormat="1" ht="14" customHeight="1" outlineLevel="1" x14ac:dyDescent="0.15">
      <c r="A276" s="8"/>
      <c r="D276" s="8"/>
      <c r="E276" s="49" t="s">
        <v>10</v>
      </c>
      <c r="F276" s="20" t="s">
        <v>3</v>
      </c>
      <c r="G276" s="16"/>
      <c r="H276" s="16"/>
      <c r="I276" s="16"/>
      <c r="J276" s="16"/>
      <c r="K276" s="16"/>
      <c r="L276" s="16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spans="1:32" s="29" customFormat="1" ht="14" customHeight="1" outlineLevel="1" x14ac:dyDescent="0.15">
      <c r="A277" s="8"/>
      <c r="B277" s="39" t="str">
        <f>INDEX(product_table[], MATCH($E$263, product_table[Product],0), MATCH("ID", product_table[#Headers],0))</f>
        <v>P1</v>
      </c>
      <c r="C277" s="39" t="str">
        <f>INDEX(segment_table[],MATCH(E277,segment_table[Segment],0),MATCH("Seg_ID", segment_table[#Headers],0))</f>
        <v>S1</v>
      </c>
      <c r="D277" s="8"/>
      <c r="E277" s="50" t="str">
        <f>+'Product &amp; Segment Detail'!$E$13</f>
        <v>Segment 1</v>
      </c>
      <c r="F277" s="20"/>
      <c r="G277" s="16">
        <f t="shared" ref="G277:L277" si="142">SUMIFS(G$53:G$190, $E$53:$E$190, $E276, marketrev_range_prod_ids, $B277, marketrev_range_seg_ids, $C277)</f>
        <v>4500</v>
      </c>
      <c r="H277" s="16">
        <f t="shared" si="142"/>
        <v>5125</v>
      </c>
      <c r="I277" s="16">
        <f t="shared" si="142"/>
        <v>5806.6250000000009</v>
      </c>
      <c r="J277" s="16">
        <f t="shared" si="142"/>
        <v>6651.2249999999995</v>
      </c>
      <c r="K277" s="16">
        <f t="shared" si="142"/>
        <v>7349.6036250000006</v>
      </c>
      <c r="L277" s="16">
        <f t="shared" si="142"/>
        <v>8033.6821162499982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spans="1:32" s="29" customFormat="1" ht="14" customHeight="1" outlineLevel="1" x14ac:dyDescent="0.15">
      <c r="A278" s="8"/>
      <c r="B278" s="39" t="str">
        <f>INDEX(product_table[], MATCH($E$263, product_table[Product],0), MATCH("ID", product_table[#Headers],0))</f>
        <v>P1</v>
      </c>
      <c r="C278" s="39" t="str">
        <f>INDEX(segment_table[],MATCH(E278,segment_table[Segment],0),MATCH("Seg_ID", segment_table[#Headers],0))</f>
        <v>S2</v>
      </c>
      <c r="D278" s="8"/>
      <c r="E278" s="50" t="str">
        <f>+'Product &amp; Segment Detail'!$E$14</f>
        <v>Segment 2</v>
      </c>
      <c r="F278" s="20"/>
      <c r="G278" s="16">
        <f t="shared" ref="G278:L278" si="143">SUMIFS(G$53:G$190, $E$53:$E$190, $E276, marketrev_range_prod_ids, $B278, marketrev_range_seg_ids, $C278)</f>
        <v>2925</v>
      </c>
      <c r="H278" s="16">
        <f t="shared" si="143"/>
        <v>3315</v>
      </c>
      <c r="I278" s="16">
        <f t="shared" si="143"/>
        <v>3792.36</v>
      </c>
      <c r="J278" s="16">
        <f t="shared" si="143"/>
        <v>4468.0896000000002</v>
      </c>
      <c r="K278" s="16">
        <f t="shared" si="143"/>
        <v>5082.4519200000004</v>
      </c>
      <c r="L278" s="16">
        <f t="shared" si="143"/>
        <v>5637.6120528000001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spans="1:32" s="29" customFormat="1" ht="14" customHeight="1" outlineLevel="1" x14ac:dyDescent="0.15">
      <c r="A279" s="8"/>
      <c r="B279" s="39" t="str">
        <f>INDEX(product_table[], MATCH($E$263, product_table[Product],0), MATCH("ID", product_table[#Headers],0))</f>
        <v>P1</v>
      </c>
      <c r="C279" s="39" t="str">
        <f>INDEX(segment_table[],MATCH(E279,segment_table[Segment],0),MATCH("Seg_ID", segment_table[#Headers],0))</f>
        <v>S3</v>
      </c>
      <c r="D279" s="8"/>
      <c r="E279" s="50" t="str">
        <f>+'Product &amp; Segment Detail'!$E$15</f>
        <v>Segment 3</v>
      </c>
      <c r="F279" s="20"/>
      <c r="G279" s="16">
        <f t="shared" ref="G279:L279" si="144">SUMIFS(G$53:G$190, $E$53:$E$190, $E276, marketrev_range_prod_ids, $B279, marketrev_range_seg_ids, $C279)</f>
        <v>2250</v>
      </c>
      <c r="H279" s="16">
        <f t="shared" si="144"/>
        <v>2625</v>
      </c>
      <c r="I279" s="16">
        <f t="shared" si="144"/>
        <v>3089.6250000000005</v>
      </c>
      <c r="J279" s="16">
        <f t="shared" si="144"/>
        <v>3774.96</v>
      </c>
      <c r="K279" s="16">
        <f t="shared" si="144"/>
        <v>4416.7032000000008</v>
      </c>
      <c r="L279" s="16">
        <f t="shared" si="144"/>
        <v>4994.2720800000006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spans="1:32" s="29" customFormat="1" ht="14" customHeight="1" outlineLevel="1" x14ac:dyDescent="0.15">
      <c r="A280" s="8"/>
      <c r="B280" s="39" t="str">
        <f>INDEX(product_table[], MATCH($E$263, product_table[Product],0), MATCH("ID", product_table[#Headers],0))</f>
        <v>P1</v>
      </c>
      <c r="C280" s="39" t="str">
        <f>INDEX(segment_table[],MATCH(E280,segment_table[Segment],0),MATCH("Seg_ID", segment_table[#Headers],0))</f>
        <v>S4</v>
      </c>
      <c r="D280" s="8"/>
      <c r="E280" s="50" t="str">
        <f>+'Product &amp; Segment Detail'!$E$16</f>
        <v>Segment 4</v>
      </c>
      <c r="F280" s="20"/>
      <c r="G280" s="16">
        <f t="shared" ref="G280:L280" si="145">SUMIFS(G$53:G$190, $E$53:$E$190, $E276, marketrev_range_prod_ids, $B280, marketrev_range_seg_ids, $C280)</f>
        <v>675</v>
      </c>
      <c r="H280" s="16">
        <f t="shared" si="145"/>
        <v>825.00000000000011</v>
      </c>
      <c r="I280" s="16">
        <f t="shared" si="145"/>
        <v>1089.0000000000002</v>
      </c>
      <c r="J280" s="16">
        <f t="shared" si="145"/>
        <v>1366.2</v>
      </c>
      <c r="K280" s="16">
        <f t="shared" si="145"/>
        <v>1665.0562500000001</v>
      </c>
      <c r="L280" s="16">
        <f t="shared" si="145"/>
        <v>1972.4512500000001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spans="1:32" s="29" customFormat="1" ht="14" customHeight="1" outlineLevel="1" x14ac:dyDescent="0.15">
      <c r="A281" s="8"/>
      <c r="B281" s="39"/>
      <c r="C281" s="39"/>
      <c r="D281" s="8"/>
      <c r="E281" s="27"/>
      <c r="F281" s="20"/>
      <c r="G281" s="16"/>
      <c r="H281" s="16"/>
      <c r="I281" s="16"/>
      <c r="J281" s="16"/>
      <c r="K281" s="16"/>
      <c r="L281" s="16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spans="1:32" s="29" customFormat="1" ht="14" customHeight="1" outlineLevel="1" x14ac:dyDescent="0.15">
      <c r="A282" s="8"/>
      <c r="D282" s="8"/>
      <c r="E282" s="49" t="s">
        <v>13</v>
      </c>
      <c r="F282" s="20" t="s">
        <v>8</v>
      </c>
      <c r="G282" s="16"/>
      <c r="H282" s="16"/>
      <c r="I282" s="16"/>
      <c r="J282" s="16"/>
      <c r="K282" s="16"/>
      <c r="L282" s="16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spans="1:32" s="29" customFormat="1" ht="14" customHeight="1" outlineLevel="1" x14ac:dyDescent="0.15">
      <c r="A283" s="8"/>
      <c r="B283" s="39" t="str">
        <f>INDEX(product_table[], MATCH($E$263, product_table[Product],0), MATCH("ID", product_table[#Headers],0))</f>
        <v>P1</v>
      </c>
      <c r="C283" s="39" t="str">
        <f>INDEX(segment_table[],MATCH(E283,segment_table[Segment],0),MATCH("Seg_ID", segment_table[#Headers],0))</f>
        <v>S1</v>
      </c>
      <c r="D283" s="8"/>
      <c r="E283" s="50" t="str">
        <f>+'Product &amp; Segment Detail'!$E$13</f>
        <v>Segment 1</v>
      </c>
      <c r="F283" s="20"/>
      <c r="G283" s="16">
        <f t="shared" ref="G283:L283" si="146">SUMIFS(G$53:G$190, $E$53:$E$190, $E282, marketrev_range_prod_ids, $B283, marketrev_range_seg_ids, $C283)</f>
        <v>11250</v>
      </c>
      <c r="H283" s="16">
        <f t="shared" si="146"/>
        <v>12812.5</v>
      </c>
      <c r="I283" s="16">
        <f t="shared" si="146"/>
        <v>14516.562500000002</v>
      </c>
      <c r="J283" s="16">
        <f t="shared" si="146"/>
        <v>16628.0625</v>
      </c>
      <c r="K283" s="16">
        <f t="shared" si="146"/>
        <v>18374.009062500001</v>
      </c>
      <c r="L283" s="16">
        <f t="shared" si="146"/>
        <v>20084.205290624996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spans="1:32" s="29" customFormat="1" ht="14" customHeight="1" outlineLevel="1" x14ac:dyDescent="0.15">
      <c r="A284" s="8"/>
      <c r="B284" s="39" t="str">
        <f>INDEX(product_table[], MATCH($E$263, product_table[Product],0), MATCH("ID", product_table[#Headers],0))</f>
        <v>P1</v>
      </c>
      <c r="C284" s="39" t="str">
        <f>INDEX(segment_table[],MATCH(E284,segment_table[Segment],0),MATCH("Seg_ID", segment_table[#Headers],0))</f>
        <v>S2</v>
      </c>
      <c r="D284" s="8"/>
      <c r="E284" s="50" t="str">
        <f>+'Product &amp; Segment Detail'!$E$14</f>
        <v>Segment 2</v>
      </c>
      <c r="F284" s="20"/>
      <c r="G284" s="16">
        <f t="shared" ref="G284:L284" si="147">SUMIFS(G$53:G$190, $E$53:$E$190, $E282, marketrev_range_prod_ids, $B284, marketrev_range_seg_ids, $C284)</f>
        <v>7312.5</v>
      </c>
      <c r="H284" s="16">
        <f t="shared" si="147"/>
        <v>8287.5</v>
      </c>
      <c r="I284" s="16">
        <f t="shared" si="147"/>
        <v>9480.9</v>
      </c>
      <c r="J284" s="16">
        <f t="shared" si="147"/>
        <v>11170.224</v>
      </c>
      <c r="K284" s="16">
        <f t="shared" si="147"/>
        <v>12706.129800000001</v>
      </c>
      <c r="L284" s="16">
        <f t="shared" si="147"/>
        <v>14094.030132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spans="1:32" s="29" customFormat="1" ht="14" customHeight="1" outlineLevel="1" x14ac:dyDescent="0.15">
      <c r="A285" s="8"/>
      <c r="B285" s="39" t="str">
        <f>INDEX(product_table[], MATCH($E$263, product_table[Product],0), MATCH("ID", product_table[#Headers],0))</f>
        <v>P1</v>
      </c>
      <c r="C285" s="39" t="str">
        <f>INDEX(segment_table[],MATCH(E285,segment_table[Segment],0),MATCH("Seg_ID", segment_table[#Headers],0))</f>
        <v>S3</v>
      </c>
      <c r="D285" s="8"/>
      <c r="E285" s="50" t="str">
        <f>+'Product &amp; Segment Detail'!$E$15</f>
        <v>Segment 3</v>
      </c>
      <c r="F285" s="20"/>
      <c r="G285" s="16">
        <f t="shared" ref="G285:L285" si="148">SUMIFS(G$53:G$190, $E$53:$E$190, $E282, marketrev_range_prod_ids, $B285, marketrev_range_seg_ids, $C285)</f>
        <v>5625</v>
      </c>
      <c r="H285" s="16">
        <f t="shared" si="148"/>
        <v>6562.5</v>
      </c>
      <c r="I285" s="16">
        <f t="shared" si="148"/>
        <v>7724.0625000000009</v>
      </c>
      <c r="J285" s="16">
        <f t="shared" si="148"/>
        <v>9437.4</v>
      </c>
      <c r="K285" s="16">
        <f t="shared" si="148"/>
        <v>11041.758000000002</v>
      </c>
      <c r="L285" s="16">
        <f t="shared" si="148"/>
        <v>12485.680200000003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spans="1:32" s="29" customFormat="1" ht="14" customHeight="1" outlineLevel="1" x14ac:dyDescent="0.15">
      <c r="A286" s="8"/>
      <c r="B286" s="39" t="str">
        <f>INDEX(product_table[], MATCH($E$263, product_table[Product],0), MATCH("ID", product_table[#Headers],0))</f>
        <v>P1</v>
      </c>
      <c r="C286" s="39" t="str">
        <f>INDEX(segment_table[],MATCH(E286,segment_table[Segment],0),MATCH("Seg_ID", segment_table[#Headers],0))</f>
        <v>S4</v>
      </c>
      <c r="D286" s="8"/>
      <c r="E286" s="50" t="str">
        <f>+'Product &amp; Segment Detail'!$E$16</f>
        <v>Segment 4</v>
      </c>
      <c r="F286" s="20"/>
      <c r="G286" s="16">
        <f t="shared" ref="G286:L286" si="149">SUMIFS(G$53:G$190, $E$53:$E$190, $E282, marketrev_range_prod_ids, $B286, marketrev_range_seg_ids, $C286)</f>
        <v>1687.5</v>
      </c>
      <c r="H286" s="16">
        <f t="shared" si="149"/>
        <v>2062.5000000000005</v>
      </c>
      <c r="I286" s="16">
        <f t="shared" si="149"/>
        <v>2722.5000000000005</v>
      </c>
      <c r="J286" s="16">
        <f t="shared" si="149"/>
        <v>3415.5</v>
      </c>
      <c r="K286" s="16">
        <f t="shared" si="149"/>
        <v>4162.640625</v>
      </c>
      <c r="L286" s="16">
        <f t="shared" si="149"/>
        <v>4931.1281250000002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spans="1:32" s="29" customFormat="1" ht="14" customHeight="1" outlineLevel="1" x14ac:dyDescent="0.15">
      <c r="A287" s="8"/>
      <c r="B287" s="39"/>
      <c r="C287" s="39"/>
      <c r="D287" s="8"/>
      <c r="E287" s="50"/>
      <c r="F287" s="20"/>
      <c r="G287" s="16"/>
      <c r="H287" s="16"/>
      <c r="I287" s="16"/>
      <c r="J287" s="16"/>
      <c r="K287" s="16"/>
      <c r="L287" s="16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spans="1:32" s="29" customFormat="1" ht="14" customHeight="1" outlineLevel="1" x14ac:dyDescent="0.15">
      <c r="A288" s="8"/>
      <c r="D288" s="8"/>
      <c r="E288" s="49" t="s">
        <v>11</v>
      </c>
      <c r="F288" s="20" t="s">
        <v>3</v>
      </c>
      <c r="G288" s="16"/>
      <c r="H288" s="16"/>
      <c r="I288" s="16"/>
      <c r="J288" s="16"/>
      <c r="K288" s="16"/>
      <c r="L288" s="16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spans="1:32" s="29" customFormat="1" ht="14" customHeight="1" outlineLevel="1" x14ac:dyDescent="0.15">
      <c r="A289" s="8"/>
      <c r="B289" s="39" t="str">
        <f>INDEX(product_table[], MATCH($E$263, product_table[Product],0), MATCH("ID", product_table[#Headers],0))</f>
        <v>P1</v>
      </c>
      <c r="C289" s="39" t="str">
        <f>INDEX(segment_table[],MATCH(E289,segment_table[Segment],0),MATCH("Seg_ID", segment_table[#Headers],0))</f>
        <v>S1</v>
      </c>
      <c r="D289" s="8"/>
      <c r="E289" s="50" t="str">
        <f>+'Product &amp; Segment Detail'!$E$13</f>
        <v>Segment 1</v>
      </c>
      <c r="F289" s="20"/>
      <c r="G289" s="16">
        <f t="shared" ref="G289:L289" si="150">SUMIFS(G$53:G$190, $E$53:$E$190, $E288, marketrev_range_prod_ids, $B289, marketrev_range_seg_ids, $C289)</f>
        <v>450</v>
      </c>
      <c r="H289" s="16">
        <f t="shared" si="150"/>
        <v>640.625</v>
      </c>
      <c r="I289" s="16">
        <f t="shared" si="150"/>
        <v>870.99375000000009</v>
      </c>
      <c r="J289" s="16">
        <f t="shared" si="150"/>
        <v>1163.9643749999998</v>
      </c>
      <c r="K289" s="16">
        <f t="shared" si="150"/>
        <v>1469.9207249999999</v>
      </c>
      <c r="L289" s="16">
        <f t="shared" si="150"/>
        <v>1807.5784761562495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spans="1:32" s="29" customFormat="1" ht="14" customHeight="1" outlineLevel="1" x14ac:dyDescent="0.15">
      <c r="A290" s="8"/>
      <c r="B290" s="39" t="str">
        <f>INDEX(product_table[], MATCH($E$263, product_table[Product],0), MATCH("ID", product_table[#Headers],0))</f>
        <v>P1</v>
      </c>
      <c r="C290" s="39" t="str">
        <f>INDEX(segment_table[],MATCH(E290,segment_table[Segment],0),MATCH("Seg_ID", segment_table[#Headers],0))</f>
        <v>S2</v>
      </c>
      <c r="D290" s="8"/>
      <c r="E290" s="50" t="str">
        <f>+'Product &amp; Segment Detail'!$E$14</f>
        <v>Segment 2</v>
      </c>
      <c r="F290" s="20"/>
      <c r="G290" s="16">
        <f t="shared" ref="G290:L290" si="151">SUMIFS(G$53:G$190, $E$53:$E$190, $E288, marketrev_range_prod_ids, $B290, marketrev_range_seg_ids, $C290)</f>
        <v>292.5</v>
      </c>
      <c r="H290" s="16">
        <f t="shared" si="151"/>
        <v>414.375</v>
      </c>
      <c r="I290" s="16">
        <f t="shared" si="151"/>
        <v>568.85400000000004</v>
      </c>
      <c r="J290" s="16">
        <f t="shared" si="151"/>
        <v>781.91567999999995</v>
      </c>
      <c r="K290" s="16">
        <f t="shared" si="151"/>
        <v>1016.4903839999999</v>
      </c>
      <c r="L290" s="16">
        <f t="shared" si="151"/>
        <v>1268.4627118799999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spans="1:32" s="29" customFormat="1" ht="14" customHeight="1" outlineLevel="1" x14ac:dyDescent="0.15">
      <c r="A291" s="8"/>
      <c r="B291" s="39" t="str">
        <f>INDEX(product_table[], MATCH($E$263, product_table[Product],0), MATCH("ID", product_table[#Headers],0))</f>
        <v>P1</v>
      </c>
      <c r="C291" s="39" t="str">
        <f>INDEX(segment_table[],MATCH(E291,segment_table[Segment],0),MATCH("Seg_ID", segment_table[#Headers],0))</f>
        <v>S3</v>
      </c>
      <c r="D291" s="8"/>
      <c r="E291" s="50" t="str">
        <f>+'Product &amp; Segment Detail'!$E$15</f>
        <v>Segment 3</v>
      </c>
      <c r="F291" s="20"/>
      <c r="G291" s="16">
        <f t="shared" ref="G291:L291" si="152">SUMIFS(G$53:G$190, $E$53:$E$190, $E288, marketrev_range_prod_ids, $B291, marketrev_range_seg_ids, $C291)</f>
        <v>225</v>
      </c>
      <c r="H291" s="16">
        <f t="shared" si="152"/>
        <v>328.125</v>
      </c>
      <c r="I291" s="16">
        <f t="shared" si="152"/>
        <v>463.44375000000002</v>
      </c>
      <c r="J291" s="16">
        <f t="shared" si="152"/>
        <v>660.61799999999994</v>
      </c>
      <c r="K291" s="16">
        <f t="shared" si="152"/>
        <v>883.34064000000012</v>
      </c>
      <c r="L291" s="16">
        <f t="shared" si="152"/>
        <v>1123.7112180000001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spans="1:32" s="29" customFormat="1" ht="14" customHeight="1" outlineLevel="1" x14ac:dyDescent="0.15">
      <c r="A292" s="8"/>
      <c r="B292" s="39" t="str">
        <f>INDEX(product_table[], MATCH($E$263, product_table[Product],0), MATCH("ID", product_table[#Headers],0))</f>
        <v>P1</v>
      </c>
      <c r="C292" s="39" t="str">
        <f>INDEX(segment_table[],MATCH(E292,segment_table[Segment],0),MATCH("Seg_ID", segment_table[#Headers],0))</f>
        <v>S4</v>
      </c>
      <c r="D292" s="8"/>
      <c r="E292" s="50" t="str">
        <f>+'Product &amp; Segment Detail'!$E$16</f>
        <v>Segment 4</v>
      </c>
      <c r="F292" s="20"/>
      <c r="G292" s="16">
        <f t="shared" ref="G292:L292" si="153">SUMIFS(G$53:G$190, $E$53:$E$190, $E288, marketrev_range_prod_ids, $B292, marketrev_range_seg_ids, $C292)</f>
        <v>67.5</v>
      </c>
      <c r="H292" s="16">
        <f t="shared" si="153"/>
        <v>103.12500000000001</v>
      </c>
      <c r="I292" s="16">
        <f t="shared" si="153"/>
        <v>163.35000000000002</v>
      </c>
      <c r="J292" s="16">
        <f t="shared" si="153"/>
        <v>239.08499999999998</v>
      </c>
      <c r="K292" s="16">
        <f t="shared" si="153"/>
        <v>333.01125000000002</v>
      </c>
      <c r="L292" s="16">
        <f t="shared" si="153"/>
        <v>443.80153124999998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spans="1:32" s="29" customFormat="1" ht="14" customHeight="1" outlineLevel="1" x14ac:dyDescent="0.15">
      <c r="A293" s="8"/>
      <c r="B293" s="39"/>
      <c r="C293" s="39"/>
      <c r="D293" s="8"/>
      <c r="E293" s="27"/>
      <c r="F293" s="20"/>
      <c r="G293" s="16"/>
      <c r="H293" s="16"/>
      <c r="I293" s="16"/>
      <c r="J293" s="16"/>
      <c r="K293" s="16"/>
      <c r="L293" s="16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spans="1:32" s="29" customFormat="1" ht="14" customHeight="1" outlineLevel="1" x14ac:dyDescent="0.15">
      <c r="A294" s="8"/>
      <c r="D294" s="8"/>
      <c r="E294" s="49" t="s">
        <v>14</v>
      </c>
      <c r="F294" s="20" t="s">
        <v>8</v>
      </c>
      <c r="G294" s="16"/>
      <c r="H294" s="16"/>
      <c r="I294" s="16"/>
      <c r="J294" s="16"/>
      <c r="K294" s="16"/>
      <c r="L294" s="16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spans="1:32" s="29" customFormat="1" ht="14" customHeight="1" outlineLevel="1" x14ac:dyDescent="0.15">
      <c r="A295" s="8"/>
      <c r="B295" s="39" t="str">
        <f>INDEX(product_table[], MATCH($E$263, product_table[Product],0), MATCH("ID", product_table[#Headers],0))</f>
        <v>P1</v>
      </c>
      <c r="C295" s="39" t="str">
        <f>INDEX(segment_table[],MATCH(E295,segment_table[Segment],0),MATCH("Seg_ID", segment_table[#Headers],0))</f>
        <v>S1</v>
      </c>
      <c r="D295" s="8"/>
      <c r="E295" s="50" t="str">
        <f>+'Product &amp; Segment Detail'!$E$13</f>
        <v>Segment 1</v>
      </c>
      <c r="F295" s="20"/>
      <c r="G295" s="16">
        <f t="shared" ref="G295:L295" si="154">SUMIFS(G$53:G$190, $E$53:$E$190, $E294, marketrev_range_prod_ids, $B295, marketrev_range_seg_ids, $C295)</f>
        <v>1125</v>
      </c>
      <c r="H295" s="16">
        <f t="shared" si="154"/>
        <v>1601.5625</v>
      </c>
      <c r="I295" s="16">
        <f t="shared" si="154"/>
        <v>2177.484375</v>
      </c>
      <c r="J295" s="16">
        <f t="shared" si="154"/>
        <v>2909.9109374999994</v>
      </c>
      <c r="K295" s="16">
        <f t="shared" si="154"/>
        <v>3674.8018124999999</v>
      </c>
      <c r="L295" s="16">
        <f t="shared" si="154"/>
        <v>4518.946190390624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spans="1:32" s="29" customFormat="1" ht="14" customHeight="1" outlineLevel="1" x14ac:dyDescent="0.15">
      <c r="A296" s="8"/>
      <c r="B296" s="39" t="str">
        <f>INDEX(product_table[], MATCH($E$263, product_table[Product],0), MATCH("ID", product_table[#Headers],0))</f>
        <v>P1</v>
      </c>
      <c r="C296" s="39" t="str">
        <f>INDEX(segment_table[],MATCH(E296,segment_table[Segment],0),MATCH("Seg_ID", segment_table[#Headers],0))</f>
        <v>S2</v>
      </c>
      <c r="D296" s="8"/>
      <c r="E296" s="50" t="str">
        <f>+'Product &amp; Segment Detail'!$E$14</f>
        <v>Segment 2</v>
      </c>
      <c r="F296" s="20"/>
      <c r="G296" s="16">
        <f t="shared" ref="G296:L296" si="155">SUMIFS(G$53:G$190, $E$53:$E$190, $E294, marketrev_range_prod_ids, $B296, marketrev_range_seg_ids, $C296)</f>
        <v>731.25</v>
      </c>
      <c r="H296" s="16">
        <f t="shared" si="155"/>
        <v>1035.9375</v>
      </c>
      <c r="I296" s="16">
        <f t="shared" si="155"/>
        <v>1422.1350000000002</v>
      </c>
      <c r="J296" s="16">
        <f t="shared" si="155"/>
        <v>1954.7891999999999</v>
      </c>
      <c r="K296" s="16">
        <f t="shared" si="155"/>
        <v>2541.2259599999998</v>
      </c>
      <c r="L296" s="16">
        <f t="shared" si="155"/>
        <v>3171.1567796999998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spans="1:32" s="29" customFormat="1" ht="14" customHeight="1" outlineLevel="1" x14ac:dyDescent="0.15">
      <c r="A297" s="8"/>
      <c r="B297" s="39" t="str">
        <f>INDEX(product_table[], MATCH($E$263, product_table[Product],0), MATCH("ID", product_table[#Headers],0))</f>
        <v>P1</v>
      </c>
      <c r="C297" s="39" t="str">
        <f>INDEX(segment_table[],MATCH(E297,segment_table[Segment],0),MATCH("Seg_ID", segment_table[#Headers],0))</f>
        <v>S3</v>
      </c>
      <c r="D297" s="8"/>
      <c r="E297" s="50" t="str">
        <f>+'Product &amp; Segment Detail'!$E$15</f>
        <v>Segment 3</v>
      </c>
      <c r="F297" s="20"/>
      <c r="G297" s="16">
        <f t="shared" ref="G297:L297" si="156">SUMIFS(G$53:G$190, $E$53:$E$190, $E294, marketrev_range_prod_ids, $B297, marketrev_range_seg_ids, $C297)</f>
        <v>562.5</v>
      </c>
      <c r="H297" s="16">
        <f t="shared" si="156"/>
        <v>820.3125</v>
      </c>
      <c r="I297" s="16">
        <f t="shared" si="156"/>
        <v>1158.609375</v>
      </c>
      <c r="J297" s="16">
        <f t="shared" si="156"/>
        <v>1651.5449999999998</v>
      </c>
      <c r="K297" s="16">
        <f t="shared" si="156"/>
        <v>2208.3516000000004</v>
      </c>
      <c r="L297" s="16">
        <f t="shared" si="156"/>
        <v>2809.2780450000005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spans="1:32" s="29" customFormat="1" ht="14" customHeight="1" outlineLevel="1" x14ac:dyDescent="0.15">
      <c r="A298" s="8"/>
      <c r="B298" s="39" t="str">
        <f>INDEX(product_table[], MATCH($E$263, product_table[Product],0), MATCH("ID", product_table[#Headers],0))</f>
        <v>P1</v>
      </c>
      <c r="C298" s="39" t="str">
        <f>INDEX(segment_table[],MATCH(E298,segment_table[Segment],0),MATCH("Seg_ID", segment_table[#Headers],0))</f>
        <v>S4</v>
      </c>
      <c r="D298" s="8"/>
      <c r="E298" s="50" t="str">
        <f>+'Product &amp; Segment Detail'!$E$16</f>
        <v>Segment 4</v>
      </c>
      <c r="F298" s="20"/>
      <c r="G298" s="16">
        <f t="shared" ref="G298:L298" si="157">SUMIFS(G$53:G$190, $E$53:$E$190, $E294, marketrev_range_prod_ids, $B298, marketrev_range_seg_ids, $C298)</f>
        <v>168.75</v>
      </c>
      <c r="H298" s="16">
        <f t="shared" si="157"/>
        <v>257.81250000000006</v>
      </c>
      <c r="I298" s="16">
        <f t="shared" si="157"/>
        <v>408.37500000000006</v>
      </c>
      <c r="J298" s="16">
        <f t="shared" si="157"/>
        <v>597.71249999999998</v>
      </c>
      <c r="K298" s="16">
        <f t="shared" si="157"/>
        <v>832.52812500000005</v>
      </c>
      <c r="L298" s="16">
        <f t="shared" si="157"/>
        <v>1109.5038281249999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spans="1:32" s="29" customFormat="1" ht="14" customHeight="1" outlineLevel="1" x14ac:dyDescent="0.15">
      <c r="A299" s="8"/>
      <c r="B299" s="8"/>
      <c r="C299" s="8"/>
      <c r="D299" s="8"/>
      <c r="E299" s="3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spans="1:32" s="29" customFormat="1" ht="14" customHeight="1" outlineLevel="1" x14ac:dyDescent="0.15">
      <c r="A300" s="8"/>
      <c r="B300" s="8"/>
      <c r="C300" s="8"/>
      <c r="D300" s="8"/>
      <c r="E300" s="51" t="str">
        <f>'Product &amp; Segment Detail'!$E$10</f>
        <v>Product_2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spans="1:32" s="29" customFormat="1" ht="14" customHeight="1" outlineLevel="1" x14ac:dyDescent="0.15">
      <c r="A301" s="8"/>
      <c r="D301" s="8"/>
      <c r="E301" s="49" t="s">
        <v>9</v>
      </c>
      <c r="F301" s="20" t="s">
        <v>3</v>
      </c>
      <c r="G301" s="16"/>
      <c r="H301" s="16"/>
      <c r="I301" s="16"/>
      <c r="J301" s="16"/>
      <c r="K301" s="16"/>
      <c r="L301" s="16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spans="1:32" s="29" customFormat="1" ht="14" customHeight="1" outlineLevel="1" x14ac:dyDescent="0.15">
      <c r="A302" s="8"/>
      <c r="B302" s="39" t="str">
        <f>INDEX(product_table[], MATCH($E$300, product_table[Product],0), MATCH("ID", product_table[#Headers],0))</f>
        <v>P2</v>
      </c>
      <c r="C302" s="39" t="str">
        <f>INDEX(segment_table[],MATCH(E302,segment_table[Segment],0),MATCH("Seg_ID", segment_table[#Headers],0))</f>
        <v>S1</v>
      </c>
      <c r="D302" s="8"/>
      <c r="E302" s="50" t="str">
        <f>+'Product &amp; Segment Detail'!$E$13</f>
        <v>Segment 1</v>
      </c>
      <c r="F302" s="20"/>
      <c r="G302" s="16">
        <f t="shared" ref="G302:L302" si="158">SUMIFS(G$53:G$190, $E$53:$E$190, $E301, marketrev_range_prod_ids, $B302, marketrev_range_seg_ids, $C302)</f>
        <v>12000</v>
      </c>
      <c r="H302" s="16">
        <f t="shared" si="158"/>
        <v>12600</v>
      </c>
      <c r="I302" s="16">
        <f t="shared" si="158"/>
        <v>13104</v>
      </c>
      <c r="J302" s="16">
        <f t="shared" si="158"/>
        <v>13497.12</v>
      </c>
      <c r="K302" s="16">
        <f t="shared" si="158"/>
        <v>13767.062400000001</v>
      </c>
      <c r="L302" s="16">
        <f t="shared" si="158"/>
        <v>13904.733024000001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spans="1:32" s="29" customFormat="1" ht="14" customHeight="1" outlineLevel="1" x14ac:dyDescent="0.15">
      <c r="A303" s="8"/>
      <c r="B303" s="39" t="str">
        <f>INDEX(product_table[], MATCH($E$300, product_table[Product],0), MATCH("ID", product_table[#Headers],0))</f>
        <v>P2</v>
      </c>
      <c r="C303" s="39" t="str">
        <f>INDEX(segment_table[],MATCH(E303,segment_table[Segment],0),MATCH("Seg_ID", segment_table[#Headers],0))</f>
        <v>S2</v>
      </c>
      <c r="D303" s="8"/>
      <c r="E303" s="50" t="str">
        <f>+'Product &amp; Segment Detail'!$E$14</f>
        <v>Segment 2</v>
      </c>
      <c r="F303" s="20"/>
      <c r="G303" s="16">
        <f t="shared" ref="G303:L303" si="159">SUMIFS(G$53:G$190, $E$53:$E$190, $E301, marketrev_range_prod_ids, $B303, marketrev_range_seg_ids, $C303)</f>
        <v>8000</v>
      </c>
      <c r="H303" s="16">
        <f t="shared" si="159"/>
        <v>8160</v>
      </c>
      <c r="I303" s="16">
        <f t="shared" si="159"/>
        <v>8364</v>
      </c>
      <c r="J303" s="16">
        <f t="shared" si="159"/>
        <v>8614.92</v>
      </c>
      <c r="K303" s="16">
        <f t="shared" si="159"/>
        <v>8873.3675999999996</v>
      </c>
      <c r="L303" s="16">
        <f t="shared" si="159"/>
        <v>9095.2017899999992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spans="1:32" s="29" customFormat="1" ht="14" customHeight="1" outlineLevel="1" x14ac:dyDescent="0.15">
      <c r="A304" s="8"/>
      <c r="B304" s="39" t="str">
        <f>INDEX(product_table[], MATCH($E$300, product_table[Product],0), MATCH("ID", product_table[#Headers],0))</f>
        <v>P2</v>
      </c>
      <c r="C304" s="39" t="str">
        <f>INDEX(segment_table[],MATCH(E304,segment_table[Segment],0),MATCH("Seg_ID", segment_table[#Headers],0))</f>
        <v>S3</v>
      </c>
      <c r="D304" s="8"/>
      <c r="E304" s="50" t="str">
        <f>+'Product &amp; Segment Detail'!$E$15</f>
        <v>Segment 3</v>
      </c>
      <c r="F304" s="20"/>
      <c r="G304" s="16">
        <f t="shared" ref="G304:L304" si="160">SUMIFS(G$53:G$190, $E$53:$E$190, $E301, marketrev_range_prod_ids, $B304, marketrev_range_seg_ids, $C304)</f>
        <v>4000</v>
      </c>
      <c r="H304" s="16">
        <f t="shared" si="160"/>
        <v>4040</v>
      </c>
      <c r="I304" s="16">
        <f t="shared" si="160"/>
        <v>4120.8</v>
      </c>
      <c r="J304" s="16">
        <f t="shared" si="160"/>
        <v>4244.424</v>
      </c>
      <c r="K304" s="16">
        <f t="shared" si="160"/>
        <v>4456.6451999999999</v>
      </c>
      <c r="L304" s="16">
        <f t="shared" si="160"/>
        <v>4679.4774600000001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spans="1:32" s="29" customFormat="1" ht="14" customHeight="1" outlineLevel="1" x14ac:dyDescent="0.15">
      <c r="A305" s="8"/>
      <c r="B305" s="39" t="str">
        <f>INDEX(product_table[], MATCH($E$300, product_table[Product],0), MATCH("ID", product_table[#Headers],0))</f>
        <v>P2</v>
      </c>
      <c r="C305" s="39" t="str">
        <f>INDEX(segment_table[],MATCH(E305,segment_table[Segment],0),MATCH("Seg_ID", segment_table[#Headers],0))</f>
        <v>S4</v>
      </c>
      <c r="D305" s="8"/>
      <c r="E305" s="50" t="str">
        <f>+'Product &amp; Segment Detail'!$E$16</f>
        <v>Segment 4</v>
      </c>
      <c r="F305" s="20"/>
      <c r="G305" s="16">
        <f t="shared" ref="G305:L305" si="161">SUMIFS(G$53:G$190, $E$53:$E$190, $E301, marketrev_range_prod_ids, $B305, marketrev_range_seg_ids, $C305)</f>
        <v>250</v>
      </c>
      <c r="H305" s="16">
        <f t="shared" si="161"/>
        <v>300</v>
      </c>
      <c r="I305" s="16">
        <f t="shared" si="161"/>
        <v>390</v>
      </c>
      <c r="J305" s="16">
        <f t="shared" si="161"/>
        <v>546</v>
      </c>
      <c r="K305" s="16">
        <f t="shared" si="161"/>
        <v>819</v>
      </c>
      <c r="L305" s="16">
        <f t="shared" si="161"/>
        <v>1269.45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spans="1:32" s="29" customFormat="1" ht="14" customHeight="1" outlineLevel="1" x14ac:dyDescent="0.15">
      <c r="A306" s="8"/>
      <c r="B306" s="39"/>
      <c r="C306" s="39"/>
      <c r="D306" s="8"/>
      <c r="E306" s="27"/>
      <c r="F306" s="20"/>
      <c r="G306" s="16"/>
      <c r="H306" s="16"/>
      <c r="I306" s="16"/>
      <c r="J306" s="16"/>
      <c r="K306" s="16"/>
      <c r="L306" s="16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spans="1:32" s="29" customFormat="1" ht="14" customHeight="1" outlineLevel="1" x14ac:dyDescent="0.15">
      <c r="A307" s="8"/>
      <c r="D307" s="8"/>
      <c r="E307" s="49" t="s">
        <v>12</v>
      </c>
      <c r="F307" s="20" t="s">
        <v>8</v>
      </c>
      <c r="G307" s="16"/>
      <c r="H307" s="16"/>
      <c r="I307" s="16"/>
      <c r="J307" s="16"/>
      <c r="K307" s="16"/>
      <c r="L307" s="16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spans="1:32" s="29" customFormat="1" ht="14" customHeight="1" outlineLevel="1" x14ac:dyDescent="0.15">
      <c r="A308" s="8"/>
      <c r="B308" s="39" t="str">
        <f>INDEX(product_table[], MATCH($E$300, product_table[Product],0), MATCH("ID", product_table[#Headers],0))</f>
        <v>P2</v>
      </c>
      <c r="C308" s="39" t="str">
        <f>INDEX(segment_table[],MATCH(E308,segment_table[Segment],0),MATCH("Seg_ID", segment_table[#Headers],0))</f>
        <v>S1</v>
      </c>
      <c r="D308" s="8"/>
      <c r="E308" s="50" t="str">
        <f>+'Product &amp; Segment Detail'!$E$13</f>
        <v>Segment 1</v>
      </c>
      <c r="F308" s="20"/>
      <c r="G308" s="16">
        <f t="shared" ref="G308:L308" si="162">SUMIFS(G$53:G$190, $E$53:$E$190, $E307, marketrev_range_prod_ids, $B308, marketrev_range_seg_ids, $C308)</f>
        <v>21000</v>
      </c>
      <c r="H308" s="16">
        <f t="shared" si="162"/>
        <v>22050</v>
      </c>
      <c r="I308" s="16">
        <f t="shared" si="162"/>
        <v>22932</v>
      </c>
      <c r="J308" s="16">
        <f t="shared" si="162"/>
        <v>23619.960000000003</v>
      </c>
      <c r="K308" s="16">
        <f t="shared" si="162"/>
        <v>24092.359200000003</v>
      </c>
      <c r="L308" s="16">
        <f t="shared" si="162"/>
        <v>24333.282792000002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spans="1:32" s="29" customFormat="1" ht="14" customHeight="1" outlineLevel="1" x14ac:dyDescent="0.15">
      <c r="A309" s="8"/>
      <c r="B309" s="39" t="str">
        <f>INDEX(product_table[], MATCH($E$300, product_table[Product],0), MATCH("ID", product_table[#Headers],0))</f>
        <v>P2</v>
      </c>
      <c r="C309" s="39" t="str">
        <f>INDEX(segment_table[],MATCH(E309,segment_table[Segment],0),MATCH("Seg_ID", segment_table[#Headers],0))</f>
        <v>S2</v>
      </c>
      <c r="D309" s="8"/>
      <c r="E309" s="50" t="str">
        <f>+'Product &amp; Segment Detail'!$E$14</f>
        <v>Segment 2</v>
      </c>
      <c r="F309" s="20"/>
      <c r="G309" s="16">
        <f t="shared" ref="G309:L309" si="163">SUMIFS(G$53:G$190, $E$53:$E$190, $E307, marketrev_range_prod_ids, $B309, marketrev_range_seg_ids, $C309)</f>
        <v>14000</v>
      </c>
      <c r="H309" s="16">
        <f t="shared" si="163"/>
        <v>14280</v>
      </c>
      <c r="I309" s="16">
        <f t="shared" si="163"/>
        <v>14637</v>
      </c>
      <c r="J309" s="16">
        <f t="shared" si="163"/>
        <v>15076.11</v>
      </c>
      <c r="K309" s="16">
        <f t="shared" si="163"/>
        <v>15528.3933</v>
      </c>
      <c r="L309" s="16">
        <f t="shared" si="163"/>
        <v>15916.603132499999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s="29" customFormat="1" ht="14" customHeight="1" outlineLevel="1" x14ac:dyDescent="0.15">
      <c r="A310" s="8"/>
      <c r="B310" s="39" t="str">
        <f>INDEX(product_table[], MATCH($E$300, product_table[Product],0), MATCH("ID", product_table[#Headers],0))</f>
        <v>P2</v>
      </c>
      <c r="C310" s="39" t="str">
        <f>INDEX(segment_table[],MATCH(E310,segment_table[Segment],0),MATCH("Seg_ID", segment_table[#Headers],0))</f>
        <v>S3</v>
      </c>
      <c r="D310" s="8"/>
      <c r="E310" s="50" t="str">
        <f>+'Product &amp; Segment Detail'!$E$15</f>
        <v>Segment 3</v>
      </c>
      <c r="F310" s="20"/>
      <c r="G310" s="16">
        <f t="shared" ref="G310:L310" si="164">SUMIFS(G$53:G$190, $E$53:$E$190, $E307, marketrev_range_prod_ids, $B310, marketrev_range_seg_ids, $C310)</f>
        <v>7000</v>
      </c>
      <c r="H310" s="16">
        <f t="shared" si="164"/>
        <v>7070</v>
      </c>
      <c r="I310" s="16">
        <f t="shared" si="164"/>
        <v>7211.4000000000005</v>
      </c>
      <c r="J310" s="16">
        <f t="shared" si="164"/>
        <v>7427.7420000000002</v>
      </c>
      <c r="K310" s="16">
        <f t="shared" si="164"/>
        <v>7799.1291000000001</v>
      </c>
      <c r="L310" s="16">
        <f t="shared" si="164"/>
        <v>8189.0855549999997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spans="1:32" s="29" customFormat="1" ht="14" customHeight="1" outlineLevel="1" x14ac:dyDescent="0.15">
      <c r="A311" s="8"/>
      <c r="B311" s="39" t="str">
        <f>INDEX(product_table[], MATCH($E$300, product_table[Product],0), MATCH("ID", product_table[#Headers],0))</f>
        <v>P2</v>
      </c>
      <c r="C311" s="39" t="str">
        <f>INDEX(segment_table[],MATCH(E311,segment_table[Segment],0),MATCH("Seg_ID", segment_table[#Headers],0))</f>
        <v>S4</v>
      </c>
      <c r="D311" s="8"/>
      <c r="E311" s="50" t="str">
        <f>+'Product &amp; Segment Detail'!$E$16</f>
        <v>Segment 4</v>
      </c>
      <c r="F311" s="20"/>
      <c r="G311" s="16">
        <f t="shared" ref="G311:L311" si="165">SUMIFS(G$53:G$190, $E$53:$E$190, $E307, marketrev_range_prod_ids, $B311, marketrev_range_seg_ids, $C311)</f>
        <v>437.5</v>
      </c>
      <c r="H311" s="16">
        <f t="shared" si="165"/>
        <v>525</v>
      </c>
      <c r="I311" s="16">
        <f t="shared" si="165"/>
        <v>682.5</v>
      </c>
      <c r="J311" s="16">
        <f t="shared" si="165"/>
        <v>955.5</v>
      </c>
      <c r="K311" s="16">
        <f t="shared" si="165"/>
        <v>1433.25</v>
      </c>
      <c r="L311" s="16">
        <f t="shared" si="165"/>
        <v>2221.5374999999999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spans="1:32" s="29" customFormat="1" ht="14" customHeight="1" outlineLevel="1" x14ac:dyDescent="0.15">
      <c r="A312" s="8"/>
      <c r="B312" s="8"/>
      <c r="C312" s="8"/>
      <c r="D312" s="8"/>
      <c r="E312" s="3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spans="1:32" s="29" customFormat="1" ht="14" customHeight="1" outlineLevel="1" x14ac:dyDescent="0.15">
      <c r="A313" s="8"/>
      <c r="D313" s="8"/>
      <c r="E313" s="49" t="s">
        <v>10</v>
      </c>
      <c r="F313" s="20" t="s">
        <v>3</v>
      </c>
      <c r="G313" s="16"/>
      <c r="H313" s="16"/>
      <c r="I313" s="16"/>
      <c r="J313" s="16"/>
      <c r="K313" s="16"/>
      <c r="L313" s="16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spans="1:32" s="29" customFormat="1" ht="14" customHeight="1" outlineLevel="1" x14ac:dyDescent="0.15">
      <c r="A314" s="8"/>
      <c r="B314" s="39" t="str">
        <f>INDEX(product_table[], MATCH($E$300, product_table[Product],0), MATCH("ID", product_table[#Headers],0))</f>
        <v>P2</v>
      </c>
      <c r="C314" s="39" t="str">
        <f>INDEX(segment_table[],MATCH(E314,segment_table[Segment],0),MATCH("Seg_ID", segment_table[#Headers],0))</f>
        <v>S1</v>
      </c>
      <c r="D314" s="8"/>
      <c r="E314" s="50" t="str">
        <f>+'Product &amp; Segment Detail'!$E$13</f>
        <v>Segment 1</v>
      </c>
      <c r="F314" s="20"/>
      <c r="G314" s="16">
        <f t="shared" ref="G314:L314" si="166">SUMIFS(G$53:G$190, $E$53:$E$190, $E313, marketrev_range_prod_ids, $B314, marketrev_range_seg_ids, $C314)</f>
        <v>5400</v>
      </c>
      <c r="H314" s="16">
        <f t="shared" si="166"/>
        <v>6300</v>
      </c>
      <c r="I314" s="16">
        <f t="shared" si="166"/>
        <v>7207.2000000000007</v>
      </c>
      <c r="J314" s="16">
        <f t="shared" si="166"/>
        <v>8098.2719999999999</v>
      </c>
      <c r="K314" s="16">
        <f t="shared" si="166"/>
        <v>8948.5905600000006</v>
      </c>
      <c r="L314" s="16">
        <f t="shared" si="166"/>
        <v>9733.3131168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spans="1:32" s="29" customFormat="1" ht="14" customHeight="1" outlineLevel="1" x14ac:dyDescent="0.15">
      <c r="A315" s="8"/>
      <c r="B315" s="39" t="str">
        <f>INDEX(product_table[], MATCH($E$300, product_table[Product],0), MATCH("ID", product_table[#Headers],0))</f>
        <v>P2</v>
      </c>
      <c r="C315" s="39" t="str">
        <f>INDEX(segment_table[],MATCH(E315,segment_table[Segment],0),MATCH("Seg_ID", segment_table[#Headers],0))</f>
        <v>S2</v>
      </c>
      <c r="D315" s="8"/>
      <c r="E315" s="50" t="str">
        <f>+'Product &amp; Segment Detail'!$E$14</f>
        <v>Segment 2</v>
      </c>
      <c r="F315" s="20"/>
      <c r="G315" s="16">
        <f t="shared" ref="G315:L315" si="167">SUMIFS(G$53:G$190, $E$53:$E$190, $E313, marketrev_range_prod_ids, $B315, marketrev_range_seg_ids, $C315)</f>
        <v>3600</v>
      </c>
      <c r="H315" s="16">
        <f t="shared" si="167"/>
        <v>4080</v>
      </c>
      <c r="I315" s="16">
        <f t="shared" si="167"/>
        <v>4600.2000000000007</v>
      </c>
      <c r="J315" s="16">
        <f t="shared" si="167"/>
        <v>5168.9520000000002</v>
      </c>
      <c r="K315" s="16">
        <f t="shared" si="167"/>
        <v>5767.68894</v>
      </c>
      <c r="L315" s="16">
        <f t="shared" si="167"/>
        <v>6366.6412529999989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s="29" customFormat="1" ht="14" customHeight="1" outlineLevel="1" x14ac:dyDescent="0.15">
      <c r="A316" s="8"/>
      <c r="B316" s="39" t="str">
        <f>INDEX(product_table[], MATCH($E$300, product_table[Product],0), MATCH("ID", product_table[#Headers],0))</f>
        <v>P2</v>
      </c>
      <c r="C316" s="39" t="str">
        <f>INDEX(segment_table[],MATCH(E316,segment_table[Segment],0),MATCH("Seg_ID", segment_table[#Headers],0))</f>
        <v>S3</v>
      </c>
      <c r="D316" s="8"/>
      <c r="E316" s="50" t="str">
        <f>+'Product &amp; Segment Detail'!$E$15</f>
        <v>Segment 3</v>
      </c>
      <c r="F316" s="20"/>
      <c r="G316" s="16">
        <f t="shared" ref="G316:L316" si="168">SUMIFS(G$53:G$190, $E$53:$E$190, $E313, marketrev_range_prod_ids, $B316, marketrev_range_seg_ids, $C316)</f>
        <v>1800</v>
      </c>
      <c r="H316" s="16">
        <f t="shared" si="168"/>
        <v>2020</v>
      </c>
      <c r="I316" s="16">
        <f t="shared" si="168"/>
        <v>2266.4400000000005</v>
      </c>
      <c r="J316" s="16">
        <f t="shared" si="168"/>
        <v>2546.6543999999999</v>
      </c>
      <c r="K316" s="16">
        <f t="shared" si="168"/>
        <v>2896.8193799999999</v>
      </c>
      <c r="L316" s="16">
        <f t="shared" si="168"/>
        <v>3275.6342219999997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spans="1:32" s="29" customFormat="1" ht="14" customHeight="1" outlineLevel="1" x14ac:dyDescent="0.15">
      <c r="A317" s="8"/>
      <c r="B317" s="39" t="str">
        <f>INDEX(product_table[], MATCH($E$300, product_table[Product],0), MATCH("ID", product_table[#Headers],0))</f>
        <v>P2</v>
      </c>
      <c r="C317" s="39" t="str">
        <f>INDEX(segment_table[],MATCH(E317,segment_table[Segment],0),MATCH("Seg_ID", segment_table[#Headers],0))</f>
        <v>S4</v>
      </c>
      <c r="D317" s="8"/>
      <c r="E317" s="50" t="str">
        <f>+'Product &amp; Segment Detail'!$E$16</f>
        <v>Segment 4</v>
      </c>
      <c r="F317" s="20"/>
      <c r="G317" s="16">
        <f t="shared" ref="G317:L317" si="169">SUMIFS(G$53:G$190, $E$53:$E$190, $E313, marketrev_range_prod_ids, $B317, marketrev_range_seg_ids, $C317)</f>
        <v>112.5</v>
      </c>
      <c r="H317" s="16">
        <f t="shared" si="169"/>
        <v>150</v>
      </c>
      <c r="I317" s="16">
        <f t="shared" si="169"/>
        <v>214.50000000000003</v>
      </c>
      <c r="J317" s="16">
        <f t="shared" si="169"/>
        <v>327.59999999999997</v>
      </c>
      <c r="K317" s="16">
        <f t="shared" si="169"/>
        <v>532.35</v>
      </c>
      <c r="L317" s="16">
        <f t="shared" si="169"/>
        <v>888.61500000000001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spans="1:32" s="29" customFormat="1" ht="14" customHeight="1" outlineLevel="1" x14ac:dyDescent="0.15">
      <c r="A318" s="8"/>
      <c r="B318" s="39"/>
      <c r="C318" s="39"/>
      <c r="D318" s="8"/>
      <c r="E318" s="27"/>
      <c r="F318" s="20"/>
      <c r="G318" s="16"/>
      <c r="H318" s="16"/>
      <c r="I318" s="16"/>
      <c r="J318" s="16"/>
      <c r="K318" s="16"/>
      <c r="L318" s="16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spans="1:32" s="29" customFormat="1" ht="14" customHeight="1" outlineLevel="1" x14ac:dyDescent="0.15">
      <c r="A319" s="8"/>
      <c r="D319" s="8"/>
      <c r="E319" s="49" t="s">
        <v>13</v>
      </c>
      <c r="F319" s="20" t="s">
        <v>8</v>
      </c>
      <c r="G319" s="16"/>
      <c r="H319" s="16"/>
      <c r="I319" s="16"/>
      <c r="J319" s="16"/>
      <c r="K319" s="16"/>
      <c r="L319" s="16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spans="1:32" s="29" customFormat="1" ht="14" customHeight="1" outlineLevel="1" x14ac:dyDescent="0.15">
      <c r="A320" s="8"/>
      <c r="B320" s="39" t="str">
        <f>INDEX(product_table[], MATCH($E$300, product_table[Product],0), MATCH("ID", product_table[#Headers],0))</f>
        <v>P2</v>
      </c>
      <c r="C320" s="39" t="str">
        <f>INDEX(segment_table[],MATCH(E320,segment_table[Segment],0),MATCH("Seg_ID", segment_table[#Headers],0))</f>
        <v>S1</v>
      </c>
      <c r="D320" s="8"/>
      <c r="E320" s="50" t="str">
        <f>+'Product &amp; Segment Detail'!$E$13</f>
        <v>Segment 1</v>
      </c>
      <c r="F320" s="20"/>
      <c r="G320" s="16">
        <f t="shared" ref="G320:L320" si="170">SUMIFS(G$53:G$190, $E$53:$E$190, $E319, marketrev_range_prod_ids, $B320, marketrev_range_seg_ids, $C320)</f>
        <v>9450</v>
      </c>
      <c r="H320" s="16">
        <f t="shared" si="170"/>
        <v>11025</v>
      </c>
      <c r="I320" s="16">
        <f t="shared" si="170"/>
        <v>12612.600000000002</v>
      </c>
      <c r="J320" s="16">
        <f t="shared" si="170"/>
        <v>14171.976000000001</v>
      </c>
      <c r="K320" s="16">
        <f t="shared" si="170"/>
        <v>15660.033480000002</v>
      </c>
      <c r="L320" s="16">
        <f t="shared" si="170"/>
        <v>17033.297954400001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spans="1:32" s="29" customFormat="1" ht="14" customHeight="1" outlineLevel="1" x14ac:dyDescent="0.15">
      <c r="A321" s="8"/>
      <c r="B321" s="39" t="str">
        <f>INDEX(product_table[], MATCH($E$300, product_table[Product],0), MATCH("ID", product_table[#Headers],0))</f>
        <v>P2</v>
      </c>
      <c r="C321" s="39" t="str">
        <f>INDEX(segment_table[],MATCH(E321,segment_table[Segment],0),MATCH("Seg_ID", segment_table[#Headers],0))</f>
        <v>S2</v>
      </c>
      <c r="D321" s="8"/>
      <c r="E321" s="50" t="str">
        <f>+'Product &amp; Segment Detail'!$E$14</f>
        <v>Segment 2</v>
      </c>
      <c r="F321" s="20"/>
      <c r="G321" s="16">
        <f t="shared" ref="G321:L321" si="171">SUMIFS(G$53:G$190, $E$53:$E$190, $E319, marketrev_range_prod_ids, $B321, marketrev_range_seg_ids, $C321)</f>
        <v>6300</v>
      </c>
      <c r="H321" s="16">
        <f t="shared" si="171"/>
        <v>7140</v>
      </c>
      <c r="I321" s="16">
        <f t="shared" si="171"/>
        <v>8050.3500000000013</v>
      </c>
      <c r="J321" s="16">
        <f t="shared" si="171"/>
        <v>9045.6660000000011</v>
      </c>
      <c r="K321" s="16">
        <f t="shared" si="171"/>
        <v>10093.455645</v>
      </c>
      <c r="L321" s="16">
        <f t="shared" si="171"/>
        <v>11141.622192749997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spans="1:32" s="29" customFormat="1" ht="14" customHeight="1" outlineLevel="1" x14ac:dyDescent="0.15">
      <c r="A322" s="8"/>
      <c r="B322" s="39" t="str">
        <f>INDEX(product_table[], MATCH($E$300, product_table[Product],0), MATCH("ID", product_table[#Headers],0))</f>
        <v>P2</v>
      </c>
      <c r="C322" s="39" t="str">
        <f>INDEX(segment_table[],MATCH(E322,segment_table[Segment],0),MATCH("Seg_ID", segment_table[#Headers],0))</f>
        <v>S3</v>
      </c>
      <c r="D322" s="8"/>
      <c r="E322" s="50" t="str">
        <f>+'Product &amp; Segment Detail'!$E$15</f>
        <v>Segment 3</v>
      </c>
      <c r="F322" s="20"/>
      <c r="G322" s="16">
        <f t="shared" ref="G322:L322" si="172">SUMIFS(G$53:G$190, $E$53:$E$190, $E319, marketrev_range_prod_ids, $B322, marketrev_range_seg_ids, $C322)</f>
        <v>3150</v>
      </c>
      <c r="H322" s="16">
        <f t="shared" si="172"/>
        <v>3535</v>
      </c>
      <c r="I322" s="16">
        <f t="shared" si="172"/>
        <v>3966.2700000000009</v>
      </c>
      <c r="J322" s="16">
        <f t="shared" si="172"/>
        <v>4456.6451999999999</v>
      </c>
      <c r="K322" s="16">
        <f t="shared" si="172"/>
        <v>5069.4339149999996</v>
      </c>
      <c r="L322" s="16">
        <f t="shared" si="172"/>
        <v>5732.3598884999992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spans="1:32" s="29" customFormat="1" ht="14" customHeight="1" outlineLevel="1" x14ac:dyDescent="0.15">
      <c r="A323" s="8"/>
      <c r="B323" s="39" t="str">
        <f>INDEX(product_table[], MATCH($E$300, product_table[Product],0), MATCH("ID", product_table[#Headers],0))</f>
        <v>P2</v>
      </c>
      <c r="C323" s="39" t="str">
        <f>INDEX(segment_table[],MATCH(E323,segment_table[Segment],0),MATCH("Seg_ID", segment_table[#Headers],0))</f>
        <v>S4</v>
      </c>
      <c r="D323" s="8"/>
      <c r="E323" s="50" t="str">
        <f>+'Product &amp; Segment Detail'!$E$16</f>
        <v>Segment 4</v>
      </c>
      <c r="F323" s="20"/>
      <c r="G323" s="16">
        <f t="shared" ref="G323:L323" si="173">SUMIFS(G$53:G$190, $E$53:$E$190, $E319, marketrev_range_prod_ids, $B323, marketrev_range_seg_ids, $C323)</f>
        <v>196.875</v>
      </c>
      <c r="H323" s="16">
        <f t="shared" si="173"/>
        <v>262.5</v>
      </c>
      <c r="I323" s="16">
        <f t="shared" si="173"/>
        <v>375.37500000000006</v>
      </c>
      <c r="J323" s="16">
        <f t="shared" si="173"/>
        <v>573.29999999999995</v>
      </c>
      <c r="K323" s="16">
        <f t="shared" si="173"/>
        <v>931.61250000000007</v>
      </c>
      <c r="L323" s="16">
        <f t="shared" si="173"/>
        <v>1555.0762500000001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spans="1:32" s="29" customFormat="1" ht="14" customHeight="1" outlineLevel="1" x14ac:dyDescent="0.15">
      <c r="A324" s="8"/>
      <c r="B324" s="39"/>
      <c r="C324" s="39"/>
      <c r="D324" s="8"/>
      <c r="E324" s="50"/>
      <c r="F324" s="20"/>
      <c r="G324" s="16"/>
      <c r="H324" s="16"/>
      <c r="I324" s="16"/>
      <c r="J324" s="16"/>
      <c r="K324" s="16"/>
      <c r="L324" s="16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spans="1:32" s="29" customFormat="1" ht="14" customHeight="1" outlineLevel="1" x14ac:dyDescent="0.15">
      <c r="A325" s="8"/>
      <c r="D325" s="8"/>
      <c r="E325" s="49" t="s">
        <v>11</v>
      </c>
      <c r="F325" s="20" t="s">
        <v>3</v>
      </c>
      <c r="G325" s="16"/>
      <c r="H325" s="16"/>
      <c r="I325" s="16"/>
      <c r="J325" s="16"/>
      <c r="K325" s="16"/>
      <c r="L325" s="16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spans="1:32" s="29" customFormat="1" ht="14" customHeight="1" outlineLevel="1" x14ac:dyDescent="0.15">
      <c r="A326" s="8"/>
      <c r="B326" s="39" t="str">
        <f>INDEX(product_table[], MATCH($E$300, product_table[Product],0), MATCH("ID", product_table[#Headers],0))</f>
        <v>P2</v>
      </c>
      <c r="C326" s="39" t="str">
        <f>INDEX(segment_table[],MATCH(E326,segment_table[Segment],0),MATCH("Seg_ID", segment_table[#Headers],0))</f>
        <v>S1</v>
      </c>
      <c r="D326" s="8"/>
      <c r="E326" s="50" t="str">
        <f>+'Product &amp; Segment Detail'!$E$13</f>
        <v>Segment 1</v>
      </c>
      <c r="F326" s="20"/>
      <c r="G326" s="16">
        <f t="shared" ref="G326:L326" si="174">SUMIFS(G$53:G$190, $E$53:$E$190, $E325, marketrev_range_prod_ids, $B326, marketrev_range_seg_ids, $C326)</f>
        <v>540</v>
      </c>
      <c r="H326" s="16">
        <f t="shared" si="174"/>
        <v>787.5</v>
      </c>
      <c r="I326" s="16">
        <f t="shared" si="174"/>
        <v>1081.0800000000002</v>
      </c>
      <c r="J326" s="16">
        <f t="shared" si="174"/>
        <v>1417.1976</v>
      </c>
      <c r="K326" s="16">
        <f t="shared" si="174"/>
        <v>1789.718112</v>
      </c>
      <c r="L326" s="16">
        <f t="shared" si="174"/>
        <v>2189.99545128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spans="1:32" s="29" customFormat="1" ht="14" customHeight="1" outlineLevel="1" x14ac:dyDescent="0.15">
      <c r="A327" s="8"/>
      <c r="B327" s="39" t="str">
        <f>INDEX(product_table[], MATCH($E$300, product_table[Product],0), MATCH("ID", product_table[#Headers],0))</f>
        <v>P2</v>
      </c>
      <c r="C327" s="39" t="str">
        <f>INDEX(segment_table[],MATCH(E327,segment_table[Segment],0),MATCH("Seg_ID", segment_table[#Headers],0))</f>
        <v>S2</v>
      </c>
      <c r="D327" s="8"/>
      <c r="E327" s="50" t="str">
        <f>+'Product &amp; Segment Detail'!$E$14</f>
        <v>Segment 2</v>
      </c>
      <c r="F327" s="20"/>
      <c r="G327" s="16">
        <f t="shared" ref="G327:L327" si="175">SUMIFS(G$53:G$190, $E$53:$E$190, $E325, marketrev_range_prod_ids, $B327, marketrev_range_seg_ids, $C327)</f>
        <v>360</v>
      </c>
      <c r="H327" s="16">
        <f t="shared" si="175"/>
        <v>510</v>
      </c>
      <c r="I327" s="16">
        <f t="shared" si="175"/>
        <v>690.03000000000009</v>
      </c>
      <c r="J327" s="16">
        <f t="shared" si="175"/>
        <v>904.56659999999999</v>
      </c>
      <c r="K327" s="16">
        <f t="shared" si="175"/>
        <v>1153.5377879999999</v>
      </c>
      <c r="L327" s="16">
        <f t="shared" si="175"/>
        <v>1432.4942819249995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spans="1:32" s="29" customFormat="1" ht="14" customHeight="1" outlineLevel="1" x14ac:dyDescent="0.15">
      <c r="A328" s="8"/>
      <c r="B328" s="39" t="str">
        <f>INDEX(product_table[], MATCH($E$300, product_table[Product],0), MATCH("ID", product_table[#Headers],0))</f>
        <v>P2</v>
      </c>
      <c r="C328" s="39" t="str">
        <f>INDEX(segment_table[],MATCH(E328,segment_table[Segment],0),MATCH("Seg_ID", segment_table[#Headers],0))</f>
        <v>S3</v>
      </c>
      <c r="D328" s="8"/>
      <c r="E328" s="50" t="str">
        <f>+'Product &amp; Segment Detail'!$E$15</f>
        <v>Segment 3</v>
      </c>
      <c r="F328" s="20"/>
      <c r="G328" s="16">
        <f t="shared" ref="G328:L328" si="176">SUMIFS(G$53:G$190, $E$53:$E$190, $E325, marketrev_range_prod_ids, $B328, marketrev_range_seg_ids, $C328)</f>
        <v>180</v>
      </c>
      <c r="H328" s="16">
        <f t="shared" si="176"/>
        <v>252.5</v>
      </c>
      <c r="I328" s="16">
        <f t="shared" si="176"/>
        <v>339.96600000000007</v>
      </c>
      <c r="J328" s="16">
        <f t="shared" si="176"/>
        <v>445.66451999999998</v>
      </c>
      <c r="K328" s="16">
        <f t="shared" si="176"/>
        <v>579.36387599999989</v>
      </c>
      <c r="L328" s="16">
        <f t="shared" si="176"/>
        <v>737.01769994999984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spans="1:32" s="29" customFormat="1" ht="14" customHeight="1" outlineLevel="1" x14ac:dyDescent="0.15">
      <c r="A329" s="8"/>
      <c r="B329" s="39" t="str">
        <f>INDEX(product_table[], MATCH($E$300, product_table[Product],0), MATCH("ID", product_table[#Headers],0))</f>
        <v>P2</v>
      </c>
      <c r="C329" s="39" t="str">
        <f>INDEX(segment_table[],MATCH(E329,segment_table[Segment],0),MATCH("Seg_ID", segment_table[#Headers],0))</f>
        <v>S4</v>
      </c>
      <c r="D329" s="8"/>
      <c r="E329" s="50" t="str">
        <f>+'Product &amp; Segment Detail'!$E$16</f>
        <v>Segment 4</v>
      </c>
      <c r="F329" s="20"/>
      <c r="G329" s="16">
        <f t="shared" ref="G329:L329" si="177">SUMIFS(G$53:G$190, $E$53:$E$190, $E325, marketrev_range_prod_ids, $B329, marketrev_range_seg_ids, $C329)</f>
        <v>11.25</v>
      </c>
      <c r="H329" s="16">
        <f t="shared" si="177"/>
        <v>18.75</v>
      </c>
      <c r="I329" s="16">
        <f t="shared" si="177"/>
        <v>32.175000000000004</v>
      </c>
      <c r="J329" s="16">
        <f t="shared" si="177"/>
        <v>57.329999999999991</v>
      </c>
      <c r="K329" s="16">
        <f t="shared" si="177"/>
        <v>106.47</v>
      </c>
      <c r="L329" s="16">
        <f t="shared" si="177"/>
        <v>199.93837499999998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spans="1:32" s="29" customFormat="1" ht="14" customHeight="1" outlineLevel="1" x14ac:dyDescent="0.15">
      <c r="A330" s="8"/>
      <c r="B330" s="39"/>
      <c r="C330" s="39"/>
      <c r="D330" s="8"/>
      <c r="E330" s="27"/>
      <c r="F330" s="20"/>
      <c r="G330" s="16"/>
      <c r="H330" s="16"/>
      <c r="I330" s="16"/>
      <c r="J330" s="16"/>
      <c r="K330" s="16"/>
      <c r="L330" s="16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spans="1:32" s="29" customFormat="1" ht="14" customHeight="1" outlineLevel="1" x14ac:dyDescent="0.15">
      <c r="A331" s="8"/>
      <c r="D331" s="8"/>
      <c r="E331" s="49" t="s">
        <v>14</v>
      </c>
      <c r="F331" s="20" t="s">
        <v>8</v>
      </c>
      <c r="G331" s="16"/>
      <c r="H331" s="16"/>
      <c r="I331" s="16"/>
      <c r="J331" s="16"/>
      <c r="K331" s="16"/>
      <c r="L331" s="16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spans="1:32" s="29" customFormat="1" ht="14" customHeight="1" outlineLevel="1" x14ac:dyDescent="0.15">
      <c r="A332" s="8"/>
      <c r="B332" s="39" t="str">
        <f>INDEX(product_table[], MATCH($E$300, product_table[Product],0), MATCH("ID", product_table[#Headers],0))</f>
        <v>P2</v>
      </c>
      <c r="C332" s="39" t="str">
        <f>INDEX(segment_table[],MATCH(E332,segment_table[Segment],0),MATCH("Seg_ID", segment_table[#Headers],0))</f>
        <v>S1</v>
      </c>
      <c r="D332" s="8"/>
      <c r="E332" s="50" t="str">
        <f>+'Product &amp; Segment Detail'!$E$13</f>
        <v>Segment 1</v>
      </c>
      <c r="F332" s="20"/>
      <c r="G332" s="16">
        <f t="shared" ref="G332:L332" si="178">SUMIFS(G$53:G$190, $E$53:$E$190, $E331, marketrev_range_prod_ids, $B332, marketrev_range_seg_ids, $C332)</f>
        <v>945</v>
      </c>
      <c r="H332" s="16">
        <f t="shared" si="178"/>
        <v>1378.125</v>
      </c>
      <c r="I332" s="16">
        <f t="shared" si="178"/>
        <v>1891.8900000000003</v>
      </c>
      <c r="J332" s="16">
        <f t="shared" si="178"/>
        <v>2480.0958000000001</v>
      </c>
      <c r="K332" s="16">
        <f t="shared" si="178"/>
        <v>3132.0066959999999</v>
      </c>
      <c r="L332" s="16">
        <f t="shared" si="178"/>
        <v>3832.4920397400001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spans="1:32" s="29" customFormat="1" ht="14" customHeight="1" outlineLevel="1" x14ac:dyDescent="0.15">
      <c r="A333" s="8"/>
      <c r="B333" s="39" t="str">
        <f>INDEX(product_table[], MATCH($E$300, product_table[Product],0), MATCH("ID", product_table[#Headers],0))</f>
        <v>P2</v>
      </c>
      <c r="C333" s="39" t="str">
        <f>INDEX(segment_table[],MATCH(E333,segment_table[Segment],0),MATCH("Seg_ID", segment_table[#Headers],0))</f>
        <v>S2</v>
      </c>
      <c r="D333" s="8"/>
      <c r="E333" s="50" t="str">
        <f>+'Product &amp; Segment Detail'!$E$14</f>
        <v>Segment 2</v>
      </c>
      <c r="F333" s="20"/>
      <c r="G333" s="16">
        <f t="shared" ref="G333:L333" si="179">SUMIFS(G$53:G$190, $E$53:$E$190, $E331, marketrev_range_prod_ids, $B333, marketrev_range_seg_ids, $C333)</f>
        <v>630</v>
      </c>
      <c r="H333" s="16">
        <f t="shared" si="179"/>
        <v>892.5</v>
      </c>
      <c r="I333" s="16">
        <f t="shared" si="179"/>
        <v>1207.5525000000002</v>
      </c>
      <c r="J333" s="16">
        <f t="shared" si="179"/>
        <v>1582.99155</v>
      </c>
      <c r="K333" s="16">
        <f t="shared" si="179"/>
        <v>2018.6911289999998</v>
      </c>
      <c r="L333" s="16">
        <f t="shared" si="179"/>
        <v>2506.8649933687493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spans="1:32" s="29" customFormat="1" ht="14" customHeight="1" outlineLevel="1" x14ac:dyDescent="0.15">
      <c r="A334" s="8"/>
      <c r="B334" s="39" t="str">
        <f>INDEX(product_table[], MATCH($E$300, product_table[Product],0), MATCH("ID", product_table[#Headers],0))</f>
        <v>P2</v>
      </c>
      <c r="C334" s="39" t="str">
        <f>INDEX(segment_table[],MATCH(E334,segment_table[Segment],0),MATCH("Seg_ID", segment_table[#Headers],0))</f>
        <v>S3</v>
      </c>
      <c r="D334" s="8"/>
      <c r="E334" s="50" t="str">
        <f>+'Product &amp; Segment Detail'!$E$15</f>
        <v>Segment 3</v>
      </c>
      <c r="F334" s="20"/>
      <c r="G334" s="16">
        <f t="shared" ref="G334:L334" si="180">SUMIFS(G$53:G$190, $E$53:$E$190, $E331, marketrev_range_prod_ids, $B334, marketrev_range_seg_ids, $C334)</f>
        <v>315</v>
      </c>
      <c r="H334" s="16">
        <f t="shared" si="180"/>
        <v>441.875</v>
      </c>
      <c r="I334" s="16">
        <f t="shared" si="180"/>
        <v>594.94050000000016</v>
      </c>
      <c r="J334" s="16">
        <f t="shared" si="180"/>
        <v>779.91291000000001</v>
      </c>
      <c r="K334" s="16">
        <f t="shared" si="180"/>
        <v>1013.8867829999998</v>
      </c>
      <c r="L334" s="16">
        <f t="shared" si="180"/>
        <v>1289.7809749124997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spans="1:32" s="29" customFormat="1" ht="14" customHeight="1" outlineLevel="1" x14ac:dyDescent="0.15">
      <c r="A335" s="8"/>
      <c r="B335" s="39" t="str">
        <f>INDEX(product_table[], MATCH($E$300, product_table[Product],0), MATCH("ID", product_table[#Headers],0))</f>
        <v>P2</v>
      </c>
      <c r="C335" s="39" t="str">
        <f>INDEX(segment_table[],MATCH(E335,segment_table[Segment],0),MATCH("Seg_ID", segment_table[#Headers],0))</f>
        <v>S4</v>
      </c>
      <c r="D335" s="8"/>
      <c r="E335" s="50" t="str">
        <f>+'Product &amp; Segment Detail'!$E$16</f>
        <v>Segment 4</v>
      </c>
      <c r="F335" s="20"/>
      <c r="G335" s="16">
        <f t="shared" ref="G335:L335" si="181">SUMIFS(G$53:G$190, $E$53:$E$190, $E331, marketrev_range_prod_ids, $B335, marketrev_range_seg_ids, $C335)</f>
        <v>19.6875</v>
      </c>
      <c r="H335" s="16">
        <f t="shared" si="181"/>
        <v>32.8125</v>
      </c>
      <c r="I335" s="16">
        <f t="shared" si="181"/>
        <v>56.306250000000006</v>
      </c>
      <c r="J335" s="16">
        <f t="shared" si="181"/>
        <v>100.32749999999999</v>
      </c>
      <c r="K335" s="16">
        <f t="shared" si="181"/>
        <v>186.32249999999999</v>
      </c>
      <c r="L335" s="16">
        <f t="shared" si="181"/>
        <v>349.89215624999997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spans="1:32" s="29" customFormat="1" ht="14" customHeight="1" outlineLevel="1" x14ac:dyDescent="0.15">
      <c r="A336" s="8"/>
      <c r="B336" s="39"/>
      <c r="C336" s="39"/>
      <c r="D336" s="8"/>
      <c r="E336" s="50"/>
      <c r="F336" s="20"/>
      <c r="G336" s="16"/>
      <c r="H336" s="16"/>
      <c r="I336" s="16"/>
      <c r="J336" s="16"/>
      <c r="K336" s="16"/>
      <c r="L336" s="16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spans="1:32" s="29" customFormat="1" ht="14" customHeight="1" outlineLevel="1" x14ac:dyDescent="0.15">
      <c r="A337" s="8"/>
      <c r="B337" s="39"/>
      <c r="C337" s="39"/>
      <c r="D337" s="8"/>
      <c r="E337" s="50"/>
      <c r="F337" s="20"/>
      <c r="G337" s="16"/>
      <c r="H337" s="16"/>
      <c r="I337" s="16"/>
      <c r="J337" s="16"/>
      <c r="K337" s="16"/>
      <c r="L337" s="16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spans="1:32" s="29" customFormat="1" ht="14" customHeight="1" outlineLevel="1" x14ac:dyDescent="0.15">
      <c r="A338" s="8"/>
      <c r="B338" s="39"/>
      <c r="C338" s="39"/>
      <c r="D338" s="8"/>
      <c r="E338" s="56" t="s">
        <v>59</v>
      </c>
      <c r="F338" s="20"/>
      <c r="G338" s="16"/>
      <c r="H338" s="16"/>
      <c r="I338" s="16"/>
      <c r="J338" s="16"/>
      <c r="K338" s="16"/>
      <c r="L338" s="16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spans="1:32" s="29" customFormat="1" ht="14" customHeight="1" outlineLevel="1" x14ac:dyDescent="0.15">
      <c r="A339" s="8"/>
      <c r="B339" s="39"/>
      <c r="C339" s="39"/>
      <c r="D339" s="8"/>
      <c r="E339" s="50"/>
      <c r="F339" s="20"/>
      <c r="G339" s="21" t="str" cm="1">
        <f t="array" ref="G339:J339">TRANSPOSE(E332:E335)</f>
        <v>Segment 1</v>
      </c>
      <c r="H339" s="21" t="str">
        <v>Segment 2</v>
      </c>
      <c r="I339" s="21" t="str">
        <v>Segment 3</v>
      </c>
      <c r="J339" s="21" t="str">
        <v>Segment 4</v>
      </c>
      <c r="K339" s="16" t="s">
        <v>18</v>
      </c>
      <c r="L339" s="16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spans="1:32" s="29" customFormat="1" ht="14" customHeight="1" outlineLevel="1" x14ac:dyDescent="0.15">
      <c r="A340" s="8"/>
      <c r="B340" s="39"/>
      <c r="C340" s="8"/>
      <c r="D340" s="8"/>
      <c r="E340" s="54">
        <v>45291</v>
      </c>
      <c r="G340" s="16"/>
      <c r="H340" s="16"/>
      <c r="I340" s="16"/>
      <c r="J340" s="16"/>
      <c r="K340" s="16"/>
      <c r="L340" s="16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spans="1:32" s="29" customFormat="1" ht="14" customHeight="1" outlineLevel="1" x14ac:dyDescent="0.15">
      <c r="A341" s="8"/>
      <c r="B341" s="39" t="e">
        <f>INDEX(product_table[], MATCH(#REF!, product_table[Product],0), MATCH("ID", product_table[#Headers],0))</f>
        <v>#REF!</v>
      </c>
      <c r="C341" s="39" t="s">
        <v>57</v>
      </c>
      <c r="D341" s="8"/>
      <c r="F341" s="47" t="str">
        <f>+$E$195</f>
        <v>Product_1</v>
      </c>
      <c r="G341" s="43" cm="1">
        <f t="array" ref="G341:J341">TRANSPOSE(G295:G298)</f>
        <v>1125</v>
      </c>
      <c r="H341" s="43">
        <v>731.25</v>
      </c>
      <c r="I341" s="43">
        <v>562.5</v>
      </c>
      <c r="J341" s="43">
        <v>168.75</v>
      </c>
      <c r="K341" s="16">
        <f>SUM(_xlfn.ANCHORARRAY(G341))</f>
        <v>2587.5</v>
      </c>
      <c r="L341" s="16"/>
      <c r="M341" s="16"/>
      <c r="N341" s="16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spans="1:32" s="29" customFormat="1" ht="14" customHeight="1" outlineLevel="1" x14ac:dyDescent="0.15">
      <c r="A342" s="8"/>
      <c r="B342" s="39" t="e">
        <f>INDEX(product_table[], MATCH(#REF!, product_table[Product],0), MATCH("ID", product_table[#Headers],0))</f>
        <v>#REF!</v>
      </c>
      <c r="C342" s="39" t="s">
        <v>57</v>
      </c>
      <c r="D342" s="8"/>
      <c r="F342" s="47" t="str">
        <f>+$E$204</f>
        <v>Product_2</v>
      </c>
      <c r="G342" s="43" cm="1">
        <f t="array" ref="G342:J342">TRANSPOSE(G332:G335)</f>
        <v>945</v>
      </c>
      <c r="H342" s="43">
        <v>630</v>
      </c>
      <c r="I342" s="43">
        <v>315</v>
      </c>
      <c r="J342" s="43">
        <v>19.6875</v>
      </c>
      <c r="K342" s="16">
        <f t="shared" ref="K342" si="182">SUM(_xlfn.ANCHORARRAY(G342))</f>
        <v>1909.6875</v>
      </c>
      <c r="L342" s="16"/>
      <c r="M342" s="16"/>
      <c r="N342" s="16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spans="1:32" s="29" customFormat="1" ht="14" customHeight="1" outlineLevel="1" x14ac:dyDescent="0.15">
      <c r="A343" s="8"/>
      <c r="B343" s="39"/>
      <c r="C343" s="39"/>
      <c r="D343" s="8"/>
      <c r="F343" s="47"/>
      <c r="G343" s="43"/>
      <c r="H343" s="43"/>
      <c r="I343" s="43"/>
      <c r="J343" s="43"/>
      <c r="K343" s="16"/>
      <c r="L343" s="16"/>
      <c r="M343" s="16"/>
      <c r="N343" s="16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spans="1:32" s="29" customFormat="1" ht="14" customHeight="1" outlineLevel="1" x14ac:dyDescent="0.15">
      <c r="A344" s="8"/>
      <c r="B344" s="39"/>
      <c r="C344" s="8"/>
      <c r="D344" s="8"/>
      <c r="E344" s="54">
        <v>45657</v>
      </c>
      <c r="G344" s="43"/>
      <c r="H344" s="43"/>
      <c r="I344" s="43"/>
      <c r="J344" s="43"/>
      <c r="K344" s="16"/>
      <c r="L344" s="16"/>
      <c r="M344" s="16"/>
      <c r="N344" s="16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spans="1:32" s="29" customFormat="1" ht="14" customHeight="1" outlineLevel="1" x14ac:dyDescent="0.15">
      <c r="A345" s="8"/>
      <c r="B345" s="39" t="e">
        <f>INDEX(product_table[], MATCH(#REF!, product_table[Product],0), MATCH("ID", product_table[#Headers],0))</f>
        <v>#REF!</v>
      </c>
      <c r="C345" s="39" t="s">
        <v>57</v>
      </c>
      <c r="D345" s="8"/>
      <c r="F345" s="47" t="str">
        <f>+$E$195</f>
        <v>Product_1</v>
      </c>
      <c r="G345" s="43" cm="1">
        <f t="array" ref="G345:J345">TRANSPOSE(H295:H298)</f>
        <v>1601.5625</v>
      </c>
      <c r="H345" s="43">
        <v>1035.9375</v>
      </c>
      <c r="I345" s="43">
        <v>820.3125</v>
      </c>
      <c r="J345" s="43">
        <v>257.81250000000006</v>
      </c>
      <c r="K345" s="16">
        <f>SUM(_xlfn.ANCHORARRAY(G345))</f>
        <v>3715.625</v>
      </c>
      <c r="L345" s="16"/>
      <c r="M345" s="16"/>
      <c r="N345" s="16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spans="1:32" s="29" customFormat="1" ht="14" customHeight="1" outlineLevel="1" x14ac:dyDescent="0.15">
      <c r="A346" s="8"/>
      <c r="B346" s="39" t="e">
        <f>INDEX(product_table[], MATCH(#REF!, product_table[Product],0), MATCH("ID", product_table[#Headers],0))</f>
        <v>#REF!</v>
      </c>
      <c r="C346" s="39" t="s">
        <v>57</v>
      </c>
      <c r="D346" s="8"/>
      <c r="F346" s="47" t="str">
        <f>+$E$204</f>
        <v>Product_2</v>
      </c>
      <c r="G346" s="43" cm="1">
        <f t="array" ref="G346:J346">TRANSPOSE(H332:H335)</f>
        <v>1378.125</v>
      </c>
      <c r="H346" s="43">
        <v>892.5</v>
      </c>
      <c r="I346" s="43">
        <v>441.875</v>
      </c>
      <c r="J346" s="43">
        <v>32.8125</v>
      </c>
      <c r="K346" s="16">
        <f t="shared" ref="K346" si="183">SUM(_xlfn.ANCHORARRAY(G346))</f>
        <v>2745.3125</v>
      </c>
      <c r="L346" s="16"/>
      <c r="M346" s="16"/>
      <c r="N346" s="16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spans="1:32" s="29" customFormat="1" ht="14" customHeight="1" outlineLevel="1" x14ac:dyDescent="0.15">
      <c r="A347" s="8"/>
      <c r="B347" s="39"/>
      <c r="C347" s="39"/>
      <c r="D347" s="8"/>
      <c r="F347" s="47"/>
      <c r="G347" s="43"/>
      <c r="H347" s="43"/>
      <c r="I347" s="43"/>
      <c r="J347" s="43"/>
      <c r="K347" s="16"/>
      <c r="L347" s="16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spans="1:32" s="29" customFormat="1" ht="14" customHeight="1" outlineLevel="1" x14ac:dyDescent="0.15">
      <c r="A348" s="8"/>
      <c r="B348" s="39"/>
      <c r="C348" s="8"/>
      <c r="D348" s="8"/>
      <c r="E348" s="54">
        <v>46022</v>
      </c>
      <c r="G348" s="43"/>
      <c r="H348" s="43"/>
      <c r="I348" s="43"/>
      <c r="J348" s="43"/>
      <c r="K348" s="16"/>
      <c r="L348" s="16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spans="1:32" s="29" customFormat="1" ht="14" customHeight="1" outlineLevel="1" x14ac:dyDescent="0.15">
      <c r="A349" s="8"/>
      <c r="B349" s="39" t="e">
        <f>INDEX(product_table[], MATCH(F343, product_table[Product],0), MATCH("ID", product_table[#Headers],0))</f>
        <v>#N/A</v>
      </c>
      <c r="C349" s="39" t="s">
        <v>57</v>
      </c>
      <c r="D349" s="8"/>
      <c r="F349" s="47" t="str">
        <f>+$E$195</f>
        <v>Product_1</v>
      </c>
      <c r="G349" s="43" cm="1">
        <f t="array" ref="G349:J349">TRANSPOSE(I295:I298)</f>
        <v>2177.484375</v>
      </c>
      <c r="H349" s="43">
        <v>1422.1350000000002</v>
      </c>
      <c r="I349" s="43">
        <v>1158.609375</v>
      </c>
      <c r="J349" s="43">
        <v>408.37500000000006</v>
      </c>
      <c r="K349" s="16">
        <f>SUM(_xlfn.ANCHORARRAY(G349))</f>
        <v>5166.6037500000002</v>
      </c>
      <c r="L349" s="16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spans="1:32" s="29" customFormat="1" ht="14" customHeight="1" outlineLevel="1" x14ac:dyDescent="0.15">
      <c r="A350" s="8"/>
      <c r="B350" s="39" t="e">
        <f>INDEX(product_table[], MATCH(F343, product_table[Product],0), MATCH("ID", product_table[#Headers],0))</f>
        <v>#N/A</v>
      </c>
      <c r="C350" s="39" t="s">
        <v>57</v>
      </c>
      <c r="D350" s="8"/>
      <c r="F350" s="47" t="str">
        <f>+$E$204</f>
        <v>Product_2</v>
      </c>
      <c r="G350" s="43" cm="1">
        <f t="array" ref="G350:J350">TRANSPOSE(I332:I335)</f>
        <v>1891.8900000000003</v>
      </c>
      <c r="H350" s="43">
        <v>1207.5525000000002</v>
      </c>
      <c r="I350" s="43">
        <v>594.94050000000016</v>
      </c>
      <c r="J350" s="43">
        <v>56.306250000000006</v>
      </c>
      <c r="K350" s="16">
        <f t="shared" ref="K350" si="184">SUM(_xlfn.ANCHORARRAY(G350))</f>
        <v>3750.6892500000008</v>
      </c>
      <c r="L350" s="16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spans="1:32" s="29" customFormat="1" ht="14" customHeight="1" outlineLevel="1" x14ac:dyDescent="0.15">
      <c r="A351" s="8"/>
      <c r="B351" s="39"/>
      <c r="C351" s="39"/>
      <c r="D351" s="8"/>
      <c r="F351" s="47"/>
      <c r="G351" s="43"/>
      <c r="H351" s="43"/>
      <c r="I351" s="43"/>
      <c r="J351" s="43"/>
      <c r="K351" s="16"/>
      <c r="L351" s="16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spans="1:32" s="29" customFormat="1" ht="14" customHeight="1" outlineLevel="1" x14ac:dyDescent="0.15">
      <c r="A352" s="8"/>
      <c r="B352" s="39"/>
      <c r="C352" s="8"/>
      <c r="D352" s="8"/>
      <c r="E352" s="54">
        <v>46387</v>
      </c>
      <c r="G352" s="43"/>
      <c r="H352" s="43"/>
      <c r="I352" s="43"/>
      <c r="J352" s="43"/>
      <c r="K352" s="16"/>
      <c r="L352" s="16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spans="1:32" s="29" customFormat="1" ht="14" customHeight="1" outlineLevel="1" x14ac:dyDescent="0.15">
      <c r="A353" s="8"/>
      <c r="B353" s="39" t="str">
        <f>INDEX(product_table[], MATCH(F346, product_table[Product],0), MATCH("ID", product_table[#Headers],0))</f>
        <v>P2</v>
      </c>
      <c r="C353" s="39" t="s">
        <v>57</v>
      </c>
      <c r="D353" s="8"/>
      <c r="F353" s="47" t="str">
        <f>+$E$195</f>
        <v>Product_1</v>
      </c>
      <c r="G353" s="43" cm="1">
        <f t="array" ref="G353:J353">TRANSPOSE(J295:J298)</f>
        <v>2909.9109374999994</v>
      </c>
      <c r="H353" s="43">
        <v>1954.7891999999999</v>
      </c>
      <c r="I353" s="43">
        <v>1651.5449999999998</v>
      </c>
      <c r="J353" s="43">
        <v>597.71249999999998</v>
      </c>
      <c r="K353" s="16">
        <f>SUM(_xlfn.ANCHORARRAY(G353))</f>
        <v>7113.9576374999988</v>
      </c>
      <c r="L353" s="16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spans="1:32" s="29" customFormat="1" ht="14" customHeight="1" outlineLevel="1" x14ac:dyDescent="0.15">
      <c r="A354" s="8"/>
      <c r="B354" s="39" t="str">
        <f>INDEX(product_table[], MATCH(F346, product_table[Product],0), MATCH("ID", product_table[#Headers],0))</f>
        <v>P2</v>
      </c>
      <c r="C354" s="39" t="s">
        <v>57</v>
      </c>
      <c r="D354" s="8"/>
      <c r="F354" s="47" t="str">
        <f>+$E$204</f>
        <v>Product_2</v>
      </c>
      <c r="G354" s="43" cm="1">
        <f t="array" ref="G354:J354">TRANSPOSE(J332:J335)</f>
        <v>2480.0958000000001</v>
      </c>
      <c r="H354" s="43">
        <v>1582.99155</v>
      </c>
      <c r="I354" s="43">
        <v>779.91291000000001</v>
      </c>
      <c r="J354" s="43">
        <v>100.32749999999999</v>
      </c>
      <c r="K354" s="16">
        <f t="shared" ref="K354" si="185">SUM(_xlfn.ANCHORARRAY(G354))</f>
        <v>4943.3277600000001</v>
      </c>
      <c r="L354" s="16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spans="1:32" s="29" customFormat="1" ht="14" customHeight="1" outlineLevel="1" x14ac:dyDescent="0.15">
      <c r="A355" s="8"/>
      <c r="B355" s="39"/>
      <c r="C355" s="8"/>
      <c r="D355" s="8"/>
      <c r="F355" s="54"/>
      <c r="G355" s="43"/>
      <c r="H355" s="43"/>
      <c r="I355" s="43"/>
      <c r="J355" s="43"/>
      <c r="K355" s="16"/>
      <c r="L355" s="16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spans="1:32" s="29" customFormat="1" ht="14" customHeight="1" outlineLevel="1" x14ac:dyDescent="0.15">
      <c r="A356" s="8"/>
      <c r="B356" s="39"/>
      <c r="C356" s="8"/>
      <c r="D356" s="8"/>
      <c r="E356" s="54">
        <v>46752</v>
      </c>
      <c r="G356" s="43"/>
      <c r="H356" s="43"/>
      <c r="I356" s="43"/>
      <c r="J356" s="43"/>
      <c r="K356" s="16"/>
      <c r="L356" s="16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spans="1:32" s="29" customFormat="1" ht="14" customHeight="1" outlineLevel="1" x14ac:dyDescent="0.15">
      <c r="A357" s="8"/>
      <c r="B357" s="39" t="str">
        <f>INDEX(product_table[], MATCH(F350, product_table[Product],0), MATCH("ID", product_table[#Headers],0))</f>
        <v>P2</v>
      </c>
      <c r="C357" s="39" t="s">
        <v>57</v>
      </c>
      <c r="D357" s="8"/>
      <c r="F357" s="47" t="str">
        <f>+$E$195</f>
        <v>Product_1</v>
      </c>
      <c r="G357" s="43" cm="1">
        <f t="array" ref="G357:J357">TRANSPOSE(K295:K298)</f>
        <v>3674.8018124999999</v>
      </c>
      <c r="H357" s="43">
        <v>2541.2259599999998</v>
      </c>
      <c r="I357" s="43">
        <v>2208.3516000000004</v>
      </c>
      <c r="J357" s="43">
        <v>832.52812500000005</v>
      </c>
      <c r="K357" s="16">
        <f>SUM(_xlfn.ANCHORARRAY(G357))</f>
        <v>9256.9074975000003</v>
      </c>
      <c r="L357" s="16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spans="1:32" s="29" customFormat="1" ht="14" customHeight="1" outlineLevel="1" x14ac:dyDescent="0.15">
      <c r="A358" s="8"/>
      <c r="B358" s="39" t="str">
        <f>INDEX(product_table[], MATCH(F350, product_table[Product],0), MATCH("ID", product_table[#Headers],0))</f>
        <v>P2</v>
      </c>
      <c r="C358" s="39" t="s">
        <v>57</v>
      </c>
      <c r="D358" s="8"/>
      <c r="F358" s="47" t="str">
        <f>+$E$204</f>
        <v>Product_2</v>
      </c>
      <c r="G358" s="43" cm="1">
        <f t="array" ref="G358:J358">TRANSPOSE(K332:K335)</f>
        <v>3132.0066959999999</v>
      </c>
      <c r="H358" s="43">
        <v>2018.6911289999998</v>
      </c>
      <c r="I358" s="43">
        <v>1013.8867829999998</v>
      </c>
      <c r="J358" s="43">
        <v>186.32249999999999</v>
      </c>
      <c r="K358" s="16">
        <f t="shared" ref="K358" si="186">SUM(_xlfn.ANCHORARRAY(G358))</f>
        <v>6350.9071079999994</v>
      </c>
      <c r="L358" s="16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spans="1:32" s="29" customFormat="1" ht="14" customHeight="1" outlineLevel="1" x14ac:dyDescent="0.15">
      <c r="A359" s="8"/>
      <c r="B359" s="39"/>
      <c r="C359" s="39"/>
      <c r="D359" s="8"/>
      <c r="F359" s="47"/>
      <c r="G359" s="43"/>
      <c r="H359" s="43"/>
      <c r="I359" s="43"/>
      <c r="J359" s="43"/>
      <c r="K359" s="16"/>
      <c r="L359" s="16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spans="1:32" s="29" customFormat="1" ht="14" customHeight="1" outlineLevel="1" x14ac:dyDescent="0.15">
      <c r="A360" s="8"/>
      <c r="B360" s="39"/>
      <c r="C360" s="8"/>
      <c r="D360" s="8"/>
      <c r="E360" s="54">
        <v>47118</v>
      </c>
      <c r="G360" s="43"/>
      <c r="H360" s="43"/>
      <c r="I360" s="43"/>
      <c r="J360" s="43"/>
      <c r="K360" s="16"/>
      <c r="L360" s="16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spans="1:32" s="29" customFormat="1" ht="14" customHeight="1" outlineLevel="1" x14ac:dyDescent="0.15">
      <c r="A361" s="8"/>
      <c r="B361" s="39" t="str">
        <f>INDEX(product_table[], MATCH(F354, product_table[Product],0), MATCH("ID", product_table[#Headers],0))</f>
        <v>P2</v>
      </c>
      <c r="C361" s="39" t="s">
        <v>57</v>
      </c>
      <c r="D361" s="8"/>
      <c r="F361" s="47" t="str">
        <f>+$E$195</f>
        <v>Product_1</v>
      </c>
      <c r="G361" s="43" cm="1">
        <f t="array" ref="G361:J361">TRANSPOSE(L295:L298)</f>
        <v>4518.946190390624</v>
      </c>
      <c r="H361" s="43">
        <v>3171.1567796999998</v>
      </c>
      <c r="I361" s="43">
        <v>2809.2780450000005</v>
      </c>
      <c r="J361" s="43">
        <v>1109.5038281249999</v>
      </c>
      <c r="K361" s="16">
        <f>SUM(_xlfn.ANCHORARRAY(G361))</f>
        <v>11608.884843215625</v>
      </c>
      <c r="L361" s="16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spans="1:32" s="29" customFormat="1" ht="14" customHeight="1" outlineLevel="1" x14ac:dyDescent="0.15">
      <c r="A362" s="8"/>
      <c r="B362" s="39" t="str">
        <f>INDEX(product_table[], MATCH(F354, product_table[Product],0), MATCH("ID", product_table[#Headers],0))</f>
        <v>P2</v>
      </c>
      <c r="C362" s="39" t="s">
        <v>57</v>
      </c>
      <c r="D362" s="8"/>
      <c r="F362" s="47" t="str">
        <f>+$E$204</f>
        <v>Product_2</v>
      </c>
      <c r="G362" s="43" cm="1">
        <f t="array" ref="G362:J362">TRANSPOSE(L332:L335)</f>
        <v>3832.4920397400001</v>
      </c>
      <c r="H362" s="43">
        <v>2506.8649933687493</v>
      </c>
      <c r="I362" s="43">
        <v>1289.7809749124997</v>
      </c>
      <c r="J362" s="43">
        <v>349.89215624999997</v>
      </c>
      <c r="K362" s="16">
        <f t="shared" ref="K362" si="187">SUM(_xlfn.ANCHORARRAY(G362))</f>
        <v>7979.0301642712493</v>
      </c>
      <c r="L362" s="16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spans="1:32" s="29" customFormat="1" ht="14" customHeight="1" outlineLevel="1" x14ac:dyDescent="0.15">
      <c r="A363" s="8"/>
      <c r="B363" s="39"/>
      <c r="C363" s="39"/>
      <c r="D363" s="8"/>
      <c r="E363" s="50"/>
      <c r="F363" s="20"/>
      <c r="G363" s="16"/>
      <c r="H363" s="16"/>
      <c r="I363" s="16"/>
      <c r="J363" s="16"/>
      <c r="K363" s="16"/>
      <c r="L363" s="16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spans="1:32" s="29" customFormat="1" ht="14" customHeight="1" outlineLevel="1" x14ac:dyDescent="0.15">
      <c r="A364" s="8"/>
      <c r="B364" s="39"/>
      <c r="C364" s="39"/>
      <c r="D364" s="8"/>
      <c r="E364" s="55"/>
      <c r="F364" s="20"/>
      <c r="G364" s="16"/>
      <c r="H364" s="16"/>
      <c r="I364" s="16"/>
      <c r="J364" s="16"/>
      <c r="K364" s="16"/>
      <c r="L364" s="16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spans="1:32" s="29" customFormat="1" ht="14" customHeight="1" outlineLevel="1" x14ac:dyDescent="0.15">
      <c r="A365" s="8"/>
      <c r="B365" s="39"/>
      <c r="C365" s="39"/>
      <c r="D365" s="8"/>
      <c r="E365" s="55"/>
      <c r="F365" s="20"/>
      <c r="G365" s="16"/>
      <c r="H365" s="16"/>
      <c r="I365" s="16"/>
      <c r="J365" s="16"/>
      <c r="K365" s="16"/>
      <c r="L365" s="16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spans="1:32" s="29" customFormat="1" ht="14" customHeight="1" outlineLevel="1" x14ac:dyDescent="0.15">
      <c r="A366" s="8"/>
      <c r="B366" s="39"/>
      <c r="C366" s="39"/>
      <c r="D366" s="8"/>
      <c r="E366" s="55"/>
      <c r="F366" s="20"/>
      <c r="G366" s="16"/>
      <c r="H366" s="16"/>
      <c r="I366" s="16"/>
      <c r="J366" s="16"/>
      <c r="K366" s="16"/>
      <c r="L366" s="16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spans="1:32" s="29" customFormat="1" ht="14" customHeight="1" outlineLevel="1" x14ac:dyDescent="0.15">
      <c r="A367" s="8"/>
      <c r="B367" s="8"/>
      <c r="C367" s="8"/>
      <c r="D367" s="8"/>
      <c r="E367" s="3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spans="1:32" s="29" customFormat="1" ht="14" customHeight="1" x14ac:dyDescent="0.15">
      <c r="A368" s="8"/>
      <c r="B368" s="8"/>
      <c r="C368" s="8"/>
      <c r="D368" s="8"/>
      <c r="E368" s="31"/>
      <c r="F368" s="8"/>
      <c r="G368" s="21"/>
      <c r="H368" s="21"/>
      <c r="I368" s="21"/>
      <c r="J368" s="21"/>
      <c r="K368" s="21"/>
      <c r="L368" s="21"/>
      <c r="M368" s="8"/>
      <c r="N368" s="30"/>
      <c r="O368" s="16"/>
      <c r="P368" s="16"/>
      <c r="Q368" s="16"/>
      <c r="R368" s="16"/>
      <c r="S368" s="16"/>
      <c r="T368" s="16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spans="1:32" s="29" customFormat="1" ht="14" customHeight="1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spans="1:32" s="29" customFormat="1" ht="14" customHeight="1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spans="1:32" s="29" customFormat="1" ht="14" customHeight="1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26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spans="1:32" s="29" customFormat="1" ht="14" customHeight="1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spans="1:32" s="29" customFormat="1" ht="14" customHeight="1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spans="1:32" s="29" customFormat="1" ht="14" customHeight="1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spans="1:32" s="29" customFormat="1" ht="14" customHeight="1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spans="1:32" s="29" customFormat="1" ht="14" customHeight="1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spans="1:32" s="29" customFormat="1" ht="14" customHeight="1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spans="1:32" s="29" customFormat="1" ht="14" customHeight="1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spans="1:32" s="29" customFormat="1" ht="14" customHeight="1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spans="1:32" s="29" customFormat="1" ht="14" customHeight="1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26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spans="1:32" s="29" customFormat="1" ht="14" customHeight="1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spans="1:32" s="29" customFormat="1" ht="14" customHeight="1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spans="1:32" s="29" customFormat="1" ht="14" customHeight="1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spans="1:32" s="29" customFormat="1" ht="14" customHeight="1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spans="1:32" s="29" customFormat="1" ht="14" customHeight="1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spans="1:32" s="29" customFormat="1" ht="14" customHeight="1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spans="1:32" s="29" customFormat="1" ht="14" customHeight="1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spans="1:32" s="29" customFormat="1" ht="14" customHeight="1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spans="1:32" s="29" customFormat="1" ht="14" customHeight="1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26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spans="1:32" s="29" customFormat="1" ht="14" customHeight="1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spans="1:32" s="29" customFormat="1" ht="14" customHeight="1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spans="1:32" s="29" customFormat="1" ht="14" customHeight="1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spans="1:32" s="29" customFormat="1" ht="14" customHeight="1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spans="1:32" s="29" customFormat="1" ht="14" customHeight="1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spans="1:32" s="29" customFormat="1" ht="14" customHeight="1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spans="1:32" s="29" customFormat="1" ht="14" customHeight="1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spans="1:32" s="29" customFormat="1" ht="14" customHeight="1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spans="1:32" s="29" customFormat="1" ht="14" customHeight="1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26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spans="1:32" s="29" customFormat="1" ht="14" customHeight="1" x14ac:dyDescent="0.15"/>
    <row r="400" spans="1:32" s="29" customFormat="1" ht="14" customHeight="1" x14ac:dyDescent="0.15"/>
    <row r="401" s="29" customFormat="1" ht="14" customHeight="1" x14ac:dyDescent="0.15"/>
    <row r="402" s="29" customFormat="1" ht="14" customHeight="1" x14ac:dyDescent="0.15"/>
    <row r="403" s="29" customFormat="1" ht="14" customHeight="1" x14ac:dyDescent="0.15"/>
    <row r="404" s="29" customFormat="1" ht="14" customHeight="1" x14ac:dyDescent="0.15"/>
    <row r="405" s="29" customFormat="1" ht="14" customHeight="1" x14ac:dyDescent="0.15"/>
    <row r="406" s="29" customFormat="1" ht="14" customHeight="1" x14ac:dyDescent="0.15"/>
    <row r="407" s="29" customFormat="1" ht="14" customHeight="1" x14ac:dyDescent="0.15"/>
    <row r="408" s="29" customFormat="1" ht="14" customHeight="1" x14ac:dyDescent="0.15"/>
    <row r="409" s="29" customFormat="1" ht="14" customHeight="1" x14ac:dyDescent="0.15"/>
    <row r="410" s="29" customFormat="1" ht="14" customHeight="1" x14ac:dyDescent="0.15"/>
    <row r="411" s="29" customFormat="1" ht="14" customHeight="1" x14ac:dyDescent="0.15"/>
    <row r="412" s="29" customFormat="1" ht="14" customHeight="1" x14ac:dyDescent="0.15"/>
    <row r="413" s="29" customFormat="1" ht="14" customHeight="1" x14ac:dyDescent="0.15"/>
    <row r="414" s="29" customFormat="1" ht="14" customHeight="1" x14ac:dyDescent="0.15"/>
    <row r="415" s="29" customFormat="1" ht="14" customHeight="1" x14ac:dyDescent="0.15"/>
    <row r="416" s="29" customFormat="1" ht="14" customHeight="1" x14ac:dyDescent="0.15"/>
    <row r="417" s="29" customFormat="1" ht="14" customHeight="1" x14ac:dyDescent="0.15"/>
    <row r="418" s="29" customFormat="1" ht="14" customHeight="1" x14ac:dyDescent="0.15"/>
    <row r="419" s="29" customFormat="1" ht="14" customHeight="1" x14ac:dyDescent="0.15"/>
    <row r="420" s="29" customFormat="1" ht="14" customHeight="1" x14ac:dyDescent="0.15"/>
    <row r="421" s="29" customFormat="1" ht="14" customHeight="1" x14ac:dyDescent="0.15"/>
    <row r="422" s="29" customFormat="1" ht="14" customHeight="1" x14ac:dyDescent="0.15"/>
    <row r="423" s="29" customFormat="1" ht="14" customHeight="1" x14ac:dyDescent="0.15"/>
    <row r="424" s="29" customFormat="1" ht="14" customHeight="1" x14ac:dyDescent="0.15"/>
    <row r="425" s="29" customFormat="1" ht="14" customHeight="1" x14ac:dyDescent="0.15"/>
    <row r="426" s="29" customFormat="1" ht="14" customHeight="1" x14ac:dyDescent="0.15"/>
    <row r="427" s="29" customFormat="1" ht="14" customHeight="1" x14ac:dyDescent="0.15"/>
    <row r="428" s="29" customFormat="1" ht="14" customHeight="1" x14ac:dyDescent="0.15"/>
    <row r="429" s="29" customFormat="1" ht="14" customHeight="1" x14ac:dyDescent="0.15"/>
    <row r="430" s="29" customFormat="1" ht="14" customHeight="1" x14ac:dyDescent="0.15"/>
    <row r="431" s="29" customFormat="1" ht="14" customHeight="1" x14ac:dyDescent="0.15"/>
    <row r="432" s="29" customFormat="1" ht="14" customHeight="1" x14ac:dyDescent="0.15"/>
    <row r="433" s="29" customFormat="1" ht="14" customHeight="1" x14ac:dyDescent="0.15"/>
    <row r="434" s="29" customFormat="1" ht="14" customHeight="1" x14ac:dyDescent="0.15"/>
    <row r="435" s="29" customFormat="1" ht="14" customHeight="1" x14ac:dyDescent="0.15"/>
    <row r="436" s="29" customFormat="1" ht="14" customHeight="1" x14ac:dyDescent="0.15"/>
    <row r="437" s="29" customFormat="1" ht="14" customHeight="1" x14ac:dyDescent="0.15"/>
    <row r="438" s="29" customFormat="1" ht="14" customHeight="1" x14ac:dyDescent="0.15"/>
    <row r="439" s="29" customFormat="1" ht="14" customHeight="1" x14ac:dyDescent="0.15"/>
    <row r="440" s="29" customFormat="1" ht="14" customHeight="1" x14ac:dyDescent="0.15"/>
    <row r="441" s="29" customFormat="1" ht="14" customHeight="1" x14ac:dyDescent="0.15"/>
    <row r="442" s="29" customFormat="1" ht="14" customHeight="1" x14ac:dyDescent="0.15"/>
    <row r="443" s="29" customFormat="1" ht="14" customHeight="1" x14ac:dyDescent="0.15"/>
    <row r="444" s="29" customFormat="1" ht="14" customHeight="1" x14ac:dyDescent="0.15"/>
    <row r="445" s="29" customFormat="1" ht="14" customHeight="1" x14ac:dyDescent="0.15"/>
    <row r="446" s="29" customFormat="1" ht="14" customHeight="1" x14ac:dyDescent="0.15"/>
    <row r="447" s="29" customFormat="1" ht="14" customHeight="1" x14ac:dyDescent="0.15"/>
    <row r="448" s="29" customFormat="1" ht="14" customHeight="1" x14ac:dyDescent="0.15"/>
    <row r="449" s="29" customFormat="1" ht="14" customHeight="1" x14ac:dyDescent="0.15"/>
    <row r="450" s="29" customFormat="1" ht="14" customHeight="1" x14ac:dyDescent="0.15"/>
    <row r="451" s="29" customFormat="1" ht="14" customHeight="1" x14ac:dyDescent="0.15"/>
    <row r="452" s="29" customFormat="1" ht="14" customHeight="1" x14ac:dyDescent="0.15"/>
    <row r="453" s="29" customFormat="1" ht="14" customHeight="1" x14ac:dyDescent="0.15"/>
    <row r="454" s="29" customFormat="1" ht="14" customHeight="1" x14ac:dyDescent="0.15"/>
    <row r="455" s="29" customFormat="1" ht="14" customHeight="1" x14ac:dyDescent="0.15"/>
    <row r="456" s="29" customFormat="1" ht="14" customHeight="1" x14ac:dyDescent="0.15"/>
    <row r="457" s="29" customFormat="1" ht="14" customHeight="1" x14ac:dyDescent="0.15"/>
    <row r="458" s="29" customFormat="1" ht="14" customHeight="1" x14ac:dyDescent="0.15"/>
    <row r="459" s="29" customFormat="1" ht="14" customHeight="1" x14ac:dyDescent="0.15"/>
    <row r="460" s="29" customFormat="1" ht="14" customHeight="1" x14ac:dyDescent="0.15"/>
    <row r="461" s="29" customFormat="1" ht="14" customHeight="1" x14ac:dyDescent="0.15"/>
    <row r="462" ht="14" customHeight="1" x14ac:dyDescent="0.2"/>
    <row r="463" ht="14" customHeight="1" x14ac:dyDescent="0.2"/>
    <row r="464" ht="14" customHeight="1" x14ac:dyDescent="0.2"/>
    <row r="465" ht="14" customHeight="1" x14ac:dyDescent="0.2"/>
    <row r="466" ht="14" customHeight="1" x14ac:dyDescent="0.2"/>
    <row r="467" ht="14" customHeight="1" x14ac:dyDescent="0.2"/>
    <row r="468" ht="14" customHeight="1" x14ac:dyDescent="0.2"/>
    <row r="469" ht="14" customHeight="1" x14ac:dyDescent="0.2"/>
    <row r="470" ht="14" customHeight="1" x14ac:dyDescent="0.2"/>
    <row r="471" ht="14" customHeight="1" x14ac:dyDescent="0.2"/>
    <row r="472" ht="14" customHeight="1" x14ac:dyDescent="0.2"/>
    <row r="473" ht="14" customHeight="1" x14ac:dyDescent="0.2"/>
    <row r="474" ht="14" customHeight="1" x14ac:dyDescent="0.2"/>
    <row r="475" ht="14" customHeight="1" x14ac:dyDescent="0.2"/>
    <row r="476" ht="14" customHeight="1" x14ac:dyDescent="0.2"/>
    <row r="477" ht="14" customHeight="1" x14ac:dyDescent="0.2"/>
    <row r="478" ht="14" customHeight="1" x14ac:dyDescent="0.2"/>
    <row r="479" ht="14" customHeight="1" x14ac:dyDescent="0.2"/>
    <row r="480" ht="14" customHeight="1" x14ac:dyDescent="0.2"/>
    <row r="481" ht="14" customHeight="1" x14ac:dyDescent="0.2"/>
    <row r="482" ht="14" customHeight="1" x14ac:dyDescent="0.2"/>
    <row r="483" ht="14" customHeight="1" x14ac:dyDescent="0.2"/>
    <row r="484" ht="14" customHeight="1" x14ac:dyDescent="0.2"/>
    <row r="485" ht="14" customHeight="1" x14ac:dyDescent="0.2"/>
    <row r="486" ht="14" customHeight="1" x14ac:dyDescent="0.2"/>
    <row r="487" ht="14" customHeight="1" x14ac:dyDescent="0.2"/>
    <row r="488" ht="14" customHeight="1" x14ac:dyDescent="0.2"/>
    <row r="489" ht="14" customHeight="1" x14ac:dyDescent="0.2"/>
    <row r="490" ht="14" customHeight="1" x14ac:dyDescent="0.2"/>
    <row r="491" ht="14" customHeight="1" x14ac:dyDescent="0.2"/>
    <row r="492" ht="14" customHeight="1" x14ac:dyDescent="0.2"/>
    <row r="493" ht="14" customHeight="1" x14ac:dyDescent="0.2"/>
    <row r="494" ht="14" customHeight="1" x14ac:dyDescent="0.2"/>
    <row r="495" ht="14" customHeight="1" x14ac:dyDescent="0.2"/>
    <row r="496" ht="14" customHeight="1" x14ac:dyDescent="0.2"/>
    <row r="497" ht="14" customHeight="1" x14ac:dyDescent="0.2"/>
    <row r="498" ht="14" customHeight="1" x14ac:dyDescent="0.2"/>
    <row r="499" ht="14" customHeight="1" x14ac:dyDescent="0.2"/>
  </sheetData>
  <mergeCells count="3">
    <mergeCell ref="G19:L19"/>
    <mergeCell ref="G51:L51"/>
    <mergeCell ref="G191:L191"/>
  </mergeCells>
  <dataValidations count="1">
    <dataValidation type="list" allowBlank="1" showInputMessage="1" showErrorMessage="1" sqref="G9" xr:uid="{76250091-3951-7841-9E5D-623041905D27}">
      <formula1>"Base, Upside, Downside"</formula1>
    </dataValidation>
  </dataValidations>
  <pageMargins left="0.7" right="0.7" top="0.75" bottom="0.75" header="0" footer="0"/>
  <pageSetup scale="4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D571-CCD9-8A46-B54F-AECDE897C6B2}">
  <sheetPr>
    <tabColor theme="8"/>
  </sheetPr>
  <dimension ref="A1:X63"/>
  <sheetViews>
    <sheetView showGridLines="0" zoomScale="85" workbookViewId="0">
      <selection activeCell="S41" sqref="S41"/>
    </sheetView>
  </sheetViews>
  <sheetFormatPr baseColWidth="10" defaultColWidth="12.6640625" defaultRowHeight="15" customHeight="1" outlineLevelCol="1" x14ac:dyDescent="0.2"/>
  <cols>
    <col min="1" max="1" width="2.6640625" style="28" customWidth="1"/>
    <col min="2" max="3" width="2.6640625" style="28" hidden="1" customWidth="1" outlineLevel="1"/>
    <col min="4" max="4" width="2.6640625" style="28" customWidth="1" collapsed="1"/>
    <col min="5" max="5" width="15.83203125" style="28" customWidth="1"/>
    <col min="6" max="6" width="13.1640625" style="28" customWidth="1"/>
    <col min="7" max="7" width="71.5" style="28" customWidth="1"/>
    <col min="8" max="11" width="18" style="28" customWidth="1"/>
    <col min="12" max="24" width="8.83203125" style="28" customWidth="1"/>
    <col min="25" max="16384" width="12.6640625" style="28"/>
  </cols>
  <sheetData>
    <row r="1" spans="1:24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2">
      <c r="A2" s="1"/>
      <c r="B2" s="1"/>
      <c r="C2" s="1"/>
      <c r="D2" s="68" t="s">
        <v>61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" customHeight="1" x14ac:dyDescent="0.2">
      <c r="A5" s="1"/>
      <c r="B5" s="1"/>
      <c r="C5" s="1"/>
      <c r="D5" s="1"/>
      <c r="E5" s="1" t="s">
        <v>49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" customHeight="1" x14ac:dyDescent="0.2">
      <c r="A6" s="1"/>
      <c r="B6" s="1"/>
      <c r="C6" s="1"/>
      <c r="D6" s="1"/>
      <c r="E6" s="1" t="s">
        <v>50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8" spans="1:24" ht="15" customHeight="1" x14ac:dyDescent="0.2">
      <c r="E8" s="37" t="s">
        <v>39</v>
      </c>
      <c r="F8" s="37" t="s">
        <v>40</v>
      </c>
      <c r="G8" s="37" t="s">
        <v>66</v>
      </c>
    </row>
    <row r="9" spans="1:24" ht="15" customHeight="1" x14ac:dyDescent="0.2">
      <c r="E9" s="28" t="s">
        <v>62</v>
      </c>
      <c r="F9" s="28" t="s">
        <v>41</v>
      </c>
      <c r="G9" s="38" t="s">
        <v>51</v>
      </c>
    </row>
    <row r="10" spans="1:24" ht="15" customHeight="1" x14ac:dyDescent="0.2">
      <c r="E10" s="28" t="s">
        <v>63</v>
      </c>
      <c r="F10" s="28" t="s">
        <v>42</v>
      </c>
      <c r="G10" s="38" t="s">
        <v>47</v>
      </c>
    </row>
    <row r="12" spans="1:24" ht="15" customHeight="1" x14ac:dyDescent="0.2">
      <c r="E12" s="37" t="s">
        <v>24</v>
      </c>
      <c r="F12" s="37" t="s">
        <v>48</v>
      </c>
      <c r="G12" s="37" t="s">
        <v>66</v>
      </c>
    </row>
    <row r="13" spans="1:24" ht="15" customHeight="1" x14ac:dyDescent="0.2">
      <c r="E13" s="28" t="s">
        <v>23</v>
      </c>
      <c r="F13" s="28" t="s">
        <v>43</v>
      </c>
      <c r="G13" s="38" t="s">
        <v>64</v>
      </c>
    </row>
    <row r="14" spans="1:24" ht="15" customHeight="1" x14ac:dyDescent="0.2">
      <c r="E14" s="28" t="s">
        <v>25</v>
      </c>
      <c r="F14" s="28" t="s">
        <v>44</v>
      </c>
      <c r="G14" s="38" t="s">
        <v>47</v>
      </c>
    </row>
    <row r="15" spans="1:24" ht="15" customHeight="1" x14ac:dyDescent="0.2">
      <c r="E15" s="28" t="s">
        <v>26</v>
      </c>
      <c r="F15" s="28" t="s">
        <v>45</v>
      </c>
      <c r="G15" s="38" t="s">
        <v>47</v>
      </c>
    </row>
    <row r="16" spans="1:24" ht="15" customHeight="1" x14ac:dyDescent="0.2">
      <c r="E16" s="28" t="s">
        <v>27</v>
      </c>
      <c r="F16" s="28" t="s">
        <v>46</v>
      </c>
      <c r="G16" s="38" t="s">
        <v>47</v>
      </c>
    </row>
    <row r="19" spans="4:11" ht="15" customHeight="1" x14ac:dyDescent="0.2">
      <c r="D19" s="69" t="s">
        <v>72</v>
      </c>
    </row>
    <row r="20" spans="4:11" ht="15" customHeight="1" x14ac:dyDescent="0.2">
      <c r="D20" s="37"/>
    </row>
    <row r="21" spans="4:11" ht="15" customHeight="1" x14ac:dyDescent="0.2">
      <c r="D21" s="37">
        <v>1</v>
      </c>
      <c r="E21" s="37" t="s">
        <v>82</v>
      </c>
    </row>
    <row r="22" spans="4:11" ht="15" customHeight="1" x14ac:dyDescent="0.2">
      <c r="D22" s="37"/>
      <c r="E22" s="37"/>
    </row>
    <row r="23" spans="4:11" ht="15" customHeight="1" x14ac:dyDescent="0.2">
      <c r="D23" s="37"/>
      <c r="E23" s="28" t="s">
        <v>81</v>
      </c>
      <c r="F23" s="28" t="s">
        <v>83</v>
      </c>
    </row>
    <row r="24" spans="4:11" ht="15" customHeight="1" x14ac:dyDescent="0.2">
      <c r="D24" s="37"/>
      <c r="E24" s="28" t="s">
        <v>73</v>
      </c>
      <c r="F24" s="38" t="s">
        <v>85</v>
      </c>
    </row>
    <row r="25" spans="4:11" ht="15" customHeight="1" x14ac:dyDescent="0.2">
      <c r="D25" s="37"/>
      <c r="E25" s="28" t="s">
        <v>74</v>
      </c>
      <c r="F25" s="38" t="s">
        <v>89</v>
      </c>
    </row>
    <row r="26" spans="4:11" ht="15" customHeight="1" x14ac:dyDescent="0.2">
      <c r="D26" s="37"/>
      <c r="F26" s="38"/>
    </row>
    <row r="27" spans="4:11" ht="15" customHeight="1" x14ac:dyDescent="0.2">
      <c r="D27" s="37"/>
      <c r="E27" s="57" t="str">
        <f>+$E$9</f>
        <v>Product_1</v>
      </c>
      <c r="F27" s="38"/>
    </row>
    <row r="28" spans="4:11" ht="15" customHeight="1" x14ac:dyDescent="0.2">
      <c r="D28" s="37"/>
    </row>
    <row r="29" spans="4:11" ht="15" customHeight="1" x14ac:dyDescent="0.2">
      <c r="D29" s="37"/>
      <c r="E29" s="28" t="s">
        <v>65</v>
      </c>
      <c r="F29" s="28" t="s">
        <v>40</v>
      </c>
      <c r="G29" s="28" t="s">
        <v>73</v>
      </c>
      <c r="H29" s="59" t="s">
        <v>87</v>
      </c>
      <c r="I29" s="59" t="s">
        <v>88</v>
      </c>
      <c r="J29" s="59" t="s">
        <v>90</v>
      </c>
      <c r="K29" s="59"/>
    </row>
    <row r="30" spans="4:11" ht="15" customHeight="1" x14ac:dyDescent="0.2">
      <c r="E30" s="58" t="str">
        <f>+E13</f>
        <v>Segment 1</v>
      </c>
      <c r="F30" s="28" t="str">
        <f>+$F$9&amp;F13&amp;"-TAM"</f>
        <v>P1S1-TAM</v>
      </c>
      <c r="G30" s="28" t="s">
        <v>92</v>
      </c>
      <c r="H30" s="16">
        <v>25000</v>
      </c>
      <c r="I30" s="60">
        <v>0.2</v>
      </c>
      <c r="J30" s="60" t="s">
        <v>91</v>
      </c>
      <c r="K30" s="60"/>
    </row>
    <row r="31" spans="4:11" ht="15" customHeight="1" x14ac:dyDescent="0.2">
      <c r="E31" s="58" t="str">
        <f t="shared" ref="E31:E33" si="0">+E14</f>
        <v>Segment 2</v>
      </c>
      <c r="F31" s="28" t="str">
        <f t="shared" ref="F31:F33" si="1">+$F$9&amp;F14&amp;"-TAM"</f>
        <v>P1S2-TAM</v>
      </c>
      <c r="G31" s="28" t="s">
        <v>47</v>
      </c>
      <c r="H31" s="16">
        <v>50000</v>
      </c>
      <c r="I31" s="60">
        <v>0.15</v>
      </c>
      <c r="J31" s="60" t="s">
        <v>91</v>
      </c>
      <c r="K31" s="60"/>
    </row>
    <row r="32" spans="4:11" ht="15" customHeight="1" x14ac:dyDescent="0.2">
      <c r="E32" s="58" t="str">
        <f t="shared" si="0"/>
        <v>Segment 3</v>
      </c>
      <c r="F32" s="28" t="str">
        <f t="shared" si="1"/>
        <v>P1S3-TAM</v>
      </c>
      <c r="G32" s="28" t="s">
        <v>47</v>
      </c>
      <c r="H32" s="16">
        <v>75000</v>
      </c>
      <c r="I32" s="60">
        <v>0.1</v>
      </c>
      <c r="J32" s="60" t="s">
        <v>91</v>
      </c>
      <c r="K32" s="60"/>
    </row>
    <row r="33" spans="4:11" ht="15" customHeight="1" x14ac:dyDescent="0.2">
      <c r="E33" s="58" t="str">
        <f t="shared" si="0"/>
        <v>Segment 4</v>
      </c>
      <c r="F33" s="28" t="str">
        <f t="shared" si="1"/>
        <v>P1S4-TAM</v>
      </c>
      <c r="G33" s="28" t="s">
        <v>47</v>
      </c>
      <c r="H33" s="16">
        <v>100000</v>
      </c>
      <c r="I33" s="60">
        <v>0.05</v>
      </c>
      <c r="J33" s="60" t="s">
        <v>91</v>
      </c>
      <c r="K33" s="60"/>
    </row>
    <row r="34" spans="4:11" ht="15" customHeight="1" x14ac:dyDescent="0.2">
      <c r="D34" s="37"/>
    </row>
    <row r="35" spans="4:11" ht="15" customHeight="1" x14ac:dyDescent="0.2">
      <c r="D35" s="37"/>
      <c r="E35" s="57" t="str">
        <f>+$E$10</f>
        <v>Product_2</v>
      </c>
      <c r="F35" s="38"/>
    </row>
    <row r="36" spans="4:11" ht="15" customHeight="1" x14ac:dyDescent="0.2">
      <c r="D36" s="37"/>
    </row>
    <row r="37" spans="4:11" ht="15" customHeight="1" x14ac:dyDescent="0.2">
      <c r="D37" s="37"/>
      <c r="E37" s="28" t="s">
        <v>65</v>
      </c>
      <c r="F37" s="28" t="s">
        <v>40</v>
      </c>
      <c r="G37" s="28" t="s">
        <v>73</v>
      </c>
      <c r="H37" s="59" t="s">
        <v>87</v>
      </c>
      <c r="I37" s="59" t="s">
        <v>88</v>
      </c>
      <c r="J37" s="59" t="s">
        <v>90</v>
      </c>
      <c r="K37" s="59"/>
    </row>
    <row r="38" spans="4:11" ht="15" customHeight="1" x14ac:dyDescent="0.2">
      <c r="E38" s="58" t="str">
        <f>+E13</f>
        <v>Segment 1</v>
      </c>
      <c r="F38" s="28" t="str">
        <f>+$F$10&amp;F13&amp;"-TAM"</f>
        <v>P2S1-TAM</v>
      </c>
      <c r="G38" s="28" t="s">
        <v>92</v>
      </c>
      <c r="H38" s="16">
        <v>25000</v>
      </c>
      <c r="I38" s="60">
        <v>0.2</v>
      </c>
      <c r="J38" s="60" t="s">
        <v>91</v>
      </c>
      <c r="K38" s="60"/>
    </row>
    <row r="39" spans="4:11" ht="15" customHeight="1" x14ac:dyDescent="0.2">
      <c r="E39" s="58" t="str">
        <f t="shared" ref="E39:E41" si="2">+E14</f>
        <v>Segment 2</v>
      </c>
      <c r="F39" s="28" t="str">
        <f t="shared" ref="F39:F41" si="3">+$F$10&amp;F14&amp;"-TAM"</f>
        <v>P2S2-TAM</v>
      </c>
      <c r="G39" s="28" t="s">
        <v>47</v>
      </c>
      <c r="H39" s="16">
        <v>50000</v>
      </c>
      <c r="I39" s="60">
        <v>0.15</v>
      </c>
      <c r="J39" s="60" t="s">
        <v>91</v>
      </c>
      <c r="K39" s="60"/>
    </row>
    <row r="40" spans="4:11" ht="15" customHeight="1" x14ac:dyDescent="0.2">
      <c r="E40" s="58" t="str">
        <f t="shared" si="2"/>
        <v>Segment 3</v>
      </c>
      <c r="F40" s="28" t="str">
        <f t="shared" si="3"/>
        <v>P2S3-TAM</v>
      </c>
      <c r="G40" s="28" t="s">
        <v>47</v>
      </c>
      <c r="H40" s="16">
        <v>75000</v>
      </c>
      <c r="I40" s="60">
        <v>0.1</v>
      </c>
      <c r="J40" s="60" t="s">
        <v>91</v>
      </c>
      <c r="K40" s="60"/>
    </row>
    <row r="41" spans="4:11" ht="15" customHeight="1" x14ac:dyDescent="0.2">
      <c r="E41" s="58" t="str">
        <f t="shared" si="2"/>
        <v>Segment 4</v>
      </c>
      <c r="F41" s="28" t="str">
        <f t="shared" si="3"/>
        <v>P2S4-TAM</v>
      </c>
      <c r="G41" s="28" t="s">
        <v>47</v>
      </c>
      <c r="H41" s="16">
        <v>100000</v>
      </c>
      <c r="I41" s="60">
        <v>0.05</v>
      </c>
      <c r="J41" s="60" t="s">
        <v>91</v>
      </c>
      <c r="K41" s="60"/>
    </row>
    <row r="42" spans="4:11" ht="15" customHeight="1" x14ac:dyDescent="0.2">
      <c r="E42" s="58"/>
      <c r="H42" s="16"/>
      <c r="I42" s="60"/>
      <c r="J42" s="60"/>
      <c r="K42" s="60"/>
    </row>
    <row r="43" spans="4:11" ht="15" customHeight="1" x14ac:dyDescent="0.2">
      <c r="D43" s="37">
        <v>2</v>
      </c>
      <c r="E43" s="37" t="s">
        <v>76</v>
      </c>
    </row>
    <row r="44" spans="4:11" ht="15" customHeight="1" x14ac:dyDescent="0.2">
      <c r="D44" s="37"/>
      <c r="E44" s="37"/>
    </row>
    <row r="45" spans="4:11" ht="15" customHeight="1" x14ac:dyDescent="0.2">
      <c r="D45" s="37"/>
      <c r="E45" s="28" t="s">
        <v>81</v>
      </c>
      <c r="F45" s="28" t="s">
        <v>84</v>
      </c>
    </row>
    <row r="46" spans="4:11" ht="15" customHeight="1" x14ac:dyDescent="0.2">
      <c r="D46" s="37"/>
      <c r="E46" s="28" t="s">
        <v>73</v>
      </c>
      <c r="F46" s="38" t="s">
        <v>86</v>
      </c>
    </row>
    <row r="47" spans="4:11" ht="15" customHeight="1" x14ac:dyDescent="0.2">
      <c r="D47" s="37"/>
      <c r="E47" s="28" t="s">
        <v>74</v>
      </c>
      <c r="F47" s="38" t="s">
        <v>75</v>
      </c>
    </row>
    <row r="48" spans="4:11" ht="15" customHeight="1" x14ac:dyDescent="0.2">
      <c r="D48" s="37"/>
      <c r="F48" s="38"/>
    </row>
    <row r="49" spans="4:11" ht="15" customHeight="1" x14ac:dyDescent="0.2">
      <c r="D49" s="37"/>
      <c r="E49" s="57" t="str">
        <f>+$E$9</f>
        <v>Product_1</v>
      </c>
      <c r="F49" s="38"/>
    </row>
    <row r="50" spans="4:11" ht="15" customHeight="1" x14ac:dyDescent="0.2">
      <c r="D50" s="37"/>
      <c r="H50" s="65" t="s">
        <v>80</v>
      </c>
      <c r="I50" s="66"/>
      <c r="J50" s="66"/>
      <c r="K50" s="67"/>
    </row>
    <row r="51" spans="4:11" ht="15" customHeight="1" x14ac:dyDescent="0.2">
      <c r="D51" s="37"/>
      <c r="E51" s="28" t="s">
        <v>65</v>
      </c>
      <c r="F51" s="28" t="s">
        <v>40</v>
      </c>
      <c r="G51" s="28" t="s">
        <v>73</v>
      </c>
      <c r="H51" s="59" t="s">
        <v>71</v>
      </c>
      <c r="I51" s="59" t="s">
        <v>77</v>
      </c>
      <c r="J51" s="59" t="s">
        <v>78</v>
      </c>
      <c r="K51" s="59" t="s">
        <v>79</v>
      </c>
    </row>
    <row r="52" spans="4:11" ht="15" customHeight="1" x14ac:dyDescent="0.2">
      <c r="E52" s="58" t="str">
        <f>+E13</f>
        <v>Segment 1</v>
      </c>
      <c r="F52" s="28" t="str">
        <f>+$F$9&amp;F13&amp; "-Drivers"</f>
        <v>P1S1-Drivers</v>
      </c>
      <c r="G52" s="28" t="s">
        <v>67</v>
      </c>
      <c r="H52" s="60">
        <v>0.5</v>
      </c>
      <c r="I52" s="60">
        <v>0.1</v>
      </c>
      <c r="J52" s="60">
        <v>0.15</v>
      </c>
      <c r="K52" s="60">
        <v>0.05</v>
      </c>
    </row>
    <row r="53" spans="4:11" ht="15" customHeight="1" x14ac:dyDescent="0.2">
      <c r="E53" s="58" t="str">
        <f t="shared" ref="E53:E55" si="4">+E14</f>
        <v>Segment 2</v>
      </c>
      <c r="F53" s="28" t="str">
        <f t="shared" ref="F53:F55" si="5">+$F$9&amp;F14&amp; "-Drivers"</f>
        <v>P1S2-Drivers</v>
      </c>
      <c r="G53" s="28" t="s">
        <v>68</v>
      </c>
      <c r="H53" s="60">
        <v>0.35</v>
      </c>
      <c r="I53" s="60">
        <v>0.08</v>
      </c>
      <c r="J53" s="60">
        <v>0.1</v>
      </c>
      <c r="K53" s="60">
        <v>0.04</v>
      </c>
    </row>
    <row r="54" spans="4:11" ht="15" customHeight="1" x14ac:dyDescent="0.2">
      <c r="E54" s="58" t="str">
        <f t="shared" si="4"/>
        <v>Segment 3</v>
      </c>
      <c r="F54" s="28" t="str">
        <f t="shared" si="5"/>
        <v>P1S3-Drivers</v>
      </c>
      <c r="G54" s="28" t="s">
        <v>69</v>
      </c>
      <c r="H54" s="60">
        <v>0.3</v>
      </c>
      <c r="I54" s="60">
        <v>0.2</v>
      </c>
      <c r="J54" s="60">
        <v>0.25</v>
      </c>
      <c r="K54" s="60">
        <v>0.15</v>
      </c>
    </row>
    <row r="55" spans="4:11" ht="15" customHeight="1" x14ac:dyDescent="0.2">
      <c r="E55" s="58" t="str">
        <f t="shared" si="4"/>
        <v>Segment 4</v>
      </c>
      <c r="F55" s="28" t="str">
        <f t="shared" si="5"/>
        <v>P1S4-Drivers</v>
      </c>
      <c r="G55" s="28" t="s">
        <v>70</v>
      </c>
      <c r="H55" s="60">
        <v>0.2</v>
      </c>
      <c r="I55" s="60">
        <v>0.1</v>
      </c>
      <c r="J55" s="60">
        <v>0.125</v>
      </c>
      <c r="K55" s="60">
        <v>7.0000000000000007E-2</v>
      </c>
    </row>
    <row r="57" spans="4:11" ht="15" customHeight="1" x14ac:dyDescent="0.2">
      <c r="E57" s="57" t="str">
        <f>+$E$10</f>
        <v>Product_2</v>
      </c>
    </row>
    <row r="58" spans="4:11" ht="15" customHeight="1" x14ac:dyDescent="0.2">
      <c r="D58" s="37"/>
      <c r="H58" s="65" t="s">
        <v>80</v>
      </c>
      <c r="I58" s="66"/>
      <c r="J58" s="66"/>
      <c r="K58" s="67"/>
    </row>
    <row r="59" spans="4:11" ht="15" customHeight="1" x14ac:dyDescent="0.2">
      <c r="D59" s="37"/>
      <c r="E59" s="28" t="s">
        <v>65</v>
      </c>
      <c r="F59" s="28" t="s">
        <v>40</v>
      </c>
      <c r="G59" s="28" t="s">
        <v>73</v>
      </c>
      <c r="H59" s="59" t="s">
        <v>71</v>
      </c>
      <c r="I59" s="59" t="s">
        <v>77</v>
      </c>
      <c r="J59" s="59" t="s">
        <v>78</v>
      </c>
      <c r="K59" s="59" t="s">
        <v>79</v>
      </c>
    </row>
    <row r="60" spans="4:11" ht="15" customHeight="1" x14ac:dyDescent="0.2">
      <c r="E60" s="58" t="str">
        <f>+E13</f>
        <v>Segment 1</v>
      </c>
      <c r="F60" s="28" t="str">
        <f>+$F$10&amp;F13&amp;"-Drivers"</f>
        <v>P2S1-Drivers</v>
      </c>
      <c r="G60" s="28" t="s">
        <v>67</v>
      </c>
      <c r="H60" s="60">
        <v>0.5</v>
      </c>
      <c r="I60" s="60">
        <v>0.1</v>
      </c>
      <c r="J60" s="60">
        <v>0.15</v>
      </c>
      <c r="K60" s="60">
        <v>0.05</v>
      </c>
    </row>
    <row r="61" spans="4:11" ht="15" customHeight="1" x14ac:dyDescent="0.2">
      <c r="E61" s="58" t="str">
        <f t="shared" ref="E61:E63" si="6">+E14</f>
        <v>Segment 2</v>
      </c>
      <c r="F61" s="28" t="str">
        <f t="shared" ref="F61:F63" si="7">+$F$10&amp;F14&amp;"-Drivers"</f>
        <v>P2S2-Drivers</v>
      </c>
      <c r="G61" s="28" t="s">
        <v>68</v>
      </c>
      <c r="H61" s="60">
        <v>0.35</v>
      </c>
      <c r="I61" s="60">
        <v>0.08</v>
      </c>
      <c r="J61" s="60">
        <v>0.1</v>
      </c>
      <c r="K61" s="60">
        <v>0.04</v>
      </c>
    </row>
    <row r="62" spans="4:11" ht="15" customHeight="1" x14ac:dyDescent="0.2">
      <c r="E62" s="58" t="str">
        <f t="shared" si="6"/>
        <v>Segment 3</v>
      </c>
      <c r="F62" s="28" t="str">
        <f t="shared" si="7"/>
        <v>P2S3-Drivers</v>
      </c>
      <c r="G62" s="28" t="s">
        <v>69</v>
      </c>
      <c r="H62" s="60">
        <v>0.3</v>
      </c>
      <c r="I62" s="60">
        <v>0.2</v>
      </c>
      <c r="J62" s="60">
        <v>0.25</v>
      </c>
      <c r="K62" s="60">
        <v>0.15</v>
      </c>
    </row>
    <row r="63" spans="4:11" ht="15" customHeight="1" x14ac:dyDescent="0.2">
      <c r="E63" s="58" t="str">
        <f t="shared" si="6"/>
        <v>Segment 4</v>
      </c>
      <c r="F63" s="28" t="str">
        <f t="shared" si="7"/>
        <v>P2S4-Drivers</v>
      </c>
      <c r="G63" s="28" t="s">
        <v>70</v>
      </c>
      <c r="H63" s="60">
        <v>0.2</v>
      </c>
      <c r="I63" s="60">
        <v>0.1</v>
      </c>
      <c r="J63" s="60">
        <v>0.125</v>
      </c>
      <c r="K63" s="60">
        <v>7.0000000000000007E-2</v>
      </c>
    </row>
  </sheetData>
  <mergeCells count="2">
    <mergeCell ref="H50:K50"/>
    <mergeCell ref="H58:K58"/>
  </mergeCells>
  <pageMargins left="0.7" right="0.7" top="0.75" bottom="0.75" header="0" footer="0"/>
  <pageSetup scale="49" orientation="portrait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Market Revenue</vt:lpstr>
      <vt:lpstr>Product &amp; Segment Detail</vt:lpstr>
      <vt:lpstr>company_name</vt:lpstr>
      <vt:lpstr>initial_year</vt:lpstr>
      <vt:lpstr>marketrev_range_prod_ids</vt:lpstr>
      <vt:lpstr>marketrev_range_seg_ids</vt:lpstr>
      <vt:lpstr>p1_unit_price</vt:lpstr>
      <vt:lpstr>p2_unit_price</vt:lpstr>
      <vt:lpstr>scenario</vt:lpstr>
      <vt:lpstr>tam_range_prod_id</vt:lpstr>
      <vt:lpstr>tam_range_seg_ids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 McKinnon</cp:lastModifiedBy>
  <dcterms:created xsi:type="dcterms:W3CDTF">2022-09-11T20:40:29Z</dcterms:created>
  <dcterms:modified xsi:type="dcterms:W3CDTF">2022-11-17T22:42:36Z</dcterms:modified>
</cp:coreProperties>
</file>