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revorkellymckinnon/Downloads/"/>
    </mc:Choice>
  </mc:AlternateContent>
  <xr:revisionPtr revIDLastSave="0" documentId="13_ncr:1_{4EF3C506-2580-7440-81B8-55D6F9152A46}" xr6:coauthVersionLast="47" xr6:coauthVersionMax="47" xr10:uidLastSave="{00000000-0000-0000-0000-000000000000}"/>
  <bookViews>
    <workbookView xWindow="23520" yWindow="0" windowWidth="27680" windowHeight="21600" xr2:uid="{00000000-000D-0000-FFFF-FFFF00000000}"/>
  </bookViews>
  <sheets>
    <sheet name="SaaS Model" sheetId="1" r:id="rId1"/>
  </sheets>
  <definedNames>
    <definedName name="company_name">'SaaS Model'!$G$10</definedName>
    <definedName name="init_avg_salary">'SaaS Model'!$G$31</definedName>
    <definedName name="init_license_growth_perc">'SaaS Model'!$G$22</definedName>
    <definedName name="init_maint_perc_license">'SaaS Model'!$G$27</definedName>
    <definedName name="init_num_license_customers">'SaaS Model'!$G$16</definedName>
    <definedName name="init_num_sub_customers">'SaaS Model'!$G$15</definedName>
    <definedName name="init_price_per_license">'SaaS Model'!$G$19</definedName>
    <definedName name="init_price_per_sub">'SaaS Model'!$G$18</definedName>
    <definedName name="init_renew_rate_maint">'SaaS Model'!$G$25</definedName>
    <definedName name="init_renew_rate_sub">'SaaS Model'!$G$24</definedName>
    <definedName name="init_sub_growth_perc">'SaaS Model'!$G$21</definedName>
    <definedName name="initial_year">'SaaS Model'!$G$11</definedName>
    <definedName name="min_num_employees">'SaaS Model'!$G$30</definedName>
    <definedName name="scenario">'SaaS Model'!$G$9</definedName>
    <definedName name="units">'SaaS Model'!$G$12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/nF7P1mSPyyG4+opQmhmcjAdlWg=="/>
    </ext>
  </extLst>
</workbook>
</file>

<file path=xl/calcChain.xml><?xml version="1.0" encoding="utf-8"?>
<calcChain xmlns="http://schemas.openxmlformats.org/spreadsheetml/2006/main">
  <c r="G249" i="1" l="1"/>
  <c r="H249" i="1" s="1"/>
  <c r="I249" i="1" s="1"/>
  <c r="J249" i="1" s="1"/>
  <c r="K249" i="1" s="1"/>
  <c r="L249" i="1" s="1"/>
  <c r="G244" i="1"/>
  <c r="H244" i="1" s="1"/>
  <c r="I244" i="1" s="1"/>
  <c r="J244" i="1" s="1"/>
  <c r="K244" i="1" s="1"/>
  <c r="L244" i="1" s="1"/>
  <c r="H107" i="1"/>
  <c r="I107" i="1"/>
  <c r="J107" i="1"/>
  <c r="K107" i="1"/>
  <c r="L107" i="1"/>
  <c r="G107" i="1"/>
  <c r="L50" i="1"/>
  <c r="K50" i="1"/>
  <c r="J50" i="1"/>
  <c r="I50" i="1"/>
  <c r="J45" i="1"/>
  <c r="K45" i="1"/>
  <c r="L45" i="1"/>
  <c r="I45" i="1"/>
  <c r="J85" i="1" l="1"/>
  <c r="K85" i="1"/>
  <c r="L85" i="1"/>
  <c r="I85" i="1"/>
  <c r="J72" i="1"/>
  <c r="K72" i="1"/>
  <c r="L72" i="1"/>
  <c r="I72" i="1"/>
  <c r="G206" i="1"/>
  <c r="H206" i="1" s="1"/>
  <c r="I206" i="1" s="1"/>
  <c r="J206" i="1" s="1"/>
  <c r="K206" i="1" s="1"/>
  <c r="L206" i="1" s="1"/>
  <c r="G125" i="1"/>
  <c r="H125" i="1" s="1"/>
  <c r="I125" i="1" s="1"/>
  <c r="J125" i="1" s="1"/>
  <c r="K125" i="1" s="1"/>
  <c r="L125" i="1" s="1"/>
  <c r="L128" i="1" s="1"/>
  <c r="G113" i="1"/>
  <c r="G101" i="1"/>
  <c r="H101" i="1" s="1"/>
  <c r="I101" i="1" s="1"/>
  <c r="J101" i="1" s="1"/>
  <c r="K101" i="1" s="1"/>
  <c r="L101" i="1" s="1"/>
  <c r="H85" i="1"/>
  <c r="G41" i="1"/>
  <c r="G43" i="1" s="1"/>
  <c r="G83" i="1"/>
  <c r="H72" i="1"/>
  <c r="G70" i="1"/>
  <c r="G67" i="1"/>
  <c r="H45" i="1"/>
  <c r="H50" i="1"/>
  <c r="G38" i="1"/>
  <c r="H38" i="1" s="1"/>
  <c r="I38" i="1" s="1"/>
  <c r="J38" i="1" s="1"/>
  <c r="K38" i="1" s="1"/>
  <c r="L38" i="1" s="1"/>
  <c r="G178" i="1"/>
  <c r="H178" i="1" s="1"/>
  <c r="I178" i="1" s="1"/>
  <c r="J178" i="1" s="1"/>
  <c r="K178" i="1" s="1"/>
  <c r="L178" i="1" s="1"/>
  <c r="H67" i="1" l="1"/>
  <c r="I67" i="1" s="1"/>
  <c r="G77" i="1"/>
  <c r="G80" i="1" s="1"/>
  <c r="G182" i="1" s="1"/>
  <c r="G251" i="1" s="1"/>
  <c r="G128" i="1"/>
  <c r="K128" i="1"/>
  <c r="J128" i="1"/>
  <c r="H128" i="1"/>
  <c r="I128" i="1"/>
  <c r="H113" i="1"/>
  <c r="H70" i="1"/>
  <c r="I70" i="1" s="1"/>
  <c r="J70" i="1" s="1"/>
  <c r="K70" i="1" s="1"/>
  <c r="L70" i="1" s="1"/>
  <c r="G55" i="1"/>
  <c r="G56" i="1"/>
  <c r="H41" i="1"/>
  <c r="H55" i="1" s="1"/>
  <c r="H42" i="1"/>
  <c r="H56" i="1" s="1"/>
  <c r="G35" i="1"/>
  <c r="H35" i="1" s="1"/>
  <c r="I35" i="1" s="1"/>
  <c r="J35" i="1" s="1"/>
  <c r="K35" i="1" s="1"/>
  <c r="L35" i="1" s="1"/>
  <c r="I113" i="1" l="1"/>
  <c r="G57" i="1"/>
  <c r="H57" i="1"/>
  <c r="H77" i="1"/>
  <c r="H80" i="1" s="1"/>
  <c r="H182" i="1" s="1"/>
  <c r="H251" i="1" s="1"/>
  <c r="I77" i="1"/>
  <c r="I80" i="1" s="1"/>
  <c r="I182" i="1" s="1"/>
  <c r="I251" i="1" s="1"/>
  <c r="G90" i="1"/>
  <c r="J67" i="1"/>
  <c r="H43" i="1"/>
  <c r="G62" i="1" l="1"/>
  <c r="G181" i="1" s="1"/>
  <c r="G250" i="1" s="1"/>
  <c r="J113" i="1"/>
  <c r="G60" i="1"/>
  <c r="H61" i="1" s="1"/>
  <c r="H62" i="1" s="1"/>
  <c r="H181" i="1" s="1"/>
  <c r="H250" i="1" s="1"/>
  <c r="G92" i="1"/>
  <c r="G192" i="1" s="1"/>
  <c r="H91" i="1"/>
  <c r="H60" i="1"/>
  <c r="I61" i="1" s="1"/>
  <c r="H90" i="1"/>
  <c r="K67" i="1"/>
  <c r="I90" i="1"/>
  <c r="I42" i="1"/>
  <c r="I56" i="1" s="1"/>
  <c r="K113" i="1" l="1"/>
  <c r="G95" i="1"/>
  <c r="G97" i="1"/>
  <c r="G183" i="1" s="1"/>
  <c r="J91" i="1"/>
  <c r="H92" i="1"/>
  <c r="H192" i="1" s="1"/>
  <c r="I91" i="1"/>
  <c r="I92" i="1" s="1"/>
  <c r="J77" i="1"/>
  <c r="J80" i="1" s="1"/>
  <c r="J182" i="1" s="1"/>
  <c r="J251" i="1" s="1"/>
  <c r="L67" i="1"/>
  <c r="G184" i="1" l="1"/>
  <c r="G135" i="1" s="1"/>
  <c r="G141" i="1" s="1"/>
  <c r="G252" i="1"/>
  <c r="G253" i="1" s="1"/>
  <c r="H96" i="1"/>
  <c r="H97" i="1" s="1"/>
  <c r="H183" i="1" s="1"/>
  <c r="G138" i="1"/>
  <c r="G144" i="1" s="1"/>
  <c r="L113" i="1"/>
  <c r="H95" i="1"/>
  <c r="I95" i="1"/>
  <c r="J90" i="1"/>
  <c r="G106" i="1" l="1"/>
  <c r="G116" i="1" s="1"/>
  <c r="G191" i="1" s="1"/>
  <c r="G153" i="1"/>
  <c r="G232" i="1" s="1"/>
  <c r="G186" i="1"/>
  <c r="G212" i="1" s="1"/>
  <c r="H184" i="1"/>
  <c r="H153" i="1" s="1"/>
  <c r="H232" i="1" s="1"/>
  <c r="H252" i="1"/>
  <c r="H253" i="1" s="1"/>
  <c r="G209" i="1"/>
  <c r="G193" i="1"/>
  <c r="G194" i="1"/>
  <c r="G223" i="1" s="1"/>
  <c r="H209" i="1"/>
  <c r="I96" i="1"/>
  <c r="I97" i="1" s="1"/>
  <c r="I183" i="1" s="1"/>
  <c r="I252" i="1" s="1"/>
  <c r="H138" i="1"/>
  <c r="H144" i="1" s="1"/>
  <c r="J96" i="1"/>
  <c r="H193" i="1"/>
  <c r="H186" i="1"/>
  <c r="H212" i="1" s="1"/>
  <c r="K91" i="1"/>
  <c r="J92" i="1"/>
  <c r="K77" i="1"/>
  <c r="L77" i="1"/>
  <c r="L80" i="1" s="1"/>
  <c r="L182" i="1" s="1"/>
  <c r="L251" i="1" s="1"/>
  <c r="H106" i="1" l="1"/>
  <c r="H116" i="1" s="1"/>
  <c r="H191" i="1" s="1"/>
  <c r="H195" i="1" s="1"/>
  <c r="H194" i="1"/>
  <c r="H223" i="1" s="1"/>
  <c r="H135" i="1"/>
  <c r="H141" i="1" s="1"/>
  <c r="G195" i="1"/>
  <c r="G136" i="1" s="1"/>
  <c r="G224" i="1"/>
  <c r="G160" i="1"/>
  <c r="G188" i="1"/>
  <c r="G210" i="1"/>
  <c r="G245" i="1"/>
  <c r="G233" i="1"/>
  <c r="H210" i="1"/>
  <c r="H245" i="1"/>
  <c r="H233" i="1"/>
  <c r="H224" i="1"/>
  <c r="H188" i="1"/>
  <c r="K80" i="1"/>
  <c r="K182" i="1" s="1"/>
  <c r="K251" i="1" s="1"/>
  <c r="J95" i="1"/>
  <c r="J97" i="1"/>
  <c r="J183" i="1" s="1"/>
  <c r="J252" i="1" s="1"/>
  <c r="L90" i="1"/>
  <c r="H160" i="1" l="1"/>
  <c r="G213" i="1"/>
  <c r="G215" i="1" s="1"/>
  <c r="G238" i="1" s="1"/>
  <c r="G247" i="1" s="1"/>
  <c r="G197" i="1"/>
  <c r="G199" i="1"/>
  <c r="G137" i="1"/>
  <c r="G143" i="1" s="1"/>
  <c r="H199" i="1"/>
  <c r="H213" i="1"/>
  <c r="H215" i="1" s="1"/>
  <c r="H238" i="1" s="1"/>
  <c r="H247" i="1" s="1"/>
  <c r="G216" i="1"/>
  <c r="H197" i="1"/>
  <c r="K96" i="1"/>
  <c r="G142" i="1"/>
  <c r="H136" i="1"/>
  <c r="H142" i="1" s="1"/>
  <c r="H137" i="1"/>
  <c r="H143" i="1" s="1"/>
  <c r="K90" i="1"/>
  <c r="G201" i="1" l="1"/>
  <c r="G159" i="1" s="1"/>
  <c r="G162" i="1" s="1"/>
  <c r="G166" i="1" s="1"/>
  <c r="G167" i="1" s="1"/>
  <c r="G170" i="1" s="1"/>
  <c r="G171" i="1" s="1"/>
  <c r="G145" i="1"/>
  <c r="G228" i="1" s="1"/>
  <c r="G230" i="1" s="1"/>
  <c r="G218" i="1"/>
  <c r="G220" i="1" s="1"/>
  <c r="G229" i="1"/>
  <c r="H201" i="1"/>
  <c r="H159" i="1" s="1"/>
  <c r="H162" i="1" s="1"/>
  <c r="H166" i="1" s="1"/>
  <c r="H216" i="1"/>
  <c r="H218" i="1"/>
  <c r="H220" i="1" s="1"/>
  <c r="H145" i="1"/>
  <c r="H228" i="1" s="1"/>
  <c r="K92" i="1"/>
  <c r="K95" i="1" s="1"/>
  <c r="L91" i="1"/>
  <c r="L92" i="1" s="1"/>
  <c r="G202" i="1" l="1"/>
  <c r="G203" i="1" s="1"/>
  <c r="H229" i="1"/>
  <c r="H230" i="1"/>
  <c r="H148" i="1"/>
  <c r="H202" i="1"/>
  <c r="H203" i="1" s="1"/>
  <c r="G168" i="1"/>
  <c r="H165" i="1" s="1"/>
  <c r="L96" i="1"/>
  <c r="H147" i="1"/>
  <c r="K97" i="1"/>
  <c r="K183" i="1" s="1"/>
  <c r="K252" i="1" s="1"/>
  <c r="G173" i="1" l="1"/>
  <c r="G226" i="1" s="1"/>
  <c r="G235" i="1" s="1"/>
  <c r="G236" i="1" s="1"/>
  <c r="G239" i="1"/>
  <c r="H167" i="1"/>
  <c r="H170" i="1" s="1"/>
  <c r="H171" i="1" s="1"/>
  <c r="H173" i="1" s="1"/>
  <c r="H226" i="1" s="1"/>
  <c r="L97" i="1"/>
  <c r="L183" i="1" s="1"/>
  <c r="L252" i="1" s="1"/>
  <c r="L95" i="1"/>
  <c r="G246" i="1" l="1"/>
  <c r="H239" i="1"/>
  <c r="H235" i="1"/>
  <c r="H168" i="1"/>
  <c r="I165" i="1" s="1"/>
  <c r="I41" i="1"/>
  <c r="I55" i="1" s="1"/>
  <c r="I57" i="1" s="1"/>
  <c r="H236" i="1" l="1"/>
  <c r="H246" i="1"/>
  <c r="I43" i="1"/>
  <c r="I62" i="1"/>
  <c r="I181" i="1" s="1"/>
  <c r="I60" i="1"/>
  <c r="I192" i="1"/>
  <c r="I184" i="1" l="1"/>
  <c r="I194" i="1" s="1"/>
  <c r="I223" i="1" s="1"/>
  <c r="I250" i="1"/>
  <c r="I253" i="1" s="1"/>
  <c r="I138" i="1"/>
  <c r="I144" i="1" s="1"/>
  <c r="J61" i="1"/>
  <c r="J42" i="1"/>
  <c r="J56" i="1" s="1"/>
  <c r="J41" i="1"/>
  <c r="I193" i="1" l="1"/>
  <c r="I186" i="1"/>
  <c r="I212" i="1" s="1"/>
  <c r="I209" i="1"/>
  <c r="I245" i="1" s="1"/>
  <c r="I106" i="1"/>
  <c r="I116" i="1" s="1"/>
  <c r="I191" i="1" s="1"/>
  <c r="I195" i="1" s="1"/>
  <c r="I137" i="1" s="1"/>
  <c r="I143" i="1" s="1"/>
  <c r="I153" i="1"/>
  <c r="I232" i="1" s="1"/>
  <c r="I135" i="1"/>
  <c r="I141" i="1" s="1"/>
  <c r="J43" i="1"/>
  <c r="J55" i="1"/>
  <c r="J57" i="1" s="1"/>
  <c r="I188" i="1" l="1"/>
  <c r="I224" i="1"/>
  <c r="I233" i="1"/>
  <c r="I210" i="1"/>
  <c r="I160" i="1"/>
  <c r="I136" i="1"/>
  <c r="I142" i="1" s="1"/>
  <c r="I145" i="1" s="1"/>
  <c r="I199" i="1"/>
  <c r="I213" i="1"/>
  <c r="I215" i="1" s="1"/>
  <c r="I238" i="1" s="1"/>
  <c r="I197" i="1"/>
  <c r="J60" i="1"/>
  <c r="J192" i="1"/>
  <c r="J62" i="1"/>
  <c r="J181" i="1" s="1"/>
  <c r="K41" i="1"/>
  <c r="K42" i="1"/>
  <c r="K56" i="1" s="1"/>
  <c r="J184" i="1" l="1"/>
  <c r="J193" i="1" s="1"/>
  <c r="J250" i="1"/>
  <c r="J253" i="1" s="1"/>
  <c r="I239" i="1"/>
  <c r="I247" i="1"/>
  <c r="I218" i="1"/>
  <c r="I220" i="1" s="1"/>
  <c r="I201" i="1"/>
  <c r="I216" i="1"/>
  <c r="K43" i="1"/>
  <c r="K55" i="1"/>
  <c r="K57" i="1" s="1"/>
  <c r="K61" i="1"/>
  <c r="J138" i="1"/>
  <c r="J144" i="1" s="1"/>
  <c r="I228" i="1"/>
  <c r="I147" i="1"/>
  <c r="I148" i="1"/>
  <c r="J135" i="1" l="1"/>
  <c r="J141" i="1" s="1"/>
  <c r="J186" i="1"/>
  <c r="J212" i="1" s="1"/>
  <c r="J209" i="1"/>
  <c r="J245" i="1" s="1"/>
  <c r="J194" i="1"/>
  <c r="J223" i="1" s="1"/>
  <c r="J106" i="1"/>
  <c r="J116" i="1" s="1"/>
  <c r="J191" i="1" s="1"/>
  <c r="J153" i="1"/>
  <c r="J232" i="1" s="1"/>
  <c r="I202" i="1"/>
  <c r="I203" i="1" s="1"/>
  <c r="I159" i="1"/>
  <c r="I162" i="1" s="1"/>
  <c r="I166" i="1" s="1"/>
  <c r="I167" i="1" s="1"/>
  <c r="I170" i="1" s="1"/>
  <c r="I171" i="1" s="1"/>
  <c r="L41" i="1"/>
  <c r="L42" i="1"/>
  <c r="L56" i="1" s="1"/>
  <c r="K192" i="1"/>
  <c r="K62" i="1"/>
  <c r="K181" i="1" s="1"/>
  <c r="K60" i="1"/>
  <c r="I229" i="1"/>
  <c r="I230" i="1"/>
  <c r="J188" i="1"/>
  <c r="J195" i="1" l="1"/>
  <c r="J199" i="1" s="1"/>
  <c r="J160" i="1"/>
  <c r="J233" i="1"/>
  <c r="J210" i="1"/>
  <c r="J224" i="1"/>
  <c r="K184" i="1"/>
  <c r="K186" i="1" s="1"/>
  <c r="K188" i="1" s="1"/>
  <c r="K250" i="1"/>
  <c r="K253" i="1" s="1"/>
  <c r="I173" i="1"/>
  <c r="I226" i="1" s="1"/>
  <c r="I235" i="1" s="1"/>
  <c r="J197" i="1"/>
  <c r="I168" i="1"/>
  <c r="J165" i="1" s="1"/>
  <c r="L55" i="1"/>
  <c r="L57" i="1" s="1"/>
  <c r="L43" i="1"/>
  <c r="J136" i="1"/>
  <c r="L61" i="1"/>
  <c r="K138" i="1"/>
  <c r="K144" i="1" s="1"/>
  <c r="J213" i="1" l="1"/>
  <c r="J215" i="1" s="1"/>
  <c r="J137" i="1"/>
  <c r="J143" i="1" s="1"/>
  <c r="K193" i="1"/>
  <c r="K106" i="1"/>
  <c r="K116" i="1" s="1"/>
  <c r="K191" i="1" s="1"/>
  <c r="K160" i="1" s="1"/>
  <c r="K135" i="1"/>
  <c r="K141" i="1" s="1"/>
  <c r="K209" i="1"/>
  <c r="K245" i="1" s="1"/>
  <c r="K153" i="1"/>
  <c r="K232" i="1" s="1"/>
  <c r="K194" i="1"/>
  <c r="K223" i="1" s="1"/>
  <c r="I236" i="1"/>
  <c r="I246" i="1"/>
  <c r="J201" i="1"/>
  <c r="J159" i="1" s="1"/>
  <c r="J162" i="1" s="1"/>
  <c r="J238" i="1"/>
  <c r="J216" i="1"/>
  <c r="J218" i="1"/>
  <c r="J220" i="1" s="1"/>
  <c r="J142" i="1"/>
  <c r="J145" i="1" s="1"/>
  <c r="K212" i="1"/>
  <c r="L192" i="1"/>
  <c r="L60" i="1"/>
  <c r="L138" i="1" s="1"/>
  <c r="L144" i="1" s="1"/>
  <c r="L62" i="1"/>
  <c r="L181" i="1" s="1"/>
  <c r="K195" i="1" l="1"/>
  <c r="K199" i="1" s="1"/>
  <c r="K224" i="1"/>
  <c r="K210" i="1"/>
  <c r="K233" i="1"/>
  <c r="L184" i="1"/>
  <c r="L186" i="1" s="1"/>
  <c r="L188" i="1" s="1"/>
  <c r="L250" i="1"/>
  <c r="L253" i="1" s="1"/>
  <c r="J239" i="1"/>
  <c r="J247" i="1"/>
  <c r="J202" i="1"/>
  <c r="J203" i="1" s="1"/>
  <c r="J228" i="1"/>
  <c r="J148" i="1"/>
  <c r="J147" i="1"/>
  <c r="J166" i="1"/>
  <c r="K213" i="1" l="1"/>
  <c r="K215" i="1" s="1"/>
  <c r="K238" i="1" s="1"/>
  <c r="K136" i="1"/>
  <c r="K142" i="1" s="1"/>
  <c r="K137" i="1"/>
  <c r="K143" i="1" s="1"/>
  <c r="K197" i="1"/>
  <c r="K201" i="1" s="1"/>
  <c r="K202" i="1" s="1"/>
  <c r="K203" i="1" s="1"/>
  <c r="L194" i="1"/>
  <c r="L223" i="1" s="1"/>
  <c r="L135" i="1"/>
  <c r="L141" i="1" s="1"/>
  <c r="L209" i="1"/>
  <c r="L245" i="1" s="1"/>
  <c r="L153" i="1"/>
  <c r="L232" i="1" s="1"/>
  <c r="L193" i="1"/>
  <c r="L106" i="1"/>
  <c r="L116" i="1" s="1"/>
  <c r="L191" i="1" s="1"/>
  <c r="L212" i="1"/>
  <c r="J230" i="1"/>
  <c r="J229" i="1"/>
  <c r="J167" i="1"/>
  <c r="J170" i="1" s="1"/>
  <c r="J171" i="1" s="1"/>
  <c r="J173" i="1" s="1"/>
  <c r="J226" i="1" s="1"/>
  <c r="J235" i="1" s="1"/>
  <c r="K216" i="1" l="1"/>
  <c r="K218" i="1"/>
  <c r="K220" i="1" s="1"/>
  <c r="L160" i="1"/>
  <c r="K145" i="1"/>
  <c r="K147" i="1" s="1"/>
  <c r="L224" i="1"/>
  <c r="L210" i="1"/>
  <c r="L233" i="1"/>
  <c r="L195" i="1"/>
  <c r="L136" i="1" s="1"/>
  <c r="L142" i="1" s="1"/>
  <c r="J236" i="1"/>
  <c r="J246" i="1"/>
  <c r="K239" i="1"/>
  <c r="K247" i="1"/>
  <c r="K159" i="1"/>
  <c r="K162" i="1" s="1"/>
  <c r="K166" i="1" s="1"/>
  <c r="K148" i="1"/>
  <c r="K228" i="1"/>
  <c r="J168" i="1"/>
  <c r="K165" i="1" s="1"/>
  <c r="L197" i="1" l="1"/>
  <c r="L199" i="1"/>
  <c r="L137" i="1"/>
  <c r="L143" i="1" s="1"/>
  <c r="L145" i="1" s="1"/>
  <c r="L148" i="1" s="1"/>
  <c r="L213" i="1"/>
  <c r="L215" i="1" s="1"/>
  <c r="L216" i="1" s="1"/>
  <c r="K167" i="1"/>
  <c r="K170" i="1" s="1"/>
  <c r="K171" i="1" s="1"/>
  <c r="K173" i="1" s="1"/>
  <c r="K226" i="1" s="1"/>
  <c r="K235" i="1" s="1"/>
  <c r="K230" i="1"/>
  <c r="K229" i="1"/>
  <c r="L201" i="1" l="1"/>
  <c r="L159" i="1" s="1"/>
  <c r="L162" i="1" s="1"/>
  <c r="L166" i="1" s="1"/>
  <c r="L218" i="1"/>
  <c r="L220" i="1" s="1"/>
  <c r="L238" i="1"/>
  <c r="L247" i="1" s="1"/>
  <c r="L228" i="1"/>
  <c r="L229" i="1" s="1"/>
  <c r="L147" i="1"/>
  <c r="K236" i="1"/>
  <c r="K246" i="1"/>
  <c r="L239" i="1"/>
  <c r="K168" i="1"/>
  <c r="L165" i="1" s="1"/>
  <c r="L202" i="1" l="1"/>
  <c r="L203" i="1" s="1"/>
  <c r="L230" i="1"/>
  <c r="L167" i="1"/>
  <c r="L170" i="1" s="1"/>
  <c r="L171" i="1" s="1"/>
  <c r="L173" i="1" l="1"/>
  <c r="L226" i="1" s="1"/>
  <c r="L235" i="1" s="1"/>
  <c r="L236" i="1" s="1"/>
  <c r="L246" i="1"/>
  <c r="L168" i="1"/>
</calcChain>
</file>

<file path=xl/sharedStrings.xml><?xml version="1.0" encoding="utf-8"?>
<sst xmlns="http://schemas.openxmlformats.org/spreadsheetml/2006/main" count="291" uniqueCount="134">
  <si>
    <t>Initial Forecast Year</t>
  </si>
  <si>
    <t>Units:</t>
  </si>
  <si>
    <t>Projected:</t>
  </si>
  <si>
    <t>#</t>
  </si>
  <si>
    <t>% Change</t>
  </si>
  <si>
    <t>%</t>
  </si>
  <si>
    <t>$</t>
  </si>
  <si>
    <t>Units</t>
  </si>
  <si>
    <t>Company Name</t>
  </si>
  <si>
    <t>Name</t>
  </si>
  <si>
    <t>Year</t>
  </si>
  <si>
    <t>General</t>
  </si>
  <si>
    <t>**Line items have corresponding named ranges for initial values</t>
  </si>
  <si>
    <t>Case Scenario</t>
  </si>
  <si>
    <t>Scenario</t>
  </si>
  <si>
    <t>Base</t>
  </si>
  <si>
    <t>General Assumptions &amp; Initial Values</t>
  </si>
  <si>
    <t>Revenue Drivers</t>
  </si>
  <si>
    <t>SaaS Co</t>
  </si>
  <si>
    <t>Profit &amp; Loss</t>
  </si>
  <si>
    <t>Subscription</t>
  </si>
  <si>
    <t>Maintenance</t>
  </si>
  <si>
    <t>License</t>
  </si>
  <si>
    <t>Revenue</t>
  </si>
  <si>
    <t>Total Revenue</t>
  </si>
  <si>
    <t>Cost of Revenue</t>
  </si>
  <si>
    <t>Gross Profit</t>
  </si>
  <si>
    <t>Operating Expenses</t>
  </si>
  <si>
    <t>Research &amp; Development</t>
  </si>
  <si>
    <t>Sales &amp; Marketing</t>
  </si>
  <si>
    <t>General &amp; Administrative</t>
  </si>
  <si>
    <t>Total OpEx</t>
  </si>
  <si>
    <t>Operating Income</t>
  </si>
  <si>
    <t>Pre-Tax Income</t>
  </si>
  <si>
    <t>Income Taxes</t>
  </si>
  <si>
    <t>Net Income / (Loss)</t>
  </si>
  <si>
    <t>Subscriptions</t>
  </si>
  <si>
    <t>Init Price per Subscription</t>
  </si>
  <si>
    <t># Initial Subscription Customers</t>
  </si>
  <si>
    <t># Initial License Customers</t>
  </si>
  <si>
    <t>Init Price per License</t>
  </si>
  <si>
    <t>Init Maint Fee % License Revenue</t>
  </si>
  <si>
    <t>Min # R&amp;D FTE</t>
  </si>
  <si>
    <t>Avg. Price per Subscription</t>
  </si>
  <si>
    <t>% Renewal rate</t>
  </si>
  <si>
    <t>Init Maint. Renewal %</t>
  </si>
  <si>
    <t>Init Subscription Renewal %</t>
  </si>
  <si>
    <t>Avg. Price per License</t>
  </si>
  <si>
    <t>% New Customers Growth Rate</t>
  </si>
  <si>
    <t>% Billings Recognized</t>
  </si>
  <si>
    <t>Init Subscription Growth %</t>
  </si>
  <si>
    <t>Init License Growth %</t>
  </si>
  <si>
    <t># Renewed Customers</t>
  </si>
  <si>
    <t># New Customers</t>
  </si>
  <si>
    <t># Total Customers</t>
  </si>
  <si>
    <t>New Billings</t>
  </si>
  <si>
    <t>Prev. Period Deferred Revenue</t>
  </si>
  <si>
    <t>License &amp; Maintenance</t>
  </si>
  <si>
    <t>Period Deferred Revenue</t>
  </si>
  <si>
    <t>Period Revenue Recognized</t>
  </si>
  <si>
    <t>Total Billings</t>
  </si>
  <si>
    <t>Renewal Billings</t>
  </si>
  <si>
    <t>% Period Billings Recognized</t>
  </si>
  <si>
    <t>Maintenance Billings % License Revenue</t>
  </si>
  <si>
    <t>Expense Drivers</t>
  </si>
  <si>
    <t>General &amp; Administrative % Revenue</t>
  </si>
  <si>
    <t>Effective Tax Rate</t>
  </si>
  <si>
    <t>Cost of Rev % Rev</t>
  </si>
  <si>
    <t>% Fringe Benefits</t>
  </si>
  <si>
    <t>Avg. Salary per FTE</t>
  </si>
  <si>
    <t>Cost per Fully-loaded FTE</t>
  </si>
  <si>
    <t>Revenue per R&amp;D Empl.</t>
  </si>
  <si>
    <t>% Change to Avg. Salary</t>
  </si>
  <si>
    <t>Total Cost per R&amp;D FTE</t>
  </si>
  <si>
    <t>R&amp;D Engineering Employees</t>
  </si>
  <si>
    <t>Sales &amp; Marketing % Billings + Lic Rev</t>
  </si>
  <si>
    <t>Accounts Receivables % Revenue:</t>
  </si>
  <si>
    <t>Days Sales Outstanding:</t>
  </si>
  <si>
    <t>Prepaid Expenses % OpEx:</t>
  </si>
  <si>
    <t>Accounts Payable % OpEx</t>
  </si>
  <si>
    <t>Prepaid Expenses</t>
  </si>
  <si>
    <t>Accounts Receivable</t>
  </si>
  <si>
    <t>Accounts Payables</t>
  </si>
  <si>
    <t>Net Change in Working Capital</t>
  </si>
  <si>
    <t>% Change in Revenue</t>
  </si>
  <si>
    <t>% Revenue</t>
  </si>
  <si>
    <t>Operating Assets &amp; Liabilities</t>
  </si>
  <si>
    <t>Change in Working Capital</t>
  </si>
  <si>
    <t>Deferred Revenue</t>
  </si>
  <si>
    <t>Balance Sheet &amp; Cash Flow Proxy</t>
  </si>
  <si>
    <t>CapEx &amp; Purchases of Intangibles</t>
  </si>
  <si>
    <t>All CapEx &amp; Intangibles Purchases</t>
  </si>
  <si>
    <t>All CapEx &amp; Intangibles Purchases % Revenue</t>
  </si>
  <si>
    <t>D&amp;A % Revenue</t>
  </si>
  <si>
    <t>Depreciation &amp; Amortization</t>
  </si>
  <si>
    <t>Interest Expense % OpEx</t>
  </si>
  <si>
    <t>Interest Income / (Expense)</t>
  </si>
  <si>
    <t>Net Operating Losses (NOL)</t>
  </si>
  <si>
    <t>Beginning NOL Balance</t>
  </si>
  <si>
    <t>(+) NOLs Created</t>
  </si>
  <si>
    <t>(-) NOLs Used</t>
  </si>
  <si>
    <t>Ending NOL Balance</t>
  </si>
  <si>
    <t>NOL-Adjusted Taxable Income</t>
  </si>
  <si>
    <t>Cash Taxes Payable</t>
  </si>
  <si>
    <t>Deferred Income Taxes</t>
  </si>
  <si>
    <t>Tax Schedule</t>
  </si>
  <si>
    <t>Capital Expenditures</t>
  </si>
  <si>
    <t>Non-Tax-Deductible SBC % Core OpEx</t>
  </si>
  <si>
    <t>Book Pre-Tax Income</t>
  </si>
  <si>
    <t>Taxable Income</t>
  </si>
  <si>
    <t>(+) Non-Tax-Deductible Stock-Based Compensation</t>
  </si>
  <si>
    <t>Cost of Revenues, R&amp;D, Other Expenses</t>
  </si>
  <si>
    <t>Summary</t>
  </si>
  <si>
    <t>Unlevered Free Cash Flow</t>
  </si>
  <si>
    <t>Expense</t>
  </si>
  <si>
    <t>NOPAT</t>
  </si>
  <si>
    <t>(-) Cost of Revenue</t>
  </si>
  <si>
    <t>(-) OpEx</t>
  </si>
  <si>
    <t>Op Margin</t>
  </si>
  <si>
    <t>(-) Taxes</t>
  </si>
  <si>
    <t>Adjustments for Non-Cash Charges</t>
  </si>
  <si>
    <t>(+) Depreciation &amp; Amortization</t>
  </si>
  <si>
    <t>(+/-) Deferred Income Taxes</t>
  </si>
  <si>
    <t>(+/-) Net Change in Working Capital</t>
  </si>
  <si>
    <t>(-) Capital Expenditures</t>
  </si>
  <si>
    <t>% Growth</t>
  </si>
  <si>
    <t>EBITDA</t>
  </si>
  <si>
    <t>Upside</t>
  </si>
  <si>
    <t>Downside</t>
  </si>
  <si>
    <t>SaaS Free Cash Flow Model</t>
  </si>
  <si>
    <t>Charts</t>
  </si>
  <si>
    <t>Rev and Cash Flow</t>
  </si>
  <si>
    <t>Revenue Composition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</si>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</sst>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1" formatCode="_(* #,##0_);_(* \(#,##0\);_(* &quot;-&quot;_);_(@_)"/>
    <numFmt numFmtId="43" formatCode="_(* #,##0.00_);_(* \(#,##0.00\);_(* &quot;-&quot;??_);_(@_)"/>
    <numFmt numFmtId="164" formatCode="_-[$£-809]* #,##0.0_-;\-[$£-809]* #,##0.0_-;_-[$£-809]* &quot;-&quot;?_-;_-@"/>
    <numFmt numFmtId="165" formatCode="yyyy"/>
    <numFmt numFmtId="166" formatCode="0.0%;\(0.0%\)"/>
    <numFmt numFmtId="167" formatCode="&quot;FY&quot;yy"/>
    <numFmt numFmtId="168" formatCode="#,##0.0"/>
    <numFmt numFmtId="169" formatCode="0.0%"/>
    <numFmt numFmtId="170" formatCode="_(0.0%_);\(0.0%\);_(&quot;–&quot;_);_(@_)"/>
    <numFmt numFmtId="171" formatCode="_(* #,##0.0_);_(* \(#,##0.0\);_(* &quot;-&quot;?_);_(@_)"/>
    <numFmt numFmtId="172" formatCode="_(* #,##0_);_(* \(#,##0\);_(* &quot;-&quot;?_);_(@_)"/>
  </numFmts>
  <fonts count="23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600FF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B0BFF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2"/>
      <color rgb="FFFFFFFF"/>
      <name val="Arial"/>
      <family val="2"/>
      <scheme val="minor"/>
    </font>
    <font>
      <b/>
      <i/>
      <sz val="12"/>
      <color rgb="FFFFFFFF"/>
      <name val="Arial"/>
      <family val="2"/>
      <scheme val="minor"/>
    </font>
    <font>
      <i/>
      <sz val="12"/>
      <color rgb="FFFFFFFF"/>
      <name val="Arial"/>
      <family val="2"/>
      <scheme val="minor"/>
    </font>
    <font>
      <i/>
      <sz val="12"/>
      <color theme="1"/>
      <name val="Arial"/>
      <family val="2"/>
      <scheme val="minor"/>
    </font>
    <font>
      <b/>
      <sz val="12"/>
      <color rgb="FF0000FF"/>
      <name val="Arial"/>
      <family val="2"/>
      <scheme val="minor"/>
    </font>
    <font>
      <sz val="12"/>
      <color rgb="FF0000FF"/>
      <name val="Arial"/>
      <family val="2"/>
      <scheme val="minor"/>
    </font>
    <font>
      <sz val="12"/>
      <name val="Arial"/>
      <family val="2"/>
      <scheme val="minor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83C92"/>
        <bgColor rgb="FF083C92"/>
      </patternFill>
    </fill>
    <fill>
      <patternFill patternType="solid">
        <fgColor rgb="FFFFFF99"/>
        <bgColor rgb="FFFFFF99"/>
      </patternFill>
    </fill>
    <fill>
      <patternFill patternType="solid">
        <fgColor rgb="FFFEE1CC"/>
        <bgColor rgb="FFFEE1C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5" borderId="2" applyNumberFormat="0" applyFont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5" fillId="0" borderId="0" xfId="0" applyFont="1" applyAlignment="1"/>
    <xf numFmtId="0" fontId="4" fillId="0" borderId="8" xfId="0" applyFont="1" applyBorder="1" applyAlignment="1"/>
    <xf numFmtId="41" fontId="4" fillId="0" borderId="0" xfId="0" applyNumberFormat="1" applyFont="1" applyAlignment="1"/>
    <xf numFmtId="0" fontId="4" fillId="0" borderId="0" xfId="0" applyFont="1" applyAlignment="1">
      <alignment horizontal="left" indent="1"/>
    </xf>
    <xf numFmtId="41" fontId="4" fillId="0" borderId="8" xfId="0" applyNumberFormat="1" applyFont="1" applyBorder="1" applyAlignment="1"/>
    <xf numFmtId="43" fontId="4" fillId="0" borderId="0" xfId="0" applyNumberFormat="1" applyFont="1" applyAlignment="1"/>
    <xf numFmtId="9" fontId="4" fillId="0" borderId="0" xfId="2" applyFont="1" applyAlignment="1"/>
    <xf numFmtId="9" fontId="7" fillId="0" borderId="0" xfId="2" applyFont="1" applyAlignment="1"/>
    <xf numFmtId="0" fontId="4" fillId="0" borderId="3" xfId="0" applyFont="1" applyBorder="1" applyAlignment="1"/>
    <xf numFmtId="0" fontId="5" fillId="0" borderId="3" xfId="0" applyFont="1" applyBorder="1" applyAlignment="1">
      <alignment horizontal="left" indent="1"/>
    </xf>
    <xf numFmtId="170" fontId="5" fillId="0" borderId="3" xfId="2" applyNumberFormat="1" applyFont="1" applyBorder="1" applyAlignment="1"/>
    <xf numFmtId="171" fontId="4" fillId="0" borderId="0" xfId="0" applyNumberFormat="1" applyFont="1" applyAlignment="1"/>
    <xf numFmtId="171" fontId="4" fillId="0" borderId="8" xfId="0" applyNumberFormat="1" applyFont="1" applyBorder="1" applyAlignment="1"/>
    <xf numFmtId="171" fontId="4" fillId="0" borderId="3" xfId="0" applyNumberFormat="1" applyFont="1" applyBorder="1" applyAlignment="1"/>
    <xf numFmtId="171" fontId="9" fillId="0" borderId="0" xfId="0" applyNumberFormat="1" applyFont="1" applyAlignment="1"/>
    <xf numFmtId="172" fontId="4" fillId="0" borderId="0" xfId="0" applyNumberFormat="1" applyFont="1" applyAlignment="1"/>
    <xf numFmtId="0" fontId="10" fillId="6" borderId="0" xfId="0" applyFont="1" applyFill="1" applyAlignment="1">
      <alignment horizontal="left" vertical="center" indent="1"/>
    </xf>
    <xf numFmtId="0" fontId="11" fillId="6" borderId="0" xfId="0" applyFont="1" applyFill="1" applyAlignment="1">
      <alignment horizontal="center" vertical="center"/>
    </xf>
    <xf numFmtId="43" fontId="10" fillId="6" borderId="0" xfId="0" applyNumberFormat="1" applyFont="1" applyFill="1" applyAlignment="1"/>
    <xf numFmtId="41" fontId="6" fillId="0" borderId="0" xfId="0" applyNumberFormat="1" applyFont="1" applyAlignment="1"/>
    <xf numFmtId="0" fontId="10" fillId="7" borderId="0" xfId="0" applyFont="1" applyFill="1" applyAlignment="1">
      <alignment horizontal="left" vertical="center" indent="1"/>
    </xf>
    <xf numFmtId="0" fontId="11" fillId="7" borderId="0" xfId="0" applyFont="1" applyFill="1" applyAlignment="1">
      <alignment horizontal="center" vertical="center"/>
    </xf>
    <xf numFmtId="43" fontId="10" fillId="7" borderId="0" xfId="0" applyNumberFormat="1" applyFont="1" applyFill="1" applyAlignment="1"/>
    <xf numFmtId="169" fontId="4" fillId="0" borderId="0" xfId="2" applyNumberFormat="1" applyFont="1" applyAlignment="1"/>
    <xf numFmtId="0" fontId="2" fillId="0" borderId="0" xfId="0" applyFont="1"/>
    <xf numFmtId="0" fontId="13" fillId="0" borderId="0" xfId="0" applyFont="1"/>
    <xf numFmtId="0" fontId="2" fillId="0" borderId="0" xfId="0" applyFont="1" applyAlignment="1">
      <alignment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5" fontId="19" fillId="3" borderId="2" xfId="0" applyNumberFormat="1" applyFont="1" applyFill="1" applyBorder="1" applyAlignment="1">
      <alignment horizontal="center" vertical="center"/>
    </xf>
    <xf numFmtId="165" fontId="20" fillId="3" borderId="2" xfId="0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vertical="center"/>
    </xf>
    <xf numFmtId="3" fontId="20" fillId="3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168" fontId="20" fillId="3" borderId="2" xfId="0" applyNumberFormat="1" applyFont="1" applyFill="1" applyBorder="1" applyAlignment="1">
      <alignment horizontal="center" vertical="center"/>
    </xf>
    <xf numFmtId="4" fontId="20" fillId="3" borderId="2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167" fontId="14" fillId="2" borderId="7" xfId="0" applyNumberFormat="1" applyFont="1" applyFill="1" applyBorder="1" applyAlignment="1">
      <alignment horizontal="center" vertical="center"/>
    </xf>
    <xf numFmtId="167" fontId="14" fillId="2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3" fontId="20" fillId="0" borderId="2" xfId="0" applyNumberFormat="1" applyFont="1" applyFill="1" applyBorder="1" applyAlignment="1">
      <alignment horizontal="center" vertical="center"/>
    </xf>
    <xf numFmtId="41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indent="1"/>
    </xf>
    <xf numFmtId="166" fontId="20" fillId="3" borderId="2" xfId="0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3" fontId="20" fillId="0" borderId="3" xfId="0" applyNumberFormat="1" applyFont="1" applyFill="1" applyBorder="1" applyAlignment="1">
      <alignment horizontal="center" vertical="center"/>
    </xf>
    <xf numFmtId="9" fontId="20" fillId="0" borderId="2" xfId="2" applyFont="1" applyFill="1" applyBorder="1" applyAlignment="1">
      <alignment horizontal="center" vertical="center"/>
    </xf>
    <xf numFmtId="0" fontId="8" fillId="0" borderId="0" xfId="0" applyFont="1" applyAlignment="1"/>
    <xf numFmtId="0" fontId="18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2" fillId="0" borderId="0" xfId="0" applyFont="1" applyAlignment="1"/>
    <xf numFmtId="10" fontId="4" fillId="0" borderId="0" xfId="0" applyNumberFormat="1" applyFont="1" applyAlignment="1"/>
    <xf numFmtId="0" fontId="2" fillId="0" borderId="8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14" fillId="2" borderId="4" xfId="0" applyFont="1" applyFill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 indent="2"/>
    </xf>
  </cellXfs>
  <cellStyles count="3">
    <cellStyle name="Normal" xfId="0" builtinId="0"/>
    <cellStyle name="Note 2" xfId="1" xr:uid="{3580969B-7CC1-B641-8FF8-8142082EDD55}"/>
    <cellStyle name="Percent" xfId="2" builtinId="5"/>
  </cellStyles>
  <dxfs count="24"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Opportunities Data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Detail Tables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Detail Tables-style 2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Detail Tables-style 3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Detail Tables-style 4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Detail Tables-style 5" pivot="0" count="3" xr9:uid="{00000000-0011-0000-FFFF-FFFF05000000}">
      <tableStyleElement type="headerRow" dxfId="8"/>
      <tableStyleElement type="firstRowStripe" dxfId="7"/>
      <tableStyleElement type="secondRowStripe" dxfId="6"/>
    </tableStyle>
    <tableStyle name="Detail Tables-style 6" pivot="0" count="3" xr9:uid="{00000000-0011-0000-FFFF-FFFF06000000}">
      <tableStyleElement type="headerRow" dxfId="5"/>
      <tableStyleElement type="firstRowStripe" dxfId="4"/>
      <tableStyleElement type="secondRowStripe" dxfId="3"/>
    </tableStyle>
    <tableStyle name="Detail Tables-style 7" pivot="0" count="3" xr9:uid="{00000000-0011-0000-FFFF-FFFF07000000}">
      <tableStyleElement type="headerRow" dxfId="2"/>
      <tableStyleElement type="firstRowStripe" dxfId="1"/>
      <tableStyleElement type="secondRowStripe" dxfId="0"/>
    </tableStyle>
  </tableStyles>
  <colors>
    <mruColors>
      <color rgb="FF39F08B"/>
      <color rgb="FF171E9D"/>
      <color rgb="FF00FA00"/>
      <color rgb="FF0B0BFF"/>
      <color rgb="FF0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Composition ($MM)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'SaaS Model'!$E$250</c:f>
              <c:strCache>
                <c:ptCount val="1"/>
                <c:pt idx="0">
                  <c:v>Subscription</c:v>
                </c:pt>
              </c:strCache>
            </c:strRef>
          </c:tx>
          <c:spPr>
            <a:solidFill>
              <a:srgbClr val="171E9D"/>
            </a:solidFill>
            <a:ln>
              <a:noFill/>
            </a:ln>
            <a:effectLst/>
          </c:spPr>
          <c:invertIfNegative val="0"/>
          <c:cat>
            <c:numRef>
              <c:f>'SaaS Model'!$F$249:$L$249</c:f>
              <c:numCache>
                <c:formatCode>"FY"yy</c:formatCode>
                <c:ptCount val="7"/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</c:numCache>
            </c:numRef>
          </c:cat>
          <c:val>
            <c:numRef>
              <c:f>'SaaS Model'!$F$250:$L$250</c:f>
              <c:numCache>
                <c:formatCode>_(* #,##0_);_(* \(#,##0\);_(* "-"?_);_(@_)</c:formatCode>
                <c:ptCount val="7"/>
                <c:pt idx="1">
                  <c:v>180</c:v>
                </c:pt>
                <c:pt idx="2">
                  <c:v>691.94999999999993</c:v>
                </c:pt>
                <c:pt idx="3">
                  <c:v>1671.0472500000001</c:v>
                </c:pt>
                <c:pt idx="4">
                  <c:v>3636.0124556250003</c:v>
                </c:pt>
                <c:pt idx="5">
                  <c:v>7613.0978997691391</c:v>
                </c:pt>
                <c:pt idx="6">
                  <c:v>15801.936328208316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1-8E46-9A18-98312446F890}"/>
            </c:ext>
          </c:extLst>
        </c:ser>
        <c:ser>
          <c:idx val="1"/>
          <c:order val="1"/>
          <c:tx>
            <c:strRef>
              <c:f>'SaaS Model'!$E$251</c:f>
              <c:strCache>
                <c:ptCount val="1"/>
                <c:pt idx="0">
                  <c:v>License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'SaaS Model'!$F$249:$L$249</c:f>
              <c:numCache>
                <c:formatCode>"FY"yy</c:formatCode>
                <c:ptCount val="7"/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</c:numCache>
            </c:numRef>
          </c:cat>
          <c:val>
            <c:numRef>
              <c:f>'SaaS Model'!$F$251:$L$251</c:f>
              <c:numCache>
                <c:formatCode>_(* #,##0_);_(* \(#,##0\);_(* "-"?_);_(@_)</c:formatCode>
                <c:ptCount val="7"/>
                <c:pt idx="1">
                  <c:v>93.75</c:v>
                </c:pt>
                <c:pt idx="2">
                  <c:v>154.6875</c:v>
                </c:pt>
                <c:pt idx="3">
                  <c:v>232.03125</c:v>
                </c:pt>
                <c:pt idx="4">
                  <c:v>301.640625</c:v>
                </c:pt>
                <c:pt idx="5">
                  <c:v>361.96875</c:v>
                </c:pt>
                <c:pt idx="6">
                  <c:v>425.31328124999999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1-8E46-9A18-98312446F890}"/>
            </c:ext>
          </c:extLst>
        </c:ser>
        <c:ser>
          <c:idx val="2"/>
          <c:order val="2"/>
          <c:tx>
            <c:strRef>
              <c:f>'SaaS Model'!$E$252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'SaaS Model'!$F$249:$L$249</c:f>
              <c:numCache>
                <c:formatCode>"FY"yy</c:formatCode>
                <c:ptCount val="7"/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</c:numCache>
            </c:numRef>
          </c:cat>
          <c:val>
            <c:numRef>
              <c:f>'SaaS Model'!$F$252:$L$252</c:f>
              <c:numCache>
                <c:formatCode>_(* #,##0_);_(* \(#,##0\);_(* "-"?_);_(@_)</c:formatCode>
                <c:ptCount val="7"/>
                <c:pt idx="1">
                  <c:v>23.4375</c:v>
                </c:pt>
                <c:pt idx="2">
                  <c:v>76.171875</c:v>
                </c:pt>
                <c:pt idx="3">
                  <c:v>137.8125</c:v>
                </c:pt>
                <c:pt idx="4">
                  <c:v>206.89453125</c:v>
                </c:pt>
                <c:pt idx="5">
                  <c:v>274.52197265625</c:v>
                </c:pt>
                <c:pt idx="6">
                  <c:v>335.95224609374998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1-8E46-9A18-98312446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938288"/>
        <c:axId val="1240939936"/>
      </c:barChart>
      <c:lineChart>
        <c:grouping val="stacked"/>
        <c:varyColors val="0"/>
        <c:ser>
          <c:idx val="3"/>
          <c:order val="3"/>
          <c:tx>
            <c:strRef>
              <c:f>'SaaS Model'!$E$253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D1-8E46-9A18-98312446F890}"/>
                </c:ext>
              </c:extLst>
            </c:dLbl>
            <c:numFmt formatCode="_(&quot;$&quot;* #,##0.0_);_(&quot;$&quot;* \(#,##0.0\);_(&quot;$&quot;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'SaaS Model'!$F$249:$L$249</c:f>
              <c:numCache>
                <c:formatCode>"FY"yy</c:formatCode>
                <c:ptCount val="7"/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</c:numCache>
            </c:numRef>
          </c:cat>
          <c:val>
            <c:numRef>
              <c:f>'SaaS Model'!$F$253:$L$253</c:f>
              <c:numCache>
                <c:formatCode>_(* #,##0_);_(* \(#,##0\);_(* "-"?_);_(@_)</c:formatCode>
                <c:ptCount val="7"/>
                <c:pt idx="1">
                  <c:v>297.1875</c:v>
                </c:pt>
                <c:pt idx="2">
                  <c:v>922.80937499999993</c:v>
                </c:pt>
                <c:pt idx="3">
                  <c:v>2040.8910000000001</c:v>
                </c:pt>
                <c:pt idx="4">
                  <c:v>4144.5476118750003</c:v>
                </c:pt>
                <c:pt idx="5">
                  <c:v>8249.5886224253882</c:v>
                </c:pt>
                <c:pt idx="6">
                  <c:v>16563.201855552066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1-8E46-9A18-98312446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938288"/>
        <c:axId val="1240939936"/>
      </c:lineChart>
      <c:dateAx>
        <c:axId val="1240938288"/>
        <c:scaling>
          <c:orientation val="minMax"/>
        </c:scaling>
        <c:delete val="0"/>
        <c:axPos val="b"/>
        <c:numFmt formatCode="&quot;FY&quot;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39936"/>
        <c:crosses val="autoZero"/>
        <c:auto val="1"/>
        <c:lblOffset val="100"/>
        <c:baseTimeUnit val="years"/>
      </c:dateAx>
      <c:valAx>
        <c:axId val="1240939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409382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 and Free Cash Flow ($MM)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'SaaS Model'!$E$245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171E9D"/>
            </a:solidFill>
            <a:ln>
              <a:noFill/>
            </a:ln>
            <a:effectLst/>
          </c:spPr>
          <c:invertIfNegative val="0"/>
          <c:dLbls>
            <c:numFmt formatCode="_(&quot;$&quot;* #,##0.0_);_(&quot;$&quot;* \(#,##0.0\);_(&quot;$&quot;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'SaaS Model'!$F$244:$L$244</c:f>
              <c:numCache>
                <c:formatCode>"FY"yy</c:formatCode>
                <c:ptCount val="7"/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</c:numCache>
            </c:numRef>
          </c:cat>
          <c:val>
            <c:numRef>
              <c:f>'SaaS Model'!$F$245:$L$245</c:f>
              <c:numCache>
                <c:formatCode>_(* #,##0_);_(* \(#,##0\);_(* "-"?_);_(@_)</c:formatCode>
                <c:ptCount val="7"/>
                <c:pt idx="1">
                  <c:v>297.1875</c:v>
                </c:pt>
                <c:pt idx="2">
                  <c:v>922.80937499999993</c:v>
                </c:pt>
                <c:pt idx="3">
                  <c:v>2040.8910000000001</c:v>
                </c:pt>
                <c:pt idx="4">
                  <c:v>4144.5476118750003</c:v>
                </c:pt>
                <c:pt idx="5">
                  <c:v>8249.5886224253882</c:v>
                </c:pt>
                <c:pt idx="6">
                  <c:v>16563.201855552066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1-8E46-9A18-98312446F890}"/>
            </c:ext>
          </c:extLst>
        </c:ser>
        <c:ser>
          <c:idx val="1"/>
          <c:order val="1"/>
          <c:tx>
            <c:strRef>
              <c:f>'SaaS Model'!$E$246</c:f>
              <c:strCache>
                <c:ptCount val="1"/>
                <c:pt idx="0">
                  <c:v>Unlevered Free Cash Flow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* #,##0.0_);_(* \(#,##0.0\);_(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'SaaS Model'!$F$244:$L$244</c:f>
              <c:numCache>
                <c:formatCode>"FY"yy</c:formatCode>
                <c:ptCount val="7"/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</c:numCache>
            </c:numRef>
          </c:cat>
          <c:val>
            <c:numRef>
              <c:f>'SaaS Model'!$F$246:$L$246</c:f>
              <c:numCache>
                <c:formatCode>_(* #,##0_);_(* \(#,##0\);_(* "-"?_);_(@_)</c:formatCode>
                <c:ptCount val="7"/>
                <c:pt idx="1">
                  <c:v>-743.72543234160958</c:v>
                </c:pt>
                <c:pt idx="2">
                  <c:v>-776.7073500088643</c:v>
                </c:pt>
                <c:pt idx="3">
                  <c:v>-58.512320676266427</c:v>
                </c:pt>
                <c:pt idx="4">
                  <c:v>1168.442032703452</c:v>
                </c:pt>
                <c:pt idx="5">
                  <c:v>3093.2146391641959</c:v>
                </c:pt>
                <c:pt idx="6">
                  <c:v>6709.3453912384866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1-8E46-9A18-98312446F890}"/>
            </c:ext>
          </c:extLst>
        </c:ser>
        <c:ser>
          <c:idx val="2"/>
          <c:order val="2"/>
          <c:tx>
            <c:strRef>
              <c:f>'SaaS Model'!$E$247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* #,##0.0_);_(* \(#,##0.0\);_(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'SaaS Model'!$F$244:$L$244</c:f>
              <c:numCache>
                <c:formatCode>"FY"yy</c:formatCode>
                <c:ptCount val="7"/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</c:numCache>
            </c:numRef>
          </c:cat>
          <c:val>
            <c:numRef>
              <c:f>'SaaS Model'!$F$247:$L$247</c:f>
              <c:numCache>
                <c:formatCode>_(* #,##0_);_(* \(#,##0\);_(* "-"?_);_(@_)</c:formatCode>
                <c:ptCount val="7"/>
                <c:pt idx="1">
                  <c:v>-843.453125</c:v>
                </c:pt>
                <c:pt idx="2">
                  <c:v>-836.00765625000031</c:v>
                </c:pt>
                <c:pt idx="3">
                  <c:v>-217.43115000000023</c:v>
                </c:pt>
                <c:pt idx="4">
                  <c:v>808.24092683446429</c:v>
                </c:pt>
                <c:pt idx="5">
                  <c:v>2138.6062431104406</c:v>
                </c:pt>
                <c:pt idx="6">
                  <c:v>5156.7870141725498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1-8E46-9A18-98312446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1240938288"/>
        <c:axId val="1240939936"/>
      </c:barChart>
      <c:dateAx>
        <c:axId val="1240938288"/>
        <c:scaling>
          <c:orientation val="minMax"/>
        </c:scaling>
        <c:delete val="0"/>
        <c:axPos val="b"/>
        <c:numFmt formatCode="&quot;FY&quot;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39936"/>
        <c:crosses val="autoZero"/>
        <c:auto val="1"/>
        <c:lblOffset val="100"/>
        <c:baseTimeUnit val="years"/>
      </c:dateAx>
      <c:valAx>
        <c:axId val="1240939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409382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208642</xdr:colOff>
      <xdr:row>257</xdr:row>
      <xdr:rowOff>29934</xdr:rowOff>
    </xdr:from>
    <xdr:to>
      <xdr:col>9</xdr:col>
      <xdr:colOff>121396</xdr:colOff>
      <xdr:row>281</xdr:row>
      <xdr:rowOff>54741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29119-17A1-8556-95E7-C0D463200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313495</xdr:colOff>
      <xdr:row>257</xdr:row>
      <xdr:rowOff>37191</xdr:rowOff>
    </xdr:from>
    <xdr:to>
      <xdr:col>22</xdr:col>
      <xdr:colOff>229913</xdr:colOff>
      <xdr:row>281</xdr:row>
      <xdr:rowOff>21896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E556E-056D-2194-B085-ACF0A6A2A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AF283"/>
  <sheetViews>
    <sheetView showGridLines="0" tabSelected="1" topLeftCell="A201" zoomScale="130" zoomScaleNormal="140" workbookViewId="0">
      <selection activeCell="E232" sqref="E232"/>
    </sheetView>
  </sheetViews>
  <sheetFormatPr baseColWidth="10" defaultColWidth="12.6640625" defaultRowHeight="15" customHeight="1" outlineLevelRow="1" outlineLevelCol="1" x14ac:dyDescent="0.2"/>
  <cols>
    <col min="1" max="1" width="2.83203125" style="1" customWidth="1"/>
    <col min="2" max="3" width="2.83203125" style="1" hidden="1" customWidth="1" outlineLevel="1"/>
    <col min="4" max="4" width="2.83203125" style="1" customWidth="1" collapsed="1"/>
    <col min="5" max="5" width="46" style="1" customWidth="1"/>
    <col min="6" max="12" width="12.6640625" style="1" customWidth="1"/>
    <col min="13" max="13" width="8.83203125" style="1" customWidth="1"/>
    <col min="14" max="14" width="11.83203125" style="1" customWidth="1"/>
    <col min="15" max="15" width="10.5" style="1" customWidth="1"/>
    <col min="16" max="16" width="10.33203125" style="1" customWidth="1"/>
    <col min="17" max="32" width="8.83203125" style="1" customWidth="1"/>
    <col min="33" max="16384" width="12.6640625" style="1"/>
  </cols>
  <sheetData>
    <row r="1" spans="1:32" ht="15" customHeight="1" x14ac:dyDescent="0.2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2" ht="20" customHeight="1" x14ac:dyDescent="0.2">
      <c r="A2" s="30"/>
      <c r="B2" s="30"/>
      <c r="C2" s="30"/>
      <c r="D2" s="31" t="s">
        <v>129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spans="1:32" ht="14" customHeight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</row>
    <row r="4" spans="1:32" s="2" customFormat="1" ht="14" customHeight="1" x14ac:dyDescent="0.2">
      <c r="A4" s="32"/>
      <c r="B4" s="32"/>
      <c r="C4" s="32"/>
      <c r="D4" s="33" t="s">
        <v>16</v>
      </c>
      <c r="E4" s="34"/>
      <c r="F4" s="35" t="s">
        <v>7</v>
      </c>
      <c r="G4" s="36"/>
      <c r="H4" s="30"/>
      <c r="I4" s="30"/>
      <c r="J4" s="30"/>
      <c r="K4" s="30"/>
      <c r="L4" s="30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</row>
    <row r="5" spans="1:32" s="2" customFormat="1" ht="14" customHeight="1" outlineLevel="1" x14ac:dyDescent="0.15">
      <c r="A5" s="32"/>
      <c r="B5" s="32"/>
      <c r="C5" s="32"/>
      <c r="D5" s="32"/>
      <c r="F5" s="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spans="1:32" s="2" customFormat="1" ht="14" customHeight="1" outlineLevel="1" x14ac:dyDescent="0.15">
      <c r="A6" s="32"/>
      <c r="B6" s="32"/>
      <c r="C6" s="32"/>
      <c r="D6" s="32"/>
      <c r="E6" s="37" t="s">
        <v>12</v>
      </c>
      <c r="F6" s="3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</row>
    <row r="7" spans="1:32" s="2" customFormat="1" ht="14" customHeight="1" outlineLevel="1" x14ac:dyDescent="0.15">
      <c r="A7" s="32"/>
      <c r="B7" s="32"/>
      <c r="C7" s="32"/>
      <c r="D7" s="32"/>
      <c r="E7" s="37"/>
      <c r="F7" s="3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1:32" s="2" customFormat="1" ht="14" customHeight="1" outlineLevel="1" x14ac:dyDescent="0.15">
      <c r="A8" s="32"/>
      <c r="B8" s="32"/>
      <c r="C8" s="32"/>
      <c r="D8" s="32"/>
      <c r="E8" s="38" t="s">
        <v>11</v>
      </c>
      <c r="F8" s="3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s="2" customFormat="1" ht="14" customHeight="1" outlineLevel="1" x14ac:dyDescent="0.15">
      <c r="A9" s="32"/>
      <c r="B9" s="32"/>
      <c r="C9" s="32"/>
      <c r="D9" s="32"/>
      <c r="E9" s="32" t="s">
        <v>13</v>
      </c>
      <c r="F9" s="4" t="s">
        <v>14</v>
      </c>
      <c r="G9" s="39" t="s">
        <v>15</v>
      </c>
      <c r="H9" s="38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s="2" customFormat="1" ht="14" customHeight="1" outlineLevel="1" x14ac:dyDescent="0.15">
      <c r="A10" s="32"/>
      <c r="B10" s="32"/>
      <c r="C10" s="32"/>
      <c r="D10" s="32"/>
      <c r="E10" s="32" t="s">
        <v>8</v>
      </c>
      <c r="F10" s="4" t="s">
        <v>9</v>
      </c>
      <c r="G10" s="40" t="s">
        <v>18</v>
      </c>
      <c r="H10" s="32"/>
      <c r="I10" s="32"/>
      <c r="J10" s="41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s="2" customFormat="1" ht="14" customHeight="1" outlineLevel="1" x14ac:dyDescent="0.15">
      <c r="A11" s="32"/>
      <c r="B11" s="32"/>
      <c r="C11" s="32"/>
      <c r="D11" s="32"/>
      <c r="E11" s="32" t="s">
        <v>0</v>
      </c>
      <c r="F11" s="4" t="s">
        <v>10</v>
      </c>
      <c r="G11" s="40">
        <v>44926</v>
      </c>
      <c r="H11" s="32"/>
      <c r="I11" s="32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s="2" customFormat="1" ht="14" customHeight="1" outlineLevel="1" x14ac:dyDescent="0.15">
      <c r="A12" s="32"/>
      <c r="B12" s="32"/>
      <c r="C12" s="32"/>
      <c r="D12" s="32"/>
      <c r="E12" s="32" t="s">
        <v>7</v>
      </c>
      <c r="F12" s="4" t="s">
        <v>3</v>
      </c>
      <c r="G12" s="43">
        <v>1000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s="2" customFormat="1" ht="14" customHeight="1" outlineLevel="1" x14ac:dyDescent="0.15">
      <c r="A13" s="32"/>
      <c r="B13" s="32"/>
      <c r="C13" s="32"/>
      <c r="D13" s="32"/>
      <c r="E13" s="32"/>
      <c r="F13" s="4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s="2" customFormat="1" ht="14" customHeight="1" outlineLevel="1" x14ac:dyDescent="0.15">
      <c r="A14" s="32"/>
      <c r="B14" s="32"/>
      <c r="C14" s="32"/>
      <c r="D14" s="32"/>
      <c r="E14" s="38" t="s">
        <v>23</v>
      </c>
      <c r="F14" s="4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s="2" customFormat="1" ht="14" customHeight="1" outlineLevel="1" x14ac:dyDescent="0.15">
      <c r="A15" s="32"/>
      <c r="B15" s="32"/>
      <c r="C15" s="32"/>
      <c r="D15" s="32"/>
      <c r="E15" s="32" t="s">
        <v>38</v>
      </c>
      <c r="F15" s="4" t="s">
        <v>3</v>
      </c>
      <c r="G15" s="43">
        <v>250</v>
      </c>
      <c r="H15" s="44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s="2" customFormat="1" ht="14" customHeight="1" outlineLevel="1" x14ac:dyDescent="0.15">
      <c r="A16" s="32"/>
      <c r="B16" s="32"/>
      <c r="C16" s="32"/>
      <c r="D16" s="32"/>
      <c r="E16" s="32" t="s">
        <v>39</v>
      </c>
      <c r="F16" s="4" t="s">
        <v>3</v>
      </c>
      <c r="G16" s="43">
        <v>125</v>
      </c>
      <c r="H16" s="44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s="2" customFormat="1" ht="14" customHeight="1" outlineLevel="1" x14ac:dyDescent="0.15">
      <c r="A17" s="32"/>
      <c r="B17" s="32"/>
      <c r="C17" s="32"/>
      <c r="D17" s="32"/>
      <c r="E17" s="32"/>
      <c r="F17" s="4"/>
      <c r="G17" s="44"/>
      <c r="H17" s="44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s="2" customFormat="1" ht="14" customHeight="1" outlineLevel="1" x14ac:dyDescent="0.15">
      <c r="A18" s="32"/>
      <c r="B18" s="32"/>
      <c r="C18" s="32"/>
      <c r="D18" s="32"/>
      <c r="E18" s="32" t="s">
        <v>37</v>
      </c>
      <c r="F18" s="4" t="s">
        <v>6</v>
      </c>
      <c r="G18" s="43">
        <v>1200</v>
      </c>
      <c r="H18" s="44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s="2" customFormat="1" ht="14" customHeight="1" outlineLevel="1" x14ac:dyDescent="0.15">
      <c r="A19" s="32"/>
      <c r="B19" s="32"/>
      <c r="C19" s="32"/>
      <c r="D19" s="32"/>
      <c r="E19" s="32" t="s">
        <v>40</v>
      </c>
      <c r="F19" s="4" t="s">
        <v>6</v>
      </c>
      <c r="G19" s="43">
        <v>750</v>
      </c>
      <c r="H19" s="44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s="2" customFormat="1" ht="14" customHeight="1" outlineLevel="1" x14ac:dyDescent="0.15">
      <c r="A20" s="32"/>
      <c r="B20" s="32"/>
      <c r="C20" s="32"/>
      <c r="D20" s="32"/>
      <c r="E20" s="32"/>
      <c r="F20" s="4"/>
      <c r="G20" s="44"/>
      <c r="H20" s="44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s="2" customFormat="1" ht="14" customHeight="1" outlineLevel="1" x14ac:dyDescent="0.15">
      <c r="A21" s="32"/>
      <c r="B21" s="32"/>
      <c r="C21" s="32"/>
      <c r="D21" s="32"/>
      <c r="E21" s="32" t="s">
        <v>50</v>
      </c>
      <c r="F21" s="4" t="s">
        <v>5</v>
      </c>
      <c r="G21" s="45">
        <v>1.5</v>
      </c>
      <c r="H21" s="44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s="2" customFormat="1" ht="14" customHeight="1" outlineLevel="1" x14ac:dyDescent="0.15">
      <c r="A22" s="32"/>
      <c r="B22" s="32"/>
      <c r="C22" s="32"/>
      <c r="D22" s="32"/>
      <c r="E22" s="32" t="s">
        <v>51</v>
      </c>
      <c r="F22" s="4" t="s">
        <v>5</v>
      </c>
      <c r="G22" s="45">
        <v>0.65</v>
      </c>
      <c r="H22" s="44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s="2" customFormat="1" ht="14" customHeight="1" outlineLevel="1" x14ac:dyDescent="0.15">
      <c r="A23" s="32"/>
      <c r="B23" s="32"/>
      <c r="C23" s="32"/>
      <c r="D23" s="32"/>
      <c r="E23" s="32"/>
      <c r="F23" s="4"/>
      <c r="G23" s="44"/>
      <c r="H23" s="44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s="2" customFormat="1" ht="14" customHeight="1" outlineLevel="1" x14ac:dyDescent="0.15">
      <c r="A24" s="32"/>
      <c r="B24" s="32"/>
      <c r="C24" s="32"/>
      <c r="D24" s="32"/>
      <c r="E24" s="32" t="s">
        <v>46</v>
      </c>
      <c r="F24" s="4" t="s">
        <v>5</v>
      </c>
      <c r="G24" s="46">
        <v>0.6</v>
      </c>
      <c r="H24" s="44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s="2" customFormat="1" ht="14" customHeight="1" outlineLevel="1" x14ac:dyDescent="0.15">
      <c r="A25" s="32"/>
      <c r="B25" s="32"/>
      <c r="C25" s="32"/>
      <c r="D25" s="32"/>
      <c r="E25" s="32" t="s">
        <v>45</v>
      </c>
      <c r="F25" s="4" t="s">
        <v>5</v>
      </c>
      <c r="G25" s="46">
        <v>0.9</v>
      </c>
      <c r="H25" s="44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s="2" customFormat="1" ht="14" customHeight="1" outlineLevel="1" x14ac:dyDescent="0.15">
      <c r="A26" s="32"/>
      <c r="B26" s="32"/>
      <c r="C26" s="32"/>
      <c r="D26" s="32"/>
      <c r="E26" s="32"/>
      <c r="F26" s="4"/>
      <c r="G26" s="32"/>
      <c r="H26" s="44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" customFormat="1" ht="14" customHeight="1" outlineLevel="1" x14ac:dyDescent="0.15">
      <c r="A27" s="32"/>
      <c r="B27" s="32"/>
      <c r="C27" s="32"/>
      <c r="D27" s="32"/>
      <c r="E27" s="32" t="s">
        <v>41</v>
      </c>
      <c r="F27" s="4" t="s">
        <v>5</v>
      </c>
      <c r="G27" s="46">
        <v>0.5</v>
      </c>
      <c r="H27" s="44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" customFormat="1" ht="14" customHeight="1" outlineLevel="1" x14ac:dyDescent="0.15">
      <c r="A28" s="32"/>
      <c r="B28" s="32"/>
      <c r="C28" s="32"/>
      <c r="D28" s="32"/>
      <c r="E28" s="32"/>
      <c r="F28" s="4"/>
      <c r="G28" s="32"/>
      <c r="H28" s="44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s="2" customFormat="1" ht="14" customHeight="1" outlineLevel="1" x14ac:dyDescent="0.15">
      <c r="A29" s="32"/>
      <c r="B29" s="32"/>
      <c r="C29" s="32"/>
      <c r="D29" s="32"/>
      <c r="E29" s="38" t="s">
        <v>114</v>
      </c>
      <c r="F29" s="4"/>
      <c r="G29" s="32"/>
      <c r="H29" s="44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s="2" customFormat="1" ht="14" customHeight="1" outlineLevel="1" x14ac:dyDescent="0.15">
      <c r="A30" s="32"/>
      <c r="B30" s="32"/>
      <c r="C30" s="32"/>
      <c r="D30" s="32"/>
      <c r="E30" s="32" t="s">
        <v>42</v>
      </c>
      <c r="F30" s="4" t="s">
        <v>3</v>
      </c>
      <c r="G30" s="43">
        <v>5</v>
      </c>
      <c r="H30" s="44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s="2" customFormat="1" ht="14" customHeight="1" outlineLevel="1" x14ac:dyDescent="0.15">
      <c r="A31" s="32"/>
      <c r="B31" s="32"/>
      <c r="C31" s="32"/>
      <c r="D31" s="32"/>
      <c r="E31" s="32" t="s">
        <v>69</v>
      </c>
      <c r="F31" s="4" t="s">
        <v>6</v>
      </c>
      <c r="G31" s="43">
        <v>130</v>
      </c>
      <c r="H31" s="44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s="2" customFormat="1" ht="14" customHeight="1" outlineLevel="1" x14ac:dyDescent="0.15">
      <c r="A32" s="32"/>
      <c r="B32" s="32"/>
      <c r="C32" s="32"/>
      <c r="D32" s="32"/>
      <c r="E32" s="32"/>
      <c r="F32" s="4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" customFormat="1" ht="14" customHeight="1" x14ac:dyDescent="0.15">
      <c r="A33" s="32"/>
      <c r="B33" s="32"/>
      <c r="C33" s="32"/>
      <c r="D33" s="32"/>
      <c r="E33" s="32"/>
      <c r="F33" s="4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s="2" customFormat="1" ht="14" customHeight="1" x14ac:dyDescent="0.15">
      <c r="A34" s="32"/>
      <c r="B34" s="32"/>
      <c r="C34" s="32"/>
      <c r="D34" s="47"/>
      <c r="E34" s="47"/>
      <c r="F34" s="47"/>
      <c r="G34" s="72" t="s">
        <v>2</v>
      </c>
      <c r="H34" s="73"/>
      <c r="I34" s="73"/>
      <c r="J34" s="73"/>
      <c r="K34" s="73"/>
      <c r="L34" s="74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s="2" customFormat="1" ht="14" customHeight="1" x14ac:dyDescent="0.15">
      <c r="A35" s="32"/>
      <c r="B35" s="32"/>
      <c r="C35" s="32"/>
      <c r="D35" s="33" t="s">
        <v>17</v>
      </c>
      <c r="E35" s="33"/>
      <c r="F35" s="35" t="s">
        <v>1</v>
      </c>
      <c r="G35" s="48">
        <f>EOMONTH(initial_year,12)</f>
        <v>45291</v>
      </c>
      <c r="H35" s="49">
        <f t="shared" ref="H35" si="0">EOMONTH(G35,12)</f>
        <v>45657</v>
      </c>
      <c r="I35" s="49">
        <f t="shared" ref="I35" si="1">EOMONTH(H35,12)</f>
        <v>46022</v>
      </c>
      <c r="J35" s="49">
        <f t="shared" ref="J35" si="2">EOMONTH(I35,12)</f>
        <v>46387</v>
      </c>
      <c r="K35" s="49">
        <f t="shared" ref="K35" si="3">EOMONTH(J35,12)</f>
        <v>46752</v>
      </c>
      <c r="L35" s="49">
        <f t="shared" ref="L35" si="4">EOMONTH(K35,12)</f>
        <v>47118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" customFormat="1" ht="14" hidden="1" customHeight="1" outlineLevel="1" x14ac:dyDescent="0.15">
      <c r="A36" s="32"/>
      <c r="B36" s="32"/>
      <c r="C36" s="32"/>
      <c r="D36" s="50" t="s">
        <v>36</v>
      </c>
      <c r="E36" s="50"/>
      <c r="F36" s="50"/>
      <c r="G36" s="50"/>
      <c r="H36" s="50"/>
      <c r="I36" s="50"/>
      <c r="J36" s="50"/>
      <c r="K36" s="50"/>
      <c r="L36" s="50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s="2" customFormat="1" ht="14" hidden="1" customHeight="1" outlineLevel="1" x14ac:dyDescent="0.15">
      <c r="F37" s="51"/>
    </row>
    <row r="38" spans="1:32" s="2" customFormat="1" ht="14" hidden="1" customHeight="1" outlineLevel="1" x14ac:dyDescent="0.15">
      <c r="E38" s="2" t="s">
        <v>43</v>
      </c>
      <c r="F38" s="51" t="s">
        <v>6</v>
      </c>
      <c r="G38" s="52">
        <f>+init_price_per_sub</f>
        <v>1200</v>
      </c>
      <c r="H38" s="53">
        <f>+G38*(1+H39)</f>
        <v>1230</v>
      </c>
      <c r="I38" s="53">
        <f t="shared" ref="I38" si="5">+H38*(1+I39)</f>
        <v>1260.75</v>
      </c>
      <c r="J38" s="53">
        <f t="shared" ref="J38" si="6">+I38*(1+J39)</f>
        <v>1292.26875</v>
      </c>
      <c r="K38" s="53">
        <f t="shared" ref="K38" si="7">+J38*(1+K39)</f>
        <v>1324.5754687499998</v>
      </c>
      <c r="L38" s="53">
        <f t="shared" ref="L38" si="8">+K38*(1+L39)</f>
        <v>1357.6898554687498</v>
      </c>
    </row>
    <row r="39" spans="1:32" s="2" customFormat="1" ht="14" hidden="1" customHeight="1" outlineLevel="1" x14ac:dyDescent="0.15">
      <c r="E39" s="54" t="s">
        <v>4</v>
      </c>
      <c r="F39" s="51" t="s">
        <v>5</v>
      </c>
      <c r="G39" s="32"/>
      <c r="H39" s="55">
        <v>2.5000000000000001E-2</v>
      </c>
      <c r="I39" s="55">
        <v>2.5000000000000001E-2</v>
      </c>
      <c r="J39" s="55">
        <v>2.5000000000000001E-2</v>
      </c>
      <c r="K39" s="55">
        <v>2.5000000000000001E-2</v>
      </c>
      <c r="L39" s="55">
        <v>2.5000000000000001E-2</v>
      </c>
      <c r="N39" s="56"/>
    </row>
    <row r="40" spans="1:32" s="2" customFormat="1" ht="14" hidden="1" customHeight="1" outlineLevel="1" x14ac:dyDescent="0.15">
      <c r="F40" s="51"/>
    </row>
    <row r="41" spans="1:32" ht="14" hidden="1" customHeight="1" outlineLevel="1" x14ac:dyDescent="0.2">
      <c r="E41" s="1" t="s">
        <v>53</v>
      </c>
      <c r="F41" s="51" t="s">
        <v>3</v>
      </c>
      <c r="G41" s="52">
        <f>init_num_sub_customers</f>
        <v>250</v>
      </c>
      <c r="H41" s="53">
        <f>+G43*(1+H45)</f>
        <v>625</v>
      </c>
      <c r="I41" s="53">
        <f t="shared" ref="I41:L41" si="9">+H43*(1+I45)</f>
        <v>1162.5</v>
      </c>
      <c r="J41" s="53">
        <f t="shared" si="9"/>
        <v>2216.5</v>
      </c>
      <c r="K41" s="53">
        <f t="shared" si="9"/>
        <v>4296.5999999999995</v>
      </c>
      <c r="L41" s="53">
        <f t="shared" si="9"/>
        <v>8519.3521874999988</v>
      </c>
    </row>
    <row r="42" spans="1:32" ht="14" hidden="1" customHeight="1" outlineLevel="1" x14ac:dyDescent="0.2">
      <c r="E42" s="1" t="s">
        <v>52</v>
      </c>
      <c r="F42" s="51" t="s">
        <v>3</v>
      </c>
      <c r="G42" s="57"/>
      <c r="H42" s="53">
        <f>+G43*H50</f>
        <v>150</v>
      </c>
      <c r="I42" s="53">
        <f>+H43*I50</f>
        <v>542.5</v>
      </c>
      <c r="J42" s="53">
        <f>+I43*J50</f>
        <v>1364</v>
      </c>
      <c r="K42" s="53">
        <f>+J43*K50</f>
        <v>2953.9124999999999</v>
      </c>
      <c r="L42" s="53">
        <f>+K43*L50</f>
        <v>6162.9356249999992</v>
      </c>
    </row>
    <row r="43" spans="1:32" ht="14" hidden="1" customHeight="1" outlineLevel="1" x14ac:dyDescent="0.2">
      <c r="E43" s="1" t="s">
        <v>54</v>
      </c>
      <c r="F43" s="51" t="s">
        <v>3</v>
      </c>
      <c r="G43" s="53">
        <f t="shared" ref="G43" si="10">SUM(G41:G42)</f>
        <v>250</v>
      </c>
      <c r="H43" s="53">
        <f>SUM(H41:H42)</f>
        <v>775</v>
      </c>
      <c r="I43" s="53">
        <f t="shared" ref="I43:L43" si="11">SUM(I41:I42)</f>
        <v>1705</v>
      </c>
      <c r="J43" s="53">
        <f t="shared" si="11"/>
        <v>3580.5</v>
      </c>
      <c r="K43" s="53">
        <f t="shared" si="11"/>
        <v>7250.5124999999989</v>
      </c>
      <c r="L43" s="53">
        <f t="shared" si="11"/>
        <v>14682.287812499999</v>
      </c>
    </row>
    <row r="44" spans="1:32" ht="14" hidden="1" customHeight="1" outlineLevel="1" x14ac:dyDescent="0.2">
      <c r="F44" s="51"/>
      <c r="G44" s="57"/>
      <c r="H44" s="53"/>
      <c r="I44" s="53"/>
      <c r="J44" s="53"/>
      <c r="K44" s="53"/>
      <c r="L44" s="53"/>
    </row>
    <row r="45" spans="1:32" ht="14" hidden="1" customHeight="1" outlineLevel="1" x14ac:dyDescent="0.2">
      <c r="E45" s="1" t="s">
        <v>48</v>
      </c>
      <c r="F45" s="51" t="s">
        <v>5</v>
      </c>
      <c r="H45" s="58">
        <f>init_sub_growth_perc</f>
        <v>1.5</v>
      </c>
      <c r="I45" s="29">
        <f>INDEX(I46:I48,MATCH($G$9,$E46:$E48, 0))</f>
        <v>0.5</v>
      </c>
      <c r="J45" s="29">
        <f t="shared" ref="J45:L45" si="12">INDEX(J46:J48,MATCH($G$9,$E46:$E48, 0))</f>
        <v>0.3</v>
      </c>
      <c r="K45" s="29">
        <f t="shared" si="12"/>
        <v>0.2</v>
      </c>
      <c r="L45" s="29">
        <f t="shared" si="12"/>
        <v>0.17499999999999999</v>
      </c>
    </row>
    <row r="46" spans="1:32" ht="14" hidden="1" customHeight="1" outlineLevel="1" x14ac:dyDescent="0.2">
      <c r="E46" s="9" t="s">
        <v>127</v>
      </c>
      <c r="F46" s="51" t="s">
        <v>5</v>
      </c>
      <c r="I46" s="55">
        <v>0.55000000000000004</v>
      </c>
      <c r="J46" s="55">
        <v>0.35</v>
      </c>
      <c r="K46" s="55">
        <v>0.25</v>
      </c>
      <c r="L46" s="55">
        <v>0.2</v>
      </c>
    </row>
    <row r="47" spans="1:32" ht="14" hidden="1" customHeight="1" outlineLevel="1" x14ac:dyDescent="0.2">
      <c r="E47" s="9" t="s">
        <v>15</v>
      </c>
      <c r="F47" s="51" t="s">
        <v>5</v>
      </c>
      <c r="I47" s="55">
        <v>0.5</v>
      </c>
      <c r="J47" s="55">
        <v>0.3</v>
      </c>
      <c r="K47" s="55">
        <v>0.2</v>
      </c>
      <c r="L47" s="55">
        <v>0.17499999999999999</v>
      </c>
    </row>
    <row r="48" spans="1:32" ht="14" hidden="1" customHeight="1" outlineLevel="1" x14ac:dyDescent="0.2">
      <c r="E48" s="9" t="s">
        <v>128</v>
      </c>
      <c r="F48" s="51" t="s">
        <v>5</v>
      </c>
      <c r="I48" s="55">
        <v>0.45</v>
      </c>
      <c r="J48" s="55">
        <v>0.25</v>
      </c>
      <c r="K48" s="55">
        <v>0.15</v>
      </c>
      <c r="L48" s="55">
        <v>0.125</v>
      </c>
    </row>
    <row r="49" spans="1:32" ht="14" hidden="1" customHeight="1" outlineLevel="1" x14ac:dyDescent="0.2">
      <c r="F49" s="51"/>
    </row>
    <row r="50" spans="1:32" ht="14" hidden="1" customHeight="1" outlineLevel="1" x14ac:dyDescent="0.2">
      <c r="E50" s="1" t="s">
        <v>44</v>
      </c>
      <c r="F50" s="51" t="s">
        <v>5</v>
      </c>
      <c r="H50" s="58">
        <f>init_renew_rate_sub</f>
        <v>0.6</v>
      </c>
      <c r="I50" s="29">
        <f>INDEX(I51:I53,MATCH($G$9,$E51:$E53, 0))</f>
        <v>0.7</v>
      </c>
      <c r="J50" s="29">
        <f t="shared" ref="J50" si="13">INDEX(J51:J53,MATCH($G$9,$E51:$E53, 0))</f>
        <v>0.8</v>
      </c>
      <c r="K50" s="29">
        <f t="shared" ref="K50" si="14">INDEX(K51:K53,MATCH($G$9,$E51:$E53, 0))</f>
        <v>0.82499999999999996</v>
      </c>
      <c r="L50" s="29">
        <f t="shared" ref="L50" si="15">INDEX(L51:L53,MATCH($G$9,$E51:$E53, 0))</f>
        <v>0.85</v>
      </c>
    </row>
    <row r="51" spans="1:32" ht="14" hidden="1" customHeight="1" outlineLevel="1" x14ac:dyDescent="0.2">
      <c r="E51" s="9" t="s">
        <v>127</v>
      </c>
      <c r="F51" s="51" t="s">
        <v>5</v>
      </c>
      <c r="I51" s="55">
        <v>0.75</v>
      </c>
      <c r="J51" s="55">
        <v>0.85</v>
      </c>
      <c r="K51" s="55">
        <v>0.875</v>
      </c>
      <c r="L51" s="55">
        <v>0.9</v>
      </c>
    </row>
    <row r="52" spans="1:32" ht="14" hidden="1" customHeight="1" outlineLevel="1" x14ac:dyDescent="0.2">
      <c r="E52" s="9" t="s">
        <v>15</v>
      </c>
      <c r="F52" s="51" t="s">
        <v>5</v>
      </c>
      <c r="I52" s="55">
        <v>0.7</v>
      </c>
      <c r="J52" s="55">
        <v>0.8</v>
      </c>
      <c r="K52" s="55">
        <v>0.82499999999999996</v>
      </c>
      <c r="L52" s="55">
        <v>0.85</v>
      </c>
    </row>
    <row r="53" spans="1:32" ht="14" hidden="1" customHeight="1" outlineLevel="1" x14ac:dyDescent="0.2">
      <c r="E53" s="9" t="s">
        <v>128</v>
      </c>
      <c r="F53" s="51" t="s">
        <v>5</v>
      </c>
      <c r="I53" s="55">
        <v>0.65</v>
      </c>
      <c r="J53" s="55">
        <v>0.7</v>
      </c>
      <c r="K53" s="55">
        <v>0.72499999999999998</v>
      </c>
      <c r="L53" s="55">
        <v>0.75</v>
      </c>
    </row>
    <row r="54" spans="1:32" ht="14" hidden="1" customHeight="1" outlineLevel="1" x14ac:dyDescent="0.2">
      <c r="F54" s="51"/>
    </row>
    <row r="55" spans="1:32" ht="14" hidden="1" customHeight="1" outlineLevel="1" x14ac:dyDescent="0.2">
      <c r="E55" s="1" t="s">
        <v>55</v>
      </c>
      <c r="F55" s="51" t="s">
        <v>6</v>
      </c>
      <c r="G55" s="8">
        <f t="shared" ref="G55:L55" si="16">+G38*G41/units</f>
        <v>300</v>
      </c>
      <c r="H55" s="8">
        <f t="shared" si="16"/>
        <v>768.75</v>
      </c>
      <c r="I55" s="8">
        <f t="shared" si="16"/>
        <v>1465.621875</v>
      </c>
      <c r="J55" s="8">
        <f t="shared" si="16"/>
        <v>2864.3136843749999</v>
      </c>
      <c r="K55" s="8">
        <f t="shared" si="16"/>
        <v>5691.1709590312485</v>
      </c>
      <c r="L55" s="8">
        <f t="shared" si="16"/>
        <v>11566.63804013425</v>
      </c>
    </row>
    <row r="56" spans="1:32" ht="14" hidden="1" customHeight="1" outlineLevel="1" x14ac:dyDescent="0.2">
      <c r="E56" s="1" t="s">
        <v>61</v>
      </c>
      <c r="F56" s="51" t="s">
        <v>6</v>
      </c>
      <c r="G56" s="8">
        <f>+G38*G42</f>
        <v>0</v>
      </c>
      <c r="H56" s="8">
        <f>+H38*H42/units</f>
        <v>184.5</v>
      </c>
      <c r="I56" s="8">
        <f>+I38*I42/units</f>
        <v>683.95687499999997</v>
      </c>
      <c r="J56" s="8">
        <f>+J38*J42/units</f>
        <v>1762.654575</v>
      </c>
      <c r="K56" s="8">
        <f>+K38*K42/units</f>
        <v>3912.6800343339833</v>
      </c>
      <c r="L56" s="8">
        <f>+L38*L42/units</f>
        <v>8367.3551779694571</v>
      </c>
    </row>
    <row r="57" spans="1:32" ht="14" hidden="1" customHeight="1" outlineLevel="1" x14ac:dyDescent="0.2">
      <c r="E57" s="1" t="s">
        <v>60</v>
      </c>
      <c r="F57" s="51" t="s">
        <v>6</v>
      </c>
      <c r="G57" s="53">
        <f>SUM(G55:G56)</f>
        <v>300</v>
      </c>
      <c r="H57" s="53">
        <f t="shared" ref="H57:L57" si="17">SUM(H55:H56)</f>
        <v>953.25</v>
      </c>
      <c r="I57" s="53">
        <f t="shared" si="17"/>
        <v>2149.5787500000001</v>
      </c>
      <c r="J57" s="53">
        <f t="shared" si="17"/>
        <v>4626.9682593750003</v>
      </c>
      <c r="K57" s="53">
        <f t="shared" si="17"/>
        <v>9603.8509933652313</v>
      </c>
      <c r="L57" s="53">
        <f t="shared" si="17"/>
        <v>19933.993218103707</v>
      </c>
    </row>
    <row r="58" spans="1:32" ht="14" hidden="1" customHeight="1" outlineLevel="1" x14ac:dyDescent="0.2">
      <c r="F58" s="51"/>
      <c r="G58" s="53"/>
      <c r="H58" s="53"/>
      <c r="I58" s="53"/>
      <c r="J58" s="53"/>
      <c r="K58" s="53"/>
      <c r="L58" s="53"/>
    </row>
    <row r="59" spans="1:32" ht="14" hidden="1" customHeight="1" outlineLevel="1" x14ac:dyDescent="0.2">
      <c r="E59" s="1" t="s">
        <v>62</v>
      </c>
      <c r="F59" s="51" t="s">
        <v>5</v>
      </c>
      <c r="G59" s="55">
        <v>0.6</v>
      </c>
      <c r="H59" s="55">
        <v>0.6</v>
      </c>
      <c r="I59" s="55">
        <v>0.6</v>
      </c>
      <c r="J59" s="55">
        <v>0.6</v>
      </c>
      <c r="K59" s="55">
        <v>0.6</v>
      </c>
      <c r="L59" s="55">
        <v>0.6</v>
      </c>
    </row>
    <row r="60" spans="1:32" ht="14" hidden="1" customHeight="1" outlineLevel="1" x14ac:dyDescent="0.2">
      <c r="E60" s="1" t="s">
        <v>58</v>
      </c>
      <c r="F60" s="51" t="s">
        <v>6</v>
      </c>
      <c r="G60" s="53">
        <f t="shared" ref="G60:L60" si="18">+G57*(1-G59)</f>
        <v>120</v>
      </c>
      <c r="H60" s="53">
        <f t="shared" si="18"/>
        <v>381.3</v>
      </c>
      <c r="I60" s="53">
        <f t="shared" si="18"/>
        <v>859.83150000000012</v>
      </c>
      <c r="J60" s="53">
        <f t="shared" si="18"/>
        <v>1850.7873037500003</v>
      </c>
      <c r="K60" s="53">
        <f t="shared" si="18"/>
        <v>3841.5403973460925</v>
      </c>
      <c r="L60" s="53">
        <f t="shared" si="18"/>
        <v>7973.5972872414832</v>
      </c>
    </row>
    <row r="61" spans="1:32" ht="14" hidden="1" customHeight="1" outlineLevel="1" x14ac:dyDescent="0.2">
      <c r="E61" s="1" t="s">
        <v>56</v>
      </c>
      <c r="F61" s="51" t="s">
        <v>6</v>
      </c>
      <c r="H61" s="8">
        <f>+G60</f>
        <v>120</v>
      </c>
      <c r="I61" s="8">
        <f t="shared" ref="I61:L61" si="19">+H60</f>
        <v>381.3</v>
      </c>
      <c r="J61" s="8">
        <f t="shared" si="19"/>
        <v>859.83150000000012</v>
      </c>
      <c r="K61" s="8">
        <f t="shared" si="19"/>
        <v>1850.7873037500003</v>
      </c>
      <c r="L61" s="8">
        <f t="shared" si="19"/>
        <v>3841.5403973460925</v>
      </c>
    </row>
    <row r="62" spans="1:32" ht="14" hidden="1" customHeight="1" outlineLevel="1" x14ac:dyDescent="0.2">
      <c r="E62" s="1" t="s">
        <v>59</v>
      </c>
      <c r="F62" s="51" t="s">
        <v>6</v>
      </c>
      <c r="G62" s="53">
        <f t="shared" ref="G62:L62" si="20">(G57*G59) + G61</f>
        <v>180</v>
      </c>
      <c r="H62" s="53">
        <f t="shared" si="20"/>
        <v>691.94999999999993</v>
      </c>
      <c r="I62" s="53">
        <f t="shared" si="20"/>
        <v>1671.0472500000001</v>
      </c>
      <c r="J62" s="53">
        <f t="shared" si="20"/>
        <v>3636.0124556250003</v>
      </c>
      <c r="K62" s="53">
        <f t="shared" si="20"/>
        <v>7613.0978997691391</v>
      </c>
      <c r="L62" s="53">
        <f t="shared" si="20"/>
        <v>15801.936328208316</v>
      </c>
    </row>
    <row r="63" spans="1:32" ht="14" hidden="1" customHeight="1" outlineLevel="1" x14ac:dyDescent="0.2">
      <c r="F63" s="51"/>
    </row>
    <row r="64" spans="1:32" s="2" customFormat="1" ht="14" hidden="1" customHeight="1" outlineLevel="1" x14ac:dyDescent="0.15">
      <c r="A64" s="32"/>
      <c r="B64" s="32"/>
      <c r="C64" s="32"/>
      <c r="D64" s="50" t="s">
        <v>57</v>
      </c>
      <c r="E64" s="50"/>
      <c r="F64" s="50"/>
      <c r="G64" s="50"/>
      <c r="H64" s="50"/>
      <c r="I64" s="50"/>
      <c r="J64" s="50"/>
      <c r="K64" s="50"/>
      <c r="L64" s="50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5:14" ht="14" hidden="1" customHeight="1" outlineLevel="1" x14ac:dyDescent="0.2"/>
    <row r="66" spans="5:14" ht="14" hidden="1" customHeight="1" outlineLevel="1" x14ac:dyDescent="0.2">
      <c r="E66" s="5" t="s">
        <v>22</v>
      </c>
    </row>
    <row r="67" spans="5:14" s="2" customFormat="1" ht="14" hidden="1" customHeight="1" outlineLevel="1" x14ac:dyDescent="0.15">
      <c r="E67" s="2" t="s">
        <v>47</v>
      </c>
      <c r="F67" s="51" t="s">
        <v>6</v>
      </c>
      <c r="G67" s="52">
        <f>init_price_per_license</f>
        <v>750</v>
      </c>
      <c r="H67" s="53">
        <f>+G67*(1+H68)</f>
        <v>750</v>
      </c>
      <c r="I67" s="53">
        <f t="shared" ref="I67" si="21">+H67*(1+I68)</f>
        <v>750</v>
      </c>
      <c r="J67" s="53">
        <f t="shared" ref="J67" si="22">+I67*(1+J68)</f>
        <v>750</v>
      </c>
      <c r="K67" s="53">
        <f t="shared" ref="K67" si="23">+J67*(1+K68)</f>
        <v>750</v>
      </c>
      <c r="L67" s="53">
        <f t="shared" ref="L67" si="24">+K67*(1+L68)</f>
        <v>750</v>
      </c>
    </row>
    <row r="68" spans="5:14" s="2" customFormat="1" ht="14" hidden="1" customHeight="1" outlineLevel="1" x14ac:dyDescent="0.15">
      <c r="E68" s="54" t="s">
        <v>4</v>
      </c>
      <c r="F68" s="51" t="s">
        <v>5</v>
      </c>
      <c r="G68" s="32"/>
      <c r="H68" s="55">
        <v>0</v>
      </c>
      <c r="I68" s="55">
        <v>0</v>
      </c>
      <c r="J68" s="55">
        <v>0</v>
      </c>
      <c r="K68" s="55">
        <v>0</v>
      </c>
      <c r="L68" s="55">
        <v>0</v>
      </c>
      <c r="N68" s="56"/>
    </row>
    <row r="69" spans="5:14" s="2" customFormat="1" ht="14" hidden="1" customHeight="1" outlineLevel="1" x14ac:dyDescent="0.15">
      <c r="F69" s="51"/>
    </row>
    <row r="70" spans="5:14" ht="14" hidden="1" customHeight="1" outlineLevel="1" x14ac:dyDescent="0.2">
      <c r="E70" s="1" t="s">
        <v>53</v>
      </c>
      <c r="F70" s="51" t="s">
        <v>3</v>
      </c>
      <c r="G70" s="52">
        <f>init_num_license_customers</f>
        <v>125</v>
      </c>
      <c r="H70" s="53">
        <f>+G70*(1+H72)</f>
        <v>206.25</v>
      </c>
      <c r="I70" s="53">
        <f t="shared" ref="I70:L70" si="25">+H70*(1+I72)</f>
        <v>309.375</v>
      </c>
      <c r="J70" s="53">
        <f t="shared" si="25"/>
        <v>402.1875</v>
      </c>
      <c r="K70" s="53">
        <f t="shared" si="25"/>
        <v>482.625</v>
      </c>
      <c r="L70" s="53">
        <f t="shared" si="25"/>
        <v>567.08437500000002</v>
      </c>
    </row>
    <row r="71" spans="5:14" ht="14" hidden="1" customHeight="1" outlineLevel="1" x14ac:dyDescent="0.2">
      <c r="F71" s="51"/>
      <c r="G71" s="57"/>
      <c r="H71" s="53"/>
      <c r="I71" s="53"/>
      <c r="J71" s="53"/>
      <c r="K71" s="53"/>
      <c r="L71" s="53"/>
    </row>
    <row r="72" spans="5:14" ht="14" hidden="1" customHeight="1" outlineLevel="1" x14ac:dyDescent="0.2">
      <c r="E72" s="1" t="s">
        <v>48</v>
      </c>
      <c r="F72" s="51" t="s">
        <v>5</v>
      </c>
      <c r="H72" s="58">
        <f>init_license_growth_perc</f>
        <v>0.65</v>
      </c>
      <c r="I72" s="29">
        <f>INDEX(I73:I75,MATCH($G$9, $E$73:$E$75,0))</f>
        <v>0.5</v>
      </c>
      <c r="J72" s="29">
        <f t="shared" ref="J72:L72" si="26">INDEX(J73:J75,MATCH($G$9, $E$73:$E$75,0))</f>
        <v>0.3</v>
      </c>
      <c r="K72" s="29">
        <f t="shared" si="26"/>
        <v>0.2</v>
      </c>
      <c r="L72" s="29">
        <f t="shared" si="26"/>
        <v>0.17499999999999999</v>
      </c>
    </row>
    <row r="73" spans="5:14" ht="14" hidden="1" customHeight="1" outlineLevel="1" x14ac:dyDescent="0.2">
      <c r="E73" s="9" t="s">
        <v>127</v>
      </c>
      <c r="F73" s="51" t="s">
        <v>5</v>
      </c>
      <c r="I73" s="55">
        <v>0.55000000000000004</v>
      </c>
      <c r="J73" s="55">
        <v>0.35</v>
      </c>
      <c r="K73" s="55">
        <v>0.25</v>
      </c>
      <c r="L73" s="55">
        <v>0.2</v>
      </c>
    </row>
    <row r="74" spans="5:14" ht="14" hidden="1" customHeight="1" outlineLevel="1" x14ac:dyDescent="0.2">
      <c r="E74" s="9" t="s">
        <v>15</v>
      </c>
      <c r="F74" s="51" t="s">
        <v>5</v>
      </c>
      <c r="I74" s="55">
        <v>0.5</v>
      </c>
      <c r="J74" s="55">
        <v>0.3</v>
      </c>
      <c r="K74" s="55">
        <v>0.2</v>
      </c>
      <c r="L74" s="55">
        <v>0.17499999999999999</v>
      </c>
    </row>
    <row r="75" spans="5:14" ht="14" hidden="1" customHeight="1" outlineLevel="1" x14ac:dyDescent="0.2">
      <c r="E75" s="9" t="s">
        <v>128</v>
      </c>
      <c r="F75" s="51" t="s">
        <v>5</v>
      </c>
      <c r="I75" s="55">
        <v>0.45</v>
      </c>
      <c r="J75" s="55">
        <v>0.25</v>
      </c>
      <c r="K75" s="55">
        <v>0.15</v>
      </c>
      <c r="L75" s="55">
        <v>0.125</v>
      </c>
    </row>
    <row r="76" spans="5:14" ht="14" hidden="1" customHeight="1" outlineLevel="1" x14ac:dyDescent="0.2">
      <c r="F76" s="51"/>
    </row>
    <row r="77" spans="5:14" ht="14" hidden="1" customHeight="1" outlineLevel="1" x14ac:dyDescent="0.2">
      <c r="E77" s="1" t="s">
        <v>60</v>
      </c>
      <c r="F77" s="51" t="s">
        <v>6</v>
      </c>
      <c r="G77" s="53">
        <f>+G67*G70/units</f>
        <v>93.75</v>
      </c>
      <c r="H77" s="53">
        <f t="shared" ref="G77:L77" si="27">+H67*H70/units</f>
        <v>154.6875</v>
      </c>
      <c r="I77" s="53">
        <f t="shared" si="27"/>
        <v>232.03125</v>
      </c>
      <c r="J77" s="53">
        <f t="shared" si="27"/>
        <v>301.640625</v>
      </c>
      <c r="K77" s="53">
        <f t="shared" si="27"/>
        <v>361.96875</v>
      </c>
      <c r="L77" s="53">
        <f t="shared" si="27"/>
        <v>425.31328124999999</v>
      </c>
    </row>
    <row r="78" spans="5:14" ht="14" hidden="1" customHeight="1" outlineLevel="1" x14ac:dyDescent="0.2">
      <c r="E78" s="1" t="s">
        <v>49</v>
      </c>
      <c r="F78" s="51" t="s">
        <v>5</v>
      </c>
      <c r="G78" s="55">
        <v>1</v>
      </c>
      <c r="H78" s="55">
        <v>1</v>
      </c>
      <c r="I78" s="55">
        <v>1</v>
      </c>
      <c r="J78" s="55">
        <v>1</v>
      </c>
      <c r="K78" s="55">
        <v>1</v>
      </c>
      <c r="L78" s="55">
        <v>1</v>
      </c>
    </row>
    <row r="79" spans="5:14" s="59" customFormat="1" ht="14" hidden="1" customHeight="1" outlineLevel="1" x14ac:dyDescent="0.15"/>
    <row r="80" spans="5:14" ht="14" hidden="1" customHeight="1" outlineLevel="1" x14ac:dyDescent="0.2">
      <c r="E80" s="1" t="s">
        <v>59</v>
      </c>
      <c r="F80" s="51" t="s">
        <v>6</v>
      </c>
      <c r="G80" s="53">
        <f>(G77*G78)</f>
        <v>93.75</v>
      </c>
      <c r="H80" s="53">
        <f t="shared" ref="H80:L80" si="28">(H77*H78)</f>
        <v>154.6875</v>
      </c>
      <c r="I80" s="53">
        <f t="shared" si="28"/>
        <v>232.03125</v>
      </c>
      <c r="J80" s="53">
        <f t="shared" si="28"/>
        <v>301.640625</v>
      </c>
      <c r="K80" s="53">
        <f t="shared" si="28"/>
        <v>361.96875</v>
      </c>
      <c r="L80" s="53">
        <f t="shared" si="28"/>
        <v>425.31328124999999</v>
      </c>
    </row>
    <row r="81" spans="5:12" ht="14" hidden="1" customHeight="1" outlineLevel="1" x14ac:dyDescent="0.2">
      <c r="E81" s="5"/>
    </row>
    <row r="82" spans="5:12" ht="14" hidden="1" customHeight="1" outlineLevel="1" x14ac:dyDescent="0.2">
      <c r="E82" s="5" t="s">
        <v>21</v>
      </c>
    </row>
    <row r="83" spans="5:12" s="2" customFormat="1" ht="14" hidden="1" customHeight="1" outlineLevel="1" x14ac:dyDescent="0.15">
      <c r="E83" s="2" t="s">
        <v>63</v>
      </c>
      <c r="F83" s="51" t="s">
        <v>5</v>
      </c>
      <c r="G83" s="58">
        <f>init_maint_perc_license</f>
        <v>0.5</v>
      </c>
      <c r="H83" s="55">
        <v>0.5</v>
      </c>
      <c r="I83" s="55">
        <v>0.5</v>
      </c>
      <c r="J83" s="55">
        <v>0.5</v>
      </c>
      <c r="K83" s="55">
        <v>0.5</v>
      </c>
      <c r="L83" s="55">
        <v>0.5</v>
      </c>
    </row>
    <row r="84" spans="5:12" ht="14" hidden="1" customHeight="1" outlineLevel="1" x14ac:dyDescent="0.2">
      <c r="F84" s="51"/>
    </row>
    <row r="85" spans="5:12" ht="14" hidden="1" customHeight="1" outlineLevel="1" x14ac:dyDescent="0.2">
      <c r="E85" s="1" t="s">
        <v>44</v>
      </c>
      <c r="F85" s="51" t="s">
        <v>5</v>
      </c>
      <c r="H85" s="58">
        <f>init_renew_rate_sub</f>
        <v>0.6</v>
      </c>
      <c r="I85" s="29">
        <f>INDEX(I86:I88,MATCH($G$9, $E$86:$E$88,0))</f>
        <v>0.7</v>
      </c>
      <c r="J85" s="29">
        <f t="shared" ref="J85:L85" si="29">INDEX(J86:J88,MATCH($G$9, $E$86:$E$88,0))</f>
        <v>0.8</v>
      </c>
      <c r="K85" s="29">
        <f t="shared" si="29"/>
        <v>0.82499999999999996</v>
      </c>
      <c r="L85" s="29">
        <f t="shared" si="29"/>
        <v>0.85</v>
      </c>
    </row>
    <row r="86" spans="5:12" ht="14" hidden="1" customHeight="1" outlineLevel="1" x14ac:dyDescent="0.2">
      <c r="E86" s="9" t="s">
        <v>127</v>
      </c>
      <c r="F86" s="51" t="s">
        <v>5</v>
      </c>
      <c r="I86" s="55">
        <v>0.75</v>
      </c>
      <c r="J86" s="55">
        <v>0.85</v>
      </c>
      <c r="K86" s="55">
        <v>0.875</v>
      </c>
      <c r="L86" s="55">
        <v>0.9</v>
      </c>
    </row>
    <row r="87" spans="5:12" ht="14" hidden="1" customHeight="1" outlineLevel="1" x14ac:dyDescent="0.2">
      <c r="E87" s="9" t="s">
        <v>15</v>
      </c>
      <c r="F87" s="51" t="s">
        <v>5</v>
      </c>
      <c r="I87" s="55">
        <v>0.7</v>
      </c>
      <c r="J87" s="55">
        <v>0.8</v>
      </c>
      <c r="K87" s="55">
        <v>0.82499999999999996</v>
      </c>
      <c r="L87" s="55">
        <v>0.85</v>
      </c>
    </row>
    <row r="88" spans="5:12" ht="14" hidden="1" customHeight="1" outlineLevel="1" x14ac:dyDescent="0.2">
      <c r="E88" s="9" t="s">
        <v>128</v>
      </c>
      <c r="F88" s="51" t="s">
        <v>5</v>
      </c>
      <c r="I88" s="55">
        <v>0.65</v>
      </c>
      <c r="J88" s="55">
        <v>0.7</v>
      </c>
      <c r="K88" s="55">
        <v>0.72499999999999998</v>
      </c>
      <c r="L88" s="55">
        <v>0.75</v>
      </c>
    </row>
    <row r="89" spans="5:12" ht="14" hidden="1" customHeight="1" outlineLevel="1" x14ac:dyDescent="0.2">
      <c r="F89" s="51"/>
    </row>
    <row r="90" spans="5:12" ht="14" hidden="1" customHeight="1" outlineLevel="1" x14ac:dyDescent="0.2">
      <c r="E90" s="1" t="s">
        <v>55</v>
      </c>
      <c r="F90" s="51" t="s">
        <v>6</v>
      </c>
      <c r="G90" s="8">
        <f t="shared" ref="G90:L90" si="30">+G83*G80</f>
        <v>46.875</v>
      </c>
      <c r="H90" s="8">
        <f t="shared" si="30"/>
        <v>77.34375</v>
      </c>
      <c r="I90" s="8">
        <f t="shared" si="30"/>
        <v>116.015625</v>
      </c>
      <c r="J90" s="8">
        <f t="shared" si="30"/>
        <v>150.8203125</v>
      </c>
      <c r="K90" s="8">
        <f t="shared" si="30"/>
        <v>180.984375</v>
      </c>
      <c r="L90" s="8">
        <f t="shared" si="30"/>
        <v>212.65664062499999</v>
      </c>
    </row>
    <row r="91" spans="5:12" ht="14" hidden="1" customHeight="1" outlineLevel="1" x14ac:dyDescent="0.2">
      <c r="E91" s="1" t="s">
        <v>61</v>
      </c>
      <c r="F91" s="51" t="s">
        <v>6</v>
      </c>
      <c r="G91" s="8"/>
      <c r="H91" s="8">
        <f>+H85*G90</f>
        <v>28.125</v>
      </c>
      <c r="I91" s="8">
        <f>+I85*H90</f>
        <v>54.140625</v>
      </c>
      <c r="J91" s="8">
        <f>+J85*I90</f>
        <v>92.8125</v>
      </c>
      <c r="K91" s="8">
        <f>+K85*J90</f>
        <v>124.4267578125</v>
      </c>
      <c r="L91" s="8">
        <f>+L85*K90</f>
        <v>153.83671874999999</v>
      </c>
    </row>
    <row r="92" spans="5:12" ht="14" hidden="1" customHeight="1" outlineLevel="1" x14ac:dyDescent="0.2">
      <c r="E92" s="1" t="s">
        <v>60</v>
      </c>
      <c r="F92" s="51" t="s">
        <v>6</v>
      </c>
      <c r="G92" s="53">
        <f>SUM(G90:G91)</f>
        <v>46.875</v>
      </c>
      <c r="H92" s="53">
        <f t="shared" ref="H92:L92" si="31">SUM(H90:H91)</f>
        <v>105.46875</v>
      </c>
      <c r="I92" s="53">
        <f t="shared" si="31"/>
        <v>170.15625</v>
      </c>
      <c r="J92" s="53">
        <f t="shared" si="31"/>
        <v>243.6328125</v>
      </c>
      <c r="K92" s="53">
        <f t="shared" si="31"/>
        <v>305.4111328125</v>
      </c>
      <c r="L92" s="53">
        <f t="shared" si="31"/>
        <v>366.49335937499995</v>
      </c>
    </row>
    <row r="93" spans="5:12" ht="14" hidden="1" customHeight="1" outlineLevel="1" x14ac:dyDescent="0.2">
      <c r="F93" s="51"/>
      <c r="G93" s="53"/>
      <c r="H93" s="53"/>
      <c r="I93" s="53"/>
      <c r="J93" s="53"/>
      <c r="K93" s="53"/>
      <c r="L93" s="53"/>
    </row>
    <row r="94" spans="5:12" ht="14" hidden="1" customHeight="1" outlineLevel="1" x14ac:dyDescent="0.2">
      <c r="E94" s="1" t="s">
        <v>62</v>
      </c>
      <c r="F94" s="51" t="s">
        <v>5</v>
      </c>
      <c r="G94" s="55">
        <v>0.5</v>
      </c>
      <c r="H94" s="55">
        <v>0.5</v>
      </c>
      <c r="I94" s="55">
        <v>0.5</v>
      </c>
      <c r="J94" s="55">
        <v>0.5</v>
      </c>
      <c r="K94" s="55">
        <v>0.5</v>
      </c>
      <c r="L94" s="55">
        <v>0.5</v>
      </c>
    </row>
    <row r="95" spans="5:12" ht="14" hidden="1" customHeight="1" outlineLevel="1" x14ac:dyDescent="0.2">
      <c r="E95" s="1" t="s">
        <v>58</v>
      </c>
      <c r="F95" s="51" t="s">
        <v>6</v>
      </c>
      <c r="G95" s="53">
        <f t="shared" ref="G95:L95" si="32">+G92*(1-G94)</f>
        <v>23.4375</v>
      </c>
      <c r="H95" s="53">
        <f t="shared" si="32"/>
        <v>52.734375</v>
      </c>
      <c r="I95" s="53">
        <f t="shared" si="32"/>
        <v>85.078125</v>
      </c>
      <c r="J95" s="53">
        <f t="shared" si="32"/>
        <v>121.81640625</v>
      </c>
      <c r="K95" s="53">
        <f t="shared" si="32"/>
        <v>152.70556640625</v>
      </c>
      <c r="L95" s="53">
        <f t="shared" si="32"/>
        <v>183.24667968749998</v>
      </c>
    </row>
    <row r="96" spans="5:12" ht="14" hidden="1" customHeight="1" outlineLevel="1" x14ac:dyDescent="0.2">
      <c r="E96" s="1" t="s">
        <v>56</v>
      </c>
      <c r="F96" s="51" t="s">
        <v>6</v>
      </c>
      <c r="H96" s="8">
        <f>+G95</f>
        <v>23.4375</v>
      </c>
      <c r="I96" s="8">
        <f t="shared" ref="I96:L96" si="33">+H95</f>
        <v>52.734375</v>
      </c>
      <c r="J96" s="8">
        <f t="shared" si="33"/>
        <v>85.078125</v>
      </c>
      <c r="K96" s="8">
        <f t="shared" si="33"/>
        <v>121.81640625</v>
      </c>
      <c r="L96" s="8">
        <f t="shared" si="33"/>
        <v>152.70556640625</v>
      </c>
    </row>
    <row r="97" spans="1:32" ht="14" hidden="1" customHeight="1" outlineLevel="1" x14ac:dyDescent="0.2">
      <c r="E97" s="1" t="s">
        <v>59</v>
      </c>
      <c r="F97" s="51" t="s">
        <v>6</v>
      </c>
      <c r="G97" s="53">
        <f t="shared" ref="G97:L97" si="34">(G92*G94) + G96</f>
        <v>23.4375</v>
      </c>
      <c r="H97" s="53">
        <f t="shared" si="34"/>
        <v>76.171875</v>
      </c>
      <c r="I97" s="53">
        <f t="shared" si="34"/>
        <v>137.8125</v>
      </c>
      <c r="J97" s="53">
        <f t="shared" si="34"/>
        <v>206.89453125</v>
      </c>
      <c r="K97" s="53">
        <f t="shared" si="34"/>
        <v>274.52197265625</v>
      </c>
      <c r="L97" s="53">
        <f t="shared" si="34"/>
        <v>335.95224609374998</v>
      </c>
    </row>
    <row r="98" spans="1:32" ht="14" hidden="1" customHeight="1" outlineLevel="1" x14ac:dyDescent="0.2">
      <c r="F98" s="51"/>
      <c r="G98" s="53"/>
      <c r="H98" s="53"/>
      <c r="I98" s="53"/>
      <c r="J98" s="53"/>
      <c r="K98" s="53"/>
      <c r="L98" s="53"/>
    </row>
    <row r="99" spans="1:32" ht="14" customHeight="1" collapsed="1" x14ac:dyDescent="0.2">
      <c r="F99" s="51"/>
    </row>
    <row r="100" spans="1:32" s="2" customFormat="1" ht="14" customHeight="1" x14ac:dyDescent="0.15">
      <c r="A100" s="32"/>
      <c r="B100" s="32"/>
      <c r="C100" s="32"/>
      <c r="D100" s="47"/>
      <c r="E100" s="47"/>
      <c r="F100" s="47"/>
      <c r="G100" s="72" t="s">
        <v>2</v>
      </c>
      <c r="H100" s="73"/>
      <c r="I100" s="73"/>
      <c r="J100" s="73"/>
      <c r="K100" s="73"/>
      <c r="L100" s="74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s="2" customFormat="1" ht="14" customHeight="1" x14ac:dyDescent="0.15">
      <c r="A101" s="32"/>
      <c r="B101" s="32"/>
      <c r="C101" s="32"/>
      <c r="D101" s="33" t="s">
        <v>64</v>
      </c>
      <c r="E101" s="33"/>
      <c r="F101" s="35" t="s">
        <v>1</v>
      </c>
      <c r="G101" s="48">
        <f>EOMONTH(initial_year,12)</f>
        <v>45291</v>
      </c>
      <c r="H101" s="49">
        <f t="shared" ref="H101" si="35">EOMONTH(G101,12)</f>
        <v>45657</v>
      </c>
      <c r="I101" s="49">
        <f t="shared" ref="I101" si="36">EOMONTH(H101,12)</f>
        <v>46022</v>
      </c>
      <c r="J101" s="49">
        <f t="shared" ref="J101" si="37">EOMONTH(I101,12)</f>
        <v>46387</v>
      </c>
      <c r="K101" s="49">
        <f t="shared" ref="K101" si="38">EOMONTH(J101,12)</f>
        <v>46752</v>
      </c>
      <c r="L101" s="49">
        <f t="shared" ref="L101" si="39">EOMONTH(K101,12)</f>
        <v>47118</v>
      </c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s="2" customFormat="1" ht="14" customHeight="1" outlineLevel="1" x14ac:dyDescent="0.15">
      <c r="A102" s="32"/>
      <c r="B102" s="32"/>
      <c r="C102" s="32"/>
      <c r="D102" s="50" t="s">
        <v>111</v>
      </c>
      <c r="E102" s="50"/>
      <c r="F102" s="50"/>
      <c r="G102" s="50"/>
      <c r="H102" s="50"/>
      <c r="I102" s="50"/>
      <c r="J102" s="50"/>
      <c r="K102" s="50"/>
      <c r="L102" s="50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ht="14" customHeight="1" outlineLevel="1" x14ac:dyDescent="0.2"/>
    <row r="104" spans="1:32" ht="14" customHeight="1" outlineLevel="1" x14ac:dyDescent="0.2">
      <c r="E104" s="1" t="s">
        <v>67</v>
      </c>
      <c r="F104" s="51" t="s">
        <v>5</v>
      </c>
      <c r="G104" s="55">
        <v>0.25</v>
      </c>
      <c r="H104" s="55">
        <v>0.25</v>
      </c>
      <c r="I104" s="55">
        <v>0.2</v>
      </c>
      <c r="J104" s="55">
        <v>0.17499999999999999</v>
      </c>
      <c r="K104" s="55">
        <v>0.16</v>
      </c>
      <c r="L104" s="55">
        <v>0.15</v>
      </c>
    </row>
    <row r="105" spans="1:32" ht="14" customHeight="1" outlineLevel="1" x14ac:dyDescent="0.2">
      <c r="F105" s="51"/>
    </row>
    <row r="106" spans="1:32" ht="14" customHeight="1" outlineLevel="1" x14ac:dyDescent="0.2">
      <c r="E106" s="1" t="s">
        <v>74</v>
      </c>
      <c r="F106" s="51" t="s">
        <v>3</v>
      </c>
      <c r="G106" s="53">
        <f t="shared" ref="G106:L106" si="40">MAX(min_num_employees, G184/G107)</f>
        <v>5</v>
      </c>
      <c r="H106" s="53">
        <f t="shared" si="40"/>
        <v>5</v>
      </c>
      <c r="I106" s="53">
        <f t="shared" si="40"/>
        <v>5</v>
      </c>
      <c r="J106" s="53">
        <f t="shared" si="40"/>
        <v>5.920782302678572</v>
      </c>
      <c r="K106" s="53">
        <f t="shared" si="40"/>
        <v>10.311985778031735</v>
      </c>
      <c r="L106" s="53">
        <f t="shared" si="40"/>
        <v>16.563201855552066</v>
      </c>
    </row>
    <row r="107" spans="1:32" ht="14" customHeight="1" outlineLevel="1" x14ac:dyDescent="0.2">
      <c r="E107" s="1" t="s">
        <v>71</v>
      </c>
      <c r="F107" s="51" t="s">
        <v>6</v>
      </c>
      <c r="G107" s="53">
        <f t="shared" ref="G107:L107" si="41">INDEX(G108:G110,MATCH($G$9, $E108:$E110,0))</f>
        <v>400</v>
      </c>
      <c r="H107" s="53">
        <f t="shared" si="41"/>
        <v>500</v>
      </c>
      <c r="I107" s="53">
        <f t="shared" si="41"/>
        <v>600</v>
      </c>
      <c r="J107" s="53">
        <f t="shared" si="41"/>
        <v>700</v>
      </c>
      <c r="K107" s="53">
        <f t="shared" si="41"/>
        <v>800</v>
      </c>
      <c r="L107" s="53">
        <f t="shared" si="41"/>
        <v>1000</v>
      </c>
    </row>
    <row r="108" spans="1:32" ht="14" customHeight="1" outlineLevel="1" x14ac:dyDescent="0.2">
      <c r="E108" s="9" t="s">
        <v>127</v>
      </c>
      <c r="F108" s="51"/>
      <c r="G108" s="43">
        <v>500</v>
      </c>
      <c r="H108" s="43">
        <v>600</v>
      </c>
      <c r="I108" s="43">
        <v>700</v>
      </c>
      <c r="J108" s="43">
        <v>800</v>
      </c>
      <c r="K108" s="43">
        <v>1000</v>
      </c>
      <c r="L108" s="43">
        <v>1100</v>
      </c>
    </row>
    <row r="109" spans="1:32" ht="14" customHeight="1" outlineLevel="1" x14ac:dyDescent="0.2">
      <c r="E109" s="9" t="s">
        <v>15</v>
      </c>
      <c r="F109" s="51"/>
      <c r="G109" s="43">
        <v>400</v>
      </c>
      <c r="H109" s="43">
        <v>500</v>
      </c>
      <c r="I109" s="43">
        <v>600</v>
      </c>
      <c r="J109" s="43">
        <v>700</v>
      </c>
      <c r="K109" s="43">
        <v>800</v>
      </c>
      <c r="L109" s="43">
        <v>1000</v>
      </c>
    </row>
    <row r="110" spans="1:32" ht="14" customHeight="1" outlineLevel="1" x14ac:dyDescent="0.2">
      <c r="E110" s="9" t="s">
        <v>128</v>
      </c>
      <c r="F110" s="51"/>
      <c r="G110" s="43">
        <v>350</v>
      </c>
      <c r="H110" s="43">
        <v>450</v>
      </c>
      <c r="I110" s="43">
        <v>550</v>
      </c>
      <c r="J110" s="43">
        <v>650</v>
      </c>
      <c r="K110" s="43">
        <v>750</v>
      </c>
      <c r="L110" s="43">
        <v>850</v>
      </c>
    </row>
    <row r="111" spans="1:32" ht="14" customHeight="1" outlineLevel="1" x14ac:dyDescent="0.2">
      <c r="E111" s="9"/>
      <c r="F111" s="51"/>
    </row>
    <row r="112" spans="1:32" ht="14" customHeight="1" outlineLevel="1" x14ac:dyDescent="0.2">
      <c r="E112" s="1" t="s">
        <v>70</v>
      </c>
      <c r="F112" s="51" t="s">
        <v>6</v>
      </c>
    </row>
    <row r="113" spans="1:32" ht="14" customHeight="1" outlineLevel="1" x14ac:dyDescent="0.2">
      <c r="E113" s="9" t="s">
        <v>69</v>
      </c>
      <c r="F113" s="51" t="s">
        <v>6</v>
      </c>
      <c r="G113" s="52">
        <f>init_avg_salary</f>
        <v>130</v>
      </c>
      <c r="H113" s="53">
        <f>+G113*(1+H114)</f>
        <v>136.5</v>
      </c>
      <c r="I113" s="53">
        <f t="shared" ref="I113:L113" si="42">+H113*(1+I114)</f>
        <v>143.32500000000002</v>
      </c>
      <c r="J113" s="53">
        <f t="shared" si="42"/>
        <v>157.65750000000003</v>
      </c>
      <c r="K113" s="53">
        <f t="shared" si="42"/>
        <v>165.54037500000004</v>
      </c>
      <c r="L113" s="53">
        <f t="shared" si="42"/>
        <v>173.81739375000004</v>
      </c>
    </row>
    <row r="114" spans="1:32" ht="14" customHeight="1" outlineLevel="1" x14ac:dyDescent="0.2">
      <c r="E114" s="9" t="s">
        <v>72</v>
      </c>
      <c r="F114" s="51" t="s">
        <v>5</v>
      </c>
      <c r="G114" s="53"/>
      <c r="H114" s="55">
        <v>0.05</v>
      </c>
      <c r="I114" s="55">
        <v>0.05</v>
      </c>
      <c r="J114" s="55">
        <v>0.1</v>
      </c>
      <c r="K114" s="55">
        <v>0.05</v>
      </c>
      <c r="L114" s="55">
        <v>0.05</v>
      </c>
    </row>
    <row r="115" spans="1:32" ht="14" customHeight="1" outlineLevel="1" x14ac:dyDescent="0.2">
      <c r="E115" s="9" t="s">
        <v>68</v>
      </c>
      <c r="F115" s="51" t="s">
        <v>5</v>
      </c>
      <c r="G115" s="55">
        <v>0.3</v>
      </c>
      <c r="H115" s="55">
        <v>0.3</v>
      </c>
      <c r="I115" s="55">
        <v>0.3</v>
      </c>
      <c r="J115" s="55">
        <v>0.3</v>
      </c>
      <c r="K115" s="55">
        <v>0.3</v>
      </c>
      <c r="L115" s="55">
        <v>0.3</v>
      </c>
    </row>
    <row r="116" spans="1:32" ht="14" customHeight="1" outlineLevel="1" x14ac:dyDescent="0.2">
      <c r="E116" s="9" t="s">
        <v>73</v>
      </c>
      <c r="F116" s="51" t="s">
        <v>6</v>
      </c>
      <c r="G116" s="8">
        <f t="shared" ref="G116:L116" si="43">+(G113*(1+G115))*G106</f>
        <v>845</v>
      </c>
      <c r="H116" s="8">
        <f t="shared" si="43"/>
        <v>887.25000000000011</v>
      </c>
      <c r="I116" s="8">
        <f t="shared" si="43"/>
        <v>931.61250000000007</v>
      </c>
      <c r="J116" s="8">
        <f t="shared" si="43"/>
        <v>1213.4924566499112</v>
      </c>
      <c r="K116" s="8">
        <f t="shared" si="43"/>
        <v>2219.1649904970527</v>
      </c>
      <c r="L116" s="8">
        <f t="shared" si="43"/>
        <v>3742.6643522933923</v>
      </c>
    </row>
    <row r="117" spans="1:32" ht="14" customHeight="1" outlineLevel="1" x14ac:dyDescent="0.2">
      <c r="E117" s="9"/>
      <c r="F117" s="51"/>
      <c r="G117" s="8"/>
    </row>
    <row r="118" spans="1:32" ht="14" customHeight="1" outlineLevel="1" x14ac:dyDescent="0.2">
      <c r="E118" s="1" t="s">
        <v>75</v>
      </c>
      <c r="F118" s="51" t="s">
        <v>5</v>
      </c>
      <c r="G118" s="55">
        <v>0.3</v>
      </c>
      <c r="H118" s="55">
        <v>0.3</v>
      </c>
      <c r="I118" s="55">
        <v>0.2</v>
      </c>
      <c r="J118" s="55">
        <v>0.15</v>
      </c>
      <c r="K118" s="55">
        <v>0.15</v>
      </c>
      <c r="L118" s="55">
        <v>0.15</v>
      </c>
    </row>
    <row r="119" spans="1:32" ht="14" customHeight="1" outlineLevel="1" x14ac:dyDescent="0.2">
      <c r="E119" s="1" t="s">
        <v>65</v>
      </c>
      <c r="F119" s="51" t="s">
        <v>5</v>
      </c>
      <c r="G119" s="55">
        <v>0.3</v>
      </c>
      <c r="H119" s="55">
        <v>0.3</v>
      </c>
      <c r="I119" s="55">
        <v>0.2</v>
      </c>
      <c r="J119" s="55">
        <v>0.15</v>
      </c>
      <c r="K119" s="55">
        <v>0.125</v>
      </c>
      <c r="L119" s="55">
        <v>0.125</v>
      </c>
    </row>
    <row r="120" spans="1:32" ht="14" customHeight="1" outlineLevel="1" x14ac:dyDescent="0.2">
      <c r="E120" s="1" t="s">
        <v>95</v>
      </c>
      <c r="F120" s="51" t="s">
        <v>5</v>
      </c>
      <c r="G120" s="55">
        <v>0.03</v>
      </c>
      <c r="H120" s="55">
        <v>2.5000000000000001E-2</v>
      </c>
      <c r="I120" s="55">
        <v>0.02</v>
      </c>
      <c r="J120" s="55">
        <v>1.4999999999999999E-2</v>
      </c>
      <c r="K120" s="55">
        <v>1.2500000000000001E-2</v>
      </c>
      <c r="L120" s="55">
        <v>0.01</v>
      </c>
    </row>
    <row r="121" spans="1:32" ht="14" customHeight="1" outlineLevel="1" x14ac:dyDescent="0.2">
      <c r="E121" s="1" t="s">
        <v>66</v>
      </c>
      <c r="F121" s="51" t="s">
        <v>5</v>
      </c>
      <c r="G121" s="55">
        <v>0.21</v>
      </c>
      <c r="H121" s="55">
        <v>0.21</v>
      </c>
      <c r="I121" s="55">
        <v>0.21</v>
      </c>
      <c r="J121" s="55">
        <v>0.21</v>
      </c>
      <c r="K121" s="55">
        <v>0.21</v>
      </c>
      <c r="L121" s="55">
        <v>0.21</v>
      </c>
    </row>
    <row r="122" spans="1:32" ht="14" customHeight="1" outlineLevel="1" x14ac:dyDescent="0.2">
      <c r="F122" s="51"/>
    </row>
    <row r="123" spans="1:32" ht="14" customHeight="1" x14ac:dyDescent="0.2">
      <c r="F123" s="51"/>
    </row>
    <row r="124" spans="1:32" s="2" customFormat="1" ht="14" customHeight="1" x14ac:dyDescent="0.15">
      <c r="A124" s="32"/>
      <c r="B124" s="32"/>
      <c r="C124" s="32"/>
      <c r="D124" s="47"/>
      <c r="E124" s="47"/>
      <c r="F124" s="47"/>
      <c r="G124" s="72" t="s">
        <v>2</v>
      </c>
      <c r="H124" s="73"/>
      <c r="I124" s="73"/>
      <c r="J124" s="73"/>
      <c r="K124" s="73"/>
      <c r="L124" s="74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s="2" customFormat="1" ht="14" customHeight="1" x14ac:dyDescent="0.15">
      <c r="A125" s="32"/>
      <c r="B125" s="32"/>
      <c r="C125" s="32"/>
      <c r="D125" s="33" t="s">
        <v>89</v>
      </c>
      <c r="E125" s="33"/>
      <c r="F125" s="35" t="s">
        <v>1</v>
      </c>
      <c r="G125" s="48">
        <f>EOMONTH(initial_year,12)</f>
        <v>45291</v>
      </c>
      <c r="H125" s="49">
        <f t="shared" ref="H125" si="44">EOMONTH(G125,12)</f>
        <v>45657</v>
      </c>
      <c r="I125" s="49">
        <f t="shared" ref="I125" si="45">EOMONTH(H125,12)</f>
        <v>46022</v>
      </c>
      <c r="J125" s="49">
        <f t="shared" ref="J125" si="46">EOMONTH(I125,12)</f>
        <v>46387</v>
      </c>
      <c r="K125" s="49">
        <f t="shared" ref="K125" si="47">EOMONTH(J125,12)</f>
        <v>46752</v>
      </c>
      <c r="L125" s="49">
        <f t="shared" ref="L125" si="48">EOMONTH(K125,12)</f>
        <v>47118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s="2" customFormat="1" ht="14" customHeight="1" outlineLevel="1" x14ac:dyDescent="0.15">
      <c r="A126" s="32"/>
      <c r="B126" s="32"/>
      <c r="C126" s="32"/>
      <c r="D126" s="50" t="s">
        <v>86</v>
      </c>
      <c r="E126" s="50"/>
      <c r="F126" s="50"/>
      <c r="G126" s="50"/>
      <c r="H126" s="50"/>
      <c r="I126" s="50"/>
      <c r="J126" s="50"/>
      <c r="K126" s="50"/>
      <c r="L126" s="50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ht="14" customHeight="1" outlineLevel="1" x14ac:dyDescent="0.2"/>
    <row r="128" spans="1:32" ht="14" customHeight="1" outlineLevel="1" x14ac:dyDescent="0.2">
      <c r="E128" s="1" t="s">
        <v>76</v>
      </c>
      <c r="F128" s="51" t="s">
        <v>5</v>
      </c>
      <c r="G128" s="13">
        <f>+G129/(G125-EOMONTH(G125,-12))</f>
        <v>5.7534246575342465E-2</v>
      </c>
      <c r="H128" s="12">
        <f>+H129/(H125-G125)</f>
        <v>5.737704918032787E-2</v>
      </c>
      <c r="I128" s="12">
        <f t="shared" ref="I128:L128" si="49">+I129/(I125-H125)</f>
        <v>6.3013698630136991E-2</v>
      </c>
      <c r="J128" s="12">
        <f t="shared" si="49"/>
        <v>6.575342465753424E-2</v>
      </c>
      <c r="K128" s="12">
        <f t="shared" si="49"/>
        <v>6.8493150684931503E-2</v>
      </c>
      <c r="L128" s="12">
        <f t="shared" si="49"/>
        <v>6.8306010928961755E-2</v>
      </c>
    </row>
    <row r="129" spans="5:12" ht="14" customHeight="1" outlineLevel="1" x14ac:dyDescent="0.2">
      <c r="E129" s="1" t="s">
        <v>77</v>
      </c>
      <c r="F129" s="51" t="s">
        <v>6</v>
      </c>
      <c r="G129" s="43">
        <v>21</v>
      </c>
      <c r="H129" s="43">
        <v>21</v>
      </c>
      <c r="I129" s="43">
        <v>23</v>
      </c>
      <c r="J129" s="43">
        <v>24</v>
      </c>
      <c r="K129" s="43">
        <v>25</v>
      </c>
      <c r="L129" s="43">
        <v>25</v>
      </c>
    </row>
    <row r="130" spans="5:12" ht="14" customHeight="1" outlineLevel="1" x14ac:dyDescent="0.2">
      <c r="F130" s="51"/>
    </row>
    <row r="131" spans="5:12" ht="14" customHeight="1" outlineLevel="1" x14ac:dyDescent="0.2">
      <c r="E131" s="1" t="s">
        <v>79</v>
      </c>
      <c r="F131" s="51" t="s">
        <v>5</v>
      </c>
      <c r="G131" s="55">
        <v>0.15</v>
      </c>
      <c r="H131" s="55">
        <v>0.15</v>
      </c>
      <c r="I131" s="55">
        <v>0.15</v>
      </c>
      <c r="J131" s="55">
        <v>0.15</v>
      </c>
      <c r="K131" s="55">
        <v>0.15</v>
      </c>
      <c r="L131" s="55">
        <v>0.15</v>
      </c>
    </row>
    <row r="132" spans="5:12" ht="14" customHeight="1" outlineLevel="1" x14ac:dyDescent="0.2">
      <c r="E132" s="1" t="s">
        <v>78</v>
      </c>
      <c r="F132" s="51" t="s">
        <v>5</v>
      </c>
      <c r="G132" s="55">
        <v>0.1</v>
      </c>
      <c r="H132" s="55">
        <v>0.1</v>
      </c>
      <c r="I132" s="55">
        <v>0.05</v>
      </c>
      <c r="J132" s="55">
        <v>0.05</v>
      </c>
      <c r="K132" s="55">
        <v>0.05</v>
      </c>
      <c r="L132" s="55">
        <v>0.05</v>
      </c>
    </row>
    <row r="133" spans="5:12" ht="14" customHeight="1" outlineLevel="1" x14ac:dyDescent="0.2">
      <c r="F133" s="51"/>
    </row>
    <row r="134" spans="5:12" ht="14" customHeight="1" outlineLevel="1" x14ac:dyDescent="0.2">
      <c r="E134" s="5" t="s">
        <v>86</v>
      </c>
      <c r="F134" s="51"/>
    </row>
    <row r="135" spans="5:12" ht="14" customHeight="1" outlineLevel="1" x14ac:dyDescent="0.2">
      <c r="E135" s="1" t="s">
        <v>81</v>
      </c>
      <c r="F135" s="51"/>
      <c r="G135" s="8">
        <f t="shared" ref="G135:L135" si="50">+G128*G184</f>
        <v>17.098458904109588</v>
      </c>
      <c r="H135" s="8">
        <f t="shared" si="50"/>
        <v>52.94807889344262</v>
      </c>
      <c r="I135" s="8">
        <f t="shared" si="50"/>
        <v>128.60409041095892</v>
      </c>
      <c r="J135" s="8">
        <f t="shared" si="50"/>
        <v>272.51819913698631</v>
      </c>
      <c r="K135" s="8">
        <f t="shared" si="50"/>
        <v>565.04031660447856</v>
      </c>
      <c r="L135" s="8">
        <f t="shared" si="50"/>
        <v>1131.3662469639391</v>
      </c>
    </row>
    <row r="136" spans="5:12" ht="14" customHeight="1" outlineLevel="1" x14ac:dyDescent="0.2">
      <c r="E136" s="1" t="s">
        <v>80</v>
      </c>
      <c r="F136" s="51"/>
      <c r="G136" s="8">
        <f t="shared" ref="G136:L136" si="51">+G132*G195</f>
        <v>111.09218750000001</v>
      </c>
      <c r="H136" s="8">
        <f t="shared" si="51"/>
        <v>164.34658593750004</v>
      </c>
      <c r="I136" s="8">
        <f t="shared" si="51"/>
        <v>102.71165250000001</v>
      </c>
      <c r="J136" s="8">
        <f t="shared" si="51"/>
        <v>147.12873309562056</v>
      </c>
      <c r="K136" s="8">
        <f t="shared" si="51"/>
        <v>268.42597016483313</v>
      </c>
      <c r="L136" s="8">
        <f t="shared" si="51"/>
        <v>495.7863337189915</v>
      </c>
    </row>
    <row r="137" spans="5:12" ht="14" customHeight="1" outlineLevel="1" x14ac:dyDescent="0.2">
      <c r="E137" s="1" t="s">
        <v>82</v>
      </c>
      <c r="F137" s="51"/>
      <c r="G137" s="8">
        <f t="shared" ref="G137:L137" si="52">+G131*G195</f>
        <v>166.63828125000001</v>
      </c>
      <c r="H137" s="8">
        <f t="shared" si="52"/>
        <v>246.51987890625003</v>
      </c>
      <c r="I137" s="8">
        <f t="shared" si="52"/>
        <v>308.13495750000004</v>
      </c>
      <c r="J137" s="8">
        <f t="shared" si="52"/>
        <v>441.38619928686165</v>
      </c>
      <c r="K137" s="8">
        <f t="shared" si="52"/>
        <v>805.27791049449945</v>
      </c>
      <c r="L137" s="8">
        <f t="shared" si="52"/>
        <v>1487.3590011569745</v>
      </c>
    </row>
    <row r="138" spans="5:12" ht="14" customHeight="1" outlineLevel="1" x14ac:dyDescent="0.2">
      <c r="E138" s="1" t="s">
        <v>88</v>
      </c>
      <c r="F138" s="51"/>
      <c r="G138" s="8">
        <f t="shared" ref="G138:L138" si="53">+G95+G60</f>
        <v>143.4375</v>
      </c>
      <c r="H138" s="8">
        <f t="shared" si="53"/>
        <v>434.03437500000001</v>
      </c>
      <c r="I138" s="8">
        <f t="shared" si="53"/>
        <v>944.90962500000012</v>
      </c>
      <c r="J138" s="8">
        <f t="shared" si="53"/>
        <v>1972.6037100000003</v>
      </c>
      <c r="K138" s="8">
        <f t="shared" si="53"/>
        <v>3994.2459637523425</v>
      </c>
      <c r="L138" s="8">
        <f t="shared" si="53"/>
        <v>8156.8439669289828</v>
      </c>
    </row>
    <row r="139" spans="5:12" ht="14" customHeight="1" outlineLevel="1" x14ac:dyDescent="0.2">
      <c r="F139" s="51"/>
      <c r="G139" s="8"/>
      <c r="H139" s="8"/>
      <c r="I139" s="8"/>
      <c r="J139" s="8"/>
      <c r="K139" s="8"/>
      <c r="L139" s="8"/>
    </row>
    <row r="140" spans="5:12" ht="14" customHeight="1" outlineLevel="1" x14ac:dyDescent="0.2">
      <c r="E140" s="5" t="s">
        <v>87</v>
      </c>
      <c r="F140" s="51"/>
    </row>
    <row r="141" spans="5:12" ht="14" customHeight="1" outlineLevel="1" x14ac:dyDescent="0.2">
      <c r="E141" s="1" t="s">
        <v>81</v>
      </c>
      <c r="F141" s="51" t="s">
        <v>6</v>
      </c>
      <c r="G141" s="17">
        <f>IFERROR(F135-G135,0)</f>
        <v>-17.098458904109588</v>
      </c>
      <c r="H141" s="17">
        <f t="shared" ref="H141:L141" si="54">IFERROR(G135-H135,0)</f>
        <v>-35.849619989333036</v>
      </c>
      <c r="I141" s="17">
        <f t="shared" si="54"/>
        <v>-75.656011517516305</v>
      </c>
      <c r="J141" s="17">
        <f t="shared" si="54"/>
        <v>-143.91410872602739</v>
      </c>
      <c r="K141" s="17">
        <f t="shared" si="54"/>
        <v>-292.52211746749225</v>
      </c>
      <c r="L141" s="17">
        <f t="shared" si="54"/>
        <v>-566.32593035946059</v>
      </c>
    </row>
    <row r="142" spans="5:12" ht="14" customHeight="1" outlineLevel="1" x14ac:dyDescent="0.2">
      <c r="E142" s="1" t="s">
        <v>80</v>
      </c>
      <c r="F142" s="51" t="s">
        <v>6</v>
      </c>
      <c r="G142" s="17">
        <f>IFERROR(F136-G136,0)</f>
        <v>-111.09218750000001</v>
      </c>
      <c r="H142" s="17">
        <f>IFERROR(G136-H136,0)</f>
        <v>-53.254398437500029</v>
      </c>
      <c r="I142" s="17">
        <f>IFERROR(H136-I136,0)</f>
        <v>61.634933437500024</v>
      </c>
      <c r="J142" s="17">
        <f>IFERROR(I136-J136,0)</f>
        <v>-44.417080595620547</v>
      </c>
      <c r="K142" s="17">
        <f>IFERROR(J136-K136,0)</f>
        <v>-121.29723706921257</v>
      </c>
      <c r="L142" s="17">
        <f>IFERROR(K136-L136,0)</f>
        <v>-227.36036355415837</v>
      </c>
    </row>
    <row r="143" spans="5:12" ht="14" customHeight="1" outlineLevel="1" x14ac:dyDescent="0.2">
      <c r="E143" s="1" t="s">
        <v>82</v>
      </c>
      <c r="F143" s="51" t="s">
        <v>6</v>
      </c>
      <c r="G143" s="17">
        <f>IFERROR(G137-F137,0)</f>
        <v>166.63828125000001</v>
      </c>
      <c r="H143" s="17">
        <f t="shared" ref="H143:L144" si="55">IFERROR(H137-G137,0)</f>
        <v>79.881597656250023</v>
      </c>
      <c r="I143" s="17">
        <f t="shared" si="55"/>
        <v>61.615078593750013</v>
      </c>
      <c r="J143" s="17">
        <f t="shared" si="55"/>
        <v>133.25124178686161</v>
      </c>
      <c r="K143" s="17">
        <f t="shared" si="55"/>
        <v>363.8917112076378</v>
      </c>
      <c r="L143" s="17">
        <f t="shared" si="55"/>
        <v>682.08109066247505</v>
      </c>
    </row>
    <row r="144" spans="5:12" ht="14" customHeight="1" outlineLevel="1" x14ac:dyDescent="0.2">
      <c r="E144" s="1" t="s">
        <v>88</v>
      </c>
      <c r="F144" s="51" t="s">
        <v>6</v>
      </c>
      <c r="G144" s="17">
        <f>IFERROR(G138-F138,0)</f>
        <v>143.4375</v>
      </c>
      <c r="H144" s="17">
        <f t="shared" si="55"/>
        <v>290.59687500000001</v>
      </c>
      <c r="I144" s="17">
        <f t="shared" si="55"/>
        <v>510.87525000000011</v>
      </c>
      <c r="J144" s="17">
        <f t="shared" si="55"/>
        <v>1027.6940850000001</v>
      </c>
      <c r="K144" s="17">
        <f t="shared" si="55"/>
        <v>2021.6422537523422</v>
      </c>
      <c r="L144" s="17">
        <f t="shared" si="55"/>
        <v>4162.5980031766403</v>
      </c>
    </row>
    <row r="145" spans="1:32" ht="14" customHeight="1" outlineLevel="1" x14ac:dyDescent="0.2">
      <c r="E145" s="7" t="s">
        <v>83</v>
      </c>
      <c r="F145" s="60"/>
      <c r="G145" s="18">
        <f>SUM(G141:G144)</f>
        <v>181.88513484589041</v>
      </c>
      <c r="H145" s="18">
        <f t="shared" ref="H145:L145" si="56">SUM(H141:H144)</f>
        <v>281.37445422941698</v>
      </c>
      <c r="I145" s="18">
        <f t="shared" si="56"/>
        <v>558.46925051373387</v>
      </c>
      <c r="J145" s="18">
        <f t="shared" si="56"/>
        <v>972.61413746521373</v>
      </c>
      <c r="K145" s="18">
        <f t="shared" si="56"/>
        <v>1971.7146104232752</v>
      </c>
      <c r="L145" s="18">
        <f t="shared" si="56"/>
        <v>4050.9927999254965</v>
      </c>
    </row>
    <row r="146" spans="1:32" ht="14" customHeight="1" outlineLevel="1" x14ac:dyDescent="0.2">
      <c r="E146" s="14"/>
      <c r="F146" s="61"/>
      <c r="G146" s="19"/>
      <c r="H146" s="19"/>
      <c r="I146" s="19"/>
      <c r="J146" s="19"/>
      <c r="K146" s="19"/>
      <c r="L146" s="19"/>
    </row>
    <row r="147" spans="1:32" s="6" customFormat="1" ht="14" customHeight="1" outlineLevel="1" x14ac:dyDescent="0.2">
      <c r="E147" s="15" t="s">
        <v>84</v>
      </c>
      <c r="F147" s="61" t="s">
        <v>5</v>
      </c>
      <c r="G147" s="16"/>
      <c r="H147" s="16">
        <f>IFERROR(+H145/( H184-G184),0)</f>
        <v>0.44975162390128542</v>
      </c>
      <c r="I147" s="16">
        <f>IFERROR(+I145/( I184-H184),0)</f>
        <v>0.49948880119886929</v>
      </c>
      <c r="J147" s="16">
        <f>IFERROR(+J145/( J184-I184),0)</f>
        <v>0.46234453473769072</v>
      </c>
      <c r="K147" s="16">
        <f>IFERROR(+K145/( K184-J184),0)</f>
        <v>0.48031544760594619</v>
      </c>
      <c r="L147" s="16">
        <f>IFERROR(+L145/( L184-K184),0)</f>
        <v>0.48727222283853505</v>
      </c>
    </row>
    <row r="148" spans="1:32" s="6" customFormat="1" ht="14" customHeight="1" outlineLevel="1" x14ac:dyDescent="0.2">
      <c r="E148" s="15" t="s">
        <v>85</v>
      </c>
      <c r="F148" s="61" t="s">
        <v>5</v>
      </c>
      <c r="G148" s="16"/>
      <c r="H148" s="16">
        <f>+H145/H184</f>
        <v>0.30491070187644875</v>
      </c>
      <c r="I148" s="16">
        <f>+I145/I184</f>
        <v>0.27363992026704703</v>
      </c>
      <c r="J148" s="16">
        <f>+J145/J184</f>
        <v>0.23467317269524657</v>
      </c>
      <c r="K148" s="16">
        <f>+K145/K184</f>
        <v>0.23900762821838611</v>
      </c>
      <c r="L148" s="16">
        <f>+L145/L184</f>
        <v>0.24457788024648047</v>
      </c>
    </row>
    <row r="149" spans="1:32" s="6" customFormat="1" ht="14" customHeight="1" outlineLevel="1" x14ac:dyDescent="0.2">
      <c r="E149" s="15"/>
      <c r="F149" s="61"/>
      <c r="G149" s="16"/>
      <c r="H149" s="16"/>
      <c r="I149" s="16"/>
      <c r="J149" s="16"/>
      <c r="K149" s="16"/>
      <c r="L149" s="16"/>
    </row>
    <row r="150" spans="1:32" s="2" customFormat="1" ht="14" customHeight="1" outlineLevel="1" x14ac:dyDescent="0.15">
      <c r="A150" s="32"/>
      <c r="B150" s="32"/>
      <c r="C150" s="32"/>
      <c r="D150" s="50" t="s">
        <v>106</v>
      </c>
      <c r="E150" s="50"/>
      <c r="F150" s="50"/>
      <c r="G150" s="50"/>
      <c r="H150" s="50"/>
      <c r="I150" s="50"/>
      <c r="J150" s="50"/>
      <c r="K150" s="50"/>
      <c r="L150" s="50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ht="14" customHeight="1" outlineLevel="1" x14ac:dyDescent="0.2">
      <c r="F151" s="51"/>
    </row>
    <row r="152" spans="1:32" ht="14" customHeight="1" outlineLevel="1" x14ac:dyDescent="0.2">
      <c r="E152" s="5" t="s">
        <v>90</v>
      </c>
      <c r="F152" s="51"/>
    </row>
    <row r="153" spans="1:32" ht="14" customHeight="1" outlineLevel="1" x14ac:dyDescent="0.2">
      <c r="E153" s="1" t="s">
        <v>91</v>
      </c>
      <c r="F153" s="51" t="s">
        <v>6</v>
      </c>
      <c r="G153" s="11">
        <f>+G154*G184</f>
        <v>89.15625</v>
      </c>
      <c r="H153" s="11">
        <f t="shared" ref="H153:L153" si="57">+H154*H184</f>
        <v>230.70234374999998</v>
      </c>
      <c r="I153" s="11">
        <f t="shared" si="57"/>
        <v>408.17820000000006</v>
      </c>
      <c r="J153" s="11">
        <f t="shared" si="57"/>
        <v>621.68214178125004</v>
      </c>
      <c r="K153" s="11">
        <f t="shared" si="57"/>
        <v>1031.1985778031735</v>
      </c>
      <c r="L153" s="11">
        <f t="shared" si="57"/>
        <v>1656.3201855552068</v>
      </c>
    </row>
    <row r="154" spans="1:32" ht="14" customHeight="1" outlineLevel="1" x14ac:dyDescent="0.2">
      <c r="E154" s="1" t="s">
        <v>92</v>
      </c>
      <c r="F154" s="51" t="s">
        <v>5</v>
      </c>
      <c r="G154" s="55">
        <v>0.3</v>
      </c>
      <c r="H154" s="55">
        <v>0.25</v>
      </c>
      <c r="I154" s="55">
        <v>0.2</v>
      </c>
      <c r="J154" s="55">
        <v>0.15</v>
      </c>
      <c r="K154" s="55">
        <v>0.125</v>
      </c>
      <c r="L154" s="55">
        <v>0.1</v>
      </c>
    </row>
    <row r="155" spans="1:32" ht="14" customHeight="1" outlineLevel="1" x14ac:dyDescent="0.2">
      <c r="E155" s="1" t="s">
        <v>93</v>
      </c>
      <c r="F155" s="51" t="s">
        <v>5</v>
      </c>
      <c r="G155" s="55">
        <v>0.15</v>
      </c>
      <c r="H155" s="55">
        <v>0.125</v>
      </c>
      <c r="I155" s="55">
        <v>0.1</v>
      </c>
      <c r="J155" s="55">
        <v>0.08</v>
      </c>
      <c r="K155" s="55">
        <v>7.0000000000000007E-2</v>
      </c>
      <c r="L155" s="55">
        <v>0.06</v>
      </c>
    </row>
    <row r="156" spans="1:32" ht="14" customHeight="1" outlineLevel="1" x14ac:dyDescent="0.2">
      <c r="F156" s="51"/>
    </row>
    <row r="157" spans="1:32" s="2" customFormat="1" ht="14" customHeight="1" outlineLevel="1" x14ac:dyDescent="0.15">
      <c r="A157" s="32"/>
      <c r="B157" s="32"/>
      <c r="C157" s="32"/>
      <c r="D157" s="50" t="s">
        <v>105</v>
      </c>
      <c r="E157" s="50"/>
      <c r="F157" s="50"/>
      <c r="G157" s="50"/>
      <c r="H157" s="50"/>
      <c r="I157" s="50"/>
      <c r="J157" s="50"/>
      <c r="K157" s="50"/>
      <c r="L157" s="50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ht="14" customHeight="1" outlineLevel="1" x14ac:dyDescent="0.2">
      <c r="F158" s="51"/>
    </row>
    <row r="159" spans="1:32" ht="14" customHeight="1" outlineLevel="1" x14ac:dyDescent="0.2">
      <c r="E159" s="1" t="s">
        <v>108</v>
      </c>
      <c r="F159" s="51" t="s">
        <v>6</v>
      </c>
      <c r="G159" s="20">
        <f>+G201</f>
        <v>-921.35890625000002</v>
      </c>
      <c r="H159" s="20">
        <f t="shared" ref="H159:L159" si="58">+H201</f>
        <v>-992.44547460937531</v>
      </c>
      <c r="I159" s="20">
        <f t="shared" si="58"/>
        <v>-462.60491100000024</v>
      </c>
      <c r="J159" s="20">
        <f t="shared" si="58"/>
        <v>432.53849795577804</v>
      </c>
      <c r="K159" s="20">
        <f t="shared" si="58"/>
        <v>1494.0285469994551</v>
      </c>
      <c r="L159" s="20">
        <f t="shared" si="58"/>
        <v>4063.8376360956277</v>
      </c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</row>
    <row r="160" spans="1:32" ht="14" customHeight="1" outlineLevel="1" x14ac:dyDescent="0.2">
      <c r="E160" s="1" t="s">
        <v>110</v>
      </c>
      <c r="F160" s="51" t="s">
        <v>6</v>
      </c>
      <c r="G160" s="17">
        <f t="shared" ref="G160:L160" si="59">+G161*(G186+G191+G192+G193)</f>
        <v>22.8128125</v>
      </c>
      <c r="H160" s="17">
        <f t="shared" si="59"/>
        <v>35.176340625000002</v>
      </c>
      <c r="I160" s="17">
        <f t="shared" si="59"/>
        <v>45.166443000000001</v>
      </c>
      <c r="J160" s="17">
        <f t="shared" si="59"/>
        <v>66.72613370081072</v>
      </c>
      <c r="K160" s="17">
        <f t="shared" si="59"/>
        <v>122.21964758629896</v>
      </c>
      <c r="L160" s="17">
        <f t="shared" si="59"/>
        <v>228.1282968275903</v>
      </c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</row>
    <row r="161" spans="5:30" ht="14" customHeight="1" outlineLevel="1" x14ac:dyDescent="0.2">
      <c r="E161" s="1" t="s">
        <v>107</v>
      </c>
      <c r="F161" s="51" t="s">
        <v>5</v>
      </c>
      <c r="G161" s="55">
        <v>0.02</v>
      </c>
      <c r="H161" s="55">
        <v>0.02</v>
      </c>
      <c r="I161" s="55">
        <v>0.02</v>
      </c>
      <c r="J161" s="55">
        <v>0.02</v>
      </c>
      <c r="K161" s="55">
        <v>0.02</v>
      </c>
      <c r="L161" s="55">
        <v>0.02</v>
      </c>
      <c r="M161" s="63"/>
      <c r="N161" s="63"/>
      <c r="O161" s="63"/>
      <c r="P161" s="63"/>
      <c r="Q161" s="63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</row>
    <row r="162" spans="5:30" ht="14" customHeight="1" outlineLevel="1" x14ac:dyDescent="0.2">
      <c r="E162" s="1" t="s">
        <v>109</v>
      </c>
      <c r="F162" s="51"/>
      <c r="G162" s="17">
        <f>+G159+G160</f>
        <v>-898.54609375000007</v>
      </c>
      <c r="H162" s="17">
        <f t="shared" ref="H162:L162" si="60">+H159+H160</f>
        <v>-957.26913398437534</v>
      </c>
      <c r="I162" s="17">
        <f t="shared" si="60"/>
        <v>-417.43846800000023</v>
      </c>
      <c r="J162" s="17">
        <f t="shared" si="60"/>
        <v>499.26463165658879</v>
      </c>
      <c r="K162" s="17">
        <f t="shared" si="60"/>
        <v>1616.2481945857542</v>
      </c>
      <c r="L162" s="17">
        <f t="shared" si="60"/>
        <v>4291.9659329232181</v>
      </c>
      <c r="M162" s="5"/>
      <c r="N162" s="5"/>
      <c r="O162" s="5"/>
      <c r="P162" s="5"/>
      <c r="Q162" s="5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</row>
    <row r="163" spans="5:30" ht="14" customHeight="1" outlineLevel="1" x14ac:dyDescent="0.2">
      <c r="F163" s="51"/>
      <c r="G163" s="17"/>
      <c r="H163" s="17"/>
      <c r="I163" s="17"/>
      <c r="J163" s="17"/>
      <c r="K163" s="17"/>
      <c r="L163" s="17"/>
    </row>
    <row r="164" spans="5:30" ht="14" customHeight="1" outlineLevel="1" x14ac:dyDescent="0.2">
      <c r="E164" s="5" t="s">
        <v>97</v>
      </c>
      <c r="F164" s="51"/>
    </row>
    <row r="165" spans="5:30" ht="14" customHeight="1" outlineLevel="1" x14ac:dyDescent="0.2">
      <c r="E165" s="1" t="s">
        <v>98</v>
      </c>
      <c r="F165" s="51" t="s">
        <v>6</v>
      </c>
      <c r="G165" s="52">
        <v>25</v>
      </c>
      <c r="H165" s="17">
        <f>+G168</f>
        <v>923.54609375000007</v>
      </c>
      <c r="I165" s="17">
        <f t="shared" ref="I165:L165" si="61">+H168</f>
        <v>1880.8152277343754</v>
      </c>
      <c r="J165" s="17">
        <f t="shared" si="61"/>
        <v>2298.2536957343755</v>
      </c>
      <c r="K165" s="17">
        <f t="shared" si="61"/>
        <v>1798.9890640777867</v>
      </c>
      <c r="L165" s="17">
        <f t="shared" si="61"/>
        <v>182.74086949203252</v>
      </c>
    </row>
    <row r="166" spans="5:30" ht="14" customHeight="1" outlineLevel="1" x14ac:dyDescent="0.2">
      <c r="E166" s="1" t="s">
        <v>99</v>
      </c>
      <c r="F166" s="51" t="s">
        <v>6</v>
      </c>
      <c r="G166" s="17">
        <f>MAX(0,-G162)</f>
        <v>898.54609375000007</v>
      </c>
      <c r="H166" s="17">
        <f t="shared" ref="H166:L166" si="62">MAX(0,-H162)</f>
        <v>957.26913398437534</v>
      </c>
      <c r="I166" s="17">
        <f t="shared" si="62"/>
        <v>417.43846800000023</v>
      </c>
      <c r="J166" s="17">
        <f t="shared" si="62"/>
        <v>0</v>
      </c>
      <c r="K166" s="17">
        <f t="shared" si="62"/>
        <v>0</v>
      </c>
      <c r="L166" s="17">
        <f t="shared" si="62"/>
        <v>0</v>
      </c>
    </row>
    <row r="167" spans="5:30" ht="14" customHeight="1" outlineLevel="1" x14ac:dyDescent="0.2">
      <c r="E167" s="1" t="s">
        <v>100</v>
      </c>
      <c r="F167" s="51" t="s">
        <v>6</v>
      </c>
      <c r="G167" s="17">
        <f>-MIN(G165+G166, MAX(0, G162))</f>
        <v>0</v>
      </c>
      <c r="H167" s="17">
        <f t="shared" ref="H167:L167" si="63">-MIN(H165+H166, MAX(0, H162))</f>
        <v>0</v>
      </c>
      <c r="I167" s="17">
        <f t="shared" si="63"/>
        <v>0</v>
      </c>
      <c r="J167" s="17">
        <f t="shared" si="63"/>
        <v>-499.26463165658879</v>
      </c>
      <c r="K167" s="17">
        <f t="shared" si="63"/>
        <v>-1616.2481945857542</v>
      </c>
      <c r="L167" s="17">
        <f t="shared" si="63"/>
        <v>-182.74086949203252</v>
      </c>
    </row>
    <row r="168" spans="5:30" ht="14" customHeight="1" outlineLevel="1" x14ac:dyDescent="0.2">
      <c r="E168" s="7" t="s">
        <v>101</v>
      </c>
      <c r="F168" s="60"/>
      <c r="G168" s="18">
        <f>SUM(G165:G167)</f>
        <v>923.54609375000007</v>
      </c>
      <c r="H168" s="18">
        <f t="shared" ref="H168:L168" si="64">SUM(H165:H167)</f>
        <v>1880.8152277343754</v>
      </c>
      <c r="I168" s="18">
        <f t="shared" si="64"/>
        <v>2298.2536957343755</v>
      </c>
      <c r="J168" s="18">
        <f t="shared" si="64"/>
        <v>1798.9890640777867</v>
      </c>
      <c r="K168" s="18">
        <f t="shared" si="64"/>
        <v>182.74086949203252</v>
      </c>
      <c r="L168" s="18">
        <f t="shared" si="64"/>
        <v>0</v>
      </c>
    </row>
    <row r="169" spans="5:30" ht="14" customHeight="1" outlineLevel="1" x14ac:dyDescent="0.2">
      <c r="F169" s="51"/>
    </row>
    <row r="170" spans="5:30" ht="14" customHeight="1" outlineLevel="1" x14ac:dyDescent="0.2">
      <c r="E170" s="1" t="s">
        <v>102</v>
      </c>
      <c r="F170" s="51" t="s">
        <v>6</v>
      </c>
      <c r="G170" s="21">
        <f>+G162+G167</f>
        <v>-898.54609375000007</v>
      </c>
      <c r="H170" s="21">
        <f t="shared" ref="H170:L170" si="65">+H162+H167</f>
        <v>-957.26913398437534</v>
      </c>
      <c r="I170" s="21">
        <f t="shared" si="65"/>
        <v>-417.43846800000023</v>
      </c>
      <c r="J170" s="21">
        <f t="shared" si="65"/>
        <v>0</v>
      </c>
      <c r="K170" s="21">
        <f t="shared" si="65"/>
        <v>0</v>
      </c>
      <c r="L170" s="21">
        <f t="shared" si="65"/>
        <v>4109.2250634311858</v>
      </c>
    </row>
    <row r="171" spans="5:30" ht="14" customHeight="1" outlineLevel="1" x14ac:dyDescent="0.2">
      <c r="E171" s="1" t="s">
        <v>103</v>
      </c>
      <c r="F171" s="51" t="s">
        <v>6</v>
      </c>
      <c r="G171" s="21">
        <f t="shared" ref="G171:L171" si="66">-MAX(0,G170)*G121</f>
        <v>0</v>
      </c>
      <c r="H171" s="21">
        <f t="shared" si="66"/>
        <v>0</v>
      </c>
      <c r="I171" s="21">
        <f t="shared" si="66"/>
        <v>0</v>
      </c>
      <c r="J171" s="21">
        <f t="shared" si="66"/>
        <v>0</v>
      </c>
      <c r="K171" s="21">
        <f t="shared" si="66"/>
        <v>0</v>
      </c>
      <c r="L171" s="21">
        <f t="shared" si="66"/>
        <v>-862.93726332054905</v>
      </c>
    </row>
    <row r="172" spans="5:30" ht="14" customHeight="1" outlineLevel="1" x14ac:dyDescent="0.2">
      <c r="F172" s="51"/>
      <c r="G172" s="21"/>
      <c r="H172" s="21"/>
      <c r="I172" s="21"/>
      <c r="J172" s="21"/>
      <c r="K172" s="21"/>
      <c r="L172" s="21"/>
    </row>
    <row r="173" spans="5:30" ht="14" customHeight="1" outlineLevel="1" x14ac:dyDescent="0.2">
      <c r="E173" s="1" t="s">
        <v>104</v>
      </c>
      <c r="F173" s="51" t="s">
        <v>6</v>
      </c>
      <c r="G173" s="21">
        <f t="shared" ref="G173:L173" si="67">+G171-G202</f>
        <v>193.48537031250001</v>
      </c>
      <c r="H173" s="21">
        <f t="shared" si="67"/>
        <v>208.41354966796879</v>
      </c>
      <c r="I173" s="21">
        <f t="shared" si="67"/>
        <v>97.147031310000045</v>
      </c>
      <c r="J173" s="21">
        <f t="shared" si="67"/>
        <v>-90.833084570713382</v>
      </c>
      <c r="K173" s="21">
        <f t="shared" si="67"/>
        <v>-313.74599486988558</v>
      </c>
      <c r="L173" s="21">
        <f t="shared" si="67"/>
        <v>-1716.3431669006309</v>
      </c>
    </row>
    <row r="174" spans="5:30" ht="14" customHeight="1" outlineLevel="1" x14ac:dyDescent="0.2">
      <c r="F174" s="51"/>
      <c r="G174" s="21"/>
      <c r="H174" s="21"/>
      <c r="I174" s="21"/>
      <c r="J174" s="21"/>
      <c r="K174" s="21"/>
      <c r="L174" s="21"/>
    </row>
    <row r="175" spans="5:30" ht="14" customHeight="1" outlineLevel="1" x14ac:dyDescent="0.2">
      <c r="F175" s="51"/>
    </row>
    <row r="176" spans="5:30" ht="14" customHeight="1" x14ac:dyDescent="0.2">
      <c r="F176" s="51"/>
    </row>
    <row r="177" spans="1:32" s="2" customFormat="1" ht="14" customHeight="1" x14ac:dyDescent="0.15">
      <c r="A177" s="32"/>
      <c r="B177" s="32"/>
      <c r="C177" s="32"/>
      <c r="D177" s="47"/>
      <c r="E177" s="47"/>
      <c r="F177" s="47"/>
      <c r="G177" s="72" t="s">
        <v>2</v>
      </c>
      <c r="H177" s="73"/>
      <c r="I177" s="73"/>
      <c r="J177" s="73"/>
      <c r="K177" s="73"/>
      <c r="L177" s="74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s="2" customFormat="1" ht="14" customHeight="1" x14ac:dyDescent="0.15">
      <c r="A178" s="32"/>
      <c r="B178" s="32"/>
      <c r="C178" s="32"/>
      <c r="D178" s="33" t="s">
        <v>19</v>
      </c>
      <c r="E178" s="33"/>
      <c r="F178" s="35" t="s">
        <v>1</v>
      </c>
      <c r="G178" s="48">
        <f>EOMONTH(initial_year,12)</f>
        <v>45291</v>
      </c>
      <c r="H178" s="49">
        <f t="shared" ref="H178" si="68">EOMONTH(G178,12)</f>
        <v>45657</v>
      </c>
      <c r="I178" s="49">
        <f t="shared" ref="I178" si="69">EOMONTH(H178,12)</f>
        <v>46022</v>
      </c>
      <c r="J178" s="49">
        <f t="shared" ref="J178" si="70">EOMONTH(I178,12)</f>
        <v>46387</v>
      </c>
      <c r="K178" s="49">
        <f t="shared" ref="K178" si="71">EOMONTH(J178,12)</f>
        <v>46752</v>
      </c>
      <c r="L178" s="49">
        <f t="shared" ref="L178" si="72">EOMONTH(K178,12)</f>
        <v>47118</v>
      </c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ht="14" customHeight="1" x14ac:dyDescent="0.2"/>
    <row r="180" spans="1:32" ht="14" customHeight="1" x14ac:dyDescent="0.2">
      <c r="E180" s="38" t="s">
        <v>23</v>
      </c>
      <c r="F180" s="62"/>
    </row>
    <row r="181" spans="1:32" ht="14" customHeight="1" x14ac:dyDescent="0.2">
      <c r="E181" s="54" t="s">
        <v>20</v>
      </c>
      <c r="F181" s="51" t="s">
        <v>6</v>
      </c>
      <c r="G181" s="8">
        <f t="shared" ref="G181:L181" si="73">+G62</f>
        <v>180</v>
      </c>
      <c r="H181" s="8">
        <f t="shared" si="73"/>
        <v>691.94999999999993</v>
      </c>
      <c r="I181" s="8">
        <f t="shared" si="73"/>
        <v>1671.0472500000001</v>
      </c>
      <c r="J181" s="8">
        <f t="shared" si="73"/>
        <v>3636.0124556250003</v>
      </c>
      <c r="K181" s="8">
        <f t="shared" si="73"/>
        <v>7613.0978997691391</v>
      </c>
      <c r="L181" s="8">
        <f t="shared" si="73"/>
        <v>15801.936328208316</v>
      </c>
    </row>
    <row r="182" spans="1:32" ht="14" customHeight="1" x14ac:dyDescent="0.2">
      <c r="E182" s="54" t="s">
        <v>22</v>
      </c>
      <c r="F182" s="51" t="s">
        <v>6</v>
      </c>
      <c r="G182" s="8">
        <f t="shared" ref="G182:L182" si="74">+G80</f>
        <v>93.75</v>
      </c>
      <c r="H182" s="8">
        <f t="shared" si="74"/>
        <v>154.6875</v>
      </c>
      <c r="I182" s="8">
        <f t="shared" si="74"/>
        <v>232.03125</v>
      </c>
      <c r="J182" s="8">
        <f t="shared" si="74"/>
        <v>301.640625</v>
      </c>
      <c r="K182" s="8">
        <f t="shared" si="74"/>
        <v>361.96875</v>
      </c>
      <c r="L182" s="8">
        <f t="shared" si="74"/>
        <v>425.31328124999999</v>
      </c>
    </row>
    <row r="183" spans="1:32" ht="14" customHeight="1" x14ac:dyDescent="0.2">
      <c r="E183" s="54" t="s">
        <v>21</v>
      </c>
      <c r="F183" s="51" t="s">
        <v>6</v>
      </c>
      <c r="G183" s="8">
        <f t="shared" ref="G183:L183" si="75">+G97</f>
        <v>23.4375</v>
      </c>
      <c r="H183" s="8">
        <f t="shared" si="75"/>
        <v>76.171875</v>
      </c>
      <c r="I183" s="8">
        <f t="shared" si="75"/>
        <v>137.8125</v>
      </c>
      <c r="J183" s="8">
        <f t="shared" si="75"/>
        <v>206.89453125</v>
      </c>
      <c r="K183" s="8">
        <f t="shared" si="75"/>
        <v>274.52197265625</v>
      </c>
      <c r="L183" s="8">
        <f t="shared" si="75"/>
        <v>335.95224609374998</v>
      </c>
    </row>
    <row r="184" spans="1:32" ht="14" customHeight="1" x14ac:dyDescent="0.2">
      <c r="E184" s="64" t="s">
        <v>24</v>
      </c>
      <c r="F184" s="60"/>
      <c r="G184" s="10">
        <f>SUM(G181:G183)</f>
        <v>297.1875</v>
      </c>
      <c r="H184" s="10">
        <f t="shared" ref="H184:L184" si="76">SUM(H181:H183)</f>
        <v>922.80937499999993</v>
      </c>
      <c r="I184" s="10">
        <f t="shared" si="76"/>
        <v>2040.8910000000001</v>
      </c>
      <c r="J184" s="10">
        <f t="shared" si="76"/>
        <v>4144.5476118750003</v>
      </c>
      <c r="K184" s="10">
        <f t="shared" si="76"/>
        <v>8249.5886224253882</v>
      </c>
      <c r="L184" s="10">
        <f t="shared" si="76"/>
        <v>16563.201855552066</v>
      </c>
    </row>
    <row r="185" spans="1:32" ht="14" customHeight="1" x14ac:dyDescent="0.2">
      <c r="E185" s="54"/>
      <c r="F185" s="51"/>
    </row>
    <row r="186" spans="1:32" ht="14" customHeight="1" x14ac:dyDescent="0.2">
      <c r="E186" s="65" t="s">
        <v>25</v>
      </c>
      <c r="F186" s="51" t="s">
        <v>6</v>
      </c>
      <c r="G186" s="8">
        <f t="shared" ref="G186:L186" si="77">+G104*G184</f>
        <v>74.296875</v>
      </c>
      <c r="H186" s="8">
        <f t="shared" si="77"/>
        <v>230.70234374999998</v>
      </c>
      <c r="I186" s="8">
        <f t="shared" si="77"/>
        <v>408.17820000000006</v>
      </c>
      <c r="J186" s="8">
        <f t="shared" si="77"/>
        <v>725.29583207812504</v>
      </c>
      <c r="K186" s="8">
        <f t="shared" si="77"/>
        <v>1319.9341795880621</v>
      </c>
      <c r="L186" s="8">
        <f t="shared" si="77"/>
        <v>2484.48027833281</v>
      </c>
    </row>
    <row r="187" spans="1:32" ht="14" customHeight="1" x14ac:dyDescent="0.2">
      <c r="E187" s="66"/>
      <c r="F187" s="51"/>
    </row>
    <row r="188" spans="1:32" ht="14" customHeight="1" x14ac:dyDescent="0.2">
      <c r="E188" s="66" t="s">
        <v>26</v>
      </c>
      <c r="F188" s="51" t="s">
        <v>6</v>
      </c>
      <c r="G188" s="8">
        <f>+G184-G186</f>
        <v>222.890625</v>
      </c>
      <c r="H188" s="8">
        <f t="shared" ref="H188:L188" si="78">+H184-H186</f>
        <v>692.10703124999998</v>
      </c>
      <c r="I188" s="8">
        <f t="shared" si="78"/>
        <v>1632.7128</v>
      </c>
      <c r="J188" s="8">
        <f t="shared" si="78"/>
        <v>3419.2517797968753</v>
      </c>
      <c r="K188" s="8">
        <f t="shared" si="78"/>
        <v>6929.6544428373263</v>
      </c>
      <c r="L188" s="8">
        <f t="shared" si="78"/>
        <v>14078.721577219256</v>
      </c>
    </row>
    <row r="189" spans="1:32" ht="14" customHeight="1" x14ac:dyDescent="0.2">
      <c r="E189" s="54"/>
      <c r="F189" s="51"/>
    </row>
    <row r="190" spans="1:32" ht="14" customHeight="1" x14ac:dyDescent="0.2">
      <c r="E190" s="66" t="s">
        <v>27</v>
      </c>
      <c r="F190" s="51"/>
    </row>
    <row r="191" spans="1:32" ht="14" customHeight="1" x14ac:dyDescent="0.2">
      <c r="E191" s="54" t="s">
        <v>28</v>
      </c>
      <c r="F191" s="51" t="s">
        <v>6</v>
      </c>
      <c r="G191" s="8">
        <f t="shared" ref="G191:L191" si="79">+G116</f>
        <v>845</v>
      </c>
      <c r="H191" s="8">
        <f t="shared" si="79"/>
        <v>887.25000000000011</v>
      </c>
      <c r="I191" s="8">
        <f t="shared" si="79"/>
        <v>931.61250000000007</v>
      </c>
      <c r="J191" s="8">
        <f t="shared" si="79"/>
        <v>1213.4924566499112</v>
      </c>
      <c r="K191" s="8">
        <f t="shared" si="79"/>
        <v>2219.1649904970527</v>
      </c>
      <c r="L191" s="8">
        <f t="shared" si="79"/>
        <v>3742.6643522933923</v>
      </c>
    </row>
    <row r="192" spans="1:32" ht="14" customHeight="1" x14ac:dyDescent="0.2">
      <c r="E192" s="54" t="s">
        <v>29</v>
      </c>
      <c r="F192" s="51" t="s">
        <v>6</v>
      </c>
      <c r="G192" s="8">
        <f t="shared" ref="G192:L192" si="80">+G118*(G57+G77+G92)</f>
        <v>132.1875</v>
      </c>
      <c r="H192" s="8">
        <f t="shared" si="80"/>
        <v>364.02187499999997</v>
      </c>
      <c r="I192" s="8">
        <f t="shared" si="80"/>
        <v>510.35325000000006</v>
      </c>
      <c r="J192" s="8">
        <f t="shared" si="80"/>
        <v>775.83625453125001</v>
      </c>
      <c r="K192" s="8">
        <f t="shared" si="80"/>
        <v>1540.6846314266597</v>
      </c>
      <c r="L192" s="8">
        <f t="shared" si="80"/>
        <v>3108.8699788093058</v>
      </c>
    </row>
    <row r="193" spans="1:32" ht="14" customHeight="1" x14ac:dyDescent="0.2">
      <c r="E193" s="54" t="s">
        <v>30</v>
      </c>
      <c r="F193" s="51" t="s">
        <v>6</v>
      </c>
      <c r="G193" s="8">
        <f t="shared" ref="G193:L193" si="81">+G119*G184</f>
        <v>89.15625</v>
      </c>
      <c r="H193" s="8">
        <f t="shared" si="81"/>
        <v>276.84281249999998</v>
      </c>
      <c r="I193" s="8">
        <f t="shared" si="81"/>
        <v>408.17820000000006</v>
      </c>
      <c r="J193" s="8">
        <f t="shared" si="81"/>
        <v>621.68214178125004</v>
      </c>
      <c r="K193" s="8">
        <f t="shared" si="81"/>
        <v>1031.1985778031735</v>
      </c>
      <c r="L193" s="8">
        <f t="shared" si="81"/>
        <v>2070.4002319440083</v>
      </c>
    </row>
    <row r="194" spans="1:32" ht="14" customHeight="1" x14ac:dyDescent="0.2">
      <c r="E194" s="54" t="s">
        <v>94</v>
      </c>
      <c r="F194" s="51" t="s">
        <v>6</v>
      </c>
      <c r="G194" s="8">
        <f t="shared" ref="G194:L194" si="82">+G184*G155</f>
        <v>44.578125</v>
      </c>
      <c r="H194" s="8">
        <f t="shared" si="82"/>
        <v>115.35117187499999</v>
      </c>
      <c r="I194" s="8">
        <f t="shared" si="82"/>
        <v>204.08910000000003</v>
      </c>
      <c r="J194" s="8">
        <f t="shared" si="82"/>
        <v>331.56380895000001</v>
      </c>
      <c r="K194" s="8">
        <f t="shared" si="82"/>
        <v>577.47120356977723</v>
      </c>
      <c r="L194" s="8">
        <f t="shared" si="82"/>
        <v>993.7921113331239</v>
      </c>
    </row>
    <row r="195" spans="1:32" ht="14" customHeight="1" x14ac:dyDescent="0.2">
      <c r="E195" s="64" t="s">
        <v>31</v>
      </c>
      <c r="F195" s="60"/>
      <c r="G195" s="10">
        <f>SUM(G191:G194)</f>
        <v>1110.921875</v>
      </c>
      <c r="H195" s="10">
        <f t="shared" ref="H195:L195" si="83">SUM(H191:H194)</f>
        <v>1643.4658593750003</v>
      </c>
      <c r="I195" s="10">
        <f t="shared" si="83"/>
        <v>2054.2330500000003</v>
      </c>
      <c r="J195" s="10">
        <f t="shared" si="83"/>
        <v>2942.5746619124111</v>
      </c>
      <c r="K195" s="10">
        <f t="shared" si="83"/>
        <v>5368.5194032966629</v>
      </c>
      <c r="L195" s="10">
        <f t="shared" si="83"/>
        <v>9915.72667437983</v>
      </c>
    </row>
    <row r="196" spans="1:32" ht="14" customHeight="1" x14ac:dyDescent="0.2">
      <c r="E196" s="54"/>
      <c r="F196" s="51"/>
    </row>
    <row r="197" spans="1:32" ht="14" customHeight="1" x14ac:dyDescent="0.2">
      <c r="E197" s="66" t="s">
        <v>32</v>
      </c>
      <c r="F197" s="51" t="s">
        <v>6</v>
      </c>
      <c r="G197" s="8">
        <f>+G188-G195</f>
        <v>-888.03125</v>
      </c>
      <c r="H197" s="8">
        <f t="shared" ref="H197:L197" si="84">+H188-H195</f>
        <v>-951.35882812500029</v>
      </c>
      <c r="I197" s="8">
        <f t="shared" si="84"/>
        <v>-421.52025000000026</v>
      </c>
      <c r="J197" s="8">
        <f t="shared" si="84"/>
        <v>476.67711788446422</v>
      </c>
      <c r="K197" s="8">
        <f t="shared" si="84"/>
        <v>1561.1350395406635</v>
      </c>
      <c r="L197" s="8">
        <f t="shared" si="84"/>
        <v>4162.9949028394258</v>
      </c>
    </row>
    <row r="198" spans="1:32" ht="14" customHeight="1" x14ac:dyDescent="0.2">
      <c r="E198" s="54"/>
      <c r="F198" s="51"/>
    </row>
    <row r="199" spans="1:32" ht="14" customHeight="1" x14ac:dyDescent="0.2">
      <c r="E199" s="65" t="s">
        <v>96</v>
      </c>
      <c r="F199" s="51" t="s">
        <v>6</v>
      </c>
      <c r="G199" s="8">
        <f t="shared" ref="G199:L199" si="85">-G195*G120</f>
        <v>-33.327656249999997</v>
      </c>
      <c r="H199" s="8">
        <f t="shared" si="85"/>
        <v>-41.086646484375009</v>
      </c>
      <c r="I199" s="8">
        <f t="shared" si="85"/>
        <v>-41.084661000000004</v>
      </c>
      <c r="J199" s="8">
        <f t="shared" si="85"/>
        <v>-44.138619928686168</v>
      </c>
      <c r="K199" s="8">
        <f t="shared" si="85"/>
        <v>-67.106492541208283</v>
      </c>
      <c r="L199" s="8">
        <f t="shared" si="85"/>
        <v>-99.157266743798303</v>
      </c>
    </row>
    <row r="200" spans="1:32" ht="14" customHeight="1" x14ac:dyDescent="0.2">
      <c r="E200" s="54"/>
      <c r="F200" s="51"/>
    </row>
    <row r="201" spans="1:32" ht="14" customHeight="1" x14ac:dyDescent="0.2">
      <c r="E201" s="66" t="s">
        <v>33</v>
      </c>
      <c r="F201" s="51" t="s">
        <v>6</v>
      </c>
      <c r="G201" s="8">
        <f>+G197+G199</f>
        <v>-921.35890625000002</v>
      </c>
      <c r="H201" s="8">
        <f t="shared" ref="H201:L201" si="86">+H197+H199</f>
        <v>-992.44547460937531</v>
      </c>
      <c r="I201" s="8">
        <f t="shared" si="86"/>
        <v>-462.60491100000024</v>
      </c>
      <c r="J201" s="8">
        <f t="shared" si="86"/>
        <v>432.53849795577804</v>
      </c>
      <c r="K201" s="8">
        <f t="shared" si="86"/>
        <v>1494.0285469994551</v>
      </c>
      <c r="L201" s="8">
        <f t="shared" si="86"/>
        <v>4063.8376360956277</v>
      </c>
    </row>
    <row r="202" spans="1:32" ht="14" customHeight="1" x14ac:dyDescent="0.2">
      <c r="E202" s="54" t="s">
        <v>34</v>
      </c>
      <c r="F202" s="51" t="s">
        <v>6</v>
      </c>
      <c r="G202" s="8">
        <f t="shared" ref="G202:L202" si="87">+G201*G121</f>
        <v>-193.48537031250001</v>
      </c>
      <c r="H202" s="8">
        <f t="shared" si="87"/>
        <v>-208.41354966796879</v>
      </c>
      <c r="I202" s="8">
        <f t="shared" si="87"/>
        <v>-97.147031310000045</v>
      </c>
      <c r="J202" s="8">
        <f t="shared" si="87"/>
        <v>90.833084570713382</v>
      </c>
      <c r="K202" s="8">
        <f t="shared" si="87"/>
        <v>313.74599486988558</v>
      </c>
      <c r="L202" s="8">
        <f t="shared" si="87"/>
        <v>853.40590358008183</v>
      </c>
    </row>
    <row r="203" spans="1:32" ht="14" customHeight="1" x14ac:dyDescent="0.2">
      <c r="E203" s="67" t="s">
        <v>35</v>
      </c>
      <c r="F203" s="60"/>
      <c r="G203" s="10">
        <f>SUM(G201:G202)</f>
        <v>-1114.8442765625</v>
      </c>
      <c r="H203" s="10">
        <f t="shared" ref="H203:L203" si="88">SUM(H201:H202)</f>
        <v>-1200.8590242773441</v>
      </c>
      <c r="I203" s="10">
        <f t="shared" si="88"/>
        <v>-559.75194231000023</v>
      </c>
      <c r="J203" s="10">
        <f t="shared" si="88"/>
        <v>523.37158252649147</v>
      </c>
      <c r="K203" s="10">
        <f t="shared" si="88"/>
        <v>1807.7745418693407</v>
      </c>
      <c r="L203" s="10">
        <f t="shared" si="88"/>
        <v>4917.2435396757091</v>
      </c>
    </row>
    <row r="204" spans="1:32" ht="14" customHeight="1" x14ac:dyDescent="0.2">
      <c r="E204" s="54"/>
      <c r="F204" s="51"/>
    </row>
    <row r="205" spans="1:32" s="2" customFormat="1" ht="14" customHeight="1" x14ac:dyDescent="0.15">
      <c r="A205" s="32"/>
      <c r="B205" s="32"/>
      <c r="C205" s="32"/>
      <c r="D205" s="47"/>
      <c r="E205" s="47"/>
      <c r="F205" s="47"/>
      <c r="G205" s="72" t="s">
        <v>2</v>
      </c>
      <c r="H205" s="73"/>
      <c r="I205" s="73"/>
      <c r="J205" s="73"/>
      <c r="K205" s="73"/>
      <c r="L205" s="74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s="2" customFormat="1" ht="14" customHeight="1" x14ac:dyDescent="0.15">
      <c r="A206" s="32"/>
      <c r="B206" s="32"/>
      <c r="C206" s="32"/>
      <c r="D206" s="33" t="s">
        <v>112</v>
      </c>
      <c r="E206" s="33"/>
      <c r="F206" s="35" t="s">
        <v>1</v>
      </c>
      <c r="G206" s="48">
        <f>EOMONTH(initial_year,12)</f>
        <v>45291</v>
      </c>
      <c r="H206" s="49">
        <f t="shared" ref="H206" si="89">EOMONTH(G206,12)</f>
        <v>45657</v>
      </c>
      <c r="I206" s="49">
        <f t="shared" ref="I206" si="90">EOMONTH(H206,12)</f>
        <v>46022</v>
      </c>
      <c r="J206" s="49">
        <f t="shared" ref="J206" si="91">EOMONTH(I206,12)</f>
        <v>46387</v>
      </c>
      <c r="K206" s="49">
        <f t="shared" ref="K206" si="92">EOMONTH(J206,12)</f>
        <v>46752</v>
      </c>
      <c r="L206" s="49">
        <f t="shared" ref="L206" si="93">EOMONTH(K206,12)</f>
        <v>47118</v>
      </c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s="2" customFormat="1" ht="14" customHeight="1" x14ac:dyDescent="0.15">
      <c r="A207" s="32"/>
      <c r="B207" s="32"/>
      <c r="C207" s="32"/>
      <c r="D207" s="50" t="s">
        <v>113</v>
      </c>
      <c r="E207" s="50"/>
      <c r="F207" s="50"/>
      <c r="G207" s="50"/>
      <c r="H207" s="50"/>
      <c r="I207" s="50"/>
      <c r="J207" s="50"/>
      <c r="K207" s="50"/>
      <c r="L207" s="50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ht="14" customHeight="1" x14ac:dyDescent="0.2">
      <c r="E208" s="54"/>
      <c r="F208" s="51"/>
    </row>
    <row r="209" spans="5:12" s="5" customFormat="1" ht="14" customHeight="1" x14ac:dyDescent="0.2">
      <c r="E209" s="68" t="s">
        <v>23</v>
      </c>
      <c r="F209" s="69"/>
      <c r="G209" s="25">
        <f>+G184</f>
        <v>297.1875</v>
      </c>
      <c r="H209" s="25">
        <f t="shared" ref="H209:L209" si="94">+H184</f>
        <v>922.80937499999993</v>
      </c>
      <c r="I209" s="25">
        <f t="shared" si="94"/>
        <v>2040.8910000000001</v>
      </c>
      <c r="J209" s="25">
        <f t="shared" si="94"/>
        <v>4144.5476118750003</v>
      </c>
      <c r="K209" s="25">
        <f t="shared" si="94"/>
        <v>8249.5886224253882</v>
      </c>
      <c r="L209" s="25">
        <f t="shared" si="94"/>
        <v>16563.201855552066</v>
      </c>
    </row>
    <row r="210" spans="5:12" ht="14" customHeight="1" x14ac:dyDescent="0.2">
      <c r="E210" s="70" t="s">
        <v>125</v>
      </c>
      <c r="F210" s="51"/>
      <c r="G210" s="16">
        <f>IFERROR(G209/F209-1,0)</f>
        <v>0</v>
      </c>
      <c r="H210" s="16">
        <f t="shared" ref="H210" si="95">IFERROR(H209/G209-1,0)</f>
        <v>2.1051419558359621</v>
      </c>
      <c r="I210" s="16">
        <f t="shared" ref="I210" si="96">IFERROR(I209/H209-1,0)</f>
        <v>1.2116062702548946</v>
      </c>
      <c r="J210" s="16">
        <f t="shared" ref="J210" si="97">IFERROR(J209/I209-1,0)</f>
        <v>1.0307540245289926</v>
      </c>
      <c r="K210" s="16">
        <f t="shared" ref="K210" si="98">IFERROR(K209/J209-1,0)</f>
        <v>0.99046781337209944</v>
      </c>
      <c r="L210" s="16">
        <f t="shared" ref="L210" si="99">IFERROR(L209/K209-1,0)</f>
        <v>1.007760945864288</v>
      </c>
    </row>
    <row r="211" spans="5:12" ht="14" customHeight="1" x14ac:dyDescent="0.2">
      <c r="E211" s="54"/>
      <c r="F211" s="51"/>
    </row>
    <row r="212" spans="5:12" ht="14" customHeight="1" x14ac:dyDescent="0.2">
      <c r="E212" s="54" t="s">
        <v>116</v>
      </c>
      <c r="F212" s="51"/>
      <c r="G212" s="8">
        <f>+G186</f>
        <v>74.296875</v>
      </c>
      <c r="H212" s="8">
        <f t="shared" ref="H212:L212" si="100">+H186</f>
        <v>230.70234374999998</v>
      </c>
      <c r="I212" s="8">
        <f t="shared" si="100"/>
        <v>408.17820000000006</v>
      </c>
      <c r="J212" s="8">
        <f t="shared" si="100"/>
        <v>725.29583207812504</v>
      </c>
      <c r="K212" s="8">
        <f t="shared" si="100"/>
        <v>1319.9341795880621</v>
      </c>
      <c r="L212" s="8">
        <f t="shared" si="100"/>
        <v>2484.48027833281</v>
      </c>
    </row>
    <row r="213" spans="5:12" ht="14" customHeight="1" x14ac:dyDescent="0.2">
      <c r="E213" s="54" t="s">
        <v>117</v>
      </c>
      <c r="F213" s="51"/>
      <c r="G213" s="8">
        <f>+G195</f>
        <v>1110.921875</v>
      </c>
      <c r="H213" s="8">
        <f t="shared" ref="H213:L213" si="101">+H195</f>
        <v>1643.4658593750003</v>
      </c>
      <c r="I213" s="8">
        <f t="shared" si="101"/>
        <v>2054.2330500000003</v>
      </c>
      <c r="J213" s="8">
        <f t="shared" si="101"/>
        <v>2942.5746619124111</v>
      </c>
      <c r="K213" s="8">
        <f t="shared" si="101"/>
        <v>5368.5194032966629</v>
      </c>
      <c r="L213" s="8">
        <f t="shared" si="101"/>
        <v>9915.72667437983</v>
      </c>
    </row>
    <row r="214" spans="5:12" ht="14" customHeight="1" x14ac:dyDescent="0.2">
      <c r="E214" s="54"/>
      <c r="F214" s="51"/>
    </row>
    <row r="215" spans="5:12" s="5" customFormat="1" ht="14" customHeight="1" x14ac:dyDescent="0.2">
      <c r="E215" s="68" t="s">
        <v>32</v>
      </c>
      <c r="F215" s="69"/>
      <c r="G215" s="25">
        <f>+G209-G212-G213</f>
        <v>-888.03125</v>
      </c>
      <c r="H215" s="25">
        <f t="shared" ref="H215:L215" si="102">+H209-H212-H213</f>
        <v>-951.35882812500029</v>
      </c>
      <c r="I215" s="25">
        <f t="shared" si="102"/>
        <v>-421.52025000000026</v>
      </c>
      <c r="J215" s="25">
        <f t="shared" si="102"/>
        <v>476.67711788446422</v>
      </c>
      <c r="K215" s="25">
        <f t="shared" si="102"/>
        <v>1561.1350395406635</v>
      </c>
      <c r="L215" s="25">
        <f t="shared" si="102"/>
        <v>4162.9949028394258</v>
      </c>
    </row>
    <row r="216" spans="5:12" ht="14" customHeight="1" x14ac:dyDescent="0.2">
      <c r="E216" s="70" t="s">
        <v>118</v>
      </c>
      <c r="F216" s="51"/>
      <c r="G216" s="16">
        <f>IFERROR(G215/G209, 0)</f>
        <v>-2.9881177707676132</v>
      </c>
      <c r="H216" s="16">
        <f t="shared" ref="H216:L216" si="103">IFERROR(H215/H209, 0)</f>
        <v>-1.0309375412717283</v>
      </c>
      <c r="I216" s="16">
        <f t="shared" si="103"/>
        <v>-0.20653736529780387</v>
      </c>
      <c r="J216" s="16">
        <f t="shared" si="103"/>
        <v>0.11501306355334996</v>
      </c>
      <c r="K216" s="16">
        <f t="shared" si="103"/>
        <v>0.18923792579146667</v>
      </c>
      <c r="L216" s="16">
        <f t="shared" si="103"/>
        <v>0.25133998481362285</v>
      </c>
    </row>
    <row r="217" spans="5:12" ht="14" customHeight="1" x14ac:dyDescent="0.2">
      <c r="E217" s="54"/>
      <c r="F217" s="51"/>
    </row>
    <row r="218" spans="5:12" ht="14" customHeight="1" x14ac:dyDescent="0.2">
      <c r="E218" s="54" t="s">
        <v>119</v>
      </c>
      <c r="F218" s="51"/>
      <c r="G218" s="8">
        <f t="shared" ref="G218:L218" si="104">G215*G121</f>
        <v>-186.48656249999999</v>
      </c>
      <c r="H218" s="8">
        <f t="shared" si="104"/>
        <v>-199.78535390625007</v>
      </c>
      <c r="I218" s="8">
        <f t="shared" si="104"/>
        <v>-88.51925250000005</v>
      </c>
      <c r="J218" s="8">
        <f t="shared" si="104"/>
        <v>100.10219475573749</v>
      </c>
      <c r="K218" s="8">
        <f t="shared" si="104"/>
        <v>327.83835830353934</v>
      </c>
      <c r="L218" s="8">
        <f t="shared" si="104"/>
        <v>874.22892959627939</v>
      </c>
    </row>
    <row r="219" spans="5:12" ht="14" customHeight="1" x14ac:dyDescent="0.2">
      <c r="E219" s="54"/>
      <c r="F219" s="51"/>
    </row>
    <row r="220" spans="5:12" s="5" customFormat="1" ht="14" customHeight="1" x14ac:dyDescent="0.2">
      <c r="E220" s="68" t="s">
        <v>115</v>
      </c>
      <c r="F220" s="69"/>
      <c r="G220" s="25">
        <f>+G215+G218</f>
        <v>-1074.5178125</v>
      </c>
      <c r="H220" s="25">
        <f t="shared" ref="H220:L220" si="105">+H215+H218</f>
        <v>-1151.1441820312502</v>
      </c>
      <c r="I220" s="25">
        <f t="shared" si="105"/>
        <v>-510.03950250000031</v>
      </c>
      <c r="J220" s="25">
        <f t="shared" si="105"/>
        <v>576.77931264020174</v>
      </c>
      <c r="K220" s="25">
        <f t="shared" si="105"/>
        <v>1888.9733978442027</v>
      </c>
      <c r="L220" s="25">
        <f t="shared" si="105"/>
        <v>5037.2238324357049</v>
      </c>
    </row>
    <row r="221" spans="5:12" ht="14" customHeight="1" x14ac:dyDescent="0.2">
      <c r="E221" s="54"/>
      <c r="F221" s="51"/>
    </row>
    <row r="222" spans="5:12" ht="14" customHeight="1" x14ac:dyDescent="0.2">
      <c r="E222" s="68" t="s">
        <v>120</v>
      </c>
      <c r="F222" s="51"/>
    </row>
    <row r="223" spans="5:12" ht="14" customHeight="1" x14ac:dyDescent="0.2">
      <c r="E223" s="54" t="s">
        <v>121</v>
      </c>
      <c r="F223" s="51"/>
      <c r="G223" s="8">
        <f>+G194</f>
        <v>44.578125</v>
      </c>
      <c r="H223" s="8">
        <f t="shared" ref="H223:L223" si="106">+H194</f>
        <v>115.35117187499999</v>
      </c>
      <c r="I223" s="8">
        <f t="shared" si="106"/>
        <v>204.08910000000003</v>
      </c>
      <c r="J223" s="8">
        <f t="shared" si="106"/>
        <v>331.56380895000001</v>
      </c>
      <c r="K223" s="8">
        <f t="shared" si="106"/>
        <v>577.47120356977723</v>
      </c>
      <c r="L223" s="8">
        <f t="shared" si="106"/>
        <v>993.7921113331239</v>
      </c>
    </row>
    <row r="224" spans="5:12" ht="14" customHeight="1" x14ac:dyDescent="0.2">
      <c r="E224" s="71" t="s">
        <v>93</v>
      </c>
      <c r="F224" s="51"/>
      <c r="G224" s="16">
        <f>+G223/G209</f>
        <v>0.15</v>
      </c>
      <c r="H224" s="16">
        <f t="shared" ref="H224:L224" si="107">+H223/H209</f>
        <v>0.125</v>
      </c>
      <c r="I224" s="16">
        <f t="shared" si="107"/>
        <v>0.1</v>
      </c>
      <c r="J224" s="16">
        <f t="shared" si="107"/>
        <v>0.08</v>
      </c>
      <c r="K224" s="16">
        <f t="shared" si="107"/>
        <v>7.0000000000000007E-2</v>
      </c>
      <c r="L224" s="16">
        <f t="shared" si="107"/>
        <v>0.06</v>
      </c>
    </row>
    <row r="225" spans="5:12" ht="14" customHeight="1" x14ac:dyDescent="0.2">
      <c r="E225" s="54"/>
      <c r="F225" s="51"/>
    </row>
    <row r="226" spans="5:12" ht="14" customHeight="1" x14ac:dyDescent="0.2">
      <c r="E226" s="54" t="s">
        <v>122</v>
      </c>
      <c r="F226" s="51"/>
      <c r="G226" s="21">
        <f>+G173</f>
        <v>193.48537031250001</v>
      </c>
      <c r="H226" s="21">
        <f t="shared" ref="H226:L226" si="108">+H173</f>
        <v>208.41354966796879</v>
      </c>
      <c r="I226" s="21">
        <f t="shared" si="108"/>
        <v>97.147031310000045</v>
      </c>
      <c r="J226" s="21">
        <f t="shared" si="108"/>
        <v>-90.833084570713382</v>
      </c>
      <c r="K226" s="21">
        <f t="shared" si="108"/>
        <v>-313.74599486988558</v>
      </c>
      <c r="L226" s="21">
        <f t="shared" si="108"/>
        <v>-1716.3431669006309</v>
      </c>
    </row>
    <row r="227" spans="5:12" ht="14" customHeight="1" x14ac:dyDescent="0.2">
      <c r="E227" s="54"/>
      <c r="F227" s="51"/>
    </row>
    <row r="228" spans="5:12" ht="14" customHeight="1" x14ac:dyDescent="0.2">
      <c r="E228" s="54" t="s">
        <v>123</v>
      </c>
      <c r="F228" s="51"/>
      <c r="G228" s="17">
        <f>+G145</f>
        <v>181.88513484589041</v>
      </c>
      <c r="H228" s="17">
        <f t="shared" ref="H228:L228" si="109">+H145</f>
        <v>281.37445422941698</v>
      </c>
      <c r="I228" s="17">
        <f t="shared" si="109"/>
        <v>558.46925051373387</v>
      </c>
      <c r="J228" s="17">
        <f t="shared" si="109"/>
        <v>972.61413746521373</v>
      </c>
      <c r="K228" s="17">
        <f t="shared" si="109"/>
        <v>1971.7146104232752</v>
      </c>
      <c r="L228" s="17">
        <f t="shared" si="109"/>
        <v>4050.9927999254965</v>
      </c>
    </row>
    <row r="229" spans="5:12" ht="14" customHeight="1" x14ac:dyDescent="0.2">
      <c r="E229" s="71" t="s">
        <v>84</v>
      </c>
      <c r="F229" s="51"/>
      <c r="G229" s="16">
        <f t="shared" ref="G229" si="110">+G228/(G209-F209)</f>
        <v>0.61202148423433156</v>
      </c>
      <c r="H229" s="16">
        <f t="shared" ref="H229:L229" si="111">+H228/(H209-G209)</f>
        <v>0.44975162390128542</v>
      </c>
      <c r="I229" s="16">
        <f t="shared" si="111"/>
        <v>0.49948880119886929</v>
      </c>
      <c r="J229" s="16">
        <f t="shared" si="111"/>
        <v>0.46234453473769072</v>
      </c>
      <c r="K229" s="16">
        <f t="shared" si="111"/>
        <v>0.48031544760594619</v>
      </c>
      <c r="L229" s="16">
        <f t="shared" si="111"/>
        <v>0.48727222283853505</v>
      </c>
    </row>
    <row r="230" spans="5:12" ht="14" customHeight="1" x14ac:dyDescent="0.2">
      <c r="E230" s="71" t="s">
        <v>85</v>
      </c>
      <c r="F230" s="51"/>
      <c r="G230" s="16">
        <f t="shared" ref="G230" si="112">+G228/G209</f>
        <v>0.61202148423433156</v>
      </c>
      <c r="H230" s="16">
        <f t="shared" ref="H230:L230" si="113">+H228/H209</f>
        <v>0.30491070187644875</v>
      </c>
      <c r="I230" s="16">
        <f t="shared" si="113"/>
        <v>0.27363992026704703</v>
      </c>
      <c r="J230" s="16">
        <f t="shared" si="113"/>
        <v>0.23467317269524657</v>
      </c>
      <c r="K230" s="16">
        <f t="shared" si="113"/>
        <v>0.23900762821838611</v>
      </c>
      <c r="L230" s="16">
        <f t="shared" si="113"/>
        <v>0.24457788024648047</v>
      </c>
    </row>
    <row r="231" spans="5:12" ht="14" customHeight="1" x14ac:dyDescent="0.2">
      <c r="E231" s="54"/>
      <c r="F231" s="51"/>
    </row>
    <row r="232" spans="5:12" ht="14" customHeight="1" x14ac:dyDescent="0.2">
      <c r="E232" s="54" t="s">
        <v>124</v>
      </c>
      <c r="F232" s="51"/>
      <c r="G232" s="11">
        <f>-G153</f>
        <v>-89.15625</v>
      </c>
      <c r="H232" s="11">
        <f t="shared" ref="H232:L232" si="114">-H153</f>
        <v>-230.70234374999998</v>
      </c>
      <c r="I232" s="11">
        <f t="shared" si="114"/>
        <v>-408.17820000000006</v>
      </c>
      <c r="J232" s="11">
        <f t="shared" si="114"/>
        <v>-621.68214178125004</v>
      </c>
      <c r="K232" s="11">
        <f t="shared" si="114"/>
        <v>-1031.1985778031735</v>
      </c>
      <c r="L232" s="11">
        <f t="shared" si="114"/>
        <v>-1656.3201855552068</v>
      </c>
    </row>
    <row r="233" spans="5:12" ht="14" customHeight="1" x14ac:dyDescent="0.2">
      <c r="E233" s="71" t="s">
        <v>85</v>
      </c>
      <c r="F233" s="51"/>
      <c r="G233" s="16">
        <f>-G232/G209</f>
        <v>0.3</v>
      </c>
      <c r="H233" s="16">
        <f t="shared" ref="H233:L233" si="115">-H232/H209</f>
        <v>0.25</v>
      </c>
      <c r="I233" s="16">
        <f t="shared" si="115"/>
        <v>0.2</v>
      </c>
      <c r="J233" s="16">
        <f t="shared" si="115"/>
        <v>0.15</v>
      </c>
      <c r="K233" s="16">
        <f t="shared" si="115"/>
        <v>0.125</v>
      </c>
      <c r="L233" s="16">
        <f t="shared" si="115"/>
        <v>0.1</v>
      </c>
    </row>
    <row r="234" spans="5:12" ht="14" customHeight="1" x14ac:dyDescent="0.2">
      <c r="E234" s="54"/>
      <c r="F234" s="51"/>
    </row>
    <row r="235" spans="5:12" ht="14" customHeight="1" x14ac:dyDescent="0.2">
      <c r="E235" s="22" t="s">
        <v>113</v>
      </c>
      <c r="F235" s="23"/>
      <c r="G235" s="24">
        <f>+G220+G223+G226+G228+G232</f>
        <v>-743.72543234160958</v>
      </c>
      <c r="H235" s="24">
        <f t="shared" ref="H235:L235" si="116">+H220+H223+H226+H228+H232</f>
        <v>-776.7073500088643</v>
      </c>
      <c r="I235" s="24">
        <f t="shared" si="116"/>
        <v>-58.512320676266427</v>
      </c>
      <c r="J235" s="24">
        <f t="shared" si="116"/>
        <v>1168.442032703452</v>
      </c>
      <c r="K235" s="24">
        <f t="shared" si="116"/>
        <v>3093.2146391641959</v>
      </c>
      <c r="L235" s="24">
        <f t="shared" si="116"/>
        <v>6709.3453912384866</v>
      </c>
    </row>
    <row r="236" spans="5:12" ht="14" customHeight="1" x14ac:dyDescent="0.2">
      <c r="E236" s="70" t="s">
        <v>125</v>
      </c>
      <c r="F236" s="51"/>
      <c r="G236" s="16">
        <f>IFERROR(G235/F235-1,0)</f>
        <v>0</v>
      </c>
      <c r="H236" s="16">
        <f t="shared" ref="H236:L236" si="117">IFERROR(H235/G235-1,0)</f>
        <v>4.4346900392274513E-2</v>
      </c>
      <c r="I236" s="16">
        <f t="shared" si="117"/>
        <v>-0.92466619419064511</v>
      </c>
      <c r="J236" s="16">
        <f t="shared" si="117"/>
        <v>-20.969162378093671</v>
      </c>
      <c r="K236" s="16">
        <f t="shared" si="117"/>
        <v>1.6472983276777127</v>
      </c>
      <c r="L236" s="16">
        <f t="shared" si="117"/>
        <v>1.1690526439029751</v>
      </c>
    </row>
    <row r="237" spans="5:12" ht="14" customHeight="1" x14ac:dyDescent="0.2">
      <c r="E237" s="54"/>
      <c r="F237" s="51"/>
    </row>
    <row r="238" spans="5:12" ht="14" customHeight="1" x14ac:dyDescent="0.2">
      <c r="E238" s="26" t="s">
        <v>126</v>
      </c>
      <c r="F238" s="27"/>
      <c r="G238" s="28">
        <f>+G215+G223</f>
        <v>-843.453125</v>
      </c>
      <c r="H238" s="28">
        <f t="shared" ref="H238:L238" si="118">+H215+H223</f>
        <v>-836.00765625000031</v>
      </c>
      <c r="I238" s="28">
        <f t="shared" si="118"/>
        <v>-217.43115000000023</v>
      </c>
      <c r="J238" s="28">
        <f t="shared" si="118"/>
        <v>808.24092683446429</v>
      </c>
      <c r="K238" s="28">
        <f t="shared" si="118"/>
        <v>2138.6062431104406</v>
      </c>
      <c r="L238" s="28">
        <f t="shared" si="118"/>
        <v>5156.7870141725498</v>
      </c>
    </row>
    <row r="239" spans="5:12" ht="14" customHeight="1" x14ac:dyDescent="0.2">
      <c r="E239" s="70" t="s">
        <v>125</v>
      </c>
      <c r="F239" s="51"/>
      <c r="G239" s="16">
        <f>IFERROR(G238/F238-1,0)</f>
        <v>0</v>
      </c>
      <c r="H239" s="16">
        <f t="shared" ref="H239" si="119">IFERROR(H238/G238-1,0)</f>
        <v>-8.8273651840459211E-3</v>
      </c>
      <c r="I239" s="16">
        <f t="shared" ref="I239" si="120">IFERROR(I238/H238-1,0)</f>
        <v>-0.73991727423249887</v>
      </c>
      <c r="J239" s="16">
        <f t="shared" ref="J239" si="121">IFERROR(J238/I238-1,0)</f>
        <v>-4.7172269329139986</v>
      </c>
      <c r="K239" s="16">
        <f t="shared" ref="K239" si="122">IFERROR(K238/J238-1,0)</f>
        <v>1.6460009288151878</v>
      </c>
      <c r="L239" s="16">
        <f t="shared" ref="L239" si="123">IFERROR(L238/K238-1,0)</f>
        <v>1.4112839989994579</v>
      </c>
    </row>
    <row r="240" spans="5:12" ht="14" customHeight="1" x14ac:dyDescent="0.2">
      <c r="E240" s="54"/>
      <c r="F240" s="51"/>
      <c r="H240" s="11"/>
      <c r="I240" s="11"/>
      <c r="J240" s="11"/>
    </row>
    <row r="241" spans="1:32" s="2" customFormat="1" ht="14" customHeight="1" x14ac:dyDescent="0.15">
      <c r="A241" s="32"/>
      <c r="B241" s="32"/>
      <c r="C241" s="32"/>
      <c r="D241" s="50" t="s">
        <v>130</v>
      </c>
      <c r="E241" s="50"/>
      <c r="F241" s="50"/>
      <c r="G241" s="50"/>
      <c r="H241" s="50"/>
      <c r="I241" s="50"/>
      <c r="J241" s="50"/>
      <c r="K241" s="50"/>
      <c r="L241" s="50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ht="14" customHeight="1" x14ac:dyDescent="0.2">
      <c r="E242" s="54"/>
      <c r="F242" s="51"/>
    </row>
    <row r="243" spans="1:32" ht="14" customHeight="1" x14ac:dyDescent="0.2">
      <c r="E243" s="54"/>
      <c r="F243" s="51"/>
    </row>
    <row r="244" spans="1:32" ht="14" customHeight="1" x14ac:dyDescent="0.2">
      <c r="E244" s="68" t="s">
        <v>131</v>
      </c>
      <c r="F244" s="51"/>
      <c r="G244" s="48">
        <f>EOMONTH(initial_year,12)</f>
        <v>45291</v>
      </c>
      <c r="H244" s="49">
        <f t="shared" ref="H244" si="124">EOMONTH(G244,12)</f>
        <v>45657</v>
      </c>
      <c r="I244" s="49">
        <f t="shared" ref="I244" si="125">EOMONTH(H244,12)</f>
        <v>46022</v>
      </c>
      <c r="J244" s="49">
        <f t="shared" ref="J244" si="126">EOMONTH(I244,12)</f>
        <v>46387</v>
      </c>
      <c r="K244" s="49">
        <f t="shared" ref="K244" si="127">EOMONTH(J244,12)</f>
        <v>46752</v>
      </c>
      <c r="L244" s="49">
        <f t="shared" ref="L244" si="128">EOMONTH(K244,12)</f>
        <v>47118</v>
      </c>
    </row>
    <row r="245" spans="1:32" ht="14" customHeight="1" x14ac:dyDescent="0.2">
      <c r="E245" s="75" t="s">
        <v>23</v>
      </c>
      <c r="F245" s="51"/>
      <c r="G245" s="21">
        <f>INDEX(G$208:G$240, MATCH($E245, $E$208:$E$240,0))</f>
        <v>297.1875</v>
      </c>
      <c r="H245" s="21">
        <f t="shared" ref="H245:L247" si="129">INDEX(H$208:H$240, MATCH($E245, $E$208:$E$240,0))</f>
        <v>922.80937499999993</v>
      </c>
      <c r="I245" s="21">
        <f t="shared" si="129"/>
        <v>2040.8910000000001</v>
      </c>
      <c r="J245" s="21">
        <f t="shared" si="129"/>
        <v>4144.5476118750003</v>
      </c>
      <c r="K245" s="21">
        <f t="shared" si="129"/>
        <v>8249.5886224253882</v>
      </c>
      <c r="L245" s="21">
        <f t="shared" si="129"/>
        <v>16563.201855552066</v>
      </c>
    </row>
    <row r="246" spans="1:32" ht="14" customHeight="1" x14ac:dyDescent="0.2">
      <c r="E246" s="71" t="s">
        <v>113</v>
      </c>
      <c r="F246" s="51"/>
      <c r="G246" s="21">
        <f t="shared" ref="G246:L247" si="130">INDEX(G$208:G$240, MATCH($E246, $E$208:$E$240,0))</f>
        <v>-743.72543234160958</v>
      </c>
      <c r="H246" s="21">
        <f t="shared" si="129"/>
        <v>-776.7073500088643</v>
      </c>
      <c r="I246" s="21">
        <f t="shared" si="129"/>
        <v>-58.512320676266427</v>
      </c>
      <c r="J246" s="21">
        <f t="shared" si="129"/>
        <v>1168.442032703452</v>
      </c>
      <c r="K246" s="21">
        <f t="shared" si="129"/>
        <v>3093.2146391641959</v>
      </c>
      <c r="L246" s="21">
        <f t="shared" si="129"/>
        <v>6709.3453912384866</v>
      </c>
    </row>
    <row r="247" spans="1:32" ht="14" customHeight="1" x14ac:dyDescent="0.2">
      <c r="E247" s="71" t="s">
        <v>126</v>
      </c>
      <c r="F247" s="51"/>
      <c r="G247" s="21">
        <f t="shared" si="130"/>
        <v>-843.453125</v>
      </c>
      <c r="H247" s="21">
        <f t="shared" si="129"/>
        <v>-836.00765625000031</v>
      </c>
      <c r="I247" s="21">
        <f t="shared" si="129"/>
        <v>-217.43115000000023</v>
      </c>
      <c r="J247" s="21">
        <f t="shared" si="129"/>
        <v>808.24092683446429</v>
      </c>
      <c r="K247" s="21">
        <f t="shared" si="129"/>
        <v>2138.6062431104406</v>
      </c>
      <c r="L247" s="21">
        <f t="shared" si="129"/>
        <v>5156.7870141725498</v>
      </c>
    </row>
    <row r="248" spans="1:32" ht="14" customHeight="1" x14ac:dyDescent="0.2">
      <c r="E248" s="54"/>
      <c r="F248" s="51"/>
    </row>
    <row r="249" spans="1:32" ht="14" customHeight="1" x14ac:dyDescent="0.2">
      <c r="E249" s="68" t="s">
        <v>132</v>
      </c>
      <c r="F249" s="51"/>
      <c r="G249" s="48">
        <f>EOMONTH(initial_year,12)</f>
        <v>45291</v>
      </c>
      <c r="H249" s="49">
        <f t="shared" ref="H249" si="131">EOMONTH(G249,12)</f>
        <v>45657</v>
      </c>
      <c r="I249" s="49">
        <f t="shared" ref="I249" si="132">EOMONTH(H249,12)</f>
        <v>46022</v>
      </c>
      <c r="J249" s="49">
        <f t="shared" ref="J249" si="133">EOMONTH(I249,12)</f>
        <v>46387</v>
      </c>
      <c r="K249" s="49">
        <f t="shared" ref="K249" si="134">EOMONTH(J249,12)</f>
        <v>46752</v>
      </c>
      <c r="L249" s="49">
        <f t="shared" ref="L249" si="135">EOMONTH(K249,12)</f>
        <v>47118</v>
      </c>
    </row>
    <row r="250" spans="1:32" ht="14" customHeight="1" x14ac:dyDescent="0.2">
      <c r="E250" s="75" t="s">
        <v>20</v>
      </c>
      <c r="F250" s="51"/>
      <c r="G250" s="21">
        <f>INDEX(G$179:G$204, MATCH($E250, $E$179:$E$204,0))</f>
        <v>180</v>
      </c>
      <c r="H250" s="21">
        <f t="shared" ref="H250:L252" si="136">INDEX(H$179:H$204, MATCH($E250, $E$179:$E$204,0))</f>
        <v>691.94999999999993</v>
      </c>
      <c r="I250" s="21">
        <f t="shared" si="136"/>
        <v>1671.0472500000001</v>
      </c>
      <c r="J250" s="21">
        <f t="shared" si="136"/>
        <v>3636.0124556250003</v>
      </c>
      <c r="K250" s="21">
        <f t="shared" si="136"/>
        <v>7613.0978997691391</v>
      </c>
      <c r="L250" s="21">
        <f t="shared" si="136"/>
        <v>15801.936328208316</v>
      </c>
    </row>
    <row r="251" spans="1:32" ht="14" customHeight="1" x14ac:dyDescent="0.2">
      <c r="E251" s="71" t="s">
        <v>22</v>
      </c>
      <c r="F251" s="51"/>
      <c r="G251" s="21">
        <f t="shared" ref="G251:L252" si="137">INDEX(G$179:G$204, MATCH($E251, $E$179:$E$204,0))</f>
        <v>93.75</v>
      </c>
      <c r="H251" s="21">
        <f t="shared" si="136"/>
        <v>154.6875</v>
      </c>
      <c r="I251" s="21">
        <f t="shared" si="136"/>
        <v>232.03125</v>
      </c>
      <c r="J251" s="21">
        <f t="shared" si="136"/>
        <v>301.640625</v>
      </c>
      <c r="K251" s="21">
        <f t="shared" si="136"/>
        <v>361.96875</v>
      </c>
      <c r="L251" s="21">
        <f t="shared" si="136"/>
        <v>425.31328124999999</v>
      </c>
    </row>
    <row r="252" spans="1:32" ht="14" customHeight="1" x14ac:dyDescent="0.2">
      <c r="E252" s="71" t="s">
        <v>21</v>
      </c>
      <c r="F252" s="51"/>
      <c r="G252" s="21">
        <f t="shared" si="137"/>
        <v>23.4375</v>
      </c>
      <c r="H252" s="21">
        <f t="shared" si="136"/>
        <v>76.171875</v>
      </c>
      <c r="I252" s="21">
        <f t="shared" si="136"/>
        <v>137.8125</v>
      </c>
      <c r="J252" s="21">
        <f t="shared" si="136"/>
        <v>206.89453125</v>
      </c>
      <c r="K252" s="21">
        <f t="shared" si="136"/>
        <v>274.52197265625</v>
      </c>
      <c r="L252" s="21">
        <f t="shared" si="136"/>
        <v>335.95224609374998</v>
      </c>
    </row>
    <row r="253" spans="1:32" ht="14" customHeight="1" x14ac:dyDescent="0.2">
      <c r="E253" s="71" t="s">
        <v>133</v>
      </c>
      <c r="F253" s="51"/>
      <c r="G253" s="21">
        <f>SUM(G250:G252)</f>
        <v>297.1875</v>
      </c>
      <c r="H253" s="21">
        <f t="shared" ref="H253:L253" si="138">SUM(H250:H252)</f>
        <v>922.80937499999993</v>
      </c>
      <c r="I253" s="21">
        <f t="shared" si="138"/>
        <v>2040.8910000000001</v>
      </c>
      <c r="J253" s="21">
        <f t="shared" si="138"/>
        <v>4144.5476118750003</v>
      </c>
      <c r="K253" s="21">
        <f t="shared" si="138"/>
        <v>8249.5886224253882</v>
      </c>
      <c r="L253" s="21">
        <f t="shared" si="138"/>
        <v>16563.201855552066</v>
      </c>
    </row>
    <row r="254" spans="1:32" ht="14" customHeight="1" x14ac:dyDescent="0.2">
      <c r="E254" s="54"/>
      <c r="F254" s="51"/>
    </row>
    <row r="255" spans="1:32" ht="14" customHeight="1" x14ac:dyDescent="0.2">
      <c r="E255" s="54"/>
      <c r="F255" s="51"/>
    </row>
    <row r="256" spans="1:32" ht="14" customHeight="1" x14ac:dyDescent="0.2">
      <c r="E256" s="54"/>
      <c r="F256" s="51"/>
    </row>
    <row r="257" spans="5:6" ht="14" customHeight="1" x14ac:dyDescent="0.2">
      <c r="E257" s="54"/>
      <c r="F257" s="51"/>
    </row>
    <row r="258" spans="5:6" ht="14" customHeight="1" x14ac:dyDescent="0.2">
      <c r="E258" s="54"/>
      <c r="F258" s="51"/>
    </row>
    <row r="259" spans="5:6" ht="14" customHeight="1" x14ac:dyDescent="0.2">
      <c r="E259" s="54"/>
      <c r="F259" s="51"/>
    </row>
    <row r="260" spans="5:6" ht="14" customHeight="1" x14ac:dyDescent="0.2">
      <c r="E260" s="54"/>
      <c r="F260" s="51"/>
    </row>
    <row r="261" spans="5:6" ht="14" customHeight="1" x14ac:dyDescent="0.2">
      <c r="E261" s="54"/>
      <c r="F261" s="51"/>
    </row>
    <row r="262" spans="5:6" ht="14" customHeight="1" x14ac:dyDescent="0.2">
      <c r="E262" s="54"/>
      <c r="F262" s="51"/>
    </row>
    <row r="263" spans="5:6" ht="14" customHeight="1" x14ac:dyDescent="0.2">
      <c r="E263" s="54"/>
      <c r="F263" s="51"/>
    </row>
    <row r="264" spans="5:6" ht="14" customHeight="1" x14ac:dyDescent="0.2">
      <c r="E264" s="54"/>
      <c r="F264" s="51"/>
    </row>
    <row r="265" spans="5:6" ht="14" customHeight="1" x14ac:dyDescent="0.2">
      <c r="E265" s="54"/>
      <c r="F265" s="51"/>
    </row>
    <row r="266" spans="5:6" ht="14" customHeight="1" x14ac:dyDescent="0.2">
      <c r="E266" s="54"/>
      <c r="F266" s="51"/>
    </row>
    <row r="267" spans="5:6" ht="14" customHeight="1" x14ac:dyDescent="0.2">
      <c r="E267" s="54"/>
      <c r="F267" s="51"/>
    </row>
    <row r="268" spans="5:6" ht="14" customHeight="1" x14ac:dyDescent="0.2">
      <c r="E268" s="54"/>
      <c r="F268" s="51"/>
    </row>
    <row r="269" spans="5:6" ht="14" customHeight="1" x14ac:dyDescent="0.2">
      <c r="E269" s="54"/>
      <c r="F269" s="51"/>
    </row>
    <row r="270" spans="5:6" ht="14" customHeight="1" x14ac:dyDescent="0.2">
      <c r="E270" s="54"/>
      <c r="F270" s="51"/>
    </row>
    <row r="271" spans="5:6" ht="14" customHeight="1" x14ac:dyDescent="0.2">
      <c r="E271" s="54"/>
      <c r="F271" s="51"/>
    </row>
    <row r="272" spans="5:6" ht="14" customHeight="1" x14ac:dyDescent="0.2">
      <c r="E272" s="54"/>
      <c r="F272" s="51"/>
    </row>
    <row r="273" spans="5:6" ht="14" customHeight="1" x14ac:dyDescent="0.2">
      <c r="E273" s="54"/>
      <c r="F273" s="51"/>
    </row>
    <row r="274" spans="5:6" ht="14" customHeight="1" x14ac:dyDescent="0.2">
      <c r="E274" s="54"/>
      <c r="F274" s="51"/>
    </row>
    <row r="275" spans="5:6" ht="14" customHeight="1" x14ac:dyDescent="0.2">
      <c r="E275" s="54"/>
      <c r="F275" s="51"/>
    </row>
    <row r="276" spans="5:6" ht="14" customHeight="1" x14ac:dyDescent="0.2">
      <c r="E276" s="54"/>
      <c r="F276" s="51"/>
    </row>
    <row r="277" spans="5:6" ht="14" customHeight="1" x14ac:dyDescent="0.2">
      <c r="E277" s="54"/>
      <c r="F277" s="51"/>
    </row>
    <row r="278" spans="5:6" ht="14" customHeight="1" x14ac:dyDescent="0.2">
      <c r="E278" s="54"/>
      <c r="F278" s="51"/>
    </row>
    <row r="279" spans="5:6" ht="14" customHeight="1" x14ac:dyDescent="0.2">
      <c r="E279" s="54"/>
      <c r="F279" s="51"/>
    </row>
    <row r="280" spans="5:6" ht="14" customHeight="1" x14ac:dyDescent="0.2">
      <c r="E280" s="54"/>
      <c r="F280" s="51"/>
    </row>
    <row r="281" spans="5:6" ht="14" customHeight="1" x14ac:dyDescent="0.2">
      <c r="E281" s="54"/>
      <c r="F281" s="51"/>
    </row>
    <row r="282" spans="5:6" ht="14" customHeight="1" x14ac:dyDescent="0.2">
      <c r="E282" s="54"/>
      <c r="F282" s="51"/>
    </row>
    <row r="283" spans="5:6" ht="14" customHeight="1" x14ac:dyDescent="0.2">
      <c r="E283" s="54"/>
      <c r="F283" s="51"/>
    </row>
  </sheetData>
  <mergeCells count="5">
    <mergeCell ref="G205:L205"/>
    <mergeCell ref="G34:L34"/>
    <mergeCell ref="G177:L177"/>
    <mergeCell ref="G100:L100"/>
    <mergeCell ref="G124:L124"/>
  </mergeCells>
  <dataValidations count="1">
    <dataValidation type="list" allowBlank="1" showInputMessage="1" showErrorMessage="1" sqref="G9" xr:uid="{76250091-3951-7841-9E5D-623041905D27}">
      <formula1>"Base, Upside, Downside"</formula1>
    </dataValidation>
  </dataValidations>
  <pageMargins left="0.7" right="0.7" top="0.75" bottom="0.75" header="0" footer="0"/>
  <pageSetup scale="4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SaaS Model</vt:lpstr>
      <vt:lpstr>company_name</vt:lpstr>
      <vt:lpstr>init_avg_salary</vt:lpstr>
      <vt:lpstr>init_license_growth_perc</vt:lpstr>
      <vt:lpstr>init_maint_perc_license</vt:lpstr>
      <vt:lpstr>init_num_license_customers</vt:lpstr>
      <vt:lpstr>init_num_sub_customers</vt:lpstr>
      <vt:lpstr>init_price_per_license</vt:lpstr>
      <vt:lpstr>init_price_per_sub</vt:lpstr>
      <vt:lpstr>init_renew_rate_maint</vt:lpstr>
      <vt:lpstr>init_renew_rate_sub</vt:lpstr>
      <vt:lpstr>init_sub_growth_perc</vt:lpstr>
      <vt:lpstr>initial_year</vt:lpstr>
      <vt:lpstr>min_num_employees</vt:lpstr>
      <vt:lpstr>scenario</vt:lpstr>
      <vt:lpstr>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Trevor McKinnon</cp:lastModifiedBy>
  <dcterms:created xsi:type="dcterms:W3CDTF">2022-09-11T20:40:29Z</dcterms:created>
  <dcterms:modified xsi:type="dcterms:W3CDTF">2022-12-08T00:35:06Z</dcterms:modified>
  <cp:category/>
</cp:coreProperties>
</file>