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ebExtensions/webExtension1.xml" ContentType="application/vnd.wps-officedocument.webExtension+xml"/>
  <Override PartName="/xl/webExtensions/webExtension2.xml" ContentType="application/vnd.wps-officedocument.webExtension+xml"/>
  <Override PartName="/xl/webExtensions/webExtension3.xml" ContentType="application/vnd.wps-officedocument.webExtension+xml"/>
  <Override PartName="/xl/webExtensions/webExtension4.xml" ContentType="application/vnd.wps-officedocument.webExtension+xml"/>
  <Override PartName="/xl/webExtensions/webExtension5.xml" ContentType="application/vnd.wps-officedocument.webExtension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46"/>
  </bookViews>
  <sheets>
    <sheet name="10月份" sheetId="1" state="hidden" r:id="rId1"/>
    <sheet name="11月份" sheetId="3" state="hidden" r:id="rId2"/>
    <sheet name="12月份" sheetId="5" state="hidden" r:id="rId3"/>
    <sheet name="2021.01" sheetId="7" state="hidden" r:id="rId4"/>
    <sheet name="2021.02" sheetId="9" state="hidden" r:id="rId5"/>
    <sheet name="2021.03" sheetId="11" state="hidden" r:id="rId6"/>
    <sheet name="2021.04" sheetId="14" state="hidden" r:id="rId7"/>
    <sheet name="2021.05" sheetId="16" state="hidden" r:id="rId8"/>
    <sheet name="2021.06" sheetId="17" state="hidden" r:id="rId9"/>
    <sheet name="2021.07" sheetId="20" state="hidden" r:id="rId10"/>
    <sheet name="2021.08" sheetId="21" state="hidden" r:id="rId11"/>
    <sheet name="2021.09" sheetId="22" state="hidden" r:id="rId12"/>
    <sheet name="2021.10" sheetId="24" state="hidden" r:id="rId13"/>
    <sheet name="2021.11" sheetId="25" state="hidden" r:id="rId14"/>
    <sheet name="2021.12" sheetId="26" state="hidden" r:id="rId15"/>
    <sheet name="2022.01" sheetId="27" state="hidden" r:id="rId16"/>
    <sheet name="2022.02" sheetId="28" state="hidden" r:id="rId17"/>
    <sheet name="2022.03" sheetId="29" state="hidden" r:id="rId18"/>
    <sheet name="2022.04" sheetId="30" state="hidden" r:id="rId19"/>
    <sheet name="2022.05" sheetId="31" state="hidden" r:id="rId20"/>
    <sheet name="2022.06" sheetId="33" state="hidden" r:id="rId21"/>
    <sheet name="2022.07" sheetId="38" state="hidden" r:id="rId22"/>
    <sheet name="2022.08" sheetId="39" state="hidden" r:id="rId23"/>
    <sheet name="2022.09" sheetId="41" state="hidden" r:id="rId24"/>
    <sheet name="2022.10" sheetId="44" state="hidden" r:id="rId25"/>
    <sheet name="2022.11" sheetId="45" state="hidden" r:id="rId26"/>
    <sheet name="2022.12" sheetId="46" state="hidden" r:id="rId27"/>
    <sheet name="2023.09 (2)" sheetId="68" state="hidden" r:id="rId28"/>
    <sheet name="2023.01" sheetId="54" state="hidden" r:id="rId29"/>
    <sheet name="2023.02" sheetId="55" state="hidden" r:id="rId30"/>
    <sheet name="2023.03" sheetId="56" state="hidden" r:id="rId31"/>
    <sheet name="2023.12 (3)" sheetId="76" state="hidden" r:id="rId32"/>
    <sheet name="2023.04" sheetId="57" state="hidden" r:id="rId33"/>
    <sheet name="2023.05" sheetId="59" state="hidden" r:id="rId34"/>
    <sheet name="2023.06" sheetId="61" state="hidden" r:id="rId35"/>
    <sheet name="2023.07（新）" sheetId="65" state="hidden" r:id="rId36"/>
    <sheet name="2023.08" sheetId="66" state="hidden" r:id="rId37"/>
    <sheet name="2023.09" sheetId="67" state="hidden" r:id="rId38"/>
    <sheet name="2023.10" sheetId="70" state="hidden" r:id="rId39"/>
    <sheet name="2023.11" sheetId="72" state="hidden" r:id="rId40"/>
    <sheet name="2024.03" sheetId="79" state="hidden" r:id="rId41"/>
    <sheet name="2024.04" sheetId="81" state="hidden" r:id="rId42"/>
    <sheet name="2025.01" sheetId="90" r:id="rId43"/>
    <sheet name="2025.02" sheetId="91" r:id="rId44"/>
    <sheet name="2025.03" sheetId="92" r:id="rId45"/>
    <sheet name="2025.04" sheetId="98" r:id="rId46"/>
    <sheet name="2025.05" sheetId="99" r:id="rId47"/>
    <sheet name="开单+船期" sheetId="95" r:id="rId48"/>
    <sheet name="二级指标" sheetId="96" r:id="rId49"/>
    <sheet name="WpsReserved_CellImgList" sheetId="80" state="veryHidden" r:id="rId50"/>
  </sheets>
  <externalReferences>
    <externalReference r:id="rId53"/>
  </externalReferences>
  <definedNames>
    <definedName name="_xlnm._FilterDatabase" localSheetId="31" hidden="1">'2023.12 (3)'!$A$1:$T$208</definedName>
    <definedName name="_xlnm._FilterDatabase" localSheetId="34" hidden="1">'2023.06'!$A$1:$W$86</definedName>
    <definedName name="_xlnm._FilterDatabase" localSheetId="39" hidden="1">'2023.11'!$A$1:$S$204</definedName>
    <definedName name="_xlnm._FilterDatabase" localSheetId="44" hidden="1">'2025.03'!$A$1:$U$240</definedName>
    <definedName name="_xlnm._FilterDatabase" localSheetId="48" hidden="1">二级指标!$C$1:$C$112</definedName>
    <definedName name="_xlnm._FilterDatabase" localSheetId="42" hidden="1">'2025.01'!$A$1:$S$177</definedName>
    <definedName name="_xlnm._FilterDatabase" localSheetId="43" hidden="1">'2025.02'!$A$1:$U$194</definedName>
    <definedName name="_xlnm._FilterDatabase" localSheetId="18" hidden="1">'2022.04'!$A$2:$AI$39</definedName>
    <definedName name="_xlnm._FilterDatabase" localSheetId="8" hidden="1">'2021.06'!$A$1:$M$90</definedName>
    <definedName name="_xlnm._FilterDatabase" localSheetId="35" hidden="1">'2023.07（新）'!$A$1:$S$35</definedName>
    <definedName name="_xlnm._FilterDatabase" localSheetId="40" hidden="1">'2024.03'!$A$1:$S$197</definedName>
    <definedName name="_xlnm._FilterDatabase" localSheetId="41" hidden="1">'2024.04'!$A$1:$S$239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4E2414E2E4DE41F6BB489A61F6336261" descr="upload_post_object_v2_4272321059"/>
        <xdr:cNvPicPr/>
      </xdr:nvPicPr>
      <xdr:blipFill>
        <a:blip r:embed="rId1"/>
        <a:stretch>
          <a:fillRect/>
        </a:stretch>
      </xdr:blipFill>
      <xdr:spPr>
        <a:xfrm>
          <a:off x="0" y="0"/>
          <a:ext cx="3886200" cy="3190875"/>
        </a:xfrm>
        <a:prstGeom prst="rect">
          <a:avLst/>
        </a:prstGeom>
      </xdr:spPr>
    </xdr:pic>
  </etc:cellImage>
</etc:cellImages>
</file>

<file path=xl/comments1.xml><?xml version="1.0" encoding="utf-8"?>
<comments xmlns="http://schemas.openxmlformats.org/spreadsheetml/2006/main">
  <authors>
    <author>Unknown User</author>
  </authors>
  <commentList>
    <comment ref="H19" authorId="0">
      <text>
        <r>
          <rPr>
            <b/>
            <sz val="9"/>
            <rFont val="宋体"/>
            <charset val="134"/>
          </rPr>
          <t>Jacky.Wu:</t>
        </r>
        <r>
          <rPr>
            <sz val="9"/>
            <rFont val="宋体"/>
            <charset val="134"/>
          </rPr>
          <t xml:space="preserve">
交期关注3-30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A16" authorId="0">
      <text>
        <r>
          <rPr>
            <b/>
            <sz val="9"/>
            <rFont val="宋体"/>
            <charset val="134"/>
          </rPr>
          <t>Jacky.Wu:</t>
        </r>
        <r>
          <rPr>
            <sz val="9"/>
            <rFont val="宋体"/>
            <charset val="134"/>
          </rPr>
          <t xml:space="preserve">
4月部门目标：370万*1.1=407,3月遗落90万的船期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18" authorId="0">
      <text>
        <r>
          <rPr>
            <b/>
            <sz val="9"/>
            <rFont val="宋体"/>
            <charset val="134"/>
          </rPr>
          <t>Jacky.Wu:</t>
        </r>
        <r>
          <rPr>
            <sz val="9"/>
            <rFont val="宋体"/>
            <charset val="134"/>
          </rPr>
          <t xml:space="preserve">
6月份的计划595万， 达标需要416万
</t>
        </r>
      </text>
    </comment>
  </commentList>
</comments>
</file>

<file path=xl/comments4.xml><?xml version="1.0" encoding="utf-8"?>
<comments xmlns="http://schemas.openxmlformats.org/spreadsheetml/2006/main">
  <authors>
    <author>Unknown User</author>
  </authors>
  <commentList>
    <comment ref="M7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从青岛发货36台6700A，遗漏补录 20230620
</t>
        </r>
      </text>
    </comment>
    <comment ref="M10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遗漏补录 20230620
</t>
        </r>
      </text>
    </comment>
    <comment ref="I4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未体现在1月船期金额
</t>
        </r>
      </text>
    </comment>
    <comment ref="I46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未体现在1月船期金额
</t>
        </r>
      </text>
    </comment>
    <comment ref="I47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船期金额未体现在1月
</t>
        </r>
      </text>
    </comment>
    <comment ref="I4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未体现在1月船期金额
</t>
        </r>
      </text>
    </comment>
    <comment ref="I4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未体现在1月船期金额
</t>
        </r>
      </text>
    </comment>
  </commentList>
</comments>
</file>

<file path=xl/comments5.xml><?xml version="1.0" encoding="utf-8"?>
<comments xmlns="http://schemas.openxmlformats.org/spreadsheetml/2006/main">
  <authors>
    <author>Unknown User</author>
  </authors>
  <commentList>
    <comment ref="M6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从3月开船移到2月开船 20230620
</t>
        </r>
      </text>
    </comment>
    <comment ref="M7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遗漏补录 20230620
</t>
        </r>
      </text>
    </comment>
    <comment ref="I3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未体现在2月船期数据
</t>
        </r>
      </text>
    </comment>
    <comment ref="I3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未纳入2月船期金额
</t>
        </r>
      </text>
    </comment>
  </commentList>
</comments>
</file>

<file path=xl/comments6.xml><?xml version="1.0" encoding="utf-8"?>
<comments xmlns="http://schemas.openxmlformats.org/spreadsheetml/2006/main">
  <authors>
    <author>Unknown User</author>
  </authors>
  <commentList>
    <comment ref="N11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原船期12/31
</t>
        </r>
      </text>
    </comment>
    <comment ref="N3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原定28号
</t>
        </r>
      </text>
    </comment>
    <comment ref="N81" authorId="0">
      <text>
        <r>
          <rPr>
            <b/>
            <sz val="9"/>
            <rFont val="宋体"/>
            <charset val="134"/>
          </rPr>
          <t>高树海:</t>
        </r>
        <r>
          <rPr>
            <sz val="9"/>
            <rFont val="宋体"/>
            <charset val="134"/>
          </rPr>
          <t xml:space="preserve">
原定船期12.30
</t>
        </r>
      </text>
    </comment>
    <comment ref="N89" authorId="0">
      <text>
        <r>
          <rPr>
            <b/>
            <sz val="9"/>
            <rFont val="宋体"/>
            <charset val="134"/>
          </rPr>
          <t>吴燕华:</t>
        </r>
        <r>
          <rPr>
            <sz val="9"/>
            <rFont val="宋体"/>
            <charset val="134"/>
          </rPr>
          <t xml:space="preserve">
原定船期12月22日
</t>
        </r>
      </text>
    </comment>
    <comment ref="N90" authorId="0">
      <text>
        <r>
          <rPr>
            <b/>
            <sz val="9"/>
            <rFont val="宋体"/>
            <charset val="134"/>
          </rPr>
          <t>吴燕华:</t>
        </r>
        <r>
          <rPr>
            <sz val="9"/>
            <rFont val="宋体"/>
            <charset val="134"/>
          </rPr>
          <t xml:space="preserve">
原定船期为12月31日
</t>
        </r>
      </text>
    </comment>
    <comment ref="N91" authorId="0">
      <text>
        <r>
          <rPr>
            <b/>
            <sz val="9"/>
            <rFont val="宋体"/>
            <charset val="134"/>
          </rPr>
          <t>吴燕华:</t>
        </r>
        <r>
          <rPr>
            <sz val="9"/>
            <rFont val="宋体"/>
            <charset val="134"/>
          </rPr>
          <t xml:space="preserve">
原定船期为12月29日
</t>
        </r>
      </text>
    </comment>
    <comment ref="N98" authorId="0">
      <text>
        <r>
          <rPr>
            <b/>
            <sz val="9"/>
            <rFont val="宋体"/>
            <charset val="134"/>
          </rPr>
          <t>吴燕华:</t>
        </r>
        <r>
          <rPr>
            <sz val="9"/>
            <rFont val="宋体"/>
            <charset val="134"/>
          </rPr>
          <t xml:space="preserve">
原定船期12月29日
</t>
        </r>
      </text>
    </comment>
    <comment ref="N100" authorId="0">
      <text>
        <r>
          <rPr>
            <b/>
            <sz val="9"/>
            <rFont val="宋体"/>
            <charset val="134"/>
          </rPr>
          <t>吴燕华:</t>
        </r>
        <r>
          <rPr>
            <sz val="9"/>
            <rFont val="宋体"/>
            <charset val="134"/>
          </rPr>
          <t xml:space="preserve">
原定船期为12月28日
</t>
        </r>
      </text>
    </comment>
    <comment ref="N103" authorId="0">
      <text>
        <r>
          <rPr>
            <b/>
            <sz val="9"/>
            <rFont val="宋体"/>
            <charset val="134"/>
          </rPr>
          <t>吴燕华:</t>
        </r>
        <r>
          <rPr>
            <sz val="9"/>
            <rFont val="宋体"/>
            <charset val="134"/>
          </rPr>
          <t xml:space="preserve">
原定船期为12月30日
</t>
        </r>
      </text>
    </comment>
    <comment ref="N104" authorId="0">
      <text>
        <r>
          <rPr>
            <b/>
            <sz val="9"/>
            <rFont val="宋体"/>
            <charset val="134"/>
          </rPr>
          <t>高树海:</t>
        </r>
        <r>
          <rPr>
            <sz val="9"/>
            <rFont val="宋体"/>
            <charset val="134"/>
          </rPr>
          <t xml:space="preserve">
原定船期12.26
</t>
        </r>
      </text>
    </comment>
    <comment ref="N13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原定12-31
</t>
        </r>
      </text>
    </comment>
    <comment ref="G14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举例开单100元，财务核算按87元
</t>
        </r>
      </text>
    </comment>
    <comment ref="N151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原定船期为12.29
</t>
        </r>
      </text>
    </comment>
    <comment ref="N15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原定船期12.29，
</t>
        </r>
      </text>
    </comment>
    <comment ref="N15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原定船期12.31
</t>
        </r>
      </text>
    </comment>
    <comment ref="G197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含22年12月发货船期落1月577万元
</t>
        </r>
      </text>
    </comment>
    <comment ref="G19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含9月开单船期落10月527万
</t>
        </r>
      </text>
    </comment>
    <comment ref="G201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Q4船期月平均1670万
</t>
        </r>
      </text>
    </comment>
    <comment ref="G20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Q4船期月平均2500万
</t>
        </r>
      </text>
    </comment>
  </commentList>
</comments>
</file>

<file path=xl/comments7.xml><?xml version="1.0" encoding="utf-8"?>
<comments xmlns="http://schemas.openxmlformats.org/spreadsheetml/2006/main">
  <authors>
    <author>Unknown User</author>
  </authors>
  <commentList>
    <comment ref="M4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4月17号装柜，运单签订日4月28号，赵经理表格船期在5月 20230620
</t>
        </r>
      </text>
    </comment>
    <comment ref="M6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提单日4月29号，赵经理表格船期在5月 20230620
</t>
        </r>
      </text>
    </comment>
    <comment ref="I2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未体现船期金额
</t>
        </r>
      </text>
    </comment>
    <comment ref="I2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未体现在4月船期金额
</t>
        </r>
      </text>
    </comment>
    <comment ref="I37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4月船期金额未体现
</t>
        </r>
      </text>
    </comment>
    <comment ref="I41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4月船期金额未体现
</t>
        </r>
      </text>
    </comment>
  </commentList>
</comments>
</file>

<file path=xl/comments8.xml><?xml version="1.0" encoding="utf-8"?>
<comments xmlns="http://schemas.openxmlformats.org/spreadsheetml/2006/main">
  <authors>
    <author>Unknown User</author>
  </authors>
  <commentList>
    <comment ref="M4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提单日5月31号，赵经理表格没有放在5月，而是放在6月 20230620
</t>
        </r>
      </text>
    </comment>
    <comment ref="M11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提单日5月31号， 赵经理船期表格没有放在5月，而是放在6月。 20230620
</t>
        </r>
      </text>
    </comment>
    <comment ref="I41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5月船期金额未体现
</t>
        </r>
      </text>
    </comment>
    <comment ref="I4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5月船期金额未体现
</t>
        </r>
      </text>
    </comment>
    <comment ref="I57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未填写船期金额
</t>
        </r>
      </text>
    </comment>
    <comment ref="M6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提单显示5月16，赵经理表格里5月及其他月都未体现此票
</t>
        </r>
      </text>
    </comment>
    <comment ref="M6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未填开船日期，实际6月
</t>
        </r>
      </text>
    </comment>
    <comment ref="I6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未填写船期金额
</t>
        </r>
      </text>
    </comment>
    <comment ref="I7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未填写船期金额
</t>
        </r>
      </text>
    </comment>
    <comment ref="I7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未填写船期金额
</t>
        </r>
      </text>
    </comment>
    <comment ref="I7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未填写船期金额
</t>
        </r>
      </text>
    </comment>
  </commentList>
</comments>
</file>

<file path=xl/comments9.xml><?xml version="1.0" encoding="utf-8"?>
<comments xmlns="http://schemas.openxmlformats.org/spreadsheetml/2006/main">
  <authors>
    <author>Unknown User</author>
  </authors>
  <commentList>
    <comment ref="M8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提单日5月31号，赵经理表格没有放在5月，而是放在6月 20230620</t>
        </r>
        <r>
          <rPr>
            <b/>
            <sz val="9"/>
            <rFont val="宋体"/>
            <charset val="134"/>
          </rPr>
          <t xml:space="preserve">
魏鑫:</t>
        </r>
        <r>
          <rPr>
            <sz val="9"/>
            <rFont val="宋体"/>
            <charset val="134"/>
          </rPr>
          <t xml:space="preserve">
海关记录显示最终船期在6月
</t>
        </r>
      </text>
    </comment>
    <comment ref="M9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一台产品4月发到成都拼柜，5月开船，没有在赵经理表格里显示 20230620</t>
        </r>
        <r>
          <rPr>
            <b/>
            <sz val="9"/>
            <rFont val="宋体"/>
            <charset val="134"/>
          </rPr>
          <t xml:space="preserve">
魏鑫:</t>
        </r>
        <r>
          <rPr>
            <sz val="9"/>
            <rFont val="宋体"/>
            <charset val="134"/>
          </rPr>
          <t xml:space="preserve">
海关数据最终显示船期在6月
</t>
        </r>
      </text>
    </comment>
    <comment ref="M10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提单日5月25号，赵经理表格5月船期没有此票 20230620</t>
        </r>
        <r>
          <rPr>
            <b/>
            <sz val="9"/>
            <rFont val="宋体"/>
            <charset val="134"/>
          </rPr>
          <t xml:space="preserve">
魏鑫:</t>
        </r>
        <r>
          <rPr>
            <sz val="9"/>
            <rFont val="宋体"/>
            <charset val="134"/>
          </rPr>
          <t xml:space="preserve">
海关记录显示船期在6月
</t>
        </r>
      </text>
    </comment>
    <comment ref="N18" authorId="0">
      <text>
        <r>
          <rPr>
            <b/>
            <sz val="9"/>
            <rFont val="宋体"/>
            <charset val="134"/>
          </rPr>
          <t>魏鑫:</t>
        </r>
        <r>
          <rPr>
            <sz val="9"/>
            <rFont val="宋体"/>
            <charset val="134"/>
          </rPr>
          <t xml:space="preserve">
从5月开船移至6月开船，后续再确认准确开船日 20230620
</t>
        </r>
      </text>
    </comment>
    <comment ref="I45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船期金额未体现在6月
</t>
        </r>
      </text>
    </comment>
    <comment ref="M7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船期金额未体现到6月
</t>
        </r>
      </text>
    </comment>
    <comment ref="I76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以色列OS-06X11万船期6月30，财务未统计
</t>
        </r>
      </text>
    </comment>
  </commentList>
</comments>
</file>

<file path=xl/comments10.xml><?xml version="1.0" encoding="utf-8"?>
<comments xmlns="http://schemas.openxmlformats.org/spreadsheetml/2006/main">
  <authors>
    <author>Unknown User</author>
  </authors>
  <commentList>
    <comment ref="N53" authorId="0">
      <text>
        <r>
          <rPr>
            <b/>
            <sz val="9"/>
            <rFont val="宋体"/>
            <charset val="134"/>
          </rPr>
          <t>洪丹瑜:</t>
        </r>
        <r>
          <rPr>
            <sz val="9"/>
            <rFont val="宋体"/>
            <charset val="134"/>
          </rPr>
          <t xml:space="preserve">
已跟货代确认9.30开船
</t>
        </r>
      </text>
    </comment>
  </commentList>
</comments>
</file>

<file path=xl/comments11.xml><?xml version="1.0" encoding="utf-8"?>
<comments xmlns="http://schemas.openxmlformats.org/spreadsheetml/2006/main">
  <authors>
    <author>Unknown User</author>
  </authors>
  <commentList>
    <comment ref="H11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赵确认此金额是没通过K3开单的市场赞助费金额，财务手动算给南非客户。
</t>
        </r>
      </text>
    </comment>
    <comment ref="G171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不在本月发货订单，但在2023年发
</t>
        </r>
      </text>
    </comment>
    <comment ref="G17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含9月开单船期落10月527万
</t>
        </r>
      </text>
    </comment>
    <comment ref="G175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Q4船期月平均1670万
</t>
        </r>
      </text>
    </comment>
    <comment ref="G176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Q4船期月平均2500万
</t>
        </r>
      </text>
    </comment>
  </commentList>
</comments>
</file>

<file path=xl/comments12.xml><?xml version="1.0" encoding="utf-8"?>
<comments xmlns="http://schemas.openxmlformats.org/spreadsheetml/2006/main">
  <authors>
    <author>Unknown User</author>
  </authors>
  <commentList>
    <comment ref="G19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截止11月13日，有一定把握的洽谈中订单（标绿）金额123万美元，合873万人民币
</t>
        </r>
      </text>
    </comment>
    <comment ref="G195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含9月开单船期落10月527万
</t>
        </r>
      </text>
    </comment>
    <comment ref="G19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Q4船期月平均1670万
</t>
        </r>
      </text>
    </comment>
    <comment ref="G20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Q4船期月平均2500万
</t>
        </r>
      </text>
    </comment>
  </commentList>
</comments>
</file>

<file path=xl/comments13.xml><?xml version="1.0" encoding="utf-8"?>
<comments xmlns="http://schemas.openxmlformats.org/spreadsheetml/2006/main">
  <authors>
    <author>Unknown User</author>
  </authors>
  <commentList>
    <comment ref="C1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前期累计未完成目标+当期目标
</t>
        </r>
      </text>
    </comment>
    <comment ref="F135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桑给巴尔，拼柜
</t>
        </r>
      </text>
    </comment>
    <comment ref="F136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发桑给巴尔，拼柜
</t>
        </r>
      </text>
    </comment>
    <comment ref="G186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含22年12月发货船期落1月577万元
</t>
        </r>
      </text>
    </comment>
    <comment ref="G187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含9月开单船期落10月527万
</t>
        </r>
      </text>
    </comment>
    <comment ref="G19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Q4船期月平均1670万
</t>
        </r>
      </text>
    </comment>
    <comment ref="G191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Q4船期月平均2500万
</t>
        </r>
      </text>
    </comment>
  </commentList>
</comments>
</file>

<file path=xl/comments14.xml><?xml version="1.0" encoding="utf-8"?>
<comments xmlns="http://schemas.openxmlformats.org/spreadsheetml/2006/main">
  <authors>
    <author>Unknown User</author>
  </authors>
  <commentList>
    <comment ref="C2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前期累计未完成目标+当期目标
</t>
        </r>
      </text>
    </comment>
    <comment ref="F17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发桑给巴尔，拼柜
</t>
        </r>
      </text>
    </comment>
    <comment ref="G22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含22年12月发货船期落1月577万元
</t>
        </r>
      </text>
    </comment>
    <comment ref="G22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含9月开单船期落10月527万
</t>
        </r>
      </text>
    </comment>
    <comment ref="G23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Q4船期月平均1670万
</t>
        </r>
      </text>
    </comment>
    <comment ref="G23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Q4船期月平均2500万
</t>
        </r>
      </text>
    </comment>
  </commentList>
</comments>
</file>

<file path=xl/comments15.xml><?xml version="1.0" encoding="utf-8"?>
<comments xmlns="http://schemas.openxmlformats.org/spreadsheetml/2006/main">
  <authors>
    <author>Unknown User</author>
  </authors>
  <commentList>
    <comment ref="I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T9100线上改制</t>
        </r>
        <r>
          <rPr>
            <b/>
            <sz val="9"/>
            <rFont val="宋体"/>
            <charset val="134"/>
          </rPr>
          <t xml:space="preserve">
李润奎:</t>
        </r>
        <r>
          <rPr>
            <sz val="9"/>
            <rFont val="宋体"/>
            <charset val="134"/>
          </rPr>
          <t xml:space="preserve">
西班牙Wifit，下周访厂，预计现场签单</t>
        </r>
      </text>
    </comment>
    <comment ref="O4" authorId="0">
      <text>
        <r>
          <rPr>
            <b/>
            <sz val="9"/>
            <rFont val="宋体"/>
            <charset val="134"/>
          </rPr>
          <t>李润奎:</t>
        </r>
        <r>
          <rPr>
            <sz val="9"/>
            <rFont val="宋体"/>
            <charset val="134"/>
          </rPr>
          <t xml:space="preserve">
正在与货代确认中</t>
        </r>
      </text>
    </comment>
    <comment ref="O7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正在定3柜，船期21-23， 备选3+1柜，船期25</t>
        </r>
      </text>
    </comment>
    <comment ref="H2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本月争取开单，但船期不在本月</t>
        </r>
      </text>
    </comment>
    <comment ref="I3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12月10日来访，4个俱乐部可争取,3月开业一家</t>
        </r>
      </text>
    </comment>
    <comment ref="O13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世楷安排中，27或28。受清关费，验货申请等影响，需20号C单装完才能申请IDF和验货，装柜。</t>
        </r>
      </text>
    </comment>
    <comment ref="K15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赵确认11落12船期金额1447万-可统计到的船期11落12的金额1286万=161万</t>
        </r>
      </text>
    </comment>
  </commentList>
</comments>
</file>

<file path=xl/comments16.xml><?xml version="1.0" encoding="utf-8"?>
<comments xmlns="http://schemas.openxmlformats.org/spreadsheetml/2006/main">
  <authors>
    <author>Unknown User</author>
  </authors>
  <commentList>
    <comment ref="I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T9100线上改制</t>
        </r>
        <r>
          <rPr>
            <b/>
            <sz val="9"/>
            <rFont val="宋体"/>
            <charset val="134"/>
          </rPr>
          <t xml:space="preserve">
李润奎:</t>
        </r>
        <r>
          <rPr>
            <sz val="9"/>
            <rFont val="宋体"/>
            <charset val="134"/>
          </rPr>
          <t xml:space="preserve">
西班牙Wifit，下周访厂，预计现场签单</t>
        </r>
      </text>
    </comment>
    <comment ref="O4" authorId="0">
      <text>
        <r>
          <rPr>
            <b/>
            <sz val="9"/>
            <rFont val="宋体"/>
            <charset val="134"/>
          </rPr>
          <t>李润奎:</t>
        </r>
        <r>
          <rPr>
            <sz val="9"/>
            <rFont val="宋体"/>
            <charset val="134"/>
          </rPr>
          <t xml:space="preserve">
正在与货代确认中</t>
        </r>
      </text>
    </comment>
    <comment ref="O8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正在定3柜，船期21-23， 备选3+1柜，船期25</t>
        </r>
      </text>
    </comment>
    <comment ref="I1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12月10日来访，4个俱乐部可争取,3月开业一家</t>
        </r>
      </text>
    </comment>
    <comment ref="H2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本月争取开单，但船期不在本月</t>
        </r>
      </text>
    </comment>
    <comment ref="I4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12月10日来访，4个俱乐部可争取,3月开业一家</t>
        </r>
      </text>
    </comment>
    <comment ref="O46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正在定3柜，船期21-23， 备选3+1柜，船期25</t>
        </r>
      </text>
    </comment>
    <comment ref="E119" authorId="0">
      <text>
        <r>
          <rPr>
            <b/>
            <sz val="9"/>
            <rFont val="宋体"/>
            <charset val="134"/>
          </rPr>
          <t>高树海:</t>
        </r>
        <r>
          <rPr>
            <sz val="9"/>
            <rFont val="宋体"/>
            <charset val="134"/>
          </rPr>
          <t xml:space="preserve">
人民币交易，因此不体现汇率</t>
        </r>
      </text>
    </comment>
    <comment ref="G120" authorId="0">
      <text>
        <r>
          <rPr>
            <b/>
            <sz val="9"/>
            <rFont val="宋体"/>
            <charset val="134"/>
          </rPr>
          <t>高树海:</t>
        </r>
        <r>
          <rPr>
            <sz val="9"/>
            <rFont val="宋体"/>
            <charset val="134"/>
          </rPr>
          <t xml:space="preserve">
G599哑铃凳订单</t>
        </r>
      </text>
    </comment>
    <comment ref="E13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如何帮助客户快速在东南亚扩张</t>
        </r>
      </text>
    </comment>
    <comment ref="K182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赵确认11落12船期金额1447万-可统计到的船期11落12的金额1286万=161万</t>
        </r>
      </text>
    </comment>
  </commentList>
</comments>
</file>

<file path=xl/comments17.xml><?xml version="1.0" encoding="utf-8"?>
<comments xmlns="http://schemas.openxmlformats.org/spreadsheetml/2006/main">
  <authors>
    <author>Unknown User</author>
  </authors>
  <commentList>
    <comment ref="H1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本月争取开单，但船期不在本月</t>
        </r>
      </text>
    </comment>
    <comment ref="H19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本月争取开单，但船期不在本月</t>
        </r>
      </text>
    </comment>
    <comment ref="H20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本月争取开单，但船期不在本月</t>
        </r>
      </text>
    </comment>
    <comment ref="E125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如何帮助客户快速在东南亚扩张</t>
        </r>
      </text>
    </comment>
    <comment ref="E127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如何帮助客户快速在东南亚扩张</t>
        </r>
      </text>
    </comment>
    <comment ref="K163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赵确认11落12船期金额1447万-可统计到的船期11落12的金额1286万=161万</t>
        </r>
      </text>
    </comment>
    <comment ref="K175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赵确认11落12船期金额1447万-可统计到的船期11落12的金额1286万=161万</t>
        </r>
      </text>
    </comment>
    <comment ref="K184" authorId="0">
      <text>
        <r>
          <rPr>
            <b/>
            <sz val="9"/>
            <rFont val="宋体"/>
            <charset val="134"/>
          </rPr>
          <t>罗旭阳:</t>
        </r>
        <r>
          <rPr>
            <sz val="9"/>
            <rFont val="宋体"/>
            <charset val="134"/>
          </rPr>
          <t xml:space="preserve">
赵确认11落12船期金额1447万-可统计到的船期11落12的金额1286万=161万</t>
        </r>
      </text>
    </comment>
  </commentList>
</comments>
</file>

<file path=xl/sharedStrings.xml><?xml version="1.0" encoding="utf-8"?>
<sst xmlns="http://schemas.openxmlformats.org/spreadsheetml/2006/main" count="18145" uniqueCount="4592">
  <si>
    <r>
      <rPr>
        <sz val="18"/>
        <color rgb="FF000000"/>
        <rFont val="宋体"/>
        <charset val="134"/>
        <scheme val="minor"/>
      </rPr>
      <t xml:space="preserve">    </t>
    </r>
    <r>
      <rPr>
        <sz val="18"/>
        <color rgb="FF000000"/>
        <rFont val="宋体"/>
        <charset val="134"/>
        <scheme val="minor"/>
      </rPr>
      <t>10月份发货计划表</t>
    </r>
    <r>
      <rPr>
        <sz val="18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</si>
  <si>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业务员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</si>
  <si>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客户名称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</si>
  <si>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客户类型</t>
    </r>
    <r>
      <rPr>
        <b/>
        <sz val="11"/>
        <color rgb="FF000000"/>
        <rFont val="宋体"/>
        <charset val="134"/>
        <scheme val="minor"/>
      </rPr>
      <t xml:space="preserve">    </t>
    </r>
  </si>
  <si>
    <t>下单时间</t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</si>
  <si>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制单号</t>
    </r>
    <r>
      <rPr>
        <b/>
        <sz val="11"/>
        <color rgb="FF000000"/>
        <rFont val="宋体"/>
        <charset val="134"/>
        <scheme val="minor"/>
      </rPr>
      <t xml:space="preserve">    </t>
    </r>
  </si>
  <si>
    <t>客户PO号</t>
  </si>
  <si>
    <t>客户型号</t>
  </si>
  <si>
    <t>数量</t>
  </si>
  <si>
    <t>单价</t>
  </si>
  <si>
    <t>人民币</t>
  </si>
  <si>
    <r>
      <rPr>
        <b/>
        <sz val="11"/>
        <color rgb="FF000000"/>
        <rFont val="宋体"/>
        <charset val="134"/>
        <scheme val="minor"/>
      </rPr>
      <t>汇率</t>
    </r>
    <r>
      <rPr>
        <b/>
        <sz val="11"/>
        <color rgb="FF000000"/>
        <rFont val="宋体"/>
        <charset val="134"/>
        <scheme val="minor"/>
      </rPr>
      <t xml:space="preserve"> </t>
    </r>
  </si>
  <si>
    <t>备用机金额</t>
  </si>
  <si>
    <t>定制机金额</t>
  </si>
  <si>
    <t>金额</t>
  </si>
  <si>
    <t>需求交期</t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</si>
  <si>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评审交期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</si>
  <si>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出货日期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</si>
  <si>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备注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</si>
  <si>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是否开单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</si>
  <si>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rFont val="宋体"/>
        <charset val="134"/>
        <scheme val="minor"/>
      </rPr>
      <t xml:space="preserve">    </t>
    </r>
    <r>
      <rPr>
        <b/>
        <sz val="11"/>
        <rFont val="宋体"/>
        <charset val="134"/>
        <scheme val="minor"/>
      </rPr>
      <t>ETD</t>
    </r>
    <r>
      <rPr>
        <b/>
        <sz val="11"/>
        <rFont val="宋体"/>
        <charset val="134"/>
        <scheme val="minor"/>
      </rPr>
      <t xml:space="preserve">    </t>
    </r>
  </si>
  <si>
    <r>
      <rPr>
        <b/>
        <sz val="11"/>
        <rFont val="宋体"/>
        <charset val="134"/>
        <scheme val="minor"/>
      </rPr>
      <t xml:space="preserve">    </t>
    </r>
    <r>
      <rPr>
        <b/>
        <sz val="11"/>
        <rFont val="宋体"/>
        <charset val="134"/>
        <scheme val="minor"/>
      </rPr>
      <t>ETA</t>
    </r>
    <r>
      <rPr>
        <b/>
        <sz val="11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</si>
  <si>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拖柜时间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</si>
  <si>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是否提供提单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</si>
  <si>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是否提供请款资料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</si>
  <si>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订金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</si>
  <si>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实收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</si>
  <si>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手续费</t>
    </r>
    <r>
      <rPr>
        <b/>
        <sz val="11"/>
        <color rgb="FF000000"/>
        <rFont val="宋体"/>
        <charset val="134"/>
        <scheme val="minor"/>
      </rPr>
      <t xml:space="preserve">    </t>
    </r>
  </si>
  <si>
    <r>
      <rPr>
        <b/>
        <sz val="11"/>
        <color rgb="FF000000"/>
        <rFont val="宋体"/>
        <charset val="134"/>
        <scheme val="minor"/>
      </rPr>
      <t xml:space="preserve">    </t>
    </r>
    <r>
      <rPr>
        <b/>
        <sz val="11"/>
        <color rgb="FF000000"/>
        <rFont val="宋体"/>
        <charset val="134"/>
        <scheme val="minor"/>
      </rPr>
      <t>尾款</t>
    </r>
    <r>
      <rPr>
        <b/>
        <sz val="11"/>
        <color rgb="FF000000"/>
        <rFont val="宋体"/>
        <charset val="134"/>
        <scheme val="minor"/>
      </rPr>
      <t xml:space="preserve">    </t>
    </r>
  </si>
  <si>
    <t xml:space="preserve">    Betty    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</si>
  <si>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埃及RS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</si>
  <si>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老客户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</si>
  <si>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68系列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</si>
  <si>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Betty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</si>
  <si>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西班牙SAT</t>
    </r>
    <r>
      <rPr>
        <sz val="10"/>
        <color rgb="FF000000"/>
        <rFont val="微软雅黑"/>
        <charset val="134"/>
      </rPr>
      <t xml:space="preserve">  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</si>
  <si>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SH-G6501</t>
    </r>
    <r>
      <rPr>
        <sz val="10"/>
        <color rgb="FF000000"/>
        <rFont val="微软雅黑"/>
        <charset val="134"/>
      </rPr>
      <t xml:space="preserve">  </t>
    </r>
  </si>
  <si>
    <t>Betty</t>
  </si>
  <si>
    <t>摩洛哥HAS</t>
  </si>
  <si>
    <t>Jason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</si>
  <si>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丹麦TS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</si>
  <si>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新客户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</si>
  <si>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68系列+跑步机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</si>
  <si>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  </t>
    </r>
    <r>
      <rPr>
        <sz val="11"/>
        <color rgb="FF000000"/>
        <rFont val="宋体"/>
        <charset val="134"/>
        <scheme val="minor"/>
      </rPr>
      <t>Jason</t>
    </r>
    <r>
      <rPr>
        <sz val="11"/>
        <color rgb="FF000000"/>
        <rFont val="宋体"/>
        <charset val="134"/>
        <scheme val="minor"/>
      </rPr>
      <t xml:space="preserve">  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</si>
  <si>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比利时VPS</t>
    </r>
    <r>
      <rPr>
        <sz val="11"/>
        <color rgb="FF000000"/>
        <rFont val="宋体"/>
        <charset val="134"/>
        <scheme val="minor"/>
      </rPr>
      <t xml:space="preserve">  </t>
    </r>
  </si>
  <si>
    <t>确认订单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</si>
  <si>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5170A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</si>
  <si>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罗马尼亚DEL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</si>
  <si>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6500A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</si>
  <si>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南非MI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</si>
  <si>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老客户</t>
    </r>
    <r>
      <rPr>
        <sz val="11"/>
        <color rgb="FF000000"/>
        <rFont val="宋体"/>
        <charset val="134"/>
        <scheme val="minor"/>
      </rPr>
      <t xml:space="preserve"> </t>
    </r>
  </si>
  <si>
    <t>意向订单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</si>
  <si>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家用电跑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</si>
  <si>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家用电跑+58</t>
    </r>
    <r>
      <rPr>
        <sz val="11"/>
        <color rgb="FF000000"/>
        <rFont val="宋体"/>
        <charset val="134"/>
        <scheme val="minor"/>
      </rPr>
      <t xml:space="preserve">  </t>
    </r>
  </si>
  <si>
    <t>爱尔兰AP</t>
  </si>
  <si>
    <t>约旦YS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</si>
  <si>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希腊LT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</si>
  <si>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5100A</t>
    </r>
    <r>
      <rPr>
        <sz val="11"/>
        <color rgb="FF000000"/>
        <rFont val="宋体"/>
        <charset val="134"/>
        <scheme val="minor"/>
      </rPr>
      <t xml:space="preserve">  </t>
    </r>
  </si>
  <si>
    <t xml:space="preserve">    SK     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</si>
  <si>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哈萨克斯坦MT</t>
    </r>
    <r>
      <rPr>
        <sz val="11"/>
        <color rgb="FF000000"/>
        <rFont val="宋体"/>
        <charset val="134"/>
        <scheme val="minor"/>
      </rPr>
      <t xml:space="preserve">  </t>
    </r>
  </si>
  <si>
    <t>5500+68系列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</si>
  <si>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阿塞拜疆TIM</t>
    </r>
    <r>
      <rPr>
        <sz val="10"/>
        <color rgb="FF000000"/>
        <rFont val="微软雅黑"/>
        <charset val="134"/>
      </rPr>
      <t xml:space="preserve">  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</si>
  <si>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老客户</t>
    </r>
    <r>
      <rPr>
        <sz val="10"/>
        <color rgb="FF000000"/>
        <rFont val="微软雅黑"/>
        <charset val="134"/>
      </rPr>
      <t xml:space="preserve">  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</si>
  <si>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意向订单</t>
    </r>
    <r>
      <rPr>
        <sz val="10"/>
        <color rgb="FF000000"/>
        <rFont val="微软雅黑"/>
        <charset val="134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</si>
  <si>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跑步机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</si>
  <si>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坦桑尼亚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</si>
  <si>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新客户</t>
    </r>
    <r>
      <rPr>
        <sz val="10"/>
        <color rgb="FF000000"/>
        <rFont val="微软雅黑"/>
        <charset val="134"/>
      </rPr>
      <t xml:space="preserve"> </t>
    </r>
  </si>
  <si>
    <t>土耳其IS</t>
  </si>
  <si>
    <r>
      <rPr>
        <sz val="10"/>
        <color rgb="FF000000"/>
        <rFont val="微软雅黑"/>
        <charset val="134"/>
      </rPr>
      <t xml:space="preserve">   </t>
    </r>
    <r>
      <rPr>
        <sz val="10"/>
        <color rgb="FF000000"/>
        <rFont val="微软雅黑"/>
        <charset val="134"/>
      </rPr>
      <t>合计</t>
    </r>
    <r>
      <rPr>
        <sz val="10"/>
        <color rgb="FF000000"/>
        <rFont val="微软雅黑"/>
        <charset val="134"/>
      </rPr>
      <t xml:space="preserve">   </t>
    </r>
  </si>
  <si>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ODM业务部</t>
    </r>
    <r>
      <rPr>
        <sz val="10"/>
        <color rgb="FF000000"/>
        <rFont val="微软雅黑"/>
        <charset val="134"/>
      </rPr>
      <t xml:space="preserve">    </t>
    </r>
  </si>
  <si>
    <t xml:space="preserve">    G    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</si>
  <si>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哥伦比亚MOV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</si>
  <si>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2"/>
        <color rgb="FF000000"/>
        <rFont val="Trebuchet MS"/>
        <charset val="0"/>
      </rPr>
      <t xml:space="preserve">  </t>
    </r>
    <r>
      <rPr>
        <sz val="12"/>
        <color rgb="FF000000"/>
        <rFont val="Trebuchet MS"/>
        <charset val="0"/>
      </rPr>
      <t>SH-9119A</t>
    </r>
    <r>
      <rPr>
        <sz val="12"/>
        <color rgb="FF000000"/>
        <rFont val="Trebuchet MS"/>
        <charset val="0"/>
      </rPr>
      <t xml:space="preserve">
</t>
    </r>
    <r>
      <rPr>
        <sz val="12"/>
        <color rgb="FF000000"/>
        <rFont val="Trebuchet MS"/>
        <charset val="0"/>
      </rPr>
      <t>(X2i)110V</t>
    </r>
    <r>
      <rPr>
        <sz val="12"/>
        <color rgb="FF000000"/>
        <rFont val="Trebuchet MS"/>
        <charset val="0"/>
      </rPr>
      <t xml:space="preserve">
</t>
    </r>
    <r>
      <rPr>
        <sz val="12"/>
        <color rgb="FF000000"/>
        <rFont val="Trebuchet MS"/>
        <charset val="0"/>
      </rPr>
      <t xml:space="preserve"> </t>
    </r>
    <r>
      <rPr>
        <sz val="12"/>
        <color rgb="FF000000"/>
        <rFont val="Trebuchet MS"/>
        <charset val="0"/>
      </rPr>
      <t>Movifit and Shua logo</t>
    </r>
    <r>
      <rPr>
        <sz val="12"/>
        <color rgb="FF000000"/>
        <rFont val="Trebuchet MS"/>
        <charset val="0"/>
      </rPr>
      <t xml:space="preserve">  </t>
    </r>
  </si>
  <si>
    <r>
      <rPr>
        <sz val="12"/>
        <color rgb="FF000000"/>
        <rFont val="Trebuchet MS"/>
        <charset val="0"/>
      </rPr>
      <t xml:space="preserve">  </t>
    </r>
    <r>
      <rPr>
        <sz val="12"/>
        <color rgb="FF000000"/>
        <rFont val="Trebuchet MS"/>
        <charset val="0"/>
      </rPr>
      <t>SH-9119A</t>
    </r>
    <r>
      <rPr>
        <sz val="12"/>
        <color rgb="FF000000"/>
        <rFont val="Trebuchet MS"/>
        <charset val="0"/>
      </rPr>
      <t xml:space="preserve">
</t>
    </r>
    <r>
      <rPr>
        <sz val="12"/>
        <color rgb="FF000000"/>
        <rFont val="Trebuchet MS"/>
        <charset val="0"/>
      </rPr>
      <t xml:space="preserve">( HT4 )110V </t>
    </r>
    <r>
      <rPr>
        <sz val="12"/>
        <color rgb="FF000000"/>
        <rFont val="Trebuchet MS"/>
        <charset val="0"/>
      </rPr>
      <t xml:space="preserve">
</t>
    </r>
    <r>
      <rPr>
        <sz val="12"/>
        <color rgb="FF000000"/>
        <rFont val="Trebuchet MS"/>
        <charset val="0"/>
      </rPr>
      <t>FIT TEK logo</t>
    </r>
    <r>
      <rPr>
        <sz val="12"/>
        <color rgb="FF000000"/>
        <rFont val="Trebuchet MS"/>
        <charset val="0"/>
      </rPr>
      <t xml:space="preserve">  </t>
    </r>
  </si>
  <si>
    <r>
      <rPr>
        <sz val="11"/>
        <color rgb="FF000000"/>
        <rFont val="Trebuchet MS"/>
        <charset val="0"/>
      </rPr>
      <t xml:space="preserve">  </t>
    </r>
    <r>
      <rPr>
        <sz val="11"/>
        <color rgb="FF000000"/>
        <rFont val="Trebuchet MS"/>
        <charset val="0"/>
      </rPr>
      <t>SH-T5170A(M3F)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>110V</t>
    </r>
    <r>
      <rPr>
        <sz val="11"/>
        <color rgb="FF000000"/>
        <rFont val="Trebuchet MS"/>
        <charset val="0"/>
      </rPr>
      <t xml:space="preserve">  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>POWERHR logo</t>
    </r>
    <r>
      <rPr>
        <sz val="11"/>
        <color rgb="FF000000"/>
        <rFont val="Trebuchet MS"/>
        <charset val="0"/>
      </rPr>
      <t xml:space="preserve">  </t>
    </r>
  </si>
  <si>
    <r>
      <rPr>
        <sz val="11"/>
        <color rgb="FF000000"/>
        <rFont val="Trebuchet MS"/>
        <charset val="0"/>
      </rPr>
      <t xml:space="preserve">  </t>
    </r>
    <r>
      <rPr>
        <sz val="11"/>
        <color rgb="FF000000"/>
        <rFont val="Trebuchet MS"/>
        <charset val="0"/>
      </rPr>
      <t>SH-T5170A(X3i)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>110V</t>
    </r>
    <r>
      <rPr>
        <sz val="11"/>
        <color rgb="FF000000"/>
        <rFont val="Trebuchet MS"/>
        <charset val="0"/>
      </rPr>
      <t xml:space="preserve">  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>Movifit and Shua logo</t>
    </r>
    <r>
      <rPr>
        <sz val="11"/>
        <color rgb="FF000000"/>
        <rFont val="Trebuchet MS"/>
        <charset val="0"/>
      </rPr>
      <t xml:space="preserve">  </t>
    </r>
  </si>
  <si>
    <r>
      <rPr>
        <sz val="11"/>
        <color rgb="FF000000"/>
        <rFont val="Trebuchet MS"/>
        <charset val="0"/>
      </rPr>
      <t xml:space="preserve">  </t>
    </r>
    <r>
      <rPr>
        <sz val="11"/>
        <color rgb="FF000000"/>
        <rFont val="Trebuchet MS"/>
        <charset val="0"/>
      </rPr>
      <t>SH-5412(X1i）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 xml:space="preserve">110V 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>Movifit and Shua logo</t>
    </r>
    <r>
      <rPr>
        <sz val="11"/>
        <color rgb="FF000000"/>
        <rFont val="Trebuchet MS"/>
        <charset val="0"/>
      </rPr>
      <t xml:space="preserve">  </t>
    </r>
  </si>
  <si>
    <r>
      <rPr>
        <sz val="11"/>
        <color rgb="FF000000"/>
        <rFont val="Trebuchet MS"/>
        <charset val="0"/>
      </rPr>
      <t xml:space="preserve">  </t>
    </r>
    <r>
      <rPr>
        <sz val="11"/>
        <color rgb="FF000000"/>
        <rFont val="Trebuchet MS"/>
        <charset val="0"/>
      </rPr>
      <t>SH-5918(X9）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>without logo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 xml:space="preserve">  </t>
    </r>
  </si>
  <si>
    <r>
      <rPr>
        <sz val="12"/>
        <color rgb="FF000000"/>
        <rFont val="Trebuchet MS"/>
        <charset val="0"/>
      </rPr>
      <t xml:space="preserve"> </t>
    </r>
    <r>
      <rPr>
        <sz val="12"/>
        <color rgb="FF000000"/>
        <rFont val="Trebuchet MS"/>
        <charset val="0"/>
      </rPr>
      <t>秘鲁STK</t>
    </r>
    <r>
      <rPr>
        <sz val="12"/>
        <color rgb="FF000000"/>
        <rFont val="Trebuchet MS"/>
        <charset val="0"/>
      </rPr>
      <t xml:space="preserve"> </t>
    </r>
  </si>
  <si>
    <r>
      <rPr>
        <sz val="12"/>
        <color rgb="FF000000"/>
        <rFont val="Trebuchet MS"/>
        <charset val="0"/>
      </rPr>
      <t xml:space="preserve"> </t>
    </r>
    <r>
      <rPr>
        <sz val="12"/>
        <color rgb="FF000000"/>
        <rFont val="Trebuchet MS"/>
        <charset val="0"/>
      </rPr>
      <t>潜在客户</t>
    </r>
    <r>
      <rPr>
        <sz val="12"/>
        <color rgb="FF000000"/>
        <rFont val="Trebuchet MS"/>
        <charset val="0"/>
      </rPr>
      <t xml:space="preserve"> </t>
    </r>
  </si>
  <si>
    <t>5100A</t>
  </si>
  <si>
    <r>
      <rPr>
        <sz val="11"/>
        <color rgb="FF000000"/>
        <rFont val="宋体"/>
        <charset val="134"/>
        <scheme val="minor"/>
      </rPr>
      <t xml:space="preserve">    </t>
    </r>
    <r>
      <rPr>
        <sz val="11"/>
        <color rgb="FF000000"/>
        <rFont val="宋体"/>
        <charset val="134"/>
        <scheme val="minor"/>
      </rPr>
      <t>危地马拉FIT</t>
    </r>
    <r>
      <rPr>
        <sz val="11"/>
        <color rgb="FF000000"/>
        <rFont val="宋体"/>
        <charset val="134"/>
        <scheme val="minor"/>
      </rPr>
      <t xml:space="preserve">    </t>
    </r>
  </si>
  <si>
    <r>
      <rPr>
        <sz val="11"/>
        <color rgb="FF000000"/>
        <rFont val="宋体"/>
        <charset val="134"/>
        <scheme val="minor"/>
      </rPr>
      <t xml:space="preserve">    </t>
    </r>
    <r>
      <rPr>
        <sz val="11"/>
        <color rgb="FF000000"/>
        <rFont val="宋体"/>
        <charset val="134"/>
        <scheme val="minor"/>
      </rPr>
      <t>SH-T5500A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110V</t>
    </r>
    <r>
      <rPr>
        <sz val="11"/>
        <color rgb="FF000000"/>
        <rFont val="宋体"/>
        <charset val="134"/>
        <scheme val="minor"/>
      </rPr>
      <t xml:space="preserve">    </t>
    </r>
  </si>
  <si>
    <r>
      <rPr>
        <sz val="11"/>
        <color rgb="FF000000"/>
        <rFont val="宋体"/>
        <charset val="134"/>
        <scheme val="minor"/>
      </rPr>
      <t xml:space="preserve">    </t>
    </r>
    <r>
      <rPr>
        <sz val="11"/>
        <color rgb="FF000000"/>
        <rFont val="宋体"/>
        <charset val="134"/>
        <scheme val="minor"/>
      </rPr>
      <t>新客户</t>
    </r>
    <r>
      <rPr>
        <sz val="11"/>
        <color rgb="FF000000"/>
        <rFont val="宋体"/>
        <charset val="134"/>
        <scheme val="minor"/>
      </rPr>
      <t xml:space="preserve">    </t>
    </r>
  </si>
  <si>
    <r>
      <rPr>
        <sz val="11"/>
        <color rgb="FF000000"/>
        <rFont val="宋体"/>
        <charset val="134"/>
        <scheme val="minor"/>
      </rPr>
      <t xml:space="preserve">    </t>
    </r>
    <r>
      <rPr>
        <sz val="11"/>
        <color rgb="FF000000"/>
        <rFont val="宋体"/>
        <charset val="134"/>
        <scheme val="minor"/>
      </rPr>
      <t>确认订单</t>
    </r>
    <r>
      <rPr>
        <sz val="11"/>
        <color rgb="FF000000"/>
        <rFont val="宋体"/>
        <charset val="134"/>
        <scheme val="minor"/>
      </rPr>
      <t xml:space="preserve">    </t>
    </r>
  </si>
  <si>
    <t>10月底发货（5961S交期10月底）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</si>
  <si>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SH-6700A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</si>
  <si>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SH-8700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</si>
  <si>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1"/>
        <color rgb="FF000000"/>
        <rFont val="宋体"/>
        <charset val="134"/>
        <scheme val="minor"/>
      </rPr>
      <t xml:space="preserve">   </t>
    </r>
    <r>
      <rPr>
        <sz val="11"/>
        <color rgb="FF000000"/>
        <rFont val="宋体"/>
        <charset val="134"/>
        <scheme val="minor"/>
      </rPr>
      <t>SH-5170A</t>
    </r>
    <r>
      <rPr>
        <sz val="11"/>
        <color rgb="FF000000"/>
        <rFont val="宋体"/>
        <charset val="134"/>
        <scheme val="minor"/>
      </rPr>
      <t xml:space="preserve"> 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</si>
  <si>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SH-B5961S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</si>
  <si>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阿联酋ST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</si>
  <si>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9119D</t>
    </r>
    <r>
      <rPr>
        <sz val="10"/>
        <color rgb="FF000000"/>
        <rFont val="微软雅黑"/>
        <charset val="134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</si>
  <si>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泰国OT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</si>
  <si>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2"/>
        <rFont val="Trebuchet MS"/>
        <charset val="0"/>
      </rPr>
      <t xml:space="preserve">  </t>
    </r>
    <r>
      <rPr>
        <sz val="12"/>
        <rFont val="Trebuchet MS"/>
        <charset val="0"/>
      </rPr>
      <t>家用电跑</t>
    </r>
    <r>
      <rPr>
        <sz val="12"/>
        <rFont val="Trebuchet MS"/>
        <charset val="0"/>
      </rPr>
      <t xml:space="preserve">  </t>
    </r>
  </si>
  <si>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Betty</t>
    </r>
    <r>
      <rPr>
        <sz val="10"/>
        <color rgb="FF000000"/>
        <rFont val="微软雅黑"/>
        <charset val="134"/>
      </rPr>
      <t xml:space="preserve">  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</si>
  <si>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台湾GLT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</si>
  <si>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2"/>
        <rFont val="Trebuchet MS"/>
        <charset val="0"/>
      </rPr>
      <t xml:space="preserve">  </t>
    </r>
    <r>
      <rPr>
        <sz val="12"/>
        <rFont val="Trebuchet MS"/>
        <charset val="0"/>
      </rPr>
      <t>68系列</t>
    </r>
    <r>
      <rPr>
        <sz val="12"/>
        <rFont val="Trebuchet MS"/>
        <charset val="0"/>
      </rPr>
      <t xml:space="preserve">  </t>
    </r>
  </si>
  <si>
    <t>25号发</t>
  </si>
  <si>
    <t>澳大利亚OBT</t>
  </si>
  <si>
    <t>6700A</t>
  </si>
  <si>
    <t>下个月发</t>
  </si>
  <si>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Rose</t>
    </r>
    <r>
      <rPr>
        <sz val="10"/>
        <color rgb="FF000000"/>
        <rFont val="微软雅黑"/>
        <charset val="134"/>
      </rPr>
      <t xml:space="preserve">    </t>
    </r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</si>
  <si>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越南TK</t>
    </r>
    <r>
      <rPr>
        <sz val="11"/>
        <color rgb="FF000000"/>
        <rFont val="宋体"/>
        <charset val="134"/>
        <scheme val="minor"/>
      </rPr>
      <t xml:space="preserve">  </t>
    </r>
  </si>
  <si>
    <t>2020/08/11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</si>
  <si>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ARR-TK2008A001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</si>
  <si>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2"/>
        <rFont val="Trebuchet MS"/>
        <charset val="0"/>
      </rPr>
      <t xml:space="preserve">  </t>
    </r>
    <r>
      <rPr>
        <sz val="12"/>
        <rFont val="Trebuchet MS"/>
        <charset val="0"/>
      </rPr>
      <t>SH-T9119D</t>
    </r>
    <r>
      <rPr>
        <sz val="12"/>
        <rFont val="Trebuchet MS"/>
        <charset val="0"/>
      </rPr>
      <t xml:space="preserve">  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</si>
  <si>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菲律宾SUN</t>
    </r>
    <r>
      <rPr>
        <sz val="10"/>
        <color rgb="FF000000"/>
        <rFont val="微软雅黑"/>
        <charset val="134"/>
      </rPr>
      <t xml:space="preserve">  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</si>
  <si>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新客户</t>
    </r>
    <r>
      <rPr>
        <sz val="10"/>
        <color rgb="FF000000"/>
        <rFont val="微软雅黑"/>
        <charset val="134"/>
      </rPr>
      <t xml:space="preserve">  </t>
    </r>
  </si>
  <si>
    <r>
      <rPr>
        <sz val="10"/>
        <rFont val="微软雅黑"/>
        <charset val="134"/>
      </rPr>
      <t xml:space="preserve">  </t>
    </r>
    <r>
      <rPr>
        <sz val="10"/>
        <rFont val="微软雅黑"/>
        <charset val="134"/>
      </rPr>
      <t>SH-T5170A,6系列</t>
    </r>
    <r>
      <rPr>
        <sz val="10"/>
        <rFont val="微软雅黑"/>
        <charset val="134"/>
      </rPr>
      <t xml:space="preserve">  </t>
    </r>
  </si>
  <si>
    <r>
      <rPr>
        <sz val="10"/>
        <color rgb="FFFF0000"/>
        <rFont val="微软雅黑"/>
        <charset val="134"/>
      </rPr>
      <t xml:space="preserve"> </t>
    </r>
    <r>
      <rPr>
        <sz val="10"/>
        <color rgb="FFFF0000"/>
        <rFont val="微软雅黑"/>
        <charset val="134"/>
      </rPr>
      <t>等生产给返箱日期</t>
    </r>
    <r>
      <rPr>
        <sz val="10"/>
        <color rgb="FFFF0000"/>
        <rFont val="微软雅黑"/>
        <charset val="134"/>
      </rPr>
      <t xml:space="preserve"> </t>
    </r>
  </si>
  <si>
    <r>
      <rPr>
        <sz val="12"/>
        <color rgb="FF000000"/>
        <rFont val="Trebuchet MS"/>
        <charset val="0"/>
      </rPr>
      <t xml:space="preserve"> </t>
    </r>
    <r>
      <rPr>
        <sz val="12"/>
        <color rgb="FF000000"/>
        <rFont val="Trebuchet MS"/>
        <charset val="0"/>
      </rPr>
      <t>柬埔寨OL</t>
    </r>
    <r>
      <rPr>
        <sz val="12"/>
        <color rgb="FF000000"/>
        <rFont val="Trebuchet MS"/>
        <charset val="0"/>
      </rPr>
      <t xml:space="preserve"> </t>
    </r>
  </si>
  <si>
    <r>
      <rPr>
        <sz val="12"/>
        <color rgb="FF000000"/>
        <rFont val="Trebuchet MS"/>
        <charset val="0"/>
      </rPr>
      <t xml:space="preserve"> </t>
    </r>
    <r>
      <rPr>
        <sz val="12"/>
        <color rgb="FF000000"/>
        <rFont val="Trebuchet MS"/>
        <charset val="0"/>
      </rPr>
      <t>老客户</t>
    </r>
    <r>
      <rPr>
        <sz val="12"/>
        <color rgb="FF000000"/>
        <rFont val="Trebuchet MS"/>
        <charset val="0"/>
      </rPr>
      <t xml:space="preserve"> </t>
    </r>
  </si>
  <si>
    <t>25号装柜</t>
  </si>
  <si>
    <t>缅甸MD</t>
  </si>
  <si>
    <t>24号装柜</t>
  </si>
  <si>
    <r>
      <rPr>
        <sz val="10"/>
        <color rgb="FF000000"/>
        <rFont val="微软雅黑"/>
        <charset val="134"/>
      </rPr>
      <t xml:space="preserve">   </t>
    </r>
    <r>
      <rPr>
        <sz val="10"/>
        <color rgb="FF000000"/>
        <rFont val="微软雅黑"/>
        <charset val="134"/>
      </rPr>
      <t>品牌开发业务部</t>
    </r>
    <r>
      <rPr>
        <sz val="10"/>
        <color rgb="FF000000"/>
        <rFont val="微软雅黑"/>
        <charset val="134"/>
      </rPr>
      <t xml:space="preserve">    </t>
    </r>
  </si>
  <si>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Jacky</t>
    </r>
    <r>
      <rPr>
        <sz val="10"/>
        <color rgb="FF000000"/>
        <rFont val="微软雅黑"/>
        <charset val="134"/>
      </rPr>
      <t xml:space="preserve">   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</si>
  <si>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孟加拉SAF</t>
    </r>
    <r>
      <rPr>
        <sz val="10"/>
        <color rgb="FF000000"/>
        <rFont val="微软雅黑"/>
        <charset val="134"/>
      </rPr>
      <t xml:space="preserve"> </t>
    </r>
  </si>
  <si>
    <t>确定订单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</si>
  <si>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SH-5907/5918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</si>
  <si>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印度JAY</t>
    </r>
    <r>
      <rPr>
        <sz val="10"/>
        <color rgb="FF000000"/>
        <rFont val="微软雅黑"/>
        <charset val="134"/>
      </rPr>
      <t xml:space="preserve"> </t>
    </r>
  </si>
  <si>
    <t>X3/X5/E3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</si>
  <si>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印度CE</t>
    </r>
    <r>
      <rPr>
        <sz val="10"/>
        <color rgb="FF000000"/>
        <rFont val="微软雅黑"/>
        <charset val="134"/>
      </rPr>
      <t xml:space="preserve"> </t>
    </r>
  </si>
  <si>
    <r>
      <rPr>
        <sz val="12"/>
        <color rgb="FF000000"/>
        <rFont val="宋体"/>
        <charset val="0"/>
        <scheme val="minor"/>
      </rPr>
      <t>X5 Touch pannel</t>
    </r>
    <r>
      <rPr>
        <sz val="12"/>
        <color rgb="FF000000"/>
        <rFont val="宋体"/>
        <charset val="0"/>
        <scheme val="minor"/>
      </rPr>
      <t xml:space="preserve"> </t>
    </r>
  </si>
  <si>
    <t>754(GIANT)</t>
  </si>
  <si>
    <t>755(BEAST)</t>
  </si>
  <si>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印度办事处</t>
    </r>
    <r>
      <rPr>
        <sz val="10"/>
        <color rgb="FF000000"/>
        <rFont val="微软雅黑"/>
        <charset val="134"/>
      </rPr>
      <t xml:space="preserve">    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</si>
  <si>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韩国EJ</t>
    </r>
    <r>
      <rPr>
        <sz val="10"/>
        <color rgb="FF000000"/>
        <rFont val="微软雅黑"/>
        <charset val="134"/>
      </rPr>
      <t xml:space="preserve">  </t>
    </r>
  </si>
  <si>
    <t>X3</t>
  </si>
  <si>
    <t>X1</t>
  </si>
  <si>
    <t>E9</t>
  </si>
  <si>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Jeffry</t>
    </r>
    <r>
      <rPr>
        <sz val="10"/>
        <color rgb="FF000000"/>
        <rFont val="微软雅黑"/>
        <charset val="134"/>
      </rPr>
      <t xml:space="preserve">   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</si>
  <si>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日本NF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</si>
  <si>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68系列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88 系列</t>
    </r>
    <r>
      <rPr>
        <sz val="10"/>
        <color rgb="FF000000"/>
        <rFont val="微软雅黑"/>
        <charset val="134"/>
      </rPr>
      <t xml:space="preserve"> </t>
    </r>
  </si>
  <si>
    <t>韩国KSC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</si>
  <si>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68系列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</si>
  <si>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日本YG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</si>
  <si>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韩国BX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</si>
  <si>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X7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</si>
  <si>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东亚办事处</t>
    </r>
    <r>
      <rPr>
        <sz val="10"/>
        <color rgb="FF000000"/>
        <rFont val="微软雅黑"/>
        <charset val="134"/>
      </rPr>
      <t xml:space="preserve">    </t>
    </r>
  </si>
  <si>
    <t xml:space="preserve">        </t>
  </si>
  <si>
    <t xml:space="preserve">       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</si>
  <si>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中心总计</t>
    </r>
    <r>
      <rPr>
        <sz val="11"/>
        <color rgb="FF000000"/>
        <rFont val="宋体"/>
        <charset val="134"/>
        <scheme val="minor"/>
      </rPr>
      <t xml:space="preserve">  </t>
    </r>
  </si>
  <si>
    <r>
      <rPr>
        <sz val="18"/>
        <color rgb="FF000000"/>
        <rFont val="宋体"/>
        <charset val="134"/>
        <scheme val="minor"/>
      </rPr>
      <t xml:space="preserve">    </t>
    </r>
    <r>
      <rPr>
        <sz val="18"/>
        <color rgb="FF000000"/>
        <rFont val="宋体"/>
        <charset val="134"/>
        <scheme val="minor"/>
      </rPr>
      <t>11月份发货计划表</t>
    </r>
    <r>
      <rPr>
        <sz val="18"/>
        <color rgb="FF000000"/>
        <rFont val="宋体"/>
        <charset val="134"/>
        <scheme val="minor"/>
      </rPr>
      <t xml:space="preserve">    </t>
    </r>
  </si>
  <si>
    <t>南非MIF</t>
  </si>
  <si>
    <t>突尼斯NIE</t>
  </si>
  <si>
    <t>比利时VPS</t>
  </si>
  <si>
    <t>俄罗斯LFT</t>
  </si>
  <si>
    <t>已收定金</t>
  </si>
  <si>
    <t>俄罗斯NE</t>
  </si>
  <si>
    <t>迪拜NES</t>
  </si>
  <si>
    <t>肯尼亚STR</t>
  </si>
  <si>
    <t>哈萨克斯坦MT</t>
  </si>
  <si>
    <t>尼日利亚GPR</t>
  </si>
  <si>
    <t>宁波贸易公司（乌兹别克斯坦）</t>
  </si>
  <si>
    <t xml:space="preserve">  格鲁吉亚MS  </t>
  </si>
  <si>
    <t xml:space="preserve">  老客户  </t>
  </si>
  <si>
    <t>英国WM</t>
  </si>
  <si>
    <t>西班牙SAT</t>
  </si>
  <si>
    <t xml:space="preserve">埃及EC </t>
  </si>
  <si>
    <t xml:space="preserve"> 新客户 </t>
  </si>
  <si>
    <t xml:space="preserve"> </t>
  </si>
  <si>
    <t>西班牙BT</t>
  </si>
  <si>
    <t>埃及RS</t>
  </si>
  <si>
    <t>阿根廷MT</t>
  </si>
  <si>
    <t>MT-05</t>
  </si>
  <si>
    <t>泰国OT</t>
  </si>
  <si>
    <t>新加坡ST</t>
  </si>
  <si>
    <t>台湾GLT</t>
  </si>
  <si>
    <t>加拿大SE</t>
  </si>
  <si>
    <t>马来西亚WE</t>
  </si>
  <si>
    <t>香港BTC</t>
  </si>
  <si>
    <t xml:space="preserve">    Rose    </t>
  </si>
  <si>
    <t>越南TK</t>
  </si>
  <si>
    <t>越南MO</t>
  </si>
  <si>
    <t>菲律宾SUN</t>
  </si>
  <si>
    <t>柬埔寨OL</t>
  </si>
  <si>
    <t>X3(XFIT)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</si>
  <si>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印度SI</t>
    </r>
    <r>
      <rPr>
        <sz val="10"/>
        <color rgb="FF000000"/>
        <rFont val="微软雅黑"/>
        <charset val="134"/>
      </rPr>
      <t xml:space="preserve"> </t>
    </r>
  </si>
  <si>
    <t>X5</t>
  </si>
  <si>
    <t>X9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</si>
  <si>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马尔代夫AF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</si>
  <si>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印度BHA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</si>
  <si>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SH-5906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</si>
  <si>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巴基斯坦YA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</si>
  <si>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SH-5170A/SH-5517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</si>
  <si>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印度KA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</si>
  <si>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商用力量</t>
    </r>
    <r>
      <rPr>
        <sz val="10"/>
        <color rgb="FF000000"/>
        <rFont val="微软雅黑"/>
        <charset val="134"/>
      </rPr>
      <t xml:space="preserve"> </t>
    </r>
  </si>
  <si>
    <t xml:space="preserve"> 韩国EJ  </t>
  </si>
  <si>
    <t>X6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</si>
  <si>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SH-5500（X7）</t>
    </r>
    <r>
      <rPr>
        <sz val="10"/>
        <color rgb="FF000000"/>
        <rFont val="微软雅黑"/>
        <charset val="134"/>
      </rPr>
      <t xml:space="preserve"> </t>
    </r>
  </si>
  <si>
    <t xml:space="preserve">    12月份发货计划表    </t>
  </si>
  <si>
    <t>总价</t>
  </si>
  <si>
    <t>确保订单</t>
  </si>
  <si>
    <t>等柜订单</t>
  </si>
  <si>
    <t>争取订单</t>
  </si>
  <si>
    <t>未拿到舱位，货柜</t>
  </si>
  <si>
    <t>缺货等原因</t>
  </si>
  <si>
    <t>希腊GP</t>
  </si>
  <si>
    <t>老客户</t>
  </si>
  <si>
    <t>10月</t>
  </si>
  <si>
    <t>X9,X3</t>
  </si>
  <si>
    <t>瑞典VX</t>
  </si>
  <si>
    <t>南非MI</t>
  </si>
  <si>
    <t>备用机</t>
  </si>
  <si>
    <t>波兰DEL</t>
  </si>
  <si>
    <t>6500A</t>
  </si>
  <si>
    <t>V8，E9</t>
  </si>
  <si>
    <t>意大利JK</t>
  </si>
  <si>
    <t>在制订单</t>
  </si>
  <si>
    <t>SK</t>
  </si>
  <si>
    <t>新客户</t>
  </si>
  <si>
    <t xml:space="preserve">埃塞AL </t>
  </si>
  <si>
    <t>阿尔及利亚TA</t>
  </si>
  <si>
    <t>12月底，1月初</t>
  </si>
  <si>
    <t>信用证客户在开立中，货物已经好，大概出货时间12月底，1月初</t>
  </si>
  <si>
    <t>埃及EC-01</t>
  </si>
  <si>
    <t>埃及EC-02</t>
  </si>
  <si>
    <t>西班牙SAT-29</t>
  </si>
  <si>
    <t>12月21</t>
  </si>
  <si>
    <t>9100E/U各2台，需要落实</t>
  </si>
  <si>
    <t>Eric</t>
  </si>
  <si>
    <t>以色列IMP</t>
  </si>
  <si>
    <t>12月17</t>
  </si>
  <si>
    <t>按确保订单，12月达成15%</t>
  </si>
  <si>
    <t>G</t>
  </si>
  <si>
    <t>哥伦比亚CFT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</si>
  <si>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新客户</t>
    </r>
    <r>
      <rPr>
        <sz val="11"/>
        <color rgb="FF000000"/>
        <rFont val="宋体"/>
        <charset val="134"/>
        <scheme val="minor"/>
      </rPr>
      <t xml:space="preserve"> </t>
    </r>
  </si>
  <si>
    <t>CFT2010A001</t>
  </si>
  <si>
    <t>已发货</t>
  </si>
  <si>
    <t>智利JFC</t>
  </si>
  <si>
    <t>JFC-02</t>
  </si>
  <si>
    <r>
      <rPr>
        <sz val="12"/>
        <color rgb="FF000000"/>
        <rFont val="宋体"/>
        <charset val="134"/>
        <scheme val="minor"/>
      </rPr>
      <t>柬埔寨</t>
    </r>
    <r>
      <rPr>
        <sz val="12"/>
        <color rgb="FF000000"/>
        <rFont val="宋体"/>
        <charset val="134"/>
        <scheme val="minor"/>
      </rPr>
      <t>OL</t>
    </r>
  </si>
  <si>
    <t>OL-041</t>
  </si>
  <si>
    <t xml:space="preserve"> 厄瓜多尔LHF   </t>
  </si>
  <si>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LHF-01</t>
    </r>
    <r>
      <rPr>
        <sz val="12"/>
        <color rgb="FF000000"/>
        <rFont val="宋体"/>
        <charset val="134"/>
        <scheme val="minor"/>
      </rPr>
      <t xml:space="preserve"> </t>
    </r>
  </si>
  <si>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哥斯达黎加PSG</t>
    </r>
    <r>
      <rPr>
        <sz val="12"/>
        <color rgb="FF000000"/>
        <rFont val="宋体"/>
        <charset val="134"/>
        <scheme val="minor"/>
      </rPr>
      <t xml:space="preserve"> </t>
    </r>
  </si>
  <si>
    <t>PSG-01</t>
  </si>
  <si>
    <r>
      <rPr>
        <sz val="12"/>
        <color rgb="FF000000"/>
        <rFont val="宋体"/>
        <charset val="134"/>
        <scheme val="minor"/>
      </rPr>
      <t>厄瓜多尔</t>
    </r>
    <r>
      <rPr>
        <sz val="12"/>
        <color rgb="FF000000"/>
        <rFont val="宋体"/>
        <charset val="134"/>
        <scheme val="minor"/>
      </rPr>
      <t>TFC</t>
    </r>
  </si>
  <si>
    <t>TFC20201205</t>
  </si>
  <si>
    <t>货好，订舱中</t>
  </si>
  <si>
    <r>
      <rPr>
        <sz val="12"/>
        <color rgb="FF000000"/>
        <rFont val="宋体"/>
        <charset val="134"/>
        <scheme val="minor"/>
      </rPr>
      <t xml:space="preserve">    </t>
    </r>
    <r>
      <rPr>
        <sz val="12"/>
        <color rgb="FF000000"/>
        <rFont val="宋体"/>
        <charset val="134"/>
        <scheme val="minor"/>
      </rPr>
      <t>上海仙水国际贸易（秘鲁健身房）</t>
    </r>
    <r>
      <rPr>
        <sz val="12"/>
        <color rgb="FF000000"/>
        <rFont val="宋体"/>
        <charset val="134"/>
        <scheme val="minor"/>
      </rPr>
      <t xml:space="preserve">    </t>
    </r>
  </si>
  <si>
    <t>XS-01</t>
  </si>
  <si>
    <t>A5,E6</t>
  </si>
  <si>
    <t>马来西亚NE</t>
  </si>
  <si>
    <t>客户等其他工厂的货物一起拼柜走，货物已经好</t>
  </si>
  <si>
    <t>Rose</t>
  </si>
  <si>
    <t>菲律宾LJW</t>
  </si>
  <si>
    <t>菲律宾SA</t>
  </si>
  <si>
    <t xml:space="preserve"> 老客户 </t>
  </si>
  <si>
    <t>越南DV</t>
  </si>
  <si>
    <t>11月4日</t>
  </si>
  <si>
    <t>ARR-DV2011C001</t>
  </si>
  <si>
    <t>路径</t>
  </si>
  <si>
    <t>11月16日</t>
  </si>
  <si>
    <t>DV2011A001</t>
  </si>
  <si>
    <t>SH-T5170</t>
  </si>
  <si>
    <t>越南ARR</t>
  </si>
  <si>
    <t>按确保订单，12月达成28%</t>
  </si>
  <si>
    <t>印度SI</t>
  </si>
  <si>
    <r>
      <rPr>
        <sz val="11"/>
        <color rgb="FF000000"/>
        <rFont val="微软雅黑"/>
        <charset val="134"/>
      </rPr>
      <t>印度CE</t>
    </r>
    <r>
      <rPr>
        <sz val="11"/>
        <color rgb="FF000000"/>
        <rFont val="微软雅黑"/>
        <charset val="134"/>
      </rPr>
      <t xml:space="preserve"> </t>
    </r>
  </si>
  <si>
    <t>尼泊尔SKD</t>
  </si>
  <si>
    <t>孟加拉SH</t>
  </si>
  <si>
    <t>孟加拉VIP</t>
  </si>
  <si>
    <t>巴基斯坦FF</t>
  </si>
  <si>
    <t>印度US</t>
  </si>
  <si>
    <t>斯里兰卡BAS</t>
  </si>
  <si>
    <t>印度EP</t>
  </si>
  <si>
    <t>印度KA</t>
  </si>
  <si>
    <t>尼泊尔BE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</si>
  <si>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韩国EJ</t>
    </r>
    <r>
      <rPr>
        <sz val="10"/>
        <color rgb="FF000000"/>
        <rFont val="微软雅黑"/>
        <charset val="134"/>
      </rPr>
      <t xml:space="preserve">  </t>
    </r>
  </si>
  <si>
    <t xml:space="preserve">    Jeffry   </t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</si>
  <si>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SH-5500A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</si>
  <si>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SH-5170A</t>
    </r>
    <r>
      <rPr>
        <sz val="10"/>
        <color rgb="FF000000"/>
        <rFont val="微软雅黑"/>
        <charset val="134"/>
      </rPr>
      <t xml:space="preserve"> 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</si>
  <si>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68 69系列</t>
    </r>
    <r>
      <rPr>
        <sz val="10"/>
        <color rgb="FF000000"/>
        <rFont val="微软雅黑"/>
        <charset val="134"/>
      </rPr>
      <t xml:space="preserve"> </t>
    </r>
  </si>
  <si>
    <t>日本NF</t>
  </si>
  <si>
    <t>中心达成率</t>
  </si>
  <si>
    <t>日报3343万</t>
  </si>
  <si>
    <t>考核1470万</t>
  </si>
  <si>
    <t xml:space="preserve">    2021.01月份发货计划表    </t>
  </si>
  <si>
    <t>X3-X9</t>
  </si>
  <si>
    <t>X5-X9</t>
  </si>
  <si>
    <t>波兰DEP</t>
  </si>
  <si>
    <t>5170A/5517S</t>
  </si>
  <si>
    <t>爱尔兰FG</t>
  </si>
  <si>
    <t>阿塞拜疆TIM</t>
  </si>
  <si>
    <t xml:space="preserve"> 欧非大区   </t>
  </si>
  <si>
    <t>阿联酋AIF</t>
  </si>
  <si>
    <t>澳门KI</t>
  </si>
  <si>
    <t>新加坡IG</t>
  </si>
  <si>
    <t>ARR-MO2011A001</t>
  </si>
  <si>
    <t>68系列</t>
  </si>
  <si>
    <t>SUN-002</t>
  </si>
  <si>
    <t>备用机返箱</t>
  </si>
  <si>
    <t xml:space="preserve"> 东南亚美洲大区 </t>
  </si>
  <si>
    <t xml:space="preserve">    Jacky    </t>
  </si>
  <si>
    <t>印度TIFC</t>
  </si>
  <si>
    <t>TIFC20201113-A</t>
  </si>
  <si>
    <t xml:space="preserve"> 尼泊尔SKA</t>
  </si>
  <si>
    <t>SKA20201218</t>
  </si>
  <si>
    <t>韩国EJ</t>
  </si>
  <si>
    <t>EJ-300</t>
  </si>
  <si>
    <t>EJ-301</t>
  </si>
  <si>
    <t>EJ-302</t>
  </si>
  <si>
    <t>EJ-303</t>
  </si>
  <si>
    <t>EJ-304</t>
  </si>
  <si>
    <t>EJ-305</t>
  </si>
  <si>
    <t>EJ-306</t>
  </si>
  <si>
    <t>EJ-144</t>
  </si>
  <si>
    <t>EJ-145</t>
  </si>
  <si>
    <t>EJ-146</t>
  </si>
  <si>
    <t>EJ-147</t>
  </si>
  <si>
    <t>EJ-148</t>
  </si>
  <si>
    <t>EJ-149</t>
  </si>
  <si>
    <t>EJ-150</t>
  </si>
  <si>
    <t>EJ-151</t>
  </si>
  <si>
    <t>EJ-161</t>
  </si>
  <si>
    <t>EJ-162</t>
  </si>
  <si>
    <t>EJ-154</t>
  </si>
  <si>
    <t>EJ-153</t>
  </si>
  <si>
    <t>EJ-152</t>
  </si>
  <si>
    <t>EJ-156</t>
  </si>
  <si>
    <t>EJ-123</t>
  </si>
  <si>
    <t>EJ-157</t>
  </si>
  <si>
    <t>EJ-158</t>
  </si>
  <si>
    <t>韩国BX</t>
  </si>
  <si>
    <t xml:space="preserve">    日韩印大区</t>
  </si>
  <si>
    <t xml:space="preserve">    2021.02月份发货计划表    </t>
  </si>
  <si>
    <t>突尼斯CI</t>
  </si>
  <si>
    <t>68系列，88系列</t>
  </si>
  <si>
    <t>5500A+77系列</t>
  </si>
  <si>
    <t xml:space="preserve">沙特EF </t>
  </si>
  <si>
    <t>Jacky</t>
  </si>
  <si>
    <t>T6700,T3300</t>
  </si>
  <si>
    <t>智利ICSS</t>
  </si>
  <si>
    <t>5500 9130 9119A</t>
  </si>
  <si>
    <t>墨西哥FU</t>
  </si>
  <si>
    <t>1月份已开单</t>
  </si>
  <si>
    <t>SH-T5517A</t>
  </si>
  <si>
    <t>2月24日船期</t>
  </si>
  <si>
    <t>68 跑步机</t>
  </si>
  <si>
    <t>9119B</t>
  </si>
  <si>
    <t>68系列 电跑</t>
  </si>
  <si>
    <t>汤加KTC</t>
  </si>
  <si>
    <t xml:space="preserve">   合计   </t>
  </si>
  <si>
    <t>Jeffry</t>
  </si>
  <si>
    <t>EJ-OD001</t>
  </si>
  <si>
    <t>户外路径</t>
  </si>
  <si>
    <t>EJ-135</t>
  </si>
  <si>
    <t>SH-5100</t>
  </si>
  <si>
    <t>EJ-307</t>
  </si>
  <si>
    <t>EJ-308</t>
  </si>
  <si>
    <t>EJ-309</t>
  </si>
  <si>
    <t>EJ-310</t>
  </si>
  <si>
    <t>BX-20201217</t>
  </si>
  <si>
    <t>SH-5170A</t>
  </si>
  <si>
    <t>印度CE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</si>
  <si>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CE2021-001</t>
    </r>
    <r>
      <rPr>
        <sz val="11"/>
        <color rgb="FF000000"/>
        <rFont val="宋体"/>
        <charset val="134"/>
        <scheme val="minor"/>
      </rPr>
      <t xml:space="preserve"> </t>
    </r>
  </si>
  <si>
    <t xml:space="preserve">  KA2021-001  </t>
  </si>
  <si>
    <t>尼泊爾BE</t>
  </si>
  <si>
    <t xml:space="preserve">  BE20201120  </t>
  </si>
  <si>
    <t xml:space="preserve">    2021.03月份发货计划表    </t>
  </si>
  <si>
    <t xml:space="preserve">    客户名称    </t>
  </si>
  <si>
    <t>美金</t>
  </si>
  <si>
    <t>ETD</t>
  </si>
  <si>
    <t>TA-01</t>
  </si>
  <si>
    <t>5412/3300</t>
  </si>
  <si>
    <t>MIF-19</t>
  </si>
  <si>
    <t>5907/5500A</t>
  </si>
  <si>
    <t>匈牙利FLG</t>
  </si>
  <si>
    <t>FLG-04</t>
  </si>
  <si>
    <t>78系列</t>
  </si>
  <si>
    <t>突尼斯CI(新）</t>
  </si>
  <si>
    <t>CI-01</t>
  </si>
  <si>
    <t>68系列，9100</t>
  </si>
  <si>
    <t>SAT-30</t>
  </si>
  <si>
    <t>SAT-31</t>
  </si>
  <si>
    <t>SAT-32</t>
  </si>
  <si>
    <t xml:space="preserve"> 沙特EF  </t>
  </si>
  <si>
    <t>EF20201130</t>
  </si>
  <si>
    <t>宁波泰利</t>
  </si>
  <si>
    <t>Darcy</t>
  </si>
  <si>
    <t>津巴布韦LJ</t>
  </si>
  <si>
    <t>LJ-01</t>
  </si>
  <si>
    <t xml:space="preserve">泰国OT </t>
  </si>
  <si>
    <t>OT-147</t>
  </si>
  <si>
    <t>OT-148</t>
  </si>
  <si>
    <t>菲律宾MN</t>
  </si>
  <si>
    <t>MN-01</t>
  </si>
  <si>
    <t>OL-045</t>
  </si>
  <si>
    <t>电跑，68系列</t>
  </si>
  <si>
    <t>OL-046</t>
  </si>
  <si>
    <t>68系列  9119D</t>
  </si>
  <si>
    <t>9119D</t>
  </si>
  <si>
    <t xml:space="preserve">Rose </t>
  </si>
  <si>
    <t>秘鲁INS</t>
  </si>
  <si>
    <t>5500 9119D 5412</t>
  </si>
  <si>
    <t>GLT-016</t>
  </si>
  <si>
    <t>等全款发货</t>
  </si>
  <si>
    <t>阿联酋Omid</t>
  </si>
  <si>
    <t>SH-T3900</t>
  </si>
  <si>
    <t>墨西哥MDF</t>
  </si>
  <si>
    <t>T8919</t>
  </si>
  <si>
    <t>巴西SIX</t>
  </si>
  <si>
    <t>5412 5961S</t>
  </si>
  <si>
    <t>27号装柜</t>
  </si>
  <si>
    <t>巴西TC</t>
  </si>
  <si>
    <t>69/78系列</t>
  </si>
  <si>
    <t>交期3月27</t>
  </si>
  <si>
    <t>哥伦比亚MOV</t>
  </si>
  <si>
    <t>MOV20201109A</t>
  </si>
  <si>
    <r>
      <rPr>
        <sz val="12"/>
        <color rgb="FF000000"/>
        <rFont val="Trebuchet MS"/>
        <charset val="0"/>
      </rPr>
      <t>SH-T6500A(</t>
    </r>
    <r>
      <rPr>
        <sz val="12"/>
        <color rgb="FFFF0000"/>
        <rFont val="Trebuchet MS"/>
        <charset val="0"/>
      </rPr>
      <t>X5+</t>
    </r>
    <r>
      <rPr>
        <sz val="12"/>
        <color rgb="FF000000"/>
        <rFont val="Trebuchet MS"/>
        <charset val="0"/>
      </rPr>
      <t>)</t>
    </r>
    <r>
      <rPr>
        <sz val="12"/>
        <color rgb="FF000000"/>
        <rFont val="Trebuchet MS"/>
        <charset val="0"/>
      </rPr>
      <t xml:space="preserve">
</t>
    </r>
    <r>
      <rPr>
        <sz val="12"/>
        <color rgb="FF000000"/>
        <rFont val="Trebuchet MS"/>
        <charset val="0"/>
      </rPr>
      <t xml:space="preserve">110V </t>
    </r>
    <r>
      <rPr>
        <sz val="12"/>
        <color rgb="FF000000"/>
        <rFont val="Trebuchet MS"/>
        <charset val="0"/>
      </rPr>
      <t xml:space="preserve">
</t>
    </r>
    <r>
      <rPr>
        <sz val="10"/>
        <color rgb="FFFF0000"/>
        <rFont val="Trebuchet MS"/>
        <charset val="0"/>
      </rPr>
      <t>MoviFit and Shua Logo</t>
    </r>
  </si>
  <si>
    <t>5517S</t>
  </si>
  <si>
    <r>
      <rPr>
        <sz val="11"/>
        <color rgb="FF000000"/>
        <rFont val="Trebuchet MS"/>
        <charset val="0"/>
      </rPr>
      <t xml:space="preserve">SH-5918(X9i) 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 xml:space="preserve">220V </t>
    </r>
    <r>
      <rPr>
        <sz val="11"/>
        <color rgb="FF000000"/>
        <rFont val="Trebuchet MS"/>
        <charset val="0"/>
      </rPr>
      <t xml:space="preserve">
</t>
    </r>
    <r>
      <rPr>
        <sz val="11"/>
        <color rgb="FFFF0000"/>
        <rFont val="Trebuchet MS"/>
        <charset val="0"/>
      </rPr>
      <t>MoviFit and Shua Logo</t>
    </r>
  </si>
  <si>
    <r>
      <rPr>
        <sz val="12"/>
        <color rgb="FF000000"/>
        <rFont val="宋体"/>
        <charset val="0"/>
        <scheme val="minor"/>
      </rPr>
      <t>SH-5921</t>
    </r>
    <r>
      <rPr>
        <sz val="12"/>
        <color rgb="FF000000"/>
        <rFont val="宋体"/>
        <charset val="0"/>
        <scheme val="minor"/>
      </rPr>
      <t xml:space="preserve">
</t>
    </r>
    <r>
      <rPr>
        <sz val="12"/>
        <color rgb="FF000000"/>
        <rFont val="宋体"/>
        <charset val="0"/>
        <scheme val="minor"/>
      </rPr>
      <t>(X9 Plus) without logo</t>
    </r>
  </si>
  <si>
    <t>27th，Feb</t>
  </si>
  <si>
    <t>MOV20201109B</t>
  </si>
  <si>
    <r>
      <rPr>
        <sz val="12"/>
        <color rgb="FF000000"/>
        <rFont val="Trebuchet MS"/>
        <charset val="0"/>
      </rPr>
      <t>SH-T5170A(M3F)</t>
    </r>
    <r>
      <rPr>
        <sz val="12"/>
        <color rgb="FF000000"/>
        <rFont val="Trebuchet MS"/>
        <charset val="0"/>
      </rPr>
      <t xml:space="preserve">
</t>
    </r>
    <r>
      <rPr>
        <sz val="12"/>
        <color rgb="FF000000"/>
        <rFont val="Trebuchet MS"/>
        <charset val="0"/>
      </rPr>
      <t>110V</t>
    </r>
    <r>
      <rPr>
        <sz val="12"/>
        <color rgb="FF000000"/>
        <rFont val="Trebuchet MS"/>
        <charset val="0"/>
      </rPr>
      <t xml:space="preserve">  </t>
    </r>
    <r>
      <rPr>
        <sz val="12"/>
        <color rgb="FF000000"/>
        <rFont val="Trebuchet MS"/>
        <charset val="0"/>
      </rPr>
      <t xml:space="preserve">
</t>
    </r>
    <r>
      <rPr>
        <sz val="12"/>
        <color rgb="FFFF0000"/>
        <rFont val="Trebuchet MS"/>
        <charset val="0"/>
      </rPr>
      <t>POWERHR logo</t>
    </r>
  </si>
  <si>
    <r>
      <rPr>
        <sz val="9"/>
        <color rgb="FF000000"/>
        <rFont val="宋体"/>
        <charset val="0"/>
        <scheme val="minor"/>
      </rPr>
      <t>SH-B6500E</t>
    </r>
    <r>
      <rPr>
        <sz val="9"/>
        <color rgb="FF000000"/>
        <rFont val="宋体"/>
        <charset val="0"/>
        <scheme val="minor"/>
      </rPr>
      <t xml:space="preserve"> </t>
    </r>
    <r>
      <rPr>
        <sz val="9"/>
        <color rgb="FF000000"/>
        <rFont val="宋体"/>
        <charset val="0"/>
        <scheme val="minor"/>
      </rPr>
      <t>（</t>
    </r>
    <r>
      <rPr>
        <sz val="9"/>
        <color rgb="FF000000"/>
        <rFont val="宋体"/>
        <charset val="0"/>
        <scheme val="minor"/>
      </rPr>
      <t>X5-E</t>
    </r>
    <r>
      <rPr>
        <sz val="9"/>
        <color rgb="FF000000"/>
        <rFont val="宋体"/>
        <charset val="0"/>
        <scheme val="minor"/>
      </rPr>
      <t xml:space="preserve"> </t>
    </r>
    <r>
      <rPr>
        <sz val="9"/>
        <color rgb="FF000000"/>
        <rFont val="宋体"/>
        <charset val="0"/>
        <scheme val="minor"/>
      </rPr>
      <t>）</t>
    </r>
    <r>
      <rPr>
        <sz val="9"/>
        <color rgb="FF000000"/>
        <rFont val="宋体"/>
        <charset val="0"/>
        <scheme val="minor"/>
      </rPr>
      <t xml:space="preserve">
</t>
    </r>
    <r>
      <rPr>
        <sz val="9"/>
        <color rgb="FF000000"/>
        <rFont val="宋体"/>
        <charset val="0"/>
        <scheme val="minor"/>
      </rPr>
      <t>SHUA logo</t>
    </r>
    <r>
      <rPr>
        <sz val="9"/>
        <color rgb="FF000000"/>
        <rFont val="宋体"/>
        <charset val="0"/>
        <scheme val="minor"/>
      </rPr>
      <t xml:space="preserve">
</t>
    </r>
  </si>
  <si>
    <t>available</t>
  </si>
  <si>
    <t>智利LGF</t>
  </si>
  <si>
    <t>6700A 69系列</t>
  </si>
  <si>
    <t>EJ-311</t>
  </si>
  <si>
    <t>EJ-312</t>
  </si>
  <si>
    <t>EJ-313</t>
  </si>
  <si>
    <t>EJ-314</t>
  </si>
  <si>
    <t>EJ-315</t>
  </si>
  <si>
    <t>EJ-136</t>
  </si>
  <si>
    <t>SH-5412</t>
  </si>
  <si>
    <t>EJ-159</t>
  </si>
  <si>
    <t>BX20201223</t>
  </si>
  <si>
    <t>SH-5500</t>
  </si>
  <si>
    <t>NF-50</t>
  </si>
  <si>
    <t>NF-51</t>
  </si>
  <si>
    <t>NF-53</t>
  </si>
  <si>
    <t>NF-54</t>
  </si>
  <si>
    <t>SI2021-001</t>
  </si>
  <si>
    <t>SH-5517A</t>
  </si>
  <si>
    <t>BAS2021-001</t>
  </si>
  <si>
    <t>调拨更改</t>
  </si>
  <si>
    <t>TIFC20201113B</t>
  </si>
  <si>
    <t>SH-5918/8901/5203</t>
  </si>
  <si>
    <t>BE2021-001</t>
  </si>
  <si>
    <t>馬爾代夫AT</t>
  </si>
  <si>
    <t>AT2021-001</t>
  </si>
  <si>
    <t xml:space="preserve">    2021.04月份发货计划表    </t>
  </si>
  <si>
    <t>5500A/9119A</t>
  </si>
  <si>
    <t>5100A/8700</t>
  </si>
  <si>
    <t>意大利GS</t>
  </si>
  <si>
    <t>T9100</t>
  </si>
  <si>
    <t xml:space="preserve">肯尼亚STR </t>
  </si>
  <si>
    <t>STR-14</t>
  </si>
  <si>
    <t>卡塔尔IV</t>
  </si>
  <si>
    <t>迪拜DS</t>
  </si>
  <si>
    <t>俄罗斯ZS</t>
  </si>
  <si>
    <t>塞浦路斯EP</t>
  </si>
  <si>
    <t xml:space="preserve"> 阿塞拜疆TIM </t>
  </si>
  <si>
    <t>TIM20200804-4</t>
  </si>
  <si>
    <t>以色列SAK</t>
  </si>
  <si>
    <t>SAK-01</t>
  </si>
  <si>
    <t>已出货</t>
  </si>
  <si>
    <t>68系列 家用跑步机</t>
  </si>
  <si>
    <t>SH-T9119D ,68系列</t>
  </si>
  <si>
    <t>SH-T9130</t>
  </si>
  <si>
    <t>27号船期</t>
  </si>
  <si>
    <t>秘鲁STK</t>
  </si>
  <si>
    <t>STK-02</t>
  </si>
  <si>
    <t>8700 5100A</t>
  </si>
  <si>
    <t>4月13号</t>
  </si>
  <si>
    <t>卡塔尔PPT(新客户）</t>
  </si>
  <si>
    <t>PPT-01</t>
  </si>
  <si>
    <t>发货</t>
  </si>
  <si>
    <t>NE-13</t>
  </si>
  <si>
    <t>5500等</t>
  </si>
  <si>
    <t>4月20号</t>
  </si>
  <si>
    <t>先占货</t>
  </si>
  <si>
    <t>澳门KI-015</t>
  </si>
  <si>
    <t>4月9号</t>
  </si>
  <si>
    <t>台湾GLT-018</t>
  </si>
  <si>
    <t>4月10号</t>
  </si>
  <si>
    <t>阿根廷FC</t>
  </si>
  <si>
    <t>FC-02</t>
  </si>
  <si>
    <t>5517A</t>
  </si>
  <si>
    <t>MOV20201109C</t>
  </si>
  <si>
    <r>
      <rPr>
        <sz val="11"/>
        <color rgb="FF000000"/>
        <rFont val="Trebuchet MS"/>
        <charset val="0"/>
      </rPr>
      <t>SH-9119A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>(X2i)110V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 xml:space="preserve"> </t>
    </r>
    <r>
      <rPr>
        <sz val="11"/>
        <color rgb="FF000000"/>
        <rFont val="Trebuchet MS"/>
        <charset val="0"/>
      </rPr>
      <t>Movifit and Shua logo</t>
    </r>
  </si>
  <si>
    <t>舱位拿到，明天装柜</t>
  </si>
  <si>
    <r>
      <rPr>
        <sz val="11"/>
        <color rgb="FF000000"/>
        <rFont val="Trebuchet MS"/>
        <charset val="0"/>
      </rPr>
      <t>SH-T412(X1i)</t>
    </r>
    <r>
      <rPr>
        <sz val="11"/>
        <color rgb="FF000000"/>
        <rFont val="Trebuchet MS"/>
        <charset val="0"/>
      </rPr>
      <t xml:space="preserve">
</t>
    </r>
    <r>
      <rPr>
        <sz val="11"/>
        <color rgb="FF000000"/>
        <rFont val="Trebuchet MS"/>
        <charset val="0"/>
      </rPr>
      <t xml:space="preserve">110V </t>
    </r>
    <r>
      <rPr>
        <sz val="11"/>
        <color rgb="FF000000"/>
        <rFont val="Trebuchet MS"/>
        <charset val="0"/>
      </rPr>
      <t xml:space="preserve">
</t>
    </r>
    <r>
      <rPr>
        <sz val="12"/>
        <color rgb="FF000000"/>
        <rFont val="Trebuchet MS"/>
        <charset val="0"/>
      </rPr>
      <t xml:space="preserve"> </t>
    </r>
    <r>
      <rPr>
        <sz val="12"/>
        <color rgb="FF000000"/>
        <rFont val="Trebuchet MS"/>
        <charset val="0"/>
      </rPr>
      <t>Movifit and Shua logo</t>
    </r>
  </si>
  <si>
    <t>6500E</t>
  </si>
  <si>
    <t>EJ-316</t>
  </si>
  <si>
    <t>EJ-317</t>
  </si>
  <si>
    <t>EJ-318</t>
  </si>
  <si>
    <t>EJ-319</t>
  </si>
  <si>
    <t>EJ-160</t>
  </si>
  <si>
    <t>KSC20201218</t>
  </si>
  <si>
    <t>KSC20200904B</t>
  </si>
  <si>
    <t>68,89系列</t>
  </si>
  <si>
    <t>NF-49</t>
  </si>
  <si>
    <t>CE2021-002</t>
  </si>
  <si>
    <t>S1 (5918)</t>
  </si>
  <si>
    <t>754 (5907)</t>
  </si>
  <si>
    <t>755 (5907)</t>
  </si>
  <si>
    <t>X3 (5170A)</t>
  </si>
  <si>
    <t>E6(3900A)</t>
  </si>
  <si>
    <t>KA2021-002</t>
  </si>
  <si>
    <t>印度JAY</t>
  </si>
  <si>
    <t>JAY2021-001</t>
  </si>
  <si>
    <t>SH-T5100A</t>
  </si>
  <si>
    <t>SH-T8700</t>
  </si>
  <si>
    <t>SH-T5170A</t>
  </si>
  <si>
    <t>SH-T5918</t>
  </si>
  <si>
    <t>C</t>
  </si>
  <si>
    <t>韓國YR</t>
  </si>
  <si>
    <t>YR-01</t>
  </si>
  <si>
    <t>SH-T9119P</t>
  </si>
  <si>
    <t>12/01/2021</t>
  </si>
  <si>
    <t>SH-T199</t>
  </si>
  <si>
    <t xml:space="preserve">    2021.05月份发货计划表    </t>
  </si>
  <si>
    <t>马其顿NM</t>
  </si>
  <si>
    <t>NI-01</t>
  </si>
  <si>
    <t>88系列</t>
  </si>
  <si>
    <t>荷兰GC</t>
  </si>
  <si>
    <t>GC-01</t>
  </si>
  <si>
    <t>B9100U/R/E</t>
  </si>
  <si>
    <t>MIF-20</t>
  </si>
  <si>
    <t>AP-11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</si>
  <si>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迪拜NES</t>
    </r>
    <r>
      <rPr>
        <sz val="11"/>
        <color rgb="FF000000"/>
        <rFont val="宋体"/>
        <charset val="134"/>
        <scheme val="minor"/>
      </rPr>
      <t xml:space="preserve"> </t>
    </r>
  </si>
  <si>
    <t>nes20210220</t>
  </si>
  <si>
    <t>乌兹别克斯坦</t>
  </si>
  <si>
    <t>俄罗斯SF</t>
  </si>
  <si>
    <t>埃及EC</t>
  </si>
  <si>
    <t>EC-03</t>
  </si>
  <si>
    <t>STR-15</t>
  </si>
  <si>
    <t>埃及EA</t>
  </si>
  <si>
    <t>EA-01</t>
  </si>
  <si>
    <t>IMP-05</t>
  </si>
  <si>
    <t>OT-151</t>
  </si>
  <si>
    <t>OT-152</t>
  </si>
  <si>
    <t>OT-153</t>
  </si>
  <si>
    <t>OT-154</t>
  </si>
  <si>
    <t>MN-02</t>
  </si>
  <si>
    <t>SH-T9119 5100</t>
  </si>
  <si>
    <t>家用电跑</t>
  </si>
  <si>
    <t>秘鲁PFP(新客户）</t>
  </si>
  <si>
    <t>PFP-01</t>
  </si>
  <si>
    <t>T399,,5170A，3300，路径</t>
  </si>
  <si>
    <t>NE-15</t>
  </si>
  <si>
    <t>智利DRONE</t>
  </si>
  <si>
    <t>DRONE-03</t>
  </si>
  <si>
    <t>台湾GT</t>
  </si>
  <si>
    <t>台湾GT-017</t>
  </si>
  <si>
    <t>澳大利亚oribit</t>
  </si>
  <si>
    <t>OBT-09</t>
  </si>
  <si>
    <t>5170A</t>
  </si>
  <si>
    <t>订舱中</t>
  </si>
  <si>
    <t>没有排上5月船，建议客户走高价舱</t>
  </si>
  <si>
    <t>KI-015</t>
  </si>
  <si>
    <t>无票</t>
  </si>
  <si>
    <t xml:space="preserve">东南亚美洲   合计   </t>
  </si>
  <si>
    <t>EJ-320</t>
  </si>
  <si>
    <t>5/12船期</t>
  </si>
  <si>
    <t>EJ-321</t>
  </si>
  <si>
    <t>EJ-322</t>
  </si>
  <si>
    <t>5/19船期</t>
  </si>
  <si>
    <t>EJ-323</t>
  </si>
  <si>
    <t>EJ-125</t>
  </si>
  <si>
    <t>SH-6700</t>
  </si>
  <si>
    <t>5/2船期</t>
  </si>
  <si>
    <t>KSC20210422</t>
  </si>
  <si>
    <t>6500EUR</t>
  </si>
  <si>
    <t>5/20船期</t>
  </si>
  <si>
    <t>SI2021-002</t>
  </si>
  <si>
    <t>5918/T2500</t>
  </si>
  <si>
    <t>5/3船期</t>
  </si>
  <si>
    <t>JAY2021-002</t>
  </si>
  <si>
    <t>6/4船期 海關數據5/25離岸</t>
  </si>
  <si>
    <t>NF-56</t>
  </si>
  <si>
    <t>5/25 船期</t>
  </si>
  <si>
    <t>NF-57</t>
  </si>
  <si>
    <t>5/26 船期</t>
  </si>
  <si>
    <t>BX20201222</t>
  </si>
  <si>
    <t>欧非大区</t>
  </si>
  <si>
    <t>东南亚美洲大区</t>
  </si>
  <si>
    <t>日韩印大区</t>
  </si>
  <si>
    <t xml:space="preserve">    2021.06月份发货计划表    </t>
  </si>
  <si>
    <t>AP-10</t>
  </si>
  <si>
    <t>B6500U/R/E/R8100</t>
  </si>
  <si>
    <t>VX-11</t>
  </si>
  <si>
    <t>SAT-34</t>
  </si>
  <si>
    <t>G6501</t>
  </si>
  <si>
    <t>VPS-13</t>
  </si>
  <si>
    <t>乌克兰PK</t>
  </si>
  <si>
    <t>PK-01</t>
  </si>
  <si>
    <t>SH-T5600</t>
  </si>
  <si>
    <t>乌克兰IA</t>
  </si>
  <si>
    <t>加纳PA</t>
  </si>
  <si>
    <t>PA-01</t>
  </si>
  <si>
    <t>尼日利亚MQ</t>
  </si>
  <si>
    <t>SH20201102</t>
  </si>
  <si>
    <t>MIF-20E</t>
  </si>
  <si>
    <t>MIF-20F</t>
  </si>
  <si>
    <t>伊拉克MA</t>
  </si>
  <si>
    <t>6-3号船期</t>
  </si>
  <si>
    <t>OT-155</t>
  </si>
  <si>
    <t>6-1号船期</t>
  </si>
  <si>
    <t>0T-157</t>
  </si>
  <si>
    <t>0T-158</t>
  </si>
  <si>
    <t>货好（客户库存调拨）</t>
  </si>
  <si>
    <t>0T-159</t>
  </si>
  <si>
    <t>柬埔寨OL-051</t>
  </si>
  <si>
    <t xml:space="preserve">9119D 家用电跑 </t>
  </si>
  <si>
    <t>5月发货，6月2日船期</t>
  </si>
  <si>
    <t>SH-G6820/5201</t>
  </si>
  <si>
    <t>缅甸PG</t>
  </si>
  <si>
    <t>家用电跑/力量系列</t>
  </si>
  <si>
    <t>柬埔寨OL-052</t>
  </si>
  <si>
    <t>SH-T6700A</t>
  </si>
  <si>
    <t>新加坡</t>
  </si>
  <si>
    <t>商用系列</t>
  </si>
  <si>
    <t>柬埔寨OL-054</t>
  </si>
  <si>
    <t>9119D /力量系列</t>
  </si>
  <si>
    <t>柬埔寨OL-053</t>
  </si>
  <si>
    <t>智利CDCS</t>
  </si>
  <si>
    <t>待定</t>
  </si>
  <si>
    <t>ICSS-02</t>
  </si>
  <si>
    <t>6-15船期</t>
  </si>
  <si>
    <t>已装柜</t>
  </si>
  <si>
    <t>TC20201214</t>
  </si>
  <si>
    <t>69系列</t>
  </si>
  <si>
    <t>AIF-02</t>
  </si>
  <si>
    <t>3900,5100，9119D</t>
  </si>
  <si>
    <t>6-18船期</t>
  </si>
  <si>
    <t>阿联酋ST</t>
  </si>
  <si>
    <t>ST-03</t>
  </si>
  <si>
    <t>T399 T9119P</t>
  </si>
  <si>
    <t>INS-04</t>
  </si>
  <si>
    <t>6-17船期</t>
  </si>
  <si>
    <t>客户要求延期</t>
  </si>
  <si>
    <t>WE-08</t>
  </si>
  <si>
    <t>6-20船期</t>
  </si>
  <si>
    <t>厄瓜多尔TFC</t>
  </si>
  <si>
    <t>TFC20210502</t>
  </si>
  <si>
    <t>X9, X6</t>
  </si>
  <si>
    <t>货好6-10</t>
  </si>
  <si>
    <t>6月15</t>
  </si>
  <si>
    <t>5918生产交期协商</t>
  </si>
  <si>
    <t>EJ-324</t>
  </si>
  <si>
    <t>ETD 6/3</t>
  </si>
  <si>
    <t>EJ-325</t>
  </si>
  <si>
    <t>EJ-326</t>
  </si>
  <si>
    <t>EJ-327</t>
  </si>
  <si>
    <t>EJ-328</t>
  </si>
  <si>
    <t>EJ-329</t>
  </si>
  <si>
    <t>ETD 6/23</t>
  </si>
  <si>
    <t>EJ-330</t>
  </si>
  <si>
    <t>EJ-E3-001</t>
  </si>
  <si>
    <t>ETD 6/5</t>
  </si>
  <si>
    <t>EJ-E3-002</t>
  </si>
  <si>
    <t>EJ-331</t>
  </si>
  <si>
    <t>韩国BS</t>
  </si>
  <si>
    <t>BS-01</t>
  </si>
  <si>
    <t>KC样机</t>
  </si>
  <si>
    <t>印度CG</t>
  </si>
  <si>
    <t>CG2021-001</t>
  </si>
  <si>
    <t>ETD 6/25</t>
  </si>
  <si>
    <t>印度CK</t>
  </si>
  <si>
    <t>CK2021-001</t>
  </si>
  <si>
    <t>5918 (E5000)</t>
  </si>
  <si>
    <t>ETD 6/4</t>
  </si>
  <si>
    <t>5517A (E2400)</t>
  </si>
  <si>
    <t>5170A (E2200)</t>
  </si>
  <si>
    <t>CK2021-002</t>
  </si>
  <si>
    <t>印度KNK</t>
  </si>
  <si>
    <t>KNK2021-001</t>
  </si>
  <si>
    <t>CE2021-003</t>
  </si>
  <si>
    <t>印度CE版 5907</t>
  </si>
  <si>
    <t>ETD 6/26</t>
  </si>
  <si>
    <t>CE2021-004</t>
  </si>
  <si>
    <t>CE2021-005</t>
  </si>
  <si>
    <t>CE2021-006</t>
  </si>
  <si>
    <t>SI2021-003</t>
  </si>
  <si>
    <t>ETD 6/27</t>
  </si>
  <si>
    <t>日本Afit</t>
  </si>
  <si>
    <t>Afit-02</t>
  </si>
  <si>
    <t>ETD 6/2</t>
  </si>
  <si>
    <t>NF-58</t>
  </si>
  <si>
    <t>ETD 6/18</t>
  </si>
  <si>
    <t>NF-59</t>
  </si>
  <si>
    <t>ETD 6/22</t>
  </si>
  <si>
    <t>NF-60</t>
  </si>
  <si>
    <t>ETD6/22</t>
  </si>
  <si>
    <t>日本YG</t>
  </si>
  <si>
    <t>YG-02</t>
  </si>
  <si>
    <t>ETD 6/28</t>
  </si>
  <si>
    <t>BX20210219</t>
  </si>
  <si>
    <t>ETD 6/19</t>
  </si>
  <si>
    <t xml:space="preserve">    2021.07月份发货计划表    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</si>
  <si>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法国KE-01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</si>
  <si>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丹麦TSA-03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</si>
  <si>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马其顿NM-01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</si>
  <si>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英国HF-03</t>
    </r>
    <r>
      <rPr>
        <sz val="11"/>
        <color rgb="FF000000"/>
        <rFont val="宋体"/>
        <charset val="134"/>
        <scheme val="minor"/>
      </rPr>
      <t xml:space="preserve"> </t>
    </r>
  </si>
  <si>
    <t>X9+68系列+69系列</t>
  </si>
  <si>
    <t>船期为7月12日</t>
  </si>
  <si>
    <t>MIF-20G</t>
  </si>
  <si>
    <t>MIF-21G</t>
  </si>
  <si>
    <t>IMP-04</t>
  </si>
  <si>
    <t>毛里求斯AL</t>
  </si>
  <si>
    <t>AL-01</t>
  </si>
  <si>
    <t>0T-156A</t>
  </si>
  <si>
    <t>0T-156B</t>
  </si>
  <si>
    <t>0T-156C</t>
  </si>
  <si>
    <t>6-25船期</t>
  </si>
  <si>
    <t>0T-156D</t>
  </si>
  <si>
    <t>SH-T5170 9119B</t>
  </si>
  <si>
    <t>家用跑步机+单车</t>
  </si>
  <si>
    <t>SA-09</t>
  </si>
  <si>
    <t>68系列+电跑</t>
  </si>
  <si>
    <t>7月18日  已经开船</t>
  </si>
  <si>
    <t>SUN-004-B</t>
  </si>
  <si>
    <t>家用产品</t>
  </si>
  <si>
    <t>7月26日  已经开船</t>
  </si>
  <si>
    <t xml:space="preserve">G </t>
  </si>
  <si>
    <t xml:space="preserve"> 智利IDC </t>
  </si>
  <si>
    <t>IDC-02</t>
  </si>
  <si>
    <t>7月船期</t>
  </si>
  <si>
    <t>GLT-20</t>
  </si>
  <si>
    <t xml:space="preserve"> 墨西哥MDF </t>
  </si>
  <si>
    <t>MDF-02</t>
  </si>
  <si>
    <t>29号船期</t>
  </si>
  <si>
    <t>MT-06</t>
  </si>
  <si>
    <t>8700 9100URE,6500E自发电</t>
  </si>
  <si>
    <t>SIX-02</t>
  </si>
  <si>
    <t>EJ-X3-009</t>
  </si>
  <si>
    <t>ETD 7/14</t>
  </si>
  <si>
    <t>印度PD</t>
  </si>
  <si>
    <t>PD2021-001</t>
  </si>
  <si>
    <t>G9900</t>
  </si>
  <si>
    <t>ETD 7/10</t>
  </si>
  <si>
    <t>X1000 (5517A)</t>
  </si>
  <si>
    <t>TIFC2021-002</t>
  </si>
  <si>
    <t>AT2021-002</t>
  </si>
  <si>
    <t>ETD 7/12</t>
  </si>
  <si>
    <t>TIFC2021-003</t>
  </si>
  <si>
    <t>5500A</t>
  </si>
  <si>
    <t>ETD 7/22</t>
  </si>
  <si>
    <t>BE2021-002</t>
  </si>
  <si>
    <t>T3900</t>
  </si>
  <si>
    <t>ETD 7/29</t>
  </si>
  <si>
    <t>KA2021-003</t>
  </si>
  <si>
    <t>ETD 7/30</t>
  </si>
  <si>
    <t xml:space="preserve">BX20210312 </t>
  </si>
  <si>
    <t>SH-T5500（X7）</t>
  </si>
  <si>
    <t>ETD 7/18</t>
  </si>
  <si>
    <t>ETA 7/20</t>
  </si>
  <si>
    <t>NF-61</t>
  </si>
  <si>
    <t>ETD 7/3</t>
  </si>
  <si>
    <t>NF-63</t>
  </si>
  <si>
    <t>ETD7/23</t>
  </si>
  <si>
    <t>9100R表头 9月</t>
  </si>
  <si>
    <t>7/15 6891*2</t>
  </si>
  <si>
    <t>2.5KG杠铃片</t>
  </si>
  <si>
    <t>KSC20210526</t>
  </si>
  <si>
    <t>ETD 7/13</t>
  </si>
  <si>
    <t xml:space="preserve">    2021.08月份发货计划表    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</si>
  <si>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西班</t>
    </r>
    <r>
      <rPr>
        <sz val="11"/>
        <color rgb="FF000000"/>
        <rFont val="宋体"/>
        <charset val="134"/>
        <scheme val="minor"/>
      </rPr>
      <t>牙BT-01A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</si>
  <si>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西班牙BT-01C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</si>
  <si>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阿尔及利</t>
    </r>
    <r>
      <rPr>
        <sz val="11"/>
        <color rgb="FF000000"/>
        <rFont val="宋体"/>
        <charset val="134"/>
        <scheme val="minor"/>
      </rPr>
      <t>亚SAR-01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</si>
  <si>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爱尔</t>
    </r>
    <r>
      <rPr>
        <sz val="11"/>
        <color rgb="FF000000"/>
        <rFont val="宋体"/>
        <charset val="134"/>
        <scheme val="minor"/>
      </rPr>
      <t>兰FG-05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</si>
  <si>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爱尔兰AP-12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</si>
  <si>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法</t>
    </r>
    <r>
      <rPr>
        <sz val="11"/>
        <color rgb="FF000000"/>
        <rFont val="宋体"/>
        <charset val="134"/>
        <scheme val="minor"/>
      </rPr>
      <t>国KE-01</t>
    </r>
    <r>
      <rPr>
        <sz val="11"/>
        <color rgb="FF000000"/>
        <rFont val="宋体"/>
        <charset val="134"/>
        <scheme val="minor"/>
      </rPr>
      <t xml:space="preserve"> </t>
    </r>
  </si>
  <si>
    <t>格鲁吉亚MS</t>
  </si>
  <si>
    <t>广州WD</t>
  </si>
  <si>
    <t>WD-01</t>
  </si>
  <si>
    <t>埃塞RO</t>
  </si>
  <si>
    <t>RO-01</t>
  </si>
  <si>
    <t>澳洲MAY</t>
  </si>
  <si>
    <t>MAY-001</t>
  </si>
  <si>
    <t>危地马拉FIT</t>
  </si>
  <si>
    <t>FIT-05</t>
  </si>
  <si>
    <t>OT-156E</t>
  </si>
  <si>
    <t>OT-156F</t>
  </si>
  <si>
    <t>OT-156G</t>
  </si>
  <si>
    <t>OT-156H</t>
  </si>
  <si>
    <t>OL-055A</t>
  </si>
  <si>
    <t>8月9日   已经开船</t>
  </si>
  <si>
    <t xml:space="preserve"> 越南MO </t>
  </si>
  <si>
    <t xml:space="preserve">X5 </t>
  </si>
  <si>
    <t>8月24号 已开船</t>
  </si>
  <si>
    <t>待定中</t>
  </si>
  <si>
    <t>8月23号 已开船</t>
  </si>
  <si>
    <t>继续加油干</t>
  </si>
  <si>
    <t>SH-B6500E/R    椭圆机</t>
  </si>
  <si>
    <t>8月27日 船期</t>
  </si>
  <si>
    <t>8月28日 船期</t>
  </si>
  <si>
    <t>巴拉圭CW</t>
  </si>
  <si>
    <t>CW-01</t>
  </si>
  <si>
    <t>预计8月4号船期</t>
  </si>
  <si>
    <t>秘鲁XS 仙水国际</t>
  </si>
  <si>
    <t>XS-02</t>
  </si>
  <si>
    <t>人民币合同，需要开增票</t>
  </si>
  <si>
    <t>秘鲁RMG</t>
  </si>
  <si>
    <t>RMG-01</t>
  </si>
  <si>
    <t>玻利维亚RB</t>
  </si>
  <si>
    <t>RB-03</t>
  </si>
  <si>
    <t>缺柜，重新排载</t>
  </si>
  <si>
    <t xml:space="preserve"> 墨西哥MDF</t>
  </si>
  <si>
    <t>MDF-03</t>
  </si>
  <si>
    <t>延误到8月29日 船期</t>
  </si>
  <si>
    <t>马来西亚</t>
  </si>
  <si>
    <t xml:space="preserve"> X9</t>
  </si>
  <si>
    <t>8月30日 船期</t>
  </si>
  <si>
    <t>EJ-X3-010</t>
  </si>
  <si>
    <t>ETD 8/1</t>
  </si>
  <si>
    <t>EJ-X3-011</t>
  </si>
  <si>
    <t>ETD 8/29</t>
  </si>
  <si>
    <t>EJ-X3-012</t>
  </si>
  <si>
    <t>EJ-X3-013</t>
  </si>
  <si>
    <t>EJ-332</t>
  </si>
  <si>
    <t>EJ-200</t>
  </si>
  <si>
    <t>BC-2100</t>
  </si>
  <si>
    <t>CE2021-007</t>
  </si>
  <si>
    <t>8/13 開船</t>
  </si>
  <si>
    <t>CE2021-008</t>
  </si>
  <si>
    <t>SI2021-004</t>
  </si>
  <si>
    <t>T2500 (5918)</t>
  </si>
  <si>
    <t>CFT5000</t>
  </si>
  <si>
    <t>CFT2400</t>
  </si>
  <si>
    <t>巴基斯坦JC</t>
  </si>
  <si>
    <t>JC-01</t>
  </si>
  <si>
    <t>T199</t>
  </si>
  <si>
    <t>8/14 開船</t>
  </si>
  <si>
    <t>T399</t>
  </si>
  <si>
    <t>尼泊爾SKA</t>
  </si>
  <si>
    <t>SKA2021-001</t>
  </si>
  <si>
    <t>8/20 開船</t>
  </si>
  <si>
    <t>NF-63B</t>
  </si>
  <si>
    <t>ETD 8/23</t>
  </si>
  <si>
    <t>NF-64</t>
  </si>
  <si>
    <t>ETD 9/3</t>
  </si>
  <si>
    <t>KSC20210714</t>
  </si>
  <si>
    <t>ETD 8/27</t>
  </si>
  <si>
    <t xml:space="preserve">    2021.09月份发货计划表    </t>
  </si>
  <si>
    <t>英国HF</t>
  </si>
  <si>
    <t>利比亚MAC</t>
  </si>
  <si>
    <t>MS-001</t>
  </si>
  <si>
    <t>SH-T3900T+SH-5170</t>
  </si>
  <si>
    <t>沙特AS</t>
  </si>
  <si>
    <t>OT-156I</t>
  </si>
  <si>
    <t>OT-156J</t>
  </si>
  <si>
    <t>OT-156K</t>
  </si>
  <si>
    <t>OT-156L</t>
  </si>
  <si>
    <t>美国EW</t>
  </si>
  <si>
    <t>家用电跑/车类</t>
  </si>
  <si>
    <t>已开船</t>
  </si>
  <si>
    <t xml:space="preserve">柬埔寨OL  </t>
  </si>
  <si>
    <t>8月份落到9月</t>
  </si>
  <si>
    <t>电跑+商用</t>
  </si>
  <si>
    <t>菲律宾</t>
  </si>
  <si>
    <t>商用/车类</t>
  </si>
  <si>
    <t>新西兰NFZ</t>
  </si>
  <si>
    <t>NFZ-01</t>
  </si>
  <si>
    <t>海运费超过客户预期，在沟通海运费支持，同步订舱中，暂定船期23号</t>
  </si>
  <si>
    <t xml:space="preserve"> X3,X5</t>
  </si>
  <si>
    <t>5170A 1个高柜24号交期，订舱中</t>
  </si>
  <si>
    <t>MT-07</t>
  </si>
  <si>
    <t>69 有氧</t>
  </si>
  <si>
    <t>海运费超过客户预期，订单修改成1个高柜订舱中，争取9月发货</t>
  </si>
  <si>
    <t>MDF-03-B</t>
  </si>
  <si>
    <t>等山东供应商拼柜，大概24号到我司，通知客户指定货代提前订舱，反馈9月无舱位，捡漏中</t>
  </si>
  <si>
    <t>秘鲁PE</t>
  </si>
  <si>
    <t>意向客户</t>
  </si>
  <si>
    <t>智利IDC</t>
  </si>
  <si>
    <t xml:space="preserve">  </t>
  </si>
  <si>
    <t>EJ-X3-014</t>
  </si>
  <si>
    <t>ETD 9/16</t>
  </si>
  <si>
    <t>EJ-X3-015</t>
  </si>
  <si>
    <t>EJ-X3-016</t>
  </si>
  <si>
    <t>ETD 9/24</t>
  </si>
  <si>
    <t>EJ-X3-017</t>
  </si>
  <si>
    <t>EJ-X3-018</t>
  </si>
  <si>
    <t>EJ-X3-019</t>
  </si>
  <si>
    <t>EJ-X3-020</t>
  </si>
  <si>
    <t>ETD 10/1</t>
  </si>
  <si>
    <t>EJ-333</t>
  </si>
  <si>
    <t>巴基斯坦BEE</t>
  </si>
  <si>
    <t>BEE2021-002</t>
  </si>
  <si>
    <t>9/24 開船</t>
  </si>
  <si>
    <t>TIFC2021-004</t>
  </si>
  <si>
    <t>9/28 開船</t>
  </si>
  <si>
    <t>CE2021-009</t>
  </si>
  <si>
    <t>9/11開船</t>
  </si>
  <si>
    <t>孟加拉SS</t>
  </si>
  <si>
    <t>VIP2021-001</t>
  </si>
  <si>
    <t>9/29 開船</t>
  </si>
  <si>
    <t>CE2021-010B</t>
  </si>
  <si>
    <t>9/19 開船</t>
  </si>
  <si>
    <t>NF-67</t>
  </si>
  <si>
    <t>ETD 10/15</t>
  </si>
  <si>
    <t>NF-68</t>
  </si>
  <si>
    <t>ETD 10/2</t>
  </si>
  <si>
    <t>NF-71</t>
  </si>
  <si>
    <t>ETD 10/3</t>
  </si>
  <si>
    <t>NF-72</t>
  </si>
  <si>
    <t xml:space="preserve">    2021.10月份发货计划表    </t>
  </si>
  <si>
    <t>尼日利亚GPR-01</t>
  </si>
  <si>
    <t>9119D，5170A等</t>
  </si>
  <si>
    <t>南非MIF-20J</t>
  </si>
  <si>
    <t>5500A，5907</t>
  </si>
  <si>
    <t>英国HF-05</t>
  </si>
  <si>
    <t>毛里求斯AL-03</t>
  </si>
  <si>
    <t>68商用/家用电跑+车类</t>
  </si>
  <si>
    <t>家用+68商用</t>
  </si>
  <si>
    <t xml:space="preserve"> X3</t>
  </si>
  <si>
    <t>9月底开单</t>
  </si>
  <si>
    <t>GLT-022</t>
  </si>
  <si>
    <t>KI-18</t>
  </si>
  <si>
    <t>NE-017</t>
  </si>
  <si>
    <t>EJ-X3-021</t>
  </si>
  <si>
    <t>EJ-X3-022</t>
  </si>
  <si>
    <t>韩国NT</t>
  </si>
  <si>
    <t>NT-01</t>
  </si>
  <si>
    <t>SH-T5918、SHT8919（KC）</t>
  </si>
  <si>
    <t>CE2021-010C</t>
  </si>
  <si>
    <t>10/1 開船</t>
  </si>
  <si>
    <t>KA2021-004</t>
  </si>
  <si>
    <t>10/20開船</t>
  </si>
  <si>
    <t>ETD 10/18</t>
  </si>
  <si>
    <t>ETD 10/6</t>
  </si>
  <si>
    <t xml:space="preserve">    2021.11月份发货计划表    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</si>
  <si>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肯尼</t>
    </r>
    <r>
      <rPr>
        <sz val="11"/>
        <color rgb="FF000000"/>
        <rFont val="宋体"/>
        <charset val="134"/>
        <scheme val="minor"/>
      </rPr>
      <t>亚STR-16</t>
    </r>
    <r>
      <rPr>
        <sz val="11"/>
        <color rgb="FF000000"/>
        <rFont val="宋体"/>
        <charset val="134"/>
        <scheme val="minor"/>
      </rPr>
      <t xml:space="preserve"> </t>
    </r>
  </si>
  <si>
    <t>爱尔兰AP-13</t>
  </si>
  <si>
    <t>T8919,5412,5100A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</si>
  <si>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意大</t>
    </r>
    <r>
      <rPr>
        <sz val="11"/>
        <color rgb="FF000000"/>
        <rFont val="宋体"/>
        <charset val="134"/>
        <scheme val="minor"/>
      </rPr>
      <t>利GS-02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</si>
  <si>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西班</t>
    </r>
    <r>
      <rPr>
        <sz val="11"/>
        <color rgb="FF000000"/>
        <rFont val="宋体"/>
        <charset val="134"/>
        <scheme val="minor"/>
      </rPr>
      <t>牙SAT-38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</si>
  <si>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G6501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</si>
  <si>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英</t>
    </r>
    <r>
      <rPr>
        <sz val="11"/>
        <color rgb="FF000000"/>
        <rFont val="宋体"/>
        <charset val="134"/>
        <scheme val="minor"/>
      </rPr>
      <t>国HF-05A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</si>
  <si>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南非MIF-20J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</si>
  <si>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英</t>
    </r>
    <r>
      <rPr>
        <sz val="11"/>
        <color rgb="FF000000"/>
        <rFont val="宋体"/>
        <charset val="134"/>
        <scheme val="minor"/>
      </rPr>
      <t>国HF-05B</t>
    </r>
    <r>
      <rPr>
        <sz val="11"/>
        <color rgb="FF000000"/>
        <rFont val="宋体"/>
        <charset val="134"/>
        <scheme val="minor"/>
      </rPr>
      <t xml:space="preserve"> </t>
    </r>
  </si>
  <si>
    <t>乌克兰FO</t>
  </si>
  <si>
    <t xml:space="preserve">危地马拉FE </t>
  </si>
  <si>
    <t>小米有品</t>
  </si>
  <si>
    <t>68商用+家用电跑</t>
  </si>
  <si>
    <t>缅甸GP</t>
  </si>
  <si>
    <t>X1  5517S</t>
  </si>
  <si>
    <t>澳门PK(广东品克体育）</t>
  </si>
  <si>
    <t>X6 X9</t>
  </si>
  <si>
    <t>EJ-X3-023</t>
  </si>
  <si>
    <t>ETD 11/20</t>
  </si>
  <si>
    <t>EJ-X3-024</t>
  </si>
  <si>
    <t>EJ-X3-025</t>
  </si>
  <si>
    <t>EJ-X3-026</t>
  </si>
  <si>
    <t>SKA2021-002</t>
  </si>
  <si>
    <t>11/29開船</t>
  </si>
  <si>
    <t>NF-69</t>
  </si>
  <si>
    <t>ETD 11/24</t>
  </si>
  <si>
    <t>NF-70</t>
  </si>
  <si>
    <t>ETD 11/11</t>
  </si>
  <si>
    <t>NF-75</t>
  </si>
  <si>
    <t>ETD 11/14</t>
  </si>
  <si>
    <t xml:space="preserve">    2021.12月份发货计划表    </t>
  </si>
  <si>
    <t>以色列IMP-09</t>
  </si>
  <si>
    <t>68系列，X9</t>
  </si>
  <si>
    <t>埃及EC-04</t>
  </si>
  <si>
    <t>FO-01</t>
  </si>
  <si>
    <t xml:space="preserve">美国FUS </t>
  </si>
  <si>
    <t>FUS-01</t>
  </si>
  <si>
    <t>88系列，9100系列</t>
  </si>
  <si>
    <t>68力量系列 及电跑</t>
  </si>
  <si>
    <t>电跑以及力量</t>
  </si>
  <si>
    <t>X1 5517S</t>
  </si>
  <si>
    <t>EJ-X3-027</t>
  </si>
  <si>
    <t>ETD 12/08</t>
  </si>
  <si>
    <t>EJ-X3-028</t>
  </si>
  <si>
    <t>ETD 12/24</t>
  </si>
  <si>
    <t>EJ-X3-029</t>
  </si>
  <si>
    <t>EJ-X3-030</t>
  </si>
  <si>
    <t>ETD 12/20</t>
  </si>
  <si>
    <t>EJ-X3-031</t>
  </si>
  <si>
    <t>EJ-X3-032</t>
  </si>
  <si>
    <t>EJ-X3-033</t>
  </si>
  <si>
    <t>ETD 12/30</t>
  </si>
  <si>
    <t>EJ-X3-034</t>
  </si>
  <si>
    <t>EJ-X3-035</t>
  </si>
  <si>
    <t>EJ-X3-036</t>
  </si>
  <si>
    <t>EJ-X1-001</t>
  </si>
  <si>
    <t>EJ-X6-126</t>
  </si>
  <si>
    <t>CG2021-002A</t>
  </si>
  <si>
    <t>12/6 開船</t>
  </si>
  <si>
    <t>CG2021-002B</t>
  </si>
  <si>
    <t>12/27 開船</t>
  </si>
  <si>
    <t>CG2021-002C</t>
  </si>
  <si>
    <t>12/26 開船</t>
  </si>
  <si>
    <t>巴基斯坦WAH</t>
  </si>
  <si>
    <t>WAH-01</t>
  </si>
  <si>
    <t>已發 申請無票</t>
  </si>
  <si>
    <t>印度SNF</t>
  </si>
  <si>
    <t>SNF-01</t>
  </si>
  <si>
    <t>KA2021-005</t>
  </si>
  <si>
    <t>12/29 開船</t>
  </si>
  <si>
    <t>NF-73</t>
  </si>
  <si>
    <t>ETD 12/4</t>
  </si>
  <si>
    <t>NT-02</t>
  </si>
  <si>
    <t>SH-T8919</t>
  </si>
  <si>
    <t>ETD 12/11</t>
  </si>
  <si>
    <t xml:space="preserve">    2022.1月份发货计划表    </t>
  </si>
  <si>
    <t>法国LC-03</t>
  </si>
  <si>
    <t>68系列，69系列</t>
  </si>
  <si>
    <t>爱尔兰AP-15</t>
  </si>
  <si>
    <t>T8919/5100A/B6500E</t>
  </si>
  <si>
    <t>西班牙SAT-39</t>
  </si>
  <si>
    <t>T5918</t>
  </si>
  <si>
    <t>南非MIF-22A</t>
  </si>
  <si>
    <t>G5203/T5170A/5907/B8860S等</t>
  </si>
  <si>
    <t>WE-10</t>
  </si>
  <si>
    <t>OBT-010</t>
  </si>
  <si>
    <t>EJ-X3-037</t>
  </si>
  <si>
    <t>ETD 1/20</t>
  </si>
  <si>
    <t>EJ-X3-038</t>
  </si>
  <si>
    <t>EJ-X3-039</t>
  </si>
  <si>
    <t>EJ-X3-040</t>
  </si>
  <si>
    <t>EJ-X3-041</t>
  </si>
  <si>
    <t>EJ-X3-042</t>
  </si>
  <si>
    <t>SI2021-005</t>
  </si>
  <si>
    <t>1/1 開船</t>
  </si>
  <si>
    <t>CE2021-010D</t>
  </si>
  <si>
    <t>一月開</t>
  </si>
  <si>
    <t>NF-79</t>
  </si>
  <si>
    <t>ETD1/16</t>
  </si>
  <si>
    <t>NT-03</t>
  </si>
  <si>
    <t>SH-T5918 KC认证</t>
  </si>
  <si>
    <t xml:space="preserve">    2022.2月份发货计划表    </t>
  </si>
  <si>
    <t>西班牙SAT-40</t>
  </si>
  <si>
    <t>T5517S</t>
  </si>
  <si>
    <t xml:space="preserve"> 乌干达ST-01 </t>
  </si>
  <si>
    <t xml:space="preserve"> 南非MIF-22B </t>
  </si>
  <si>
    <t>5170A-B6500系列</t>
  </si>
  <si>
    <t>约旦FM</t>
  </si>
  <si>
    <t>FM-02</t>
  </si>
  <si>
    <t>2月</t>
  </si>
  <si>
    <t>MT-08</t>
  </si>
  <si>
    <t>厄瓜多尔FCL</t>
  </si>
  <si>
    <t>SHUA-ARR20211110</t>
  </si>
  <si>
    <t xml:space="preserve"> SH-T3900A</t>
  </si>
  <si>
    <t xml:space="preserve">SHUA-ARR20211120 </t>
  </si>
  <si>
    <t xml:space="preserve">SHUA-ARR20220105 </t>
  </si>
  <si>
    <t>SH-9130</t>
  </si>
  <si>
    <t xml:space="preserve">SHUA-ARR20220120 </t>
  </si>
  <si>
    <t>补货订单</t>
  </si>
  <si>
    <t>EJ-X3-043</t>
  </si>
  <si>
    <t>ETD 2/26</t>
  </si>
  <si>
    <t>EJ-X3-044</t>
  </si>
  <si>
    <t>EJ-X3-045</t>
  </si>
  <si>
    <t>CG2022-001</t>
  </si>
  <si>
    <t>孟加拉FW</t>
  </si>
  <si>
    <t>FW2022-001</t>
  </si>
  <si>
    <t>NF-81</t>
  </si>
  <si>
    <t>ETD2/23</t>
  </si>
  <si>
    <t>NF-80</t>
  </si>
  <si>
    <t xml:space="preserve">    2022.3月份发货计划表    </t>
  </si>
  <si>
    <t>阿尔巴尼亚AME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</si>
  <si>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AME-02</t>
    </r>
    <r>
      <rPr>
        <sz val="11"/>
        <color rgb="FF000000"/>
        <rFont val="宋体"/>
        <charset val="134"/>
        <scheme val="minor"/>
      </rPr>
      <t xml:space="preserve"> 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</si>
  <si>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ZS-01</t>
    </r>
    <r>
      <rPr>
        <sz val="11"/>
        <color rgb="FF000000"/>
        <rFont val="宋体"/>
        <charset val="134"/>
        <scheme val="minor"/>
      </rPr>
      <t xml:space="preserve"> </t>
    </r>
  </si>
  <si>
    <t>T9100T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</si>
  <si>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AP-15</t>
    </r>
    <r>
      <rPr>
        <sz val="11"/>
        <color rgb="FF000000"/>
        <rFont val="宋体"/>
        <charset val="134"/>
        <scheme val="minor"/>
      </rPr>
      <t xml:space="preserve"> </t>
    </r>
  </si>
  <si>
    <t>T5100A等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</si>
  <si>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MIF-22D</t>
    </r>
    <r>
      <rPr>
        <sz val="11"/>
        <color rgb="FF000000"/>
        <rFont val="宋体"/>
        <charset val="134"/>
        <scheme val="minor"/>
      </rPr>
      <t xml:space="preserve"> </t>
    </r>
  </si>
  <si>
    <t>T5500A/5907等</t>
  </si>
  <si>
    <t>G(暂代）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</si>
  <si>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FM-03</t>
    </r>
    <r>
      <rPr>
        <sz val="11"/>
        <color rgb="FF000000"/>
        <rFont val="宋体"/>
        <charset val="134"/>
        <scheme val="minor"/>
      </rPr>
      <t xml:space="preserve"> </t>
    </r>
  </si>
  <si>
    <t xml:space="preserve">刚果BBCS 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</si>
  <si>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AA-01</t>
    </r>
    <r>
      <rPr>
        <sz val="11"/>
        <color rgb="FF000000"/>
        <rFont val="宋体"/>
        <charset val="134"/>
        <scheme val="minor"/>
      </rPr>
      <t xml:space="preserve"> </t>
    </r>
  </si>
  <si>
    <t>沙特HX</t>
  </si>
  <si>
    <t>12月</t>
  </si>
  <si>
    <t>2月1号</t>
  </si>
  <si>
    <t>MDF-05</t>
  </si>
  <si>
    <t>WE-11</t>
  </si>
  <si>
    <t>SHUA-ARR20220216</t>
  </si>
  <si>
    <t>GLT-023</t>
  </si>
  <si>
    <t>GLT-024</t>
  </si>
  <si>
    <t>之前下单未发完</t>
  </si>
  <si>
    <t>EJ-X3-046</t>
  </si>
  <si>
    <t>ETD 3/8</t>
  </si>
  <si>
    <t>EJ-SP-01</t>
  </si>
  <si>
    <t>9119P KC AFple</t>
  </si>
  <si>
    <t>2/25货好</t>
  </si>
  <si>
    <t>EJ-SP-02</t>
  </si>
  <si>
    <t>199P KC AFple</t>
  </si>
  <si>
    <t>1/28货好</t>
  </si>
  <si>
    <t>EJ-X1-002</t>
  </si>
  <si>
    <t>AT2022-001</t>
  </si>
  <si>
    <t>马尔代夫订舱待确认</t>
  </si>
  <si>
    <t>NF-86</t>
  </si>
  <si>
    <t>ETD 3/20</t>
  </si>
  <si>
    <t xml:space="preserve">    2022.4月份发货计划表  </t>
  </si>
  <si>
    <t>部门</t>
  </si>
  <si>
    <t xml:space="preserve">    业务员    </t>
  </si>
  <si>
    <t>本月目标   （万元）</t>
  </si>
  <si>
    <t>订单号</t>
  </si>
  <si>
    <t xml:space="preserve">汇率 </t>
  </si>
  <si>
    <t>开单日期</t>
  </si>
  <si>
    <t>产品交期</t>
  </si>
  <si>
    <t xml:space="preserve">    备注    </t>
  </si>
  <si>
    <t xml:space="preserve">    评审交期    </t>
  </si>
  <si>
    <t xml:space="preserve">    出货日期    </t>
  </si>
  <si>
    <t xml:space="preserve">    是否开单    </t>
  </si>
  <si>
    <t xml:space="preserve">    ETA    </t>
  </si>
  <si>
    <t xml:space="preserve">    拖柜时间    </t>
  </si>
  <si>
    <t xml:space="preserve">    是否提供提单    </t>
  </si>
  <si>
    <t xml:space="preserve">    是否提供请款资料    </t>
  </si>
  <si>
    <t xml:space="preserve">    订金    </t>
  </si>
  <si>
    <t xml:space="preserve">    实收    </t>
  </si>
  <si>
    <t xml:space="preserve">    手续费    </t>
  </si>
  <si>
    <t xml:space="preserve">    尾款    </t>
  </si>
  <si>
    <t xml:space="preserve">    客户类型    </t>
  </si>
  <si>
    <t xml:space="preserve">    制单号    </t>
  </si>
  <si>
    <t>法国KE</t>
  </si>
  <si>
    <t>KE-02</t>
  </si>
  <si>
    <t>HF-07</t>
  </si>
  <si>
    <t>SAT-41</t>
  </si>
  <si>
    <t>已收定金，跟进交期</t>
  </si>
  <si>
    <t>MIF-23</t>
  </si>
  <si>
    <t>SH20220330</t>
  </si>
  <si>
    <t>JD</t>
  </si>
  <si>
    <t>卡塔尔PPT</t>
  </si>
  <si>
    <t>PPT-02</t>
  </si>
  <si>
    <t>IMP-11</t>
  </si>
  <si>
    <t>部门小计</t>
  </si>
  <si>
    <t>/</t>
  </si>
  <si>
    <t>PG-06</t>
  </si>
  <si>
    <t xml:space="preserve">马来西亚NE </t>
  </si>
  <si>
    <t>NE-18</t>
  </si>
  <si>
    <t>危地马拉FE</t>
  </si>
  <si>
    <t>FE-005</t>
  </si>
  <si>
    <t>OL-19</t>
  </si>
  <si>
    <t>ST-15</t>
  </si>
  <si>
    <t>ST-02</t>
  </si>
  <si>
    <t xml:space="preserve">X3 X9 </t>
  </si>
  <si>
    <t>交期暂定4月10日</t>
  </si>
  <si>
    <t>意向</t>
  </si>
  <si>
    <t>新业务部</t>
  </si>
  <si>
    <t>EJ-X3-047</t>
  </si>
  <si>
    <t>ETD 4/3</t>
  </si>
  <si>
    <t>EJ-X3-048</t>
  </si>
  <si>
    <t>ETD 4/10</t>
  </si>
  <si>
    <t>EJ-X3-049</t>
  </si>
  <si>
    <t>EJ-X3-050</t>
  </si>
  <si>
    <t>EJ-X6-127</t>
  </si>
  <si>
    <t>C-代</t>
  </si>
  <si>
    <t>TIFC2022-001</t>
  </si>
  <si>
    <t>4/24开单</t>
  </si>
  <si>
    <t>ETD 4/28</t>
  </si>
  <si>
    <t>ETD 4/12</t>
  </si>
  <si>
    <t>5/30到港</t>
  </si>
  <si>
    <t>KA-2021-006</t>
  </si>
  <si>
    <t>ETD 4/23</t>
  </si>
  <si>
    <t>印度APS</t>
  </si>
  <si>
    <t>APS-01</t>
  </si>
  <si>
    <t>NF-69B</t>
  </si>
  <si>
    <t>4/21 开单</t>
  </si>
  <si>
    <t>ETD4/24</t>
  </si>
  <si>
    <t>NF-74</t>
  </si>
  <si>
    <t>ETD 4/8</t>
  </si>
  <si>
    <t>KSC20211208</t>
  </si>
  <si>
    <t>6500EUR Spare parts</t>
  </si>
  <si>
    <t>空运订舱中</t>
  </si>
  <si>
    <t>中心合计</t>
  </si>
  <si>
    <t xml:space="preserve">    2022.5月份发货计划表  </t>
  </si>
  <si>
    <t>GLT-18</t>
  </si>
  <si>
    <t xml:space="preserve">菲律宾SUM </t>
  </si>
  <si>
    <t>SUM-008</t>
  </si>
  <si>
    <t>68系列， 之前库存</t>
  </si>
  <si>
    <t>缅甸HA</t>
  </si>
  <si>
    <t>HA-01</t>
  </si>
  <si>
    <t>家用和68系列</t>
  </si>
  <si>
    <t>OL-18</t>
  </si>
  <si>
    <t>OT-161E</t>
  </si>
  <si>
    <t>库存发货</t>
  </si>
  <si>
    <t>FE-06</t>
  </si>
  <si>
    <t>印尼DV</t>
  </si>
  <si>
    <t>DV-01</t>
  </si>
  <si>
    <t>FC-04</t>
  </si>
  <si>
    <t xml:space="preserve">SHUA-ARR20220418 </t>
  </si>
  <si>
    <t>STK-03</t>
  </si>
  <si>
    <t>EJ-X3-051</t>
  </si>
  <si>
    <t>ETD 5/14</t>
  </si>
  <si>
    <t>EJ-X3-052</t>
  </si>
  <si>
    <t>SI2022-001</t>
  </si>
  <si>
    <t>交期5/20</t>
  </si>
  <si>
    <t>SI2022-002</t>
  </si>
  <si>
    <t>CK2022-003</t>
  </si>
  <si>
    <t>ETD6/6</t>
  </si>
  <si>
    <t>CK2022-004</t>
  </si>
  <si>
    <t>BEE2022-01</t>
  </si>
  <si>
    <t>SH-T199P</t>
  </si>
  <si>
    <t>货未好</t>
  </si>
  <si>
    <t>BEE2022-02</t>
  </si>
  <si>
    <t>SH-T399P</t>
  </si>
  <si>
    <t>交期6/20</t>
  </si>
  <si>
    <t>KA2022-001</t>
  </si>
  <si>
    <t>KA2022-002</t>
  </si>
  <si>
    <t xml:space="preserve"> 5/5开船</t>
  </si>
  <si>
    <t>VIP2022-001</t>
  </si>
  <si>
    <t>部分货未好</t>
  </si>
  <si>
    <t>NF-76</t>
  </si>
  <si>
    <t>ETD 6/10</t>
  </si>
  <si>
    <t>NF-91A</t>
  </si>
  <si>
    <t>NF-91B</t>
  </si>
  <si>
    <t>日本UT</t>
  </si>
  <si>
    <t>UT-01</t>
  </si>
  <si>
    <t>SH-T5170A(M10)</t>
  </si>
  <si>
    <t>交期5/21</t>
  </si>
  <si>
    <t>KSC20220221</t>
  </si>
  <si>
    <t xml:space="preserve">    2022.6月份发货计划表  </t>
  </si>
  <si>
    <t>预计完成（开单）</t>
  </si>
  <si>
    <t>人民币（已开单）</t>
  </si>
  <si>
    <t>人民币（已开船）</t>
  </si>
  <si>
    <t>开船日期</t>
  </si>
  <si>
    <t>最新进度</t>
  </si>
  <si>
    <t>希腊LT</t>
  </si>
  <si>
    <t>LT-05</t>
  </si>
  <si>
    <t>发库存</t>
  </si>
  <si>
    <t>AP-16</t>
  </si>
  <si>
    <t>MIF-25</t>
  </si>
  <si>
    <t xml:space="preserve">阿塞拜疆TIM </t>
  </si>
  <si>
    <t>VG-04A</t>
  </si>
  <si>
    <t>客户指代回复爆仓，预计本周装柜</t>
  </si>
  <si>
    <t>沙特SL</t>
  </si>
  <si>
    <t>SL-01A</t>
  </si>
  <si>
    <t>AS-03</t>
  </si>
  <si>
    <t>GPR-02</t>
  </si>
  <si>
    <t>原5月开单冲5月销量，客户临时减数量，故6月退单重开</t>
  </si>
  <si>
    <t>MI-24</t>
  </si>
  <si>
    <t>5月开单落6月船期</t>
  </si>
  <si>
    <t>PA-03A</t>
  </si>
  <si>
    <t>俄罗斯FI</t>
  </si>
  <si>
    <t xml:space="preserve">F210506-4 </t>
  </si>
  <si>
    <t>发客户库存</t>
  </si>
  <si>
    <t>完成金额</t>
  </si>
  <si>
    <t>完成率</t>
  </si>
  <si>
    <t>新加坡GS</t>
  </si>
  <si>
    <t>GS-01</t>
  </si>
  <si>
    <t>5月已发货6月船期</t>
  </si>
  <si>
    <t>SA-10</t>
  </si>
  <si>
    <t>KI-28</t>
  </si>
  <si>
    <t>浙江宁波-印尼</t>
  </si>
  <si>
    <t>NB-01</t>
  </si>
  <si>
    <t>OT-161F</t>
  </si>
  <si>
    <t>NE-19</t>
  </si>
  <si>
    <t>浙江宁波</t>
  </si>
  <si>
    <t>NB-02</t>
  </si>
  <si>
    <t>AF</t>
  </si>
  <si>
    <t>香港ERN</t>
  </si>
  <si>
    <t>ERN-01</t>
  </si>
  <si>
    <t>货好</t>
  </si>
  <si>
    <t>TFC20220519</t>
  </si>
  <si>
    <t>全款结清</t>
  </si>
  <si>
    <t>FU-02</t>
  </si>
  <si>
    <t>IDC-03</t>
  </si>
  <si>
    <t>MOV20211220-B</t>
  </si>
  <si>
    <t>催尾款</t>
  </si>
  <si>
    <t>EJ-X3-053</t>
  </si>
  <si>
    <t>EJ-X3-054</t>
  </si>
  <si>
    <t>EJ-X1-003</t>
  </si>
  <si>
    <t xml:space="preserve"> 6/5</t>
  </si>
  <si>
    <t>6/11 已开船</t>
  </si>
  <si>
    <t>让利流程已过</t>
  </si>
  <si>
    <t>6/5 已开船</t>
  </si>
  <si>
    <t>CK2022-005</t>
  </si>
  <si>
    <t>LC正本已收到，让利已过</t>
  </si>
  <si>
    <t>6/22已开船</t>
  </si>
  <si>
    <t>已订舱 ETD 6/18 让利流程已过</t>
  </si>
  <si>
    <t>已订舱 ETD 6/24 让利流程已过</t>
  </si>
  <si>
    <t>交期5/30</t>
  </si>
  <si>
    <t>已开船，预计7/1到港</t>
  </si>
  <si>
    <t>KA2022-003</t>
  </si>
  <si>
    <t>让利已过，信用已过，账期延长已过</t>
  </si>
  <si>
    <t>印度BSS</t>
  </si>
  <si>
    <t>BSS2022-001</t>
  </si>
  <si>
    <t>请示流程已过，让利流程已过</t>
  </si>
  <si>
    <t>CG2022-002</t>
  </si>
  <si>
    <t>CG2022-003</t>
  </si>
  <si>
    <t>CG2022-006</t>
  </si>
  <si>
    <t>信用审核已过</t>
  </si>
  <si>
    <t>NF-92</t>
  </si>
  <si>
    <t>BX20220314</t>
  </si>
  <si>
    <t>让利已过</t>
  </si>
  <si>
    <t>1. 发货计划表每日下班前更新，次月5号前更新本月船期数据；</t>
  </si>
  <si>
    <t>2. D/E/F/G/H/J/K/L/M为必填项，其余选填；</t>
  </si>
  <si>
    <t>3. 已开单订单，订单号标浅绿，正在争取的订单，订单号标黄；</t>
  </si>
  <si>
    <t>4. 对表格的内容制定，有想法随时提；</t>
  </si>
  <si>
    <t>5. 5月开单6月船期订单，放至5月发货计划表。</t>
  </si>
  <si>
    <t xml:space="preserve">    2022.7月份发货计划表  </t>
  </si>
  <si>
    <t>本月目标（万元）</t>
  </si>
  <si>
    <t>备注</t>
  </si>
  <si>
    <t>MIF-26</t>
  </si>
  <si>
    <t>VX-14</t>
  </si>
  <si>
    <t>客户标</t>
  </si>
  <si>
    <t>HF-11A</t>
  </si>
  <si>
    <t>DEL-03</t>
  </si>
  <si>
    <t>无票不报关</t>
  </si>
  <si>
    <t>零售客户</t>
  </si>
  <si>
    <t>PD-01</t>
  </si>
  <si>
    <t>VPS-17</t>
  </si>
  <si>
    <t>待客户付定金</t>
  </si>
  <si>
    <t>配件单</t>
  </si>
  <si>
    <t>FG-06</t>
  </si>
  <si>
    <t>清呆滞，需翻箱</t>
  </si>
  <si>
    <t>AME-03</t>
  </si>
  <si>
    <t>BT-01</t>
  </si>
  <si>
    <t>2021年</t>
  </si>
  <si>
    <t>去年货发山东仓库，今年出口</t>
  </si>
  <si>
    <t>希腊AC</t>
  </si>
  <si>
    <t>AC-01A</t>
  </si>
  <si>
    <t>VG-04B</t>
  </si>
  <si>
    <t>SH20220608</t>
  </si>
  <si>
    <t>俄罗斯VSI</t>
  </si>
  <si>
    <t>SH20220415-1</t>
  </si>
  <si>
    <t>SH20220415-2</t>
  </si>
  <si>
    <t xml:space="preserve">黎巴嫩ZE </t>
  </si>
  <si>
    <t>SH20220415</t>
  </si>
  <si>
    <t>6.24开单</t>
  </si>
  <si>
    <t>F210506-5</t>
  </si>
  <si>
    <t>人民币出货</t>
  </si>
  <si>
    <t>PA-03B</t>
  </si>
  <si>
    <t>GLT-026</t>
  </si>
  <si>
    <t>7/3已开船</t>
  </si>
  <si>
    <t>7.26安排电放</t>
  </si>
  <si>
    <t>宁波骆凯鹏</t>
  </si>
  <si>
    <t>7/2已开船</t>
  </si>
  <si>
    <t>提单正本已寄出</t>
  </si>
  <si>
    <t>HA-02</t>
  </si>
  <si>
    <t>7/17已开船</t>
  </si>
  <si>
    <t>7.17船期</t>
  </si>
  <si>
    <t>HA-03</t>
  </si>
  <si>
    <t>8.3船期</t>
  </si>
  <si>
    <t>SUN-005D</t>
  </si>
  <si>
    <t>客户备用机</t>
  </si>
  <si>
    <t>7/28已开船</t>
  </si>
  <si>
    <t>7.28船期</t>
  </si>
  <si>
    <t>NE-20</t>
  </si>
  <si>
    <t>7/30已开船</t>
  </si>
  <si>
    <t>7.30船期</t>
  </si>
  <si>
    <t>台湾ML</t>
  </si>
  <si>
    <t>ML-02A</t>
  </si>
  <si>
    <t>8.1船期</t>
  </si>
  <si>
    <t>T5100已开单，预计开船8.1
T9119P已返工完毕，T399新面贴确认中，待客户确认验货中存在的问题，后安排订舱</t>
  </si>
  <si>
    <t>ML-03</t>
  </si>
  <si>
    <t>3台样品（T199/T210/B599）已随T5100货柜发出</t>
  </si>
  <si>
    <t>OL-059</t>
  </si>
  <si>
    <t>MD-06</t>
  </si>
  <si>
    <t>ETD 7/17</t>
  </si>
  <si>
    <t xml:space="preserve">越南ARR </t>
  </si>
  <si>
    <t xml:space="preserve"> SHUA-ARR20220624</t>
  </si>
  <si>
    <t>ETD 7/23</t>
  </si>
  <si>
    <t>21号装柜，23号船期</t>
  </si>
  <si>
    <t>菲律宾GW</t>
  </si>
  <si>
    <t>GW-SP01</t>
  </si>
  <si>
    <t>7.10寄出</t>
  </si>
  <si>
    <t>GLT-027</t>
  </si>
  <si>
    <t>7.25安排顺丰快递</t>
  </si>
  <si>
    <t>澳大利亚AF</t>
  </si>
  <si>
    <t>AF-05</t>
  </si>
  <si>
    <t>7.18船期</t>
  </si>
  <si>
    <t>EJ-X3-055</t>
  </si>
  <si>
    <t>EJ-X3-056</t>
  </si>
  <si>
    <t>EJ-X3-057</t>
  </si>
  <si>
    <t>ETD 7/21</t>
  </si>
  <si>
    <t>加装一台2100样机</t>
  </si>
  <si>
    <t>EJ-X3-058</t>
  </si>
  <si>
    <t>7/1 已开船</t>
  </si>
  <si>
    <t>7/4 已开船</t>
  </si>
  <si>
    <t>CG2022-004</t>
  </si>
  <si>
    <t>交期7/10</t>
  </si>
  <si>
    <t>ETD 7/26</t>
  </si>
  <si>
    <t>定金</t>
  </si>
  <si>
    <t>CG2022-005</t>
  </si>
  <si>
    <t>交期7/15</t>
  </si>
  <si>
    <t>7/6已开船</t>
  </si>
  <si>
    <t>7/4已开船</t>
  </si>
  <si>
    <t xml:space="preserve">    2022.8月份发货计划表  </t>
  </si>
  <si>
    <t>人民币（开单）</t>
  </si>
  <si>
    <t>人民币（开船）</t>
  </si>
  <si>
    <t>SAT-42</t>
  </si>
  <si>
    <t>芬兰KU</t>
  </si>
  <si>
    <t>KU-02</t>
  </si>
  <si>
    <t>ZS-02</t>
  </si>
  <si>
    <t>AP-17A</t>
  </si>
  <si>
    <t>MIF-27A</t>
  </si>
  <si>
    <t>8月</t>
  </si>
  <si>
    <t>火车发运，准确报关日期暂无。</t>
  </si>
  <si>
    <t>VG-04C</t>
  </si>
  <si>
    <t>塔吉克斯坦FM</t>
  </si>
  <si>
    <t>已发货，无票</t>
  </si>
  <si>
    <t>白俄罗斯AF</t>
  </si>
  <si>
    <t>5号装柜，21号发车</t>
  </si>
  <si>
    <t>S</t>
  </si>
  <si>
    <t>RS-05</t>
  </si>
  <si>
    <t>已发到客户工厂，待下周拼柜出货。</t>
  </si>
  <si>
    <t>东南亚美洲</t>
  </si>
  <si>
    <t>ETD: 8/1</t>
  </si>
  <si>
    <t>8.1已开船</t>
  </si>
  <si>
    <t>ETD: 8/3</t>
  </si>
  <si>
    <t>8.3已开船</t>
  </si>
  <si>
    <t>OL-59</t>
  </si>
  <si>
    <t>ML-02B</t>
  </si>
  <si>
    <t>ETD: 8/13</t>
  </si>
  <si>
    <t>两款产品（T9119/T399）
8.10装四个高柜</t>
  </si>
  <si>
    <t>印尼RA</t>
  </si>
  <si>
    <t>RA-01A</t>
  </si>
  <si>
    <t>为满足开店预售，LCL散货出口，已发货，无票报关</t>
  </si>
  <si>
    <t>印尼IR</t>
  </si>
  <si>
    <t>IR-02</t>
  </si>
  <si>
    <t>ETD: 9/5</t>
  </si>
  <si>
    <t>产品已调拨，已拿到SO</t>
  </si>
  <si>
    <t>澳大利亚RG</t>
  </si>
  <si>
    <t>RG-01</t>
  </si>
  <si>
    <t>LCL散货，已发货</t>
  </si>
  <si>
    <t>加拿大DK</t>
  </si>
  <si>
    <t>DK-01</t>
  </si>
  <si>
    <t>订金到账，预计23年3月发货</t>
  </si>
  <si>
    <t>新加坡ORG</t>
  </si>
  <si>
    <t>ORG-01</t>
  </si>
  <si>
    <t>ETD: 8/28</t>
  </si>
  <si>
    <t>8.23装柜，8.28开船</t>
  </si>
  <si>
    <t>ST-17</t>
  </si>
  <si>
    <t>订金到账，8.30装柜</t>
  </si>
  <si>
    <t>SA-12</t>
  </si>
  <si>
    <t>全款到账，9.1装柜</t>
  </si>
  <si>
    <t>EW-05</t>
  </si>
  <si>
    <t>已提货</t>
  </si>
  <si>
    <t>散货，8.31发出</t>
  </si>
  <si>
    <t>GLT-028</t>
  </si>
  <si>
    <t>PI已确认，8.23散货入仓</t>
  </si>
  <si>
    <t>GLT-029</t>
  </si>
  <si>
    <t>订金到账，8.31发出</t>
  </si>
  <si>
    <t>KI-33</t>
  </si>
  <si>
    <t>已发货（无票）</t>
  </si>
  <si>
    <t>KI-34</t>
  </si>
  <si>
    <t>PE20220820</t>
  </si>
  <si>
    <t>AF-代</t>
  </si>
  <si>
    <t>OT-161G</t>
  </si>
  <si>
    <t>ETD: 8/8</t>
  </si>
  <si>
    <t>8.5装柜，8.8开船</t>
  </si>
  <si>
    <t>OT-161H</t>
  </si>
  <si>
    <t>ETD: 8/26</t>
  </si>
  <si>
    <t>8.18装柜，8.26开船</t>
  </si>
  <si>
    <t>G-代</t>
  </si>
  <si>
    <t>SHUA-ARR20220803</t>
  </si>
  <si>
    <t>ETD: 8/20</t>
  </si>
  <si>
    <t>8.18装柜</t>
  </si>
  <si>
    <t>EJ-X3-059</t>
  </si>
  <si>
    <t>ETD 8/14</t>
  </si>
  <si>
    <t>跑带油渍，货好即订</t>
  </si>
  <si>
    <t>EJ-X3-060</t>
  </si>
  <si>
    <t>EJ-X3-061</t>
  </si>
  <si>
    <t>ETD 8/28</t>
  </si>
  <si>
    <t>EJ-X3-062</t>
  </si>
  <si>
    <t>ETD 8/30</t>
  </si>
  <si>
    <t>EJ-X3-063</t>
  </si>
  <si>
    <t>TIFC2022-002A</t>
  </si>
  <si>
    <t>ETD 9/6</t>
  </si>
  <si>
    <t>华南受台风影响会晚开</t>
  </si>
  <si>
    <t>有客诉配件</t>
  </si>
  <si>
    <t>CG-2022008</t>
  </si>
  <si>
    <t>9-18到港</t>
  </si>
  <si>
    <t>CG-2022009</t>
  </si>
  <si>
    <t>SH-G6910</t>
  </si>
  <si>
    <t>NF-83</t>
  </si>
  <si>
    <t>开单少开2000，抵扣赞助费，杠铃片分来发</t>
  </si>
  <si>
    <t>日本FT</t>
  </si>
  <si>
    <t>FT-03</t>
  </si>
  <si>
    <t>FT-04</t>
  </si>
  <si>
    <t>3. 已开单订单，订单号标浅绿，填入人民币金额；</t>
  </si>
  <si>
    <t>4. 已确定订单，正在争取本月开单的，订单号标黄，根据发出的概率，人民币金额选填；</t>
  </si>
  <si>
    <t>5. 未确定订单，正在争取中的意向订单，订单号标灰色，只写美金金额，不填人民币金额。</t>
  </si>
  <si>
    <t xml:space="preserve">    2022.9月份发货计划表  </t>
  </si>
  <si>
    <t>SAT-43</t>
  </si>
  <si>
    <t>MIF-27B</t>
  </si>
  <si>
    <t>MIF-27C</t>
  </si>
  <si>
    <t>JK-13</t>
  </si>
  <si>
    <t>订舱9月24</t>
  </si>
  <si>
    <t>HF-11</t>
  </si>
  <si>
    <t>F221102</t>
  </si>
  <si>
    <t>预计10-15</t>
  </si>
  <si>
    <t>铁路发运以报关数据为准，时间不确定性很大</t>
  </si>
  <si>
    <t>印尼CV</t>
  </si>
  <si>
    <t>SH20220811</t>
  </si>
  <si>
    <t>SH20220804-1</t>
  </si>
  <si>
    <t>SH20220804-2</t>
  </si>
  <si>
    <t>PA-03C</t>
  </si>
  <si>
    <t>科威特AH</t>
  </si>
  <si>
    <t>AH-01</t>
  </si>
  <si>
    <t>ETD: 9/11</t>
  </si>
  <si>
    <t>全款已到账，9.8装柜</t>
  </si>
  <si>
    <t>全款已到账，8.30装柜</t>
  </si>
  <si>
    <t>全款已到账，9.1装柜</t>
  </si>
  <si>
    <t>ETD: 9/8</t>
  </si>
  <si>
    <t>WE-12</t>
  </si>
  <si>
    <t>ETD: 9/24</t>
  </si>
  <si>
    <t>全款已到账，9.24船期</t>
  </si>
  <si>
    <t>HA-04</t>
  </si>
  <si>
    <t>ETD: 9/30</t>
  </si>
  <si>
    <t>全款到账，船期9.30</t>
  </si>
  <si>
    <t>澳大利亚ERC</t>
  </si>
  <si>
    <t>ERC-001</t>
  </si>
  <si>
    <t>RMB全款到账，22号发广州入仓</t>
  </si>
  <si>
    <t>OL-060</t>
  </si>
  <si>
    <t>ETD: 10/08</t>
  </si>
  <si>
    <t>9.28已收到全款水单，9.29装柜</t>
  </si>
  <si>
    <t>智利CMF</t>
  </si>
  <si>
    <t>CMF-01</t>
  </si>
  <si>
    <t>已开单发货</t>
  </si>
  <si>
    <t>OT-161I</t>
  </si>
  <si>
    <t>ETD: 9/15</t>
  </si>
  <si>
    <t>尾款已到账，9.13装柜</t>
  </si>
  <si>
    <t>OT-161J</t>
  </si>
  <si>
    <t>9.27号收到客户订金，9.29装柜</t>
  </si>
  <si>
    <t>SHUA-ARR20220828</t>
  </si>
  <si>
    <t>ETD: 9/20</t>
  </si>
  <si>
    <t>越南舒华展厅健身房，已发货</t>
  </si>
  <si>
    <t>EJ-X3-064</t>
  </si>
  <si>
    <t>JLG057A随柜</t>
  </si>
  <si>
    <t>EJ-X3-065</t>
  </si>
  <si>
    <t>EJ-X3-066</t>
  </si>
  <si>
    <t>EJ-X3-067</t>
  </si>
  <si>
    <t>9/28 全款到账</t>
  </si>
  <si>
    <t>CK2022-006</t>
  </si>
  <si>
    <t>ETD 9/21</t>
  </si>
  <si>
    <t>10/17 尾款到账，平</t>
  </si>
  <si>
    <t>ETD: 10/8</t>
  </si>
  <si>
    <t>9/16 定金到账，LC待到帐</t>
  </si>
  <si>
    <t>NF-77</t>
  </si>
  <si>
    <t>货齐</t>
  </si>
  <si>
    <t>9/8 全款到账</t>
  </si>
  <si>
    <t>NF-78</t>
  </si>
  <si>
    <t>ETD: 9/12</t>
  </si>
  <si>
    <t>NF-93</t>
  </si>
  <si>
    <t>ETD: 10/2</t>
  </si>
  <si>
    <t>10/13 全款到账</t>
  </si>
  <si>
    <t>FT-05</t>
  </si>
  <si>
    <t>ETD11/13</t>
  </si>
  <si>
    <t>10/17 全款到账</t>
  </si>
  <si>
    <t>Bob</t>
  </si>
  <si>
    <t xml:space="preserve">    2022.10月份发货计划表  </t>
  </si>
  <si>
    <t>丹麦MM</t>
  </si>
  <si>
    <t>MM-01</t>
  </si>
  <si>
    <t>葡萄牙YFE</t>
  </si>
  <si>
    <t>YFE-01</t>
  </si>
  <si>
    <t>拿到SO, 10-26装柜</t>
  </si>
  <si>
    <t>斯洛文尼亚MAT</t>
  </si>
  <si>
    <t>MK-01</t>
  </si>
  <si>
    <t>款到货齐，订舱中</t>
  </si>
  <si>
    <t>AP-18</t>
  </si>
  <si>
    <t>发库存，货齐</t>
  </si>
  <si>
    <t>VPS-18</t>
  </si>
  <si>
    <t>MIF-28A</t>
  </si>
  <si>
    <t>MIF-28B</t>
  </si>
  <si>
    <t>29号早上打单，30号装柜</t>
  </si>
  <si>
    <t>6号装柜，21号发车</t>
  </si>
  <si>
    <t>俄罗斯贸易公司</t>
  </si>
  <si>
    <t>全款已收，现待客户寄合同和给发货地址</t>
  </si>
  <si>
    <t>配件订单</t>
  </si>
  <si>
    <t>待装柜</t>
  </si>
  <si>
    <t>30号船期</t>
  </si>
  <si>
    <t>26号船期</t>
  </si>
  <si>
    <t>以色列OS</t>
  </si>
  <si>
    <t>OS-01</t>
  </si>
  <si>
    <t>坦桑尼亚CO</t>
  </si>
  <si>
    <t>CO-01</t>
  </si>
  <si>
    <t>客户已付全款，货已发到广州客户货代仓库，已装柜，在申报。</t>
  </si>
  <si>
    <t>尼日利亚DL</t>
  </si>
  <si>
    <t>DL-01</t>
  </si>
  <si>
    <t>10.27装柜，10.30船期</t>
  </si>
  <si>
    <t>9.29装柜，10.8船期</t>
  </si>
  <si>
    <t>9.29装柜，10.4船期</t>
  </si>
  <si>
    <t>新西兰SFF</t>
  </si>
  <si>
    <t>SFF-01</t>
  </si>
  <si>
    <t>ETD: 11/05</t>
  </si>
  <si>
    <t>10.27开单发货厦门入仓，11.5船期</t>
  </si>
  <si>
    <t>SUN-006</t>
  </si>
  <si>
    <t>全款到位，19号装柜，船期10.31</t>
  </si>
  <si>
    <t>RA-01B</t>
  </si>
  <si>
    <t>ETD: 10/21</t>
  </si>
  <si>
    <t>全款到位，19号装柜，船期10.21</t>
  </si>
  <si>
    <t>GLT-030</t>
  </si>
  <si>
    <t>入仓厦门，产品销往金门市场，无票报关</t>
  </si>
  <si>
    <t>GLT-031</t>
  </si>
  <si>
    <t>ETD: 11/03</t>
  </si>
  <si>
    <t>10.27开单，11.3船期</t>
  </si>
  <si>
    <t>AF-06</t>
  </si>
  <si>
    <t>货好，10.25已发出，无票报关</t>
  </si>
  <si>
    <t>KI-35</t>
  </si>
  <si>
    <t>货好，10.13已发出，无票报关</t>
  </si>
  <si>
    <t>GW-SP02</t>
  </si>
  <si>
    <t>ETD: 10/23</t>
  </si>
  <si>
    <t>19号已发货，10.21号装柜报关</t>
  </si>
  <si>
    <t>GW-29</t>
  </si>
  <si>
    <t>新加坡ULS</t>
  </si>
  <si>
    <t>ULS-06</t>
  </si>
  <si>
    <t>已全款到位，船期10.21</t>
  </si>
  <si>
    <t>MOV20220802</t>
  </si>
  <si>
    <t>10月31号装柜</t>
  </si>
  <si>
    <t>CW-03</t>
  </si>
  <si>
    <t>10月26号已发货，送广州进仓</t>
  </si>
  <si>
    <t>巴拿马JST</t>
  </si>
  <si>
    <t>JST-01</t>
  </si>
  <si>
    <t>已发货（1台B8860S，无票报关）</t>
  </si>
  <si>
    <t>SHUA-ARR20220805</t>
  </si>
  <si>
    <t>ETD:10/12</t>
  </si>
  <si>
    <t>9月开单，10月8号装柜，已开船</t>
  </si>
  <si>
    <t>SHUA-ARR20221014</t>
  </si>
  <si>
    <t>ETD:10/22</t>
  </si>
  <si>
    <t>10月19号装柜，待开船</t>
  </si>
  <si>
    <t>EJ-X3-068</t>
  </si>
  <si>
    <t>ETD 10/10</t>
  </si>
  <si>
    <t>EJ-X3-069</t>
  </si>
  <si>
    <t>ETD 10/17</t>
  </si>
  <si>
    <t>EJ-X3-070</t>
  </si>
  <si>
    <t>ETD 10/22</t>
  </si>
  <si>
    <t>EJ-X3-071</t>
  </si>
  <si>
    <t>10/!4</t>
  </si>
  <si>
    <t>EJ-X3-072</t>
  </si>
  <si>
    <t>EJ-X6-128</t>
  </si>
  <si>
    <t>ETD10/17</t>
  </si>
  <si>
    <t>SH-6700A</t>
  </si>
  <si>
    <t>CE2022-001</t>
  </si>
  <si>
    <t>ETD11/1</t>
  </si>
  <si>
    <t>28号已装柜</t>
  </si>
  <si>
    <t>SH-8919</t>
  </si>
  <si>
    <t>孟加拉MSA</t>
  </si>
  <si>
    <t>MSA-2022-001</t>
  </si>
  <si>
    <t>老板出差，预计10月24号订单内容待确定</t>
  </si>
  <si>
    <t>印度MJB</t>
  </si>
  <si>
    <t>MJB-2022-001</t>
  </si>
  <si>
    <t>PI已确认，5天未回复</t>
  </si>
  <si>
    <t>客户想要5907跑步机让利约27%，目前正在谈判</t>
  </si>
  <si>
    <t>印度BHA</t>
  </si>
  <si>
    <t>定制化订单不满足MOQ，重新谈货品数量中</t>
  </si>
  <si>
    <t xml:space="preserve">    2022.11月份发货计划表  </t>
  </si>
  <si>
    <t>MIF-28C</t>
  </si>
  <si>
    <t>11-15装柜</t>
  </si>
  <si>
    <t>葡萄牙ON</t>
  </si>
  <si>
    <t>ON-01A</t>
  </si>
  <si>
    <t>11-5装柜</t>
  </si>
  <si>
    <t>MIF-28D</t>
  </si>
  <si>
    <t>SAT-44</t>
  </si>
  <si>
    <t>货已好</t>
  </si>
  <si>
    <t>B9100EX3台30日货好</t>
  </si>
  <si>
    <t>俄罗斯TA</t>
  </si>
  <si>
    <t>客户俱乐部场地未建好，要求延迟发货</t>
  </si>
  <si>
    <t>卡塔尔IV-02</t>
  </si>
  <si>
    <t>STR-18</t>
  </si>
  <si>
    <t>11.28已开船，尾款已收到</t>
  </si>
  <si>
    <t>利比亚CG</t>
  </si>
  <si>
    <t>CG-01</t>
  </si>
  <si>
    <t>尾款到账，已发货</t>
  </si>
  <si>
    <t>.</t>
  </si>
  <si>
    <t>全款到位，19号装柜，11.5船期</t>
  </si>
  <si>
    <t>1*20GP</t>
  </si>
  <si>
    <t>GLT-032</t>
  </si>
  <si>
    <t>散货增补金门客户订单，11.8发出，无票</t>
  </si>
  <si>
    <t>LCL</t>
  </si>
  <si>
    <t>ML-05</t>
  </si>
  <si>
    <t>美国DV</t>
  </si>
  <si>
    <t>DV-001</t>
  </si>
  <si>
    <t>ETD: 11/23</t>
  </si>
  <si>
    <t>11月3号发出，拼客户的柜子出口</t>
  </si>
  <si>
    <t>美国PRT</t>
  </si>
  <si>
    <t>PRT-01A</t>
  </si>
  <si>
    <t>样品单已完成，并寄出，无票</t>
  </si>
  <si>
    <t>OL-061</t>
  </si>
  <si>
    <t>ETD: 11/25</t>
  </si>
  <si>
    <t>11.18开单，11.25船期</t>
  </si>
  <si>
    <t>1*40HQ</t>
  </si>
  <si>
    <t>配件SP-03/04/05</t>
  </si>
  <si>
    <t>配件订单，代付客户账上</t>
  </si>
  <si>
    <t>GW-30</t>
  </si>
  <si>
    <t> 订单确认，客户已安排全款，无票</t>
  </si>
  <si>
    <t>NE-021</t>
  </si>
  <si>
    <t>11.18开单，LCL散货入仓广州，无票</t>
  </si>
  <si>
    <t>ETD：11/12</t>
  </si>
  <si>
    <t>10月底开单发货，船期11月</t>
  </si>
  <si>
    <t>ETD 11月</t>
  </si>
  <si>
    <t>IG-03</t>
  </si>
  <si>
    <t>付费配件，已开单待发货</t>
  </si>
  <si>
    <t>OT-161K</t>
  </si>
  <si>
    <t>ETD: 11/10</t>
  </si>
  <si>
    <t>11.4收到订金，船期11.10</t>
  </si>
  <si>
    <t>OT-161L</t>
  </si>
  <si>
    <t>ETD: 11/21</t>
  </si>
  <si>
    <t>11.15收到订金，11.16装柜，船期11.21</t>
  </si>
  <si>
    <t>EJ-X3-073</t>
  </si>
  <si>
    <t>ETD 11/9</t>
  </si>
  <si>
    <t>EJ-X3-074</t>
  </si>
  <si>
    <t>EJ-X1-004</t>
  </si>
  <si>
    <t>ETD 11/27</t>
  </si>
  <si>
    <t>NF-95</t>
  </si>
  <si>
    <t>ETD11/9</t>
  </si>
  <si>
    <t>11/7 全款到账，折扣$3000赞助费</t>
  </si>
  <si>
    <t>NF-96</t>
  </si>
  <si>
    <t>11/16 全款到账</t>
  </si>
  <si>
    <t>尼泊尔SKA</t>
  </si>
  <si>
    <t>SKA2022-001</t>
  </si>
  <si>
    <t>LC 已收,已装柜</t>
  </si>
  <si>
    <t>BEE2022-03</t>
  </si>
  <si>
    <t>ETD11/17</t>
  </si>
  <si>
    <t>11/17 已开船，预计12/12 到港</t>
  </si>
  <si>
    <t>KA2022-006</t>
  </si>
  <si>
    <t>配件待确认，11/30装柜</t>
  </si>
  <si>
    <t>CG2022-010</t>
  </si>
  <si>
    <t>SH-G6879</t>
  </si>
  <si>
    <t>巴基斯坦ASAD</t>
  </si>
  <si>
    <t>ASAD-2022-001</t>
  </si>
  <si>
    <t>对方还在考虑要不要下单</t>
  </si>
  <si>
    <t>FU-03</t>
  </si>
  <si>
    <t>阿联酋OMID</t>
  </si>
  <si>
    <t>TSC20221117</t>
  </si>
  <si>
    <t xml:space="preserve">    2022.12月份发货计划表  </t>
  </si>
  <si>
    <t>预计开单金额</t>
  </si>
  <si>
    <t>已开单金额</t>
  </si>
  <si>
    <t>已开船金额</t>
  </si>
  <si>
    <t>欧非</t>
  </si>
  <si>
    <t>MIF-28E</t>
  </si>
  <si>
    <t>1月7号的船，还在争取更早的船期，已发起让利申请</t>
  </si>
  <si>
    <t>法国LAR</t>
  </si>
  <si>
    <t>LAR-01</t>
  </si>
  <si>
    <t>定金已到账，12.30的船，已发起让利申请</t>
  </si>
  <si>
    <t>GP-04B</t>
  </si>
  <si>
    <t>订舱中，已发起让利</t>
  </si>
  <si>
    <t>FG-07</t>
  </si>
  <si>
    <t>29号翻箱完，让利申请已走</t>
  </si>
  <si>
    <t>AP-19</t>
  </si>
  <si>
    <t>1月2号船期，舱位拿到，让利申请已走</t>
  </si>
  <si>
    <t>SAT-47(T8919T 22寸)</t>
  </si>
  <si>
    <t>已订舱，1月6号船，已发让利</t>
  </si>
  <si>
    <t>BT-02</t>
  </si>
  <si>
    <t>全款到账，发青岛客户仓库暂存，让利流程已发起</t>
  </si>
  <si>
    <t>GP-04A</t>
  </si>
  <si>
    <t>2-1尾款到账</t>
  </si>
  <si>
    <t>SAT-45(T860)</t>
  </si>
  <si>
    <t>SAT-46(T8919)</t>
  </si>
  <si>
    <t>HF-12</t>
  </si>
  <si>
    <t>1-10尾款到账</t>
  </si>
  <si>
    <t>EP-02</t>
  </si>
  <si>
    <t>ZSL-03</t>
  </si>
  <si>
    <t>SH20221228</t>
  </si>
  <si>
    <t>AF-02</t>
  </si>
  <si>
    <t>土耳其GA</t>
  </si>
  <si>
    <t>SH20221229</t>
  </si>
  <si>
    <t>2022/15</t>
  </si>
  <si>
    <t>SH20220804-6</t>
  </si>
  <si>
    <t xml:space="preserve">  JD  </t>
  </si>
  <si>
    <t>CI-02</t>
  </si>
  <si>
    <t>OS-02</t>
  </si>
  <si>
    <t>12.13装柜</t>
  </si>
  <si>
    <t>OS-03</t>
  </si>
  <si>
    <t>12.23装柜</t>
  </si>
  <si>
    <t>RS-08</t>
  </si>
  <si>
    <t>样机一台，预计12月底发货，客户已汇款，待到账</t>
  </si>
  <si>
    <t>OS-04</t>
  </si>
  <si>
    <t>12.30装柜</t>
  </si>
  <si>
    <t>GLT-033</t>
  </si>
  <si>
    <t>12月30号装柜，23年1月3号船期</t>
  </si>
  <si>
    <t>1*40FT（平柜）</t>
  </si>
  <si>
    <t>ORG-02</t>
  </si>
  <si>
    <t>12月9号装柜，12月11号船期，订单已完结</t>
  </si>
  <si>
    <t>KI-037</t>
  </si>
  <si>
    <t>12月9号已发货，订单已完结</t>
  </si>
  <si>
    <t>SP-01</t>
  </si>
  <si>
    <t>配件订单，12月5号已发货，无票</t>
  </si>
  <si>
    <t>配件无票</t>
  </si>
  <si>
    <t>RG-02</t>
  </si>
  <si>
    <t>12月24号装车，12月31号船期，订单已完结</t>
  </si>
  <si>
    <t>航星体育HX</t>
  </si>
  <si>
    <t>HX-003</t>
  </si>
  <si>
    <t>12月24号装车，货物送往客户指定仓库</t>
  </si>
  <si>
    <t>RA-03</t>
  </si>
  <si>
    <t>12月28号装车，货物送往客户指定仓库，无票</t>
  </si>
  <si>
    <t>PRT-01B</t>
  </si>
  <si>
    <t>样品单已完成，12月6号寄出，订单已完结</t>
  </si>
  <si>
    <t>有报关</t>
  </si>
  <si>
    <t>SFF-02</t>
  </si>
  <si>
    <t>TFC20221124</t>
  </si>
  <si>
    <t>12月2号已装柜</t>
  </si>
  <si>
    <t>MDF-08</t>
  </si>
  <si>
    <t>已收定金，船期1/1，订单已完结</t>
  </si>
  <si>
    <t>订单确认，无票，订单已完结</t>
  </si>
  <si>
    <t>OT-161M</t>
  </si>
  <si>
    <t>12月9号已装柜，12月13号船期，订单已完结</t>
  </si>
  <si>
    <t>OT-161N</t>
  </si>
  <si>
    <t>12月28号装柜，23年1月5号船期</t>
  </si>
  <si>
    <t>SHUA-ARR20221125</t>
  </si>
  <si>
    <t>12月3号装柜，12月9号船期，订单已完结</t>
  </si>
  <si>
    <t>SHUA-ARR20221215</t>
  </si>
  <si>
    <t>12月22号装柜，12月25号船期，订单已完结</t>
  </si>
  <si>
    <t>新业务</t>
  </si>
  <si>
    <t>EJ-X3-075</t>
  </si>
  <si>
    <t>ETD 12/28</t>
  </si>
  <si>
    <t>EJ-X3-076</t>
  </si>
  <si>
    <t>EJ-X3-077</t>
  </si>
  <si>
    <t>EJ-X3-078</t>
  </si>
  <si>
    <t>EJ-X3-079</t>
  </si>
  <si>
    <t>EJ-X6-129</t>
  </si>
  <si>
    <t>ETD 12/19</t>
  </si>
  <si>
    <t>个人小计</t>
  </si>
  <si>
    <t>NF-97</t>
  </si>
  <si>
    <t>客户需求时间23年1月，暂时无法提前发出</t>
  </si>
  <si>
    <t>待收尾款</t>
  </si>
  <si>
    <t>账期延长申请已走</t>
  </si>
  <si>
    <t>CE2022-002A</t>
  </si>
  <si>
    <t>12/27 装柜，尾款1/16已到账</t>
  </si>
  <si>
    <t>KA2022-005A</t>
  </si>
  <si>
    <t>ETD1/2</t>
  </si>
  <si>
    <t>12/28装柜</t>
  </si>
  <si>
    <t>尼泊尔RMJ</t>
  </si>
  <si>
    <t>RMJ-2022-001</t>
  </si>
  <si>
    <t>1. 发货计划表每日下班前更新，次月5号前更新上月船期数据；</t>
  </si>
  <si>
    <t>3. 已确认订单，且预计会在本月发出订单，在“预计开单金额”一栏填入人民币金额；</t>
  </si>
  <si>
    <t>4. 已开单订单，订单号标浅绿，在“已开单金额”一栏填入人民币金额；</t>
  </si>
  <si>
    <t>5. 已确定订单，正在争取本月开单的，订单号标黄，根据发出的概率，在“预计开单金额”一栏选择是否填入人民币金额；</t>
  </si>
  <si>
    <t>6. 未确定订单，正在争取中的意向订单，订单号标灰色，只填入美金金额，不填人民币金额。</t>
  </si>
  <si>
    <t xml:space="preserve">    2023.9月份发货计划表   </t>
  </si>
  <si>
    <t>类目</t>
  </si>
  <si>
    <t>本月目标   
（万元）</t>
  </si>
  <si>
    <t>客户名称</t>
  </si>
  <si>
    <t>欧美</t>
  </si>
  <si>
    <t>本月预计发货订单</t>
  </si>
  <si>
    <t>A</t>
  </si>
  <si>
    <t>SAT-50</t>
  </si>
  <si>
    <t>信用证收到，客户要求交期9月底</t>
  </si>
  <si>
    <t>LAR-03B</t>
  </si>
  <si>
    <t>暂定9/12号装柜</t>
  </si>
  <si>
    <t>Cardio</t>
  </si>
  <si>
    <t>LAR-03C</t>
  </si>
  <si>
    <t>信用证收到,7/20已下单,交期9月22号</t>
  </si>
  <si>
    <t>MM-03</t>
  </si>
  <si>
    <t>9月底</t>
  </si>
  <si>
    <t>线上拼单做客户标，明细基本确认，催定金. 老客户本次是最后一次做小柜。</t>
  </si>
  <si>
    <t>T9100/T6700A</t>
  </si>
  <si>
    <t>SAT-51</t>
  </si>
  <si>
    <t>8/26装柜，9月船期</t>
  </si>
  <si>
    <t>SAT-52</t>
  </si>
  <si>
    <t>LAR-03A</t>
  </si>
  <si>
    <t>8/30装柜，9月船期</t>
  </si>
  <si>
    <t>LAR-04</t>
  </si>
  <si>
    <t>8/29装柜，9月船期</t>
  </si>
  <si>
    <t>上海仙水国际贸易</t>
  </si>
  <si>
    <t>XS-05</t>
  </si>
  <si>
    <r>
      <rPr>
        <sz val="11"/>
        <color rgb="FF000000"/>
        <rFont val="微软雅黑"/>
        <charset val="134"/>
      </rPr>
      <t xml:space="preserve">已收定金，人民币含税开票, </t>
    </r>
    <r>
      <rPr>
        <sz val="11"/>
        <color rgb="FFFF0000"/>
        <rFont val="微软雅黑"/>
        <charset val="134"/>
      </rPr>
      <t>催尾款后发货</t>
    </r>
  </si>
  <si>
    <t>68,88</t>
  </si>
  <si>
    <t>发秘鲁</t>
  </si>
  <si>
    <t>MOV20230829</t>
  </si>
  <si>
    <t>订单确认，本周付定金，9月发货（6500S需求电压110V，原一个高柜改成1个小柜）</t>
  </si>
  <si>
    <t>5170A, 5918S</t>
  </si>
  <si>
    <t>巴西SFG</t>
  </si>
  <si>
    <t>SFG-01</t>
  </si>
  <si>
    <r>
      <rPr>
        <sz val="11"/>
        <color rgb="FF000000"/>
        <rFont val="微软雅黑"/>
        <charset val="134"/>
      </rPr>
      <t>已收全款，</t>
    </r>
    <r>
      <rPr>
        <sz val="11"/>
        <color rgb="FFFF0000"/>
        <rFont val="微软雅黑"/>
        <charset val="134"/>
      </rPr>
      <t>客户指定货代订舱中</t>
    </r>
  </si>
  <si>
    <t>69，89样机</t>
  </si>
  <si>
    <t>MDF-11-A</t>
  </si>
  <si>
    <r>
      <rPr>
        <sz val="11"/>
        <color rgb="FF000000"/>
        <rFont val="微软雅黑"/>
        <charset val="134"/>
      </rPr>
      <t>舒华展厅健身房项目（1200平） 已收定金（</t>
    </r>
    <r>
      <rPr>
        <sz val="11"/>
        <color rgb="FFFF0000"/>
        <rFont val="微软雅黑"/>
        <charset val="134"/>
      </rPr>
      <t>68 黑色坐垫需要下单做</t>
    </r>
    <r>
      <rPr>
        <sz val="11"/>
        <color rgb="FF000000"/>
        <rFont val="微软雅黑"/>
        <charset val="134"/>
      </rPr>
      <t>）交期协调</t>
    </r>
  </si>
  <si>
    <t>68,69,T8919</t>
  </si>
  <si>
    <t>3*40HQ</t>
  </si>
  <si>
    <t>巴西WEDO</t>
  </si>
  <si>
    <t>WDF-03</t>
  </si>
  <si>
    <r>
      <rPr>
        <sz val="11"/>
        <color rgb="FF000000"/>
        <rFont val="微软雅黑"/>
        <charset val="134"/>
      </rPr>
      <t>订单已确认，舒华品牌更改颜色（红），下单生产，</t>
    </r>
    <r>
      <rPr>
        <sz val="11"/>
        <color rgb="FFFF0000"/>
        <rFont val="微软雅黑"/>
        <charset val="134"/>
      </rPr>
      <t>交期10月14号，需求交期9月底发货</t>
    </r>
  </si>
  <si>
    <t>68,69,88</t>
  </si>
  <si>
    <t xml:space="preserve">2*40HQ </t>
  </si>
  <si>
    <t>订单金额</t>
  </si>
  <si>
    <t>汇率</t>
  </si>
  <si>
    <t>计划发货时间</t>
  </si>
  <si>
    <t>已签订订单（发货时间明确不在本月）</t>
  </si>
  <si>
    <t>美国PL</t>
  </si>
  <si>
    <t>PL-03</t>
  </si>
  <si>
    <t>大货订单G8919,G8923, G8924 ，正在确认贴标细节</t>
  </si>
  <si>
    <t>MDF-11-B</t>
  </si>
  <si>
    <r>
      <rPr>
        <sz val="11"/>
        <color rgb="FF000000"/>
        <rFont val="微软雅黑"/>
        <charset val="134"/>
      </rPr>
      <t>意向订单，明细基本确认，客户承诺9月8号付定金US$10000，（</t>
    </r>
    <r>
      <rPr>
        <sz val="11"/>
        <color rgb="FFFF0000"/>
        <rFont val="微软雅黑"/>
        <charset val="134"/>
      </rPr>
      <t>追定金</t>
    </r>
    <r>
      <rPr>
        <sz val="11"/>
        <color rgb="FF000000"/>
        <rFont val="微软雅黑"/>
        <charset val="134"/>
      </rPr>
      <t>）</t>
    </r>
  </si>
  <si>
    <t>合计</t>
  </si>
  <si>
    <t>洽谈中</t>
  </si>
  <si>
    <t>英国WEL</t>
  </si>
  <si>
    <t>WEL-02</t>
  </si>
  <si>
    <t>意向订单明细确认中</t>
  </si>
  <si>
    <t>FO-02</t>
  </si>
  <si>
    <t>意向订单明细确认中，9月5更新PI给客户</t>
  </si>
  <si>
    <t>何时发货，什么类型健身房（客户自营3个健身房）</t>
  </si>
  <si>
    <t>PL-02</t>
  </si>
  <si>
    <t>展厅订单，68/69/77/88/89/有氧，产品改制</t>
  </si>
  <si>
    <t>杭州FED</t>
  </si>
  <si>
    <t>FED-01</t>
  </si>
  <si>
    <t>送样T6500，T210</t>
  </si>
  <si>
    <t>VX-16</t>
  </si>
  <si>
    <t>意向订单T860一高柜</t>
  </si>
  <si>
    <t>T8600/G699</t>
  </si>
  <si>
    <t>墨西哥DBB</t>
  </si>
  <si>
    <t>DBB-01</t>
  </si>
  <si>
    <t>询盘 健身房，已发PI,客户在内部沟通，原计划8月15给答复，现预计10月下旬</t>
  </si>
  <si>
    <t>11*40HQ</t>
  </si>
  <si>
    <t>秘鲁高端健身房项目，经销商还在努力争取中</t>
  </si>
  <si>
    <t>阿鲁巴ASC</t>
  </si>
  <si>
    <t>ASC-01</t>
  </si>
  <si>
    <r>
      <rPr>
        <sz val="11"/>
        <color rgb="FF000000"/>
        <rFont val="微软雅黑"/>
        <charset val="134"/>
      </rPr>
      <t>客户新开健身房1000平方米，健身房基本建好，目前待确认订单明细（</t>
    </r>
    <r>
      <rPr>
        <sz val="11"/>
        <color rgb="FFFF0000"/>
        <rFont val="微软雅黑"/>
        <charset val="134"/>
      </rPr>
      <t>发PI给客户</t>
    </r>
    <r>
      <rPr>
        <sz val="11"/>
        <color rgb="FF000000"/>
        <rFont val="微软雅黑"/>
        <charset val="134"/>
      </rPr>
      <t>）</t>
    </r>
  </si>
  <si>
    <t>巴西CDC</t>
  </si>
  <si>
    <t>CDC-01</t>
  </si>
  <si>
    <t>客户计划新开15个健身房，单个健身房订单金额7万美金左右</t>
  </si>
  <si>
    <t>墨西哥CPC</t>
  </si>
  <si>
    <t>CPC-01</t>
  </si>
  <si>
    <t>墨西哥大型商超COPPEL，采购家用健身器材，深圳有采购办事处，待报价</t>
  </si>
  <si>
    <t>巴西KNG</t>
  </si>
  <si>
    <t>KNG-01</t>
  </si>
  <si>
    <t>巴西连锁健身房项目，计划2025年45家，待确认价格折扣</t>
  </si>
  <si>
    <t>美国ALMO</t>
  </si>
  <si>
    <t>ALM-01</t>
  </si>
  <si>
    <t>美国大型电商品台，意向订单，目前等测试认证基本通过，需要舒华承担第二次测试费18285元</t>
  </si>
  <si>
    <t>SH-T5100T 贴牌</t>
  </si>
  <si>
    <t>MOV20230904</t>
  </si>
  <si>
    <t>意向订单，MOQ下单，待确认价格折扣</t>
  </si>
  <si>
    <t>亚太</t>
  </si>
  <si>
    <t>EJ-X3-090</t>
  </si>
  <si>
    <t>9月15号</t>
  </si>
  <si>
    <t>无蓝牙款，生产回复交期9月15号，计划9月份开单发货。</t>
  </si>
  <si>
    <t>EJ-X6-132</t>
  </si>
  <si>
    <t>9月25号</t>
  </si>
  <si>
    <t>生产回复交期9月25号，计划9月份开单发货。</t>
  </si>
  <si>
    <t>EJ-X1-007</t>
  </si>
  <si>
    <t>订单明细已确认，产品已经入库，与客户沟通计划9月份开单发货。</t>
  </si>
  <si>
    <t>D</t>
  </si>
  <si>
    <t>HA-09</t>
  </si>
  <si>
    <t>客户全款已到账，7.25开单装拖挂车，走陆运，船期落在9月</t>
  </si>
  <si>
    <t>澳大利亚JIE</t>
  </si>
  <si>
    <t>JOE-01</t>
  </si>
  <si>
    <t>9月27</t>
  </si>
  <si>
    <t>配件订单，全款已收到</t>
  </si>
  <si>
    <t>NF-105</t>
  </si>
  <si>
    <t>订单明细确认，9月2装柜，船期9月8号</t>
  </si>
  <si>
    <t>AIF-04</t>
  </si>
  <si>
    <t>9月份货好</t>
  </si>
  <si>
    <t>客户已汇全款，已安排订舱，船期9月18号</t>
  </si>
  <si>
    <t>日本LF</t>
  </si>
  <si>
    <t>LF-01C</t>
  </si>
  <si>
    <t>88系列电子表库存改制中，预计9月20完成改制，21号开单发货，船期确认中</t>
  </si>
  <si>
    <t>SHUA-ARR20230829</t>
  </si>
  <si>
    <t>9月7日已装柜，9月9日船期</t>
  </si>
  <si>
    <t>待跟客户确认发货明细</t>
  </si>
  <si>
    <t>IR-08</t>
  </si>
  <si>
    <t>订单明细已确认中，预计9月12号开单发货，与货代订仓中</t>
  </si>
  <si>
    <t>IR-07</t>
  </si>
  <si>
    <t>订单明细已确认中，持续与客户确认定金汇款及发货时间</t>
  </si>
  <si>
    <t>菲律宾健身项目</t>
  </si>
  <si>
    <t>订单明细确认，预计9月中旬开单发货，持续与客户确认发货时间</t>
  </si>
  <si>
    <t>业务员</t>
  </si>
  <si>
    <r>
      <rPr>
        <sz val="11"/>
        <color rgb="FF000000"/>
        <rFont val="微软雅黑"/>
        <charset val="134"/>
      </rPr>
      <t>已确认订单</t>
    </r>
    <r>
      <rPr>
        <sz val="9"/>
        <color rgb="FF000000"/>
        <rFont val="微软雅黑"/>
        <charset val="134"/>
      </rPr>
      <t>（明确本月不发货）</t>
    </r>
  </si>
  <si>
    <t>EJ-X3-091</t>
  </si>
  <si>
    <t>6月26号</t>
  </si>
  <si>
    <t>预计10月发货</t>
  </si>
  <si>
    <t>产品已入库，涉及增加蓝牙模块，需要通过认证，具体发货时间确认中</t>
  </si>
  <si>
    <t>EJ-X3-092</t>
  </si>
  <si>
    <t>EJ-X3-093</t>
  </si>
  <si>
    <t>EJ-X1-008</t>
  </si>
  <si>
    <t>订单明细已确认，产品已经入库，发货时间确认中</t>
  </si>
  <si>
    <t>LJW-008</t>
  </si>
  <si>
    <t>订单明细已确认，公寓健身房项目，待客户汇定金，发货时间确认中</t>
  </si>
  <si>
    <t>NF-107</t>
  </si>
  <si>
    <t>订单明细已确认，持续与客户沟通发货时间10月上旬发货，客户终端客户资金链短缺</t>
  </si>
  <si>
    <t>LF-01D</t>
  </si>
  <si>
    <t>下单</t>
  </si>
  <si>
    <t>RA-07</t>
  </si>
  <si>
    <t>意向订单，订单明细确认中</t>
  </si>
  <si>
    <t>HA-10</t>
  </si>
  <si>
    <t>M10-BX20230808</t>
  </si>
  <si>
    <t>待下单</t>
  </si>
  <si>
    <t>GLT-039</t>
  </si>
  <si>
    <t>OT-161T</t>
  </si>
  <si>
    <t>澳大利亚JOE</t>
  </si>
  <si>
    <t>订单明细确认中+配件单</t>
  </si>
  <si>
    <t>NF-108</t>
  </si>
  <si>
    <t>订单明细已确认，预计发货时间10月中旬</t>
  </si>
  <si>
    <t>LF-02</t>
  </si>
  <si>
    <t>菲律宾SG</t>
  </si>
  <si>
    <t>SG-01</t>
  </si>
  <si>
    <t>IR-06</t>
  </si>
  <si>
    <t>客户已发清单，订单明细确认中</t>
  </si>
  <si>
    <t>印尼OK</t>
  </si>
  <si>
    <t>OK</t>
  </si>
  <si>
    <t>CV</t>
  </si>
  <si>
    <t>ORG-06</t>
  </si>
  <si>
    <t>ML-07</t>
  </si>
  <si>
    <t>备货订单，订单发货时间持续与客户确认中</t>
  </si>
  <si>
    <t>亚非</t>
  </si>
  <si>
    <t>MIF-32</t>
  </si>
  <si>
    <t>SL-02</t>
  </si>
  <si>
    <t>Ken</t>
  </si>
  <si>
    <t>俄罗NR</t>
  </si>
  <si>
    <t>NR-01A</t>
  </si>
  <si>
    <t>SG-T8919T 货好</t>
  </si>
  <si>
    <t>俄罗斯TF</t>
  </si>
  <si>
    <t>TF-01A</t>
  </si>
  <si>
    <t>CG223-004B</t>
  </si>
  <si>
    <t>68批量客诉订单17+5台9100E客诉替换，订舱安排中</t>
  </si>
  <si>
    <t>指导视频</t>
  </si>
  <si>
    <t>KA2023-003B</t>
  </si>
  <si>
    <t>测了装柜量预计会短装，出货时间暂未确认</t>
  </si>
  <si>
    <t>SI2023-001B</t>
  </si>
  <si>
    <t>（信用证，无定金出货）15号船期，11号装柜</t>
  </si>
  <si>
    <t>印度VE</t>
  </si>
  <si>
    <t>VE-02B</t>
  </si>
  <si>
    <t>部分货品无库存，交期为9.30.定金待收</t>
  </si>
  <si>
    <t>孟加拉FL</t>
  </si>
  <si>
    <t>FL-01</t>
  </si>
  <si>
    <t>8月25号装柜，船延到9.1</t>
  </si>
  <si>
    <t>F231106</t>
  </si>
  <si>
    <t>暂无</t>
  </si>
  <si>
    <r>
      <rPr>
        <sz val="11"/>
        <color rgb="FF000000"/>
        <rFont val="微软雅黑"/>
        <charset val="134"/>
      </rPr>
      <t>外购62万交期预计在10月份，</t>
    </r>
    <r>
      <rPr>
        <sz val="11"/>
        <color rgb="FFFF0000"/>
        <rFont val="微软雅黑"/>
        <charset val="134"/>
      </rPr>
      <t>9100 44万交期预计11月初</t>
    </r>
  </si>
  <si>
    <t>俄罗斯NR</t>
  </si>
  <si>
    <t>NR-01</t>
  </si>
  <si>
    <t>部分产品待客户提供BOM图</t>
  </si>
  <si>
    <t>NR-02</t>
  </si>
  <si>
    <t xml:space="preserve">样机订单 </t>
  </si>
  <si>
    <t>客户反馈要9月出,03A爆柜的产品预计挪到03B，空间不足，再等客户确认最终要出的清单</t>
  </si>
  <si>
    <t>肯尼亚FR</t>
  </si>
  <si>
    <t>FR-01</t>
  </si>
  <si>
    <t>客户要求十月发货，全款(含海运费）已收</t>
  </si>
  <si>
    <t>GPR-05</t>
  </si>
  <si>
    <t>8.29电话确认只定一个高柜，汇率每个小时大幅波动，银行美元短缺，导致利润不可控。等汇率稳定再下单，具体时间未知。</t>
  </si>
  <si>
    <t>MIF-36</t>
  </si>
  <si>
    <t>TA-02</t>
  </si>
  <si>
    <t>康乐佳独家经销商，对价格极敏感。</t>
  </si>
  <si>
    <t>黎巴嫩khaled</t>
  </si>
  <si>
    <t>约旦YF</t>
  </si>
  <si>
    <t>土库曼斯坦（新）</t>
  </si>
  <si>
    <r>
      <rPr>
        <sz val="11"/>
        <color rgb="FF000000"/>
        <rFont val="微软雅黑"/>
        <charset val="134"/>
      </rPr>
      <t>客户需10月发货，</t>
    </r>
    <r>
      <rPr>
        <sz val="11"/>
        <color rgb="FFFF0000"/>
        <rFont val="微软雅黑"/>
        <charset val="134"/>
      </rPr>
      <t>定金催收</t>
    </r>
    <r>
      <rPr>
        <sz val="11"/>
        <color rgb="FF000000"/>
        <rFont val="微软雅黑"/>
        <charset val="134"/>
      </rPr>
      <t>, 本单变数较大。客户不回复</t>
    </r>
  </si>
  <si>
    <t>VG-07</t>
  </si>
  <si>
    <t>以量换价订单在谈</t>
  </si>
  <si>
    <t>俄罗斯(新）</t>
  </si>
  <si>
    <t>建筑公司，有户外路径设备需求，可能10w美金每年</t>
  </si>
  <si>
    <t>俄罗斯Technofit</t>
  </si>
  <si>
    <t>TF-01</t>
  </si>
  <si>
    <t>展厅订单，9月预计可发6万美金</t>
  </si>
  <si>
    <t>俄罗斯NATA</t>
  </si>
  <si>
    <t>NATA-01</t>
  </si>
  <si>
    <t>订单不满一个高柜，订单明细待客户提供</t>
  </si>
  <si>
    <t>MS-004</t>
  </si>
  <si>
    <t>因为8人站尚未有价格和图片，此单暂时还在等8人站。客户目前已先安排定金2261美金</t>
  </si>
  <si>
    <t>需求1*40HQ T860，价格让利需求比较大，还在洽谈中</t>
  </si>
  <si>
    <t>需求5517S,价格让利需求比较大，还在洽谈中</t>
  </si>
  <si>
    <t>STR-20</t>
  </si>
  <si>
    <t>FW2023-001</t>
  </si>
  <si>
    <t>因客户国家美金短缺，信用证申请时间不明确</t>
  </si>
  <si>
    <t>中心合计
（本月发货订单合计）</t>
  </si>
  <si>
    <t>2. 预估会在本月发货的订单，填入“本月预计发货订单”一栏；</t>
  </si>
  <si>
    <t>3. 已签订订单，但发货时间不在本月，填入“已签订订单”；</t>
  </si>
  <si>
    <t>4. 未签订订单，填入“洽谈中”。</t>
  </si>
  <si>
    <t xml:space="preserve">    2023.1月份发货计划表  </t>
  </si>
  <si>
    <t>欧美大区</t>
  </si>
  <si>
    <t>德国STG</t>
  </si>
  <si>
    <t>STG-01A</t>
  </si>
  <si>
    <t>1/9发货到码头拼柜</t>
  </si>
  <si>
    <t>12月开单，船期1月份</t>
  </si>
  <si>
    <t>SAT-47</t>
  </si>
  <si>
    <t>意大利HFC</t>
  </si>
  <si>
    <t>HFC001</t>
  </si>
  <si>
    <t>1/10发来水单，1/12收齐全款</t>
  </si>
  <si>
    <t xml:space="preserve"> BT-02</t>
  </si>
  <si>
    <t>FG-08</t>
  </si>
  <si>
    <t>收费配件，已开单发货</t>
  </si>
  <si>
    <t>HF-13</t>
  </si>
  <si>
    <t>巴西CMF</t>
  </si>
  <si>
    <t>T6500S</t>
  </si>
  <si>
    <t>FCL20221027</t>
  </si>
  <si>
    <t>TFC20230117</t>
  </si>
  <si>
    <t>已收定金，船期2月5号，计划30号装柜</t>
  </si>
  <si>
    <t>SH-5918</t>
  </si>
  <si>
    <t>1*20Ft</t>
  </si>
  <si>
    <t>亚太大区</t>
  </si>
  <si>
    <t>EJ-J9-002</t>
  </si>
  <si>
    <t>1月3号装柜，1月5号船期</t>
  </si>
  <si>
    <t>OT-161O</t>
  </si>
  <si>
    <t>1月13号装柜，1月15号船期</t>
  </si>
  <si>
    <t>OT-162A</t>
  </si>
  <si>
    <t>SH-T5412</t>
  </si>
  <si>
    <t>1月15号已经开单，1月18号船期</t>
  </si>
  <si>
    <t>IR-03A</t>
  </si>
  <si>
    <t>1月11号装柜，1月15号船期</t>
  </si>
  <si>
    <t>RA-04</t>
  </si>
  <si>
    <t>1月5号寄往客户指定广东仓，无票报关</t>
  </si>
  <si>
    <t>SUN-007</t>
  </si>
  <si>
    <t>1月15号已经装柜，1月18号船期</t>
  </si>
  <si>
    <t>SA-013</t>
  </si>
  <si>
    <t>OL-062</t>
  </si>
  <si>
    <t>ST-018</t>
  </si>
  <si>
    <t>12月30号装柜，23年1月7号船期</t>
  </si>
  <si>
    <t>AF-07</t>
  </si>
  <si>
    <t>1月31号装柜，23年2月4号船期</t>
  </si>
  <si>
    <t>KI-036</t>
  </si>
  <si>
    <t>无票发货，1月9号已在河南商丘三中心装车发走</t>
  </si>
  <si>
    <t>亚非大区</t>
  </si>
  <si>
    <t>巴林MH</t>
  </si>
  <si>
    <t>意向订单，P.I未确认</t>
  </si>
  <si>
    <t>客户会议确认暂缓订单，库存充足</t>
  </si>
  <si>
    <t>GA-01B</t>
  </si>
  <si>
    <t>待定-班列</t>
  </si>
  <si>
    <t>1月</t>
  </si>
  <si>
    <t>提单12月3号，财务数据显示1月</t>
  </si>
  <si>
    <t>俄罗斯ZSL</t>
  </si>
  <si>
    <t>CK2022-008</t>
  </si>
  <si>
    <t>信用证正本已收，1/15装柜</t>
  </si>
  <si>
    <t>CE2022-002B</t>
  </si>
  <si>
    <t>ETD1/8</t>
  </si>
  <si>
    <t>CG2022-011</t>
  </si>
  <si>
    <t>1.16装柜</t>
  </si>
  <si>
    <t>CG2022-012</t>
  </si>
  <si>
    <t>尾款1/16 已到账</t>
  </si>
  <si>
    <t>发往佛山拼柜，船期1月出</t>
  </si>
  <si>
    <t xml:space="preserve">    2023.2月份发货计划表  </t>
  </si>
  <si>
    <t>芬兰 ESP</t>
  </si>
  <si>
    <t>ESP001</t>
  </si>
  <si>
    <t>2月15号散货送到河北廊坊市拼柜</t>
  </si>
  <si>
    <t xml:space="preserve"> VPS-19A</t>
  </si>
  <si>
    <t>部分发库存</t>
  </si>
  <si>
    <t>2月27号装1*20GP，船期3月5号，剩余1*40HQ 3月发</t>
  </si>
  <si>
    <t xml:space="preserve"> JK-14</t>
  </si>
  <si>
    <t>配件订单空运，2月24送仓，2月26号航班</t>
  </si>
  <si>
    <t>智利WM</t>
  </si>
  <si>
    <t>WM-01</t>
  </si>
  <si>
    <t>散货，2月22号发货到山东淄博拼柜</t>
  </si>
  <si>
    <t>12月已发货，船期2月</t>
  </si>
  <si>
    <t>1月已发货，船期2月8号</t>
  </si>
  <si>
    <t>1月已发货，船期2月4号</t>
  </si>
  <si>
    <t>MOV20221104</t>
  </si>
  <si>
    <t>2月16日已装柜，船期2月22号，</t>
  </si>
  <si>
    <t>美国JBF</t>
  </si>
  <si>
    <t>JBF-01-A</t>
  </si>
  <si>
    <t>2月24已装柜，3月2号船期</t>
  </si>
  <si>
    <t>AP-21</t>
  </si>
  <si>
    <t>2*40HQ，2月24收到定金，定25号装柜，3月1号船期 ，已开单</t>
  </si>
  <si>
    <t>2*40HQ</t>
  </si>
  <si>
    <t>TC20230113</t>
  </si>
  <si>
    <t>EJ-X3-080</t>
  </si>
  <si>
    <t>2.16开单，2.19船期</t>
  </si>
  <si>
    <t>EJ-X3-081</t>
  </si>
  <si>
    <t>EJ-X3-082</t>
  </si>
  <si>
    <t>2.27号开单装柜，3.4船期</t>
  </si>
  <si>
    <t>EJ-X3-083</t>
  </si>
  <si>
    <t>NF-98</t>
  </si>
  <si>
    <t>2月16日船期</t>
  </si>
  <si>
    <t>NF-100</t>
  </si>
  <si>
    <t>2.3开单，2.6船期</t>
  </si>
  <si>
    <t>NF-101</t>
  </si>
  <si>
    <t>SHUA-ARR20230203</t>
  </si>
  <si>
    <t>2.11开单，2.15船期</t>
  </si>
  <si>
    <t>1月份订单，已于1月31号装柜，2月8号船期</t>
  </si>
  <si>
    <t>澳大利亚SSG</t>
  </si>
  <si>
    <t>SSG-01K</t>
  </si>
  <si>
    <t>样机订单（2台）。发内销库存，已全款。已出库，船期3.5</t>
  </si>
  <si>
    <t xml:space="preserve">SH-B9100UT
SH-T9100T </t>
  </si>
  <si>
    <t>ML-06</t>
  </si>
  <si>
    <t>产品交期2月25日，已确认25号重新验货。已出库。定好3月1日船期。</t>
  </si>
  <si>
    <t>ML-04A</t>
  </si>
  <si>
    <t>SH-T5100</t>
  </si>
  <si>
    <t>KI-038</t>
  </si>
  <si>
    <t>此单无票报关， 2月7号已发物流</t>
  </si>
  <si>
    <t>HA-05</t>
  </si>
  <si>
    <t>客户已付全款已入账，已出库，3.3船期</t>
  </si>
  <si>
    <t>沙特CF</t>
  </si>
  <si>
    <t>CF-02</t>
  </si>
  <si>
    <t>散货</t>
  </si>
  <si>
    <t>12月底出库，原定1月船期延到2月初</t>
  </si>
  <si>
    <t>SH20221110</t>
  </si>
  <si>
    <t>铁路</t>
  </si>
  <si>
    <t>全款已结清</t>
  </si>
  <si>
    <t>F230302</t>
  </si>
  <si>
    <t>10%定金已收，2.28装柜</t>
  </si>
  <si>
    <t>KNK2022-001</t>
  </si>
  <si>
    <t>定金已收,舱位已拿到，已于20日装柜</t>
  </si>
  <si>
    <t>KA2022-005B</t>
  </si>
  <si>
    <t>客户已安排定金，已到账，货已好2.11装柜</t>
  </si>
  <si>
    <t xml:space="preserve">    2023.3月份发货计划表  </t>
  </si>
  <si>
    <t>BT-03A</t>
  </si>
  <si>
    <t>3月29号装柜</t>
  </si>
  <si>
    <t>T6700A</t>
  </si>
  <si>
    <t>BT-03B</t>
  </si>
  <si>
    <t>3月30号发青岛，已收全部尾款+内陆运费</t>
  </si>
  <si>
    <t xml:space="preserve"> VPS-19B</t>
  </si>
  <si>
    <t>68/89/9100U/901Z</t>
  </si>
  <si>
    <t>LT-07</t>
  </si>
  <si>
    <t>3月20号送仓拼柜</t>
  </si>
  <si>
    <t>G699/T8700</t>
  </si>
  <si>
    <t>FLG-06</t>
  </si>
  <si>
    <t>3月20号已提货</t>
  </si>
  <si>
    <t xml:space="preserve"> WEL-01</t>
  </si>
  <si>
    <t>3月28号装柜</t>
  </si>
  <si>
    <t>9100/T8700</t>
  </si>
  <si>
    <t xml:space="preserve"> SAT-48</t>
  </si>
  <si>
    <t>3月31号送山东淄博拼柜 配件</t>
  </si>
  <si>
    <t>2月开单，3月船期</t>
  </si>
  <si>
    <t>美国PLAE</t>
  </si>
  <si>
    <t>PL-01</t>
  </si>
  <si>
    <t>3月19已送厦门机场</t>
  </si>
  <si>
    <t>MT-09</t>
  </si>
  <si>
    <t>3月15号装柜，舒华标</t>
  </si>
  <si>
    <t>巴拉圭Alex</t>
  </si>
  <si>
    <t>Alex-02</t>
  </si>
  <si>
    <t>已收全款，3月21装柜，舒华标</t>
  </si>
  <si>
    <t>IDC-04</t>
  </si>
  <si>
    <t>已发货到山东拼柜，有氧舒华标</t>
  </si>
  <si>
    <t>MDF-09</t>
  </si>
  <si>
    <t>已发货到山东拼柜，69/77/88散货，舒华标</t>
  </si>
  <si>
    <t>AP-23</t>
  </si>
  <si>
    <t>3/14已发空运。 已收全款</t>
  </si>
  <si>
    <t>B9100RT 1pc</t>
  </si>
  <si>
    <t>AP-20-a</t>
  </si>
  <si>
    <r>
      <rPr>
        <sz val="11"/>
        <color rgb="FF000000"/>
        <rFont val="微软雅黑"/>
        <charset val="134"/>
      </rPr>
      <t>客认22号提供20%定金水单，</t>
    </r>
    <r>
      <rPr>
        <sz val="11"/>
        <color rgb="FFFF0000"/>
        <rFont val="微软雅黑"/>
        <charset val="134"/>
      </rPr>
      <t>船期4月1号，28号装柜</t>
    </r>
  </si>
  <si>
    <t>AP-20-b</t>
  </si>
  <si>
    <r>
      <rPr>
        <sz val="11"/>
        <color rgb="FF000000"/>
        <rFont val="微软雅黑"/>
        <charset val="134"/>
      </rPr>
      <t>已收定金</t>
    </r>
    <r>
      <rPr>
        <sz val="11"/>
        <color rgb="FFFF0000"/>
        <rFont val="微软雅黑"/>
        <charset val="134"/>
      </rPr>
      <t>，船期4月1号，28号装柜。</t>
    </r>
    <r>
      <rPr>
        <sz val="11"/>
        <color rgb="FF000000"/>
        <rFont val="微软雅黑"/>
        <charset val="134"/>
      </rPr>
      <t>客户标寄快递</t>
    </r>
  </si>
  <si>
    <t>5517A*16</t>
  </si>
  <si>
    <t>FU-04</t>
  </si>
  <si>
    <r>
      <rPr>
        <sz val="11"/>
        <color rgb="FF000000"/>
        <rFont val="微软雅黑"/>
        <charset val="134"/>
      </rPr>
      <t>指定货代安排拖车</t>
    </r>
    <r>
      <rPr>
        <sz val="11"/>
        <color rgb="FFFF0000"/>
        <rFont val="微软雅黑"/>
        <charset val="134"/>
      </rPr>
      <t>29号装柜送到</t>
    </r>
    <r>
      <rPr>
        <sz val="11"/>
        <color rgb="FF000000"/>
        <rFont val="微软雅黑"/>
        <charset val="134"/>
      </rPr>
      <t>蛇口，船期4月3号， 舒华标</t>
    </r>
  </si>
  <si>
    <t>5517S/6500E,G5201,B599</t>
  </si>
  <si>
    <t>EJ-X1-005</t>
  </si>
  <si>
    <t>3.16装柜，3.18船期</t>
  </si>
  <si>
    <t>SH-T542</t>
  </si>
  <si>
    <t>EJ-X6-130</t>
  </si>
  <si>
    <t>EJ-OD-002</t>
  </si>
  <si>
    <t>4月</t>
  </si>
  <si>
    <t>产品在河南商丘，从天津港出，SO已拿到，3.25装柜，3.30船期</t>
  </si>
  <si>
    <t>路外路径</t>
  </si>
  <si>
    <t>OT-161P</t>
  </si>
  <si>
    <t>3.15装柜，3.19船期</t>
  </si>
  <si>
    <t>M10-BX20230209</t>
  </si>
  <si>
    <t>产品交货期3.26，SO已拿到，3.28装柜，4.4号船</t>
  </si>
  <si>
    <t>已出库，做无票处理</t>
  </si>
  <si>
    <t>NF-102</t>
  </si>
  <si>
    <t>3.9号开单，3月12日的船期</t>
  </si>
  <si>
    <t>NF-103</t>
  </si>
  <si>
    <t>SHUA-ARR20230224</t>
  </si>
  <si>
    <t>3.3号开单，3月8日的船期</t>
  </si>
  <si>
    <t>SH-T339
SH-T3900</t>
  </si>
  <si>
    <t>ORG-03</t>
  </si>
  <si>
    <t>3.22号装柜，3.24船期</t>
  </si>
  <si>
    <t>印尼贸易商（苏州分公司转）</t>
  </si>
  <si>
    <t>SH20230321</t>
  </si>
  <si>
    <t>3.2已开单发货，做无票处理</t>
  </si>
  <si>
    <t>NE-22A</t>
  </si>
  <si>
    <t>LCL散货入仓广州，3.27开单发货，做无票处理</t>
  </si>
  <si>
    <t>RA-05A</t>
  </si>
  <si>
    <t>LCL散货入仓广州，3.20开单发货，做无票处理</t>
  </si>
  <si>
    <t>ST-19A</t>
  </si>
  <si>
    <t>3.29装柜，4.1号船</t>
  </si>
  <si>
    <t xml:space="preserve"> 澳大利亚SSG </t>
  </si>
  <si>
    <t>产品2.28号开单出库，船期3.5</t>
  </si>
  <si>
    <t xml:space="preserve"> SH-B9100UT
SH-T9100T  </t>
  </si>
  <si>
    <t xml:space="preserve"> 台湾ML </t>
  </si>
  <si>
    <t>2月已开单出库，3月1日船期</t>
  </si>
  <si>
    <t>ML-04B</t>
  </si>
  <si>
    <t>提单显示船期3月31，财务显示4月</t>
  </si>
  <si>
    <t>SH-T339
SH-T9119P</t>
  </si>
  <si>
    <t>4*40HQ</t>
  </si>
  <si>
    <t>澳大利亚AF/新西兰SFF</t>
  </si>
  <si>
    <t>SFF-SP01</t>
  </si>
  <si>
    <t>配件单，已空运寄出</t>
  </si>
  <si>
    <t>OBT-11</t>
  </si>
  <si>
    <t>3.23装柜，3.25船期</t>
  </si>
  <si>
    <t>SH-T5170A
SH-T6500S</t>
  </si>
  <si>
    <t>澳大利亚MAY</t>
  </si>
  <si>
    <t>KI-39</t>
  </si>
  <si>
    <t>SH-G8855</t>
  </si>
  <si>
    <t xml:space="preserve"> 缅甸HA </t>
  </si>
  <si>
    <t xml:space="preserve">2月已开单出库，3.3船期 </t>
  </si>
  <si>
    <t>HA-06</t>
  </si>
  <si>
    <t>3.8号开单出库，3.10船期</t>
  </si>
  <si>
    <t>MIF-29</t>
  </si>
  <si>
    <t>突尼斯SA(新）</t>
  </si>
  <si>
    <t>SA-01</t>
  </si>
  <si>
    <t>提单显示船期31号，财务数据显示4月</t>
  </si>
  <si>
    <r>
      <rPr>
        <sz val="11"/>
        <color rgb="FF000000"/>
        <rFont val="微软雅黑"/>
        <charset val="134"/>
      </rPr>
      <t>2月开单，3月船期，</t>
    </r>
    <r>
      <rPr>
        <sz val="11"/>
        <color rgb="FFFF0000"/>
        <rFont val="微软雅黑"/>
        <charset val="134"/>
      </rPr>
      <t>90%尾款待入账</t>
    </r>
  </si>
  <si>
    <t>SH20221201</t>
  </si>
  <si>
    <t>MT2023-01A</t>
  </si>
  <si>
    <t>俄罗斯RFT</t>
  </si>
  <si>
    <t>RFT2023-002</t>
  </si>
  <si>
    <t>ZSL-04</t>
  </si>
  <si>
    <t xml:space="preserve">SH-T860 </t>
  </si>
  <si>
    <t>CG2023-001/002</t>
  </si>
  <si>
    <t>3.30装柜，4月5日船期</t>
  </si>
  <si>
    <t>KA2022-005C</t>
  </si>
  <si>
    <t>3.31装柜，4月6日船期</t>
  </si>
  <si>
    <t>以色列</t>
  </si>
  <si>
    <t>OS-05</t>
  </si>
  <si>
    <t>3.30装柜，4月6日船期</t>
  </si>
  <si>
    <t>湖南觅茗茶叶有限公司</t>
  </si>
  <si>
    <t>KF-01</t>
  </si>
  <si>
    <t>客户自己出口</t>
  </si>
  <si>
    <t>全款已付，已发货</t>
  </si>
  <si>
    <t>CI-03</t>
  </si>
  <si>
    <t>Q1中心合计</t>
  </si>
  <si>
    <t>差距</t>
  </si>
  <si>
    <t>100%目标</t>
  </si>
  <si>
    <t>90%目标</t>
  </si>
  <si>
    <t xml:space="preserve">    2023.12月份发货计划表   </t>
  </si>
  <si>
    <t>FO-02C</t>
  </si>
  <si>
    <t>12/25装柜</t>
  </si>
  <si>
    <t>12/27装柜</t>
  </si>
  <si>
    <t>截放行 12/27 17:00:00</t>
  </si>
  <si>
    <t>PL-03A</t>
  </si>
  <si>
    <t>12/4装柜，海运发澳大利亚</t>
  </si>
  <si>
    <t>G8919,G8923, G8924</t>
  </si>
  <si>
    <t>1*40GP</t>
  </si>
  <si>
    <t>PL-04B</t>
  </si>
  <si>
    <t>PL-05</t>
  </si>
  <si>
    <t>KU-03</t>
  </si>
  <si>
    <t>12/16装柜</t>
  </si>
  <si>
    <t>B8700S/T9100</t>
  </si>
  <si>
    <t>T860/G699</t>
  </si>
  <si>
    <t>SAT-54</t>
  </si>
  <si>
    <t>T860</t>
  </si>
  <si>
    <t>SAT-55</t>
  </si>
  <si>
    <t>12/27装柜，12月26早上确认能赶出来，临时只能定到31号的船</t>
  </si>
  <si>
    <t>T8919T22</t>
  </si>
  <si>
    <t xml:space="preserve">截放行:  12月29日10:00
</t>
  </si>
  <si>
    <t>VPS-21</t>
  </si>
  <si>
    <t>11/26装柜，12月船期</t>
  </si>
  <si>
    <t>BT-05F</t>
  </si>
  <si>
    <t>从青岛仓库发货10台</t>
  </si>
  <si>
    <t>BT-05G</t>
  </si>
  <si>
    <t>从青岛仓库发货8台</t>
  </si>
  <si>
    <t>FU-05</t>
  </si>
  <si>
    <t>12/24装柜，28号已开船</t>
  </si>
  <si>
    <t>5517S，6500U/E，B599,5201,SH-05006</t>
  </si>
  <si>
    <t>MOV20231110</t>
  </si>
  <si>
    <t>12/26已装柜，5170A 短装1台，物料不良；28的船延到31开</t>
  </si>
  <si>
    <t>5170A，9119P,</t>
  </si>
  <si>
    <t>12/26已装柜；28的船延到31开</t>
  </si>
  <si>
    <t>12/26已装柜，物料不良短装6台；28的船延到31开</t>
  </si>
  <si>
    <t>12/23装柜</t>
  </si>
  <si>
    <t>68,69,77，T8919</t>
  </si>
  <si>
    <t>KNG-03-B</t>
  </si>
  <si>
    <t>12/27装柜   已放行</t>
  </si>
  <si>
    <t>88，T9100,68,9100URE</t>
  </si>
  <si>
    <t>4*40NOR</t>
  </si>
  <si>
    <t>截放行:12/27 18：00</t>
  </si>
  <si>
    <t>22项，11项能满足，11项不能</t>
  </si>
  <si>
    <t>WDF-05</t>
  </si>
  <si>
    <t>12/29装柜, ，短装8807,8808共三台</t>
  </si>
  <si>
    <t>88/</t>
  </si>
  <si>
    <t>截放行时间: 2023-12-29 12:00:00</t>
  </si>
  <si>
    <t>巴西VM</t>
  </si>
  <si>
    <t>VMSH-01/02</t>
  </si>
  <si>
    <t>12/27已装柜  ,2票提单 短装8807 短装1台，8808短装1台，8858短装一台(挪用美国PLAE翻箱）</t>
  </si>
  <si>
    <t>88,9100T</t>
  </si>
  <si>
    <t>2*40NOR</t>
  </si>
  <si>
    <t>货代信息</t>
  </si>
  <si>
    <t>截放行时间: 2023-12-28 12:00:00</t>
  </si>
  <si>
    <t>WDF-06/07</t>
  </si>
  <si>
    <t>12/29装柜</t>
  </si>
  <si>
    <t>68,69</t>
  </si>
  <si>
    <t>WDF-04</t>
  </si>
  <si>
    <t>11/28装柜</t>
  </si>
  <si>
    <t>77,88,68，T8919</t>
  </si>
  <si>
    <t>HF-18</t>
  </si>
  <si>
    <t>11/25装柜</t>
  </si>
  <si>
    <t>3900A,6500U,6500S</t>
  </si>
  <si>
    <t>KNG-03-A</t>
  </si>
  <si>
    <t>11/29装柜，短装2台G6859</t>
  </si>
  <si>
    <t>2*40HQ 2*40NOR</t>
  </si>
  <si>
    <t>XS-05-2</t>
  </si>
  <si>
    <t>11/23装柜</t>
  </si>
  <si>
    <t>W</t>
  </si>
  <si>
    <t>YFE-03A</t>
  </si>
  <si>
    <t>12/27装柜 $3150,实际账单$4150</t>
  </si>
  <si>
    <t>68/69</t>
  </si>
  <si>
    <t>非指定货代</t>
  </si>
  <si>
    <t>LT-10A</t>
  </si>
  <si>
    <t>12/26装柜 $4700, 实际账单$3700,客户承担$2700美金</t>
  </si>
  <si>
    <t>挪威FR</t>
  </si>
  <si>
    <t>FG-11</t>
  </si>
  <si>
    <t>HF-19</t>
  </si>
  <si>
    <t>12/22装柜</t>
  </si>
  <si>
    <t>AP-28</t>
  </si>
  <si>
    <t>12/24装柜</t>
  </si>
  <si>
    <t xml:space="preserve"> 68/69/77/T8919，T8700/T199P </t>
  </si>
  <si>
    <t>有氧还是力量被替代</t>
  </si>
  <si>
    <t>英国PF</t>
  </si>
  <si>
    <t>PF-01</t>
  </si>
  <si>
    <t>12/8装柜</t>
  </si>
  <si>
    <t>68/8901/B9100U/R</t>
  </si>
  <si>
    <t>GP-05A</t>
  </si>
  <si>
    <t xml:space="preserve"> T8919 10pcs, T8919T 5pcs </t>
  </si>
  <si>
    <t>E</t>
  </si>
  <si>
    <t>西班牙ETE</t>
  </si>
  <si>
    <t>ETE-01A</t>
  </si>
  <si>
    <t>68 25之前，77，9100U/E</t>
  </si>
  <si>
    <t>已确认订单
（明确本月不发货）</t>
  </si>
  <si>
    <t>LAR-05</t>
  </si>
  <si>
    <t>860回复电控来不及到位线上更改要1.5，已经反馈赵帮忙协助沟通烧程序，库存返箱。跟LC和货代，船期。（待9号或10号结果，电控供应商难协调，不行就放弃）Lisa回复要T860 1/5交期</t>
  </si>
  <si>
    <t>T860/T901Z</t>
  </si>
  <si>
    <t>部分1月中</t>
  </si>
  <si>
    <r>
      <rPr>
        <sz val="11"/>
        <color rgb="FF000000"/>
        <rFont val="微软雅黑"/>
        <charset val="134"/>
      </rPr>
      <t xml:space="preserve">已收定金，8814/8816 电池版 共13台无法满足12月交期，，88电池版内销库存不足，需和客户沟通出库计划。 </t>
    </r>
    <r>
      <rPr>
        <b/>
        <sz val="11"/>
        <color rgb="FF000000"/>
        <rFont val="微软雅黑"/>
        <charset val="134"/>
      </rPr>
      <t>12/20-1/8号放假</t>
    </r>
  </si>
  <si>
    <t>1*40NOR</t>
  </si>
  <si>
    <t>GP-05B</t>
  </si>
  <si>
    <t>货已好。同意给客户账期但还未得到肯定回复。</t>
  </si>
  <si>
    <t>LT-10B</t>
  </si>
  <si>
    <t>YFE-03B</t>
  </si>
  <si>
    <t>12月26号后的产品预计1月发</t>
  </si>
  <si>
    <t>ETE-01B</t>
  </si>
  <si>
    <t>77/有氧系列，T9100需要测试预计2月交期。T8919T未给交期</t>
  </si>
  <si>
    <t>68，77，9100</t>
  </si>
  <si>
    <t>意大利RP</t>
  </si>
  <si>
    <t>RP-01</t>
  </si>
  <si>
    <t>Shua标，定金已收，77系列评审交期1月，生产会尽量赶12月，但是不保证12.25号前货好（）已给国外货代</t>
  </si>
  <si>
    <t>西班牙RHS</t>
  </si>
  <si>
    <t>RHS-01</t>
  </si>
  <si>
    <t>询盘客户，意向订单, 10/12发PI，经销商卖到健身房，预计明年开业。11/7发报价</t>
  </si>
  <si>
    <t>网站产品定位，预算充足可能会考虑大牌产品</t>
  </si>
  <si>
    <t>荷兰BNX</t>
  </si>
  <si>
    <t>BNX-01</t>
  </si>
  <si>
    <t>询盘客户，考虑要T9100T带新系统样机。询问产品细节。</t>
  </si>
  <si>
    <t>KE-03</t>
  </si>
  <si>
    <t>PI已发，明细还要再改。健身房6月1号开业，坚持明年1月才确认订单</t>
  </si>
  <si>
    <t>欧洲有联系人，及售后支持</t>
  </si>
  <si>
    <t>送样T6500，T210， 9月18号已送样入仓；11月26号ISPO展会</t>
  </si>
  <si>
    <t>跟踪进度</t>
  </si>
  <si>
    <t>TFC20231214</t>
  </si>
  <si>
    <t>X6 一个高柜，以量换价争取中 20%让利，尝试尾款50%给30天账期</t>
  </si>
  <si>
    <t>客户新开健身房1300平方米，明细确认。11/9联系，客户还在办理贷款，计划1月开业。短暂取得联系。Facebook，Instagram市场帮忙宣传</t>
  </si>
  <si>
    <t>通过折扣促进下单，12/4电话沟通</t>
  </si>
  <si>
    <t>电话跟进</t>
  </si>
  <si>
    <t>MDF-12</t>
  </si>
  <si>
    <t>意向订单，Totalfitness健身房建筑延误2024年2月开业，客户确认该订单明年开始采购</t>
  </si>
  <si>
    <t>墨西哥大型商超COPPEL，家用健身器材，深圳采购办事处（9/25号去拜访），已报价，已提供供应商信息表。</t>
  </si>
  <si>
    <t>邀请来访</t>
  </si>
  <si>
    <t>英国UKG</t>
  </si>
  <si>
    <t>UKG-02</t>
  </si>
  <si>
    <t>有氧系列，客户现在想要MPH的触摸屏, 引导客户买T8919， 按起订量改英里</t>
  </si>
  <si>
    <t>T8919/T，T6500S， G699</t>
  </si>
  <si>
    <t>美国大型分销商，测试费已付，说明书完成，产品外箱，产品Bom图发客户，等确认</t>
  </si>
  <si>
    <t>T5100T 贴牌</t>
  </si>
  <si>
    <t>EJ-X3-097</t>
  </si>
  <si>
    <t>11月</t>
  </si>
  <si>
    <t>11月开单发货，船期落在12月</t>
  </si>
  <si>
    <t>T5100 贴牌</t>
  </si>
  <si>
    <t>EJ-X3-098</t>
  </si>
  <si>
    <t>EJ-X3-099</t>
  </si>
  <si>
    <t>已入库</t>
  </si>
  <si>
    <t>装柜：12.18，船期12.20</t>
  </si>
  <si>
    <t>EJ-X3-100</t>
  </si>
  <si>
    <t>装柜：12.23，船期12.27</t>
  </si>
  <si>
    <t>EJ-X3-101</t>
  </si>
  <si>
    <t>EJ-X3-102</t>
  </si>
  <si>
    <t>T5412贴牌</t>
  </si>
  <si>
    <t>EJ-X6-133</t>
  </si>
  <si>
    <t>T6700A贴牌</t>
  </si>
  <si>
    <t>EJ-X6-134</t>
  </si>
  <si>
    <t>OBT-013</t>
  </si>
  <si>
    <t>GLT-040</t>
  </si>
  <si>
    <r>
      <rPr>
        <sz val="11"/>
        <color rgb="FF000000"/>
        <rFont val="微软雅黑"/>
        <charset val="134"/>
      </rPr>
      <t>预计装柜12.28，原定船期12.30，</t>
    </r>
    <r>
      <rPr>
        <sz val="11"/>
        <color rgb="FFFF0000"/>
        <rFont val="微软雅黑"/>
        <charset val="134"/>
      </rPr>
      <t>船期顺延至1月3日</t>
    </r>
  </si>
  <si>
    <t>M10-BX230912</t>
  </si>
  <si>
    <t>11月25</t>
  </si>
  <si>
    <t>装柜12.11，船期12.20</t>
  </si>
  <si>
    <t>T5170A 贴牌</t>
  </si>
  <si>
    <t>12月25</t>
  </si>
  <si>
    <t>装柜12.26，船期12.27</t>
  </si>
  <si>
    <t>ML-08</t>
  </si>
  <si>
    <t>12月20</t>
  </si>
  <si>
    <t>HA-10B</t>
  </si>
  <si>
    <t>装柜：12.01，船期12.17</t>
  </si>
  <si>
    <t>KI-66</t>
  </si>
  <si>
    <t>12月，无票</t>
  </si>
  <si>
    <t>12.25已发货，做无票申请</t>
  </si>
  <si>
    <t>JOE-02</t>
  </si>
  <si>
    <t>澳洲展样机，无票</t>
  </si>
  <si>
    <t>12.28开单，做无票申请</t>
  </si>
  <si>
    <t>CV-09</t>
  </si>
  <si>
    <t>印尼WA</t>
  </si>
  <si>
    <t>PH-01A</t>
  </si>
  <si>
    <r>
      <rPr>
        <sz val="11"/>
        <color rgb="FF000000"/>
        <rFont val="微软雅黑"/>
        <charset val="134"/>
      </rPr>
      <t>装柜：12.18，原定船期12.22，</t>
    </r>
    <r>
      <rPr>
        <sz val="11"/>
        <color rgb="FFFF0000"/>
        <rFont val="微软雅黑"/>
        <charset val="134"/>
      </rPr>
      <t>船期延误至1月2日</t>
    </r>
  </si>
  <si>
    <t>PH-01B</t>
  </si>
  <si>
    <r>
      <rPr>
        <sz val="11"/>
        <color rgb="FF000000"/>
        <rFont val="微软雅黑"/>
        <charset val="134"/>
      </rPr>
      <t>装柜：12.28，原定船期12.31，</t>
    </r>
    <r>
      <rPr>
        <sz val="11"/>
        <color rgb="FFFF0000"/>
        <rFont val="微软雅黑"/>
        <charset val="134"/>
      </rPr>
      <t>船期预计延误至1月6日</t>
    </r>
  </si>
  <si>
    <t>IR-09</t>
  </si>
  <si>
    <r>
      <rPr>
        <sz val="11"/>
        <color rgb="FF000000"/>
        <rFont val="微软雅黑"/>
        <charset val="134"/>
      </rPr>
      <t>装柜：12.24，原定船期12.29，</t>
    </r>
    <r>
      <rPr>
        <sz val="11"/>
        <color rgb="FFFF0000"/>
        <rFont val="微软雅黑"/>
        <charset val="134"/>
      </rPr>
      <t>船期预计延误至1月4日</t>
    </r>
  </si>
  <si>
    <t>IR-10</t>
  </si>
  <si>
    <r>
      <rPr>
        <sz val="11"/>
        <color rgb="FF000000"/>
        <rFont val="微软雅黑"/>
        <charset val="134"/>
      </rPr>
      <t>装柜：12.26，原定船期为12月31日，</t>
    </r>
    <r>
      <rPr>
        <sz val="11"/>
        <color rgb="FFFF0000"/>
        <rFont val="微软雅黑"/>
        <charset val="134"/>
      </rPr>
      <t xml:space="preserve"> 船期延误至1.3</t>
    </r>
  </si>
  <si>
    <t>印尼X-Gym</t>
  </si>
  <si>
    <t>XG-02</t>
  </si>
  <si>
    <r>
      <rPr>
        <sz val="11"/>
        <color rgb="FF000000"/>
        <rFont val="微软雅黑"/>
        <charset val="134"/>
      </rPr>
      <t>装柜：12.28，原定船期为12月31日，</t>
    </r>
    <r>
      <rPr>
        <sz val="11"/>
        <color rgb="FFFF0000"/>
        <rFont val="微软雅黑"/>
        <charset val="134"/>
      </rPr>
      <t>船期延误至1.3</t>
    </r>
  </si>
  <si>
    <t>LF-01K/LF-02I</t>
  </si>
  <si>
    <t>LF-01J/LF-02H</t>
  </si>
  <si>
    <t>LF-02J</t>
  </si>
  <si>
    <t>装柜：12.15，船期12.20</t>
  </si>
  <si>
    <t>装柜：12.26，船期12.29</t>
  </si>
  <si>
    <t>LF-03</t>
  </si>
  <si>
    <r>
      <rPr>
        <sz val="11"/>
        <color rgb="FF000000"/>
        <rFont val="微软雅黑"/>
        <charset val="134"/>
      </rPr>
      <t>装柜12.28 原定船期为12.29，</t>
    </r>
    <r>
      <rPr>
        <sz val="11"/>
        <color rgb="FFFF0000"/>
        <rFont val="微软雅黑"/>
        <charset val="134"/>
      </rPr>
      <t>船期延误至1.5</t>
    </r>
  </si>
  <si>
    <t>OL-065</t>
  </si>
  <si>
    <t>全款已收，装柜时间12.14，船期12.18</t>
  </si>
  <si>
    <t>SA-20</t>
  </si>
  <si>
    <r>
      <rPr>
        <sz val="11"/>
        <color rgb="FF000000"/>
        <rFont val="微软雅黑"/>
        <charset val="134"/>
      </rPr>
      <t>装柜：12.25，原定船期12.28，</t>
    </r>
    <r>
      <rPr>
        <sz val="11"/>
        <color rgb="FFFF0000"/>
        <rFont val="微软雅黑"/>
        <charset val="134"/>
      </rPr>
      <t>船期延误至12.30</t>
    </r>
  </si>
  <si>
    <t>SHUA-ARR20231206</t>
  </si>
  <si>
    <t>装柜：12.20，船期12.23</t>
  </si>
  <si>
    <t>SHUA-ARR20231222</t>
  </si>
  <si>
    <t>报关资料错误+装柜延误错过截放行，延到1月2日</t>
  </si>
  <si>
    <t>SHUA-ARR20231228</t>
  </si>
  <si>
    <r>
      <rPr>
        <sz val="11"/>
        <color rgb="FF000000"/>
        <rFont val="微软雅黑"/>
        <charset val="134"/>
      </rPr>
      <t>装柜12.28船期原定12月30日，</t>
    </r>
    <r>
      <rPr>
        <sz val="11"/>
        <color rgb="FFFF0000"/>
        <rFont val="微软雅黑"/>
        <charset val="134"/>
      </rPr>
      <t>延误是1月1日</t>
    </r>
  </si>
  <si>
    <t>印尼FTL</t>
  </si>
  <si>
    <t>FTL-01</t>
  </si>
  <si>
    <r>
      <rPr>
        <sz val="11"/>
        <color rgb="FF000000"/>
        <rFont val="微软雅黑"/>
        <charset val="134"/>
      </rPr>
      <t>装柜：12.22，原定船期12.26，</t>
    </r>
    <r>
      <rPr>
        <sz val="11"/>
        <color rgb="FFFF0000"/>
        <rFont val="微软雅黑"/>
        <charset val="134"/>
      </rPr>
      <t>船期顺延至12.31</t>
    </r>
  </si>
  <si>
    <t>HX-016</t>
  </si>
  <si>
    <t>12㛑，无票</t>
  </si>
  <si>
    <t>订单明细已确认，12.19号发货，做无票申请</t>
  </si>
  <si>
    <t>HX-017</t>
  </si>
  <si>
    <t>订单明细已确认，12.28号发货，做无票申请</t>
  </si>
  <si>
    <t>EJ-AFple-05</t>
  </si>
  <si>
    <t>已下单</t>
  </si>
  <si>
    <t>24年3月底</t>
  </si>
  <si>
    <t>力量器械产品涉及改制，为了满足KC认证标准，交期24年3月底</t>
  </si>
  <si>
    <t>意向订单，订单明细已确认，稿件确认中，定金已入账</t>
  </si>
  <si>
    <t>韩国HK</t>
  </si>
  <si>
    <t>HK-01</t>
  </si>
  <si>
    <t>1月中旬</t>
  </si>
  <si>
    <t>订单明细已确认，定金已收到，需翻箱为客户标，预计1月中旬发货</t>
  </si>
  <si>
    <t>24年Q1意向订单，订单清单已收到，沟通能否于12月底发货，已暂定3*40高柜的仓位</t>
  </si>
  <si>
    <t>CV-11</t>
  </si>
  <si>
    <t>部分6902.6912产品交期在12月27日(目前营销已同意调拨12月27日入库），自己货代已定31号的船</t>
  </si>
  <si>
    <t>23年12月意向订单，订单明细确中</t>
  </si>
  <si>
    <t>OT-167</t>
  </si>
  <si>
    <t>政府投标项目，进度缓慢，订单确认时间待定</t>
  </si>
  <si>
    <t>OT-168</t>
  </si>
  <si>
    <t>HA-12</t>
  </si>
  <si>
    <t>意向订单，订单明细确中</t>
  </si>
  <si>
    <t>KI-45</t>
  </si>
  <si>
    <t>澳门政府在珠海新街坊项目，订单明细确认中</t>
  </si>
  <si>
    <t>ORG-07</t>
  </si>
  <si>
    <t>客户告知12月25日回复是否采购，已预定12.30船期，周一再次跟进客户订单，最晚周二回复</t>
  </si>
  <si>
    <t>OL-066</t>
  </si>
  <si>
    <t>意向订单，持续与客户确认订单中</t>
  </si>
  <si>
    <t>NE-27</t>
  </si>
  <si>
    <t>自用健身房意向订单，订单明细确中，持续与客户确认清单</t>
  </si>
  <si>
    <t>坦桑尼亚WH</t>
  </si>
  <si>
    <t xml:space="preserve"> SH20231031-2/3/4/5/6</t>
  </si>
  <si>
    <t>专票全款已到货，舒华标，需要返箱贴Made in China 标，12.18物流车已提货</t>
  </si>
  <si>
    <t>MIF-S47</t>
  </si>
  <si>
    <t>MIF-Fady-1</t>
  </si>
  <si>
    <t>MIF 推荐客户Fady，</t>
  </si>
  <si>
    <t>MIF-D48</t>
  </si>
  <si>
    <t>需补齐缺货,28号装柜，截放行12-29日</t>
  </si>
  <si>
    <t>突尼斯AP（新）</t>
  </si>
  <si>
    <t>AP-01</t>
  </si>
  <si>
    <t>船被延期</t>
  </si>
  <si>
    <t>NR-01B</t>
  </si>
  <si>
    <t>已装柜，电放流程待提交</t>
  </si>
  <si>
    <t>NR-01C</t>
  </si>
  <si>
    <t>已装柜。拼柜工厂未报关，延船退关重报</t>
  </si>
  <si>
    <t>ZSL-08A</t>
  </si>
  <si>
    <t>MS-02</t>
  </si>
  <si>
    <t>27号排载28号装</t>
  </si>
  <si>
    <t>MS-03</t>
  </si>
  <si>
    <t>EP-06</t>
  </si>
  <si>
    <t>28号装柜，配件1月国际快递，让利已走</t>
  </si>
  <si>
    <t>乌兹别克斯坦AG</t>
  </si>
  <si>
    <t>AG-01</t>
  </si>
  <si>
    <t>火车，1月</t>
  </si>
  <si>
    <t>定金已收，部分没货，收美元做无票。最晚装柜日期12-28.</t>
  </si>
  <si>
    <t>TF-02</t>
  </si>
  <si>
    <t>海铁联运</t>
  </si>
  <si>
    <t>TF-03</t>
  </si>
  <si>
    <t>MT2023-03A</t>
  </si>
  <si>
    <t>F231106B</t>
  </si>
  <si>
    <t>预计8号到港，尾款见提单15天内付款</t>
  </si>
  <si>
    <t>ZSL-07</t>
  </si>
  <si>
    <t>预计15号到港，账期延长申请</t>
  </si>
  <si>
    <t>OS-10</t>
  </si>
  <si>
    <t>12.8船，定金6000美金到账，不足30%定金流程已过，客户5号晚上再转8000美金，已到账。5号已装柜</t>
  </si>
  <si>
    <t>KA2023-005</t>
  </si>
  <si>
    <t>已定16号的船，货已好，客户已安排款待到账，走见水单发货流程，14号已装柜</t>
  </si>
  <si>
    <t>STR-21B</t>
  </si>
  <si>
    <r>
      <rPr>
        <sz val="11"/>
        <color rgb="FF000000"/>
        <rFont val="微软雅黑"/>
        <charset val="134"/>
      </rPr>
      <t>货12.26号可以好，定29号的船延到1.2号，</t>
    </r>
    <r>
      <rPr>
        <sz val="11"/>
        <color rgb="FFFF0000"/>
        <rFont val="微软雅黑"/>
        <charset val="134"/>
      </rPr>
      <t>短装6853-1台</t>
    </r>
  </si>
  <si>
    <t>VE-03C</t>
  </si>
  <si>
    <r>
      <rPr>
        <sz val="11"/>
        <color rgb="FF000000"/>
        <rFont val="微软雅黑"/>
        <charset val="134"/>
      </rPr>
      <t>定12.29的船，26装柜，</t>
    </r>
    <r>
      <rPr>
        <sz val="11"/>
        <color rgb="FFFF0000"/>
        <rFont val="微软雅黑"/>
        <charset val="134"/>
      </rPr>
      <t>原定船期12.29，
延到1.1开船</t>
    </r>
  </si>
  <si>
    <t>VE-04</t>
  </si>
  <si>
    <t xml:space="preserve"> 12/25</t>
  </si>
  <si>
    <t>VE-06A/B</t>
  </si>
  <si>
    <r>
      <rPr>
        <sz val="11"/>
        <color rgb="FF000000"/>
        <rFont val="微软雅黑"/>
        <charset val="134"/>
      </rPr>
      <t>28号装柜，</t>
    </r>
    <r>
      <rPr>
        <sz val="11"/>
        <color rgb="FFFF0000"/>
        <rFont val="微软雅黑"/>
        <charset val="134"/>
      </rPr>
      <t>短装5918-4台，8855 1台，8859-2台</t>
    </r>
  </si>
  <si>
    <t>KA2023-006</t>
  </si>
  <si>
    <t>定12.29的船，客户清单已提供，客户定金已安排待到账，25号装柜，加装2台9100R</t>
  </si>
  <si>
    <t>SL-02C</t>
  </si>
  <si>
    <t>12.26装柜</t>
  </si>
  <si>
    <t>STR-21A</t>
  </si>
  <si>
    <t>11月装柜</t>
  </si>
  <si>
    <t>VE-03B</t>
  </si>
  <si>
    <t> 11月装柜 </t>
  </si>
  <si>
    <t>KA2023-004</t>
  </si>
  <si>
    <t>MIF-D49</t>
  </si>
  <si>
    <t>NR-01D</t>
  </si>
  <si>
    <t>1/3-4验货，赶1/10 船期</t>
  </si>
  <si>
    <t>ZSL-09</t>
  </si>
  <si>
    <t>部分12/30</t>
  </si>
  <si>
    <t>暂定</t>
  </si>
  <si>
    <t>一个高柜在制中</t>
  </si>
  <si>
    <t>F240108</t>
  </si>
  <si>
    <t>拼柜供应商装柜时间待定</t>
  </si>
  <si>
    <t>CI-04</t>
  </si>
  <si>
    <t>清单基本确认，货好时间为12.30，待LC， 预计12.30装柜</t>
  </si>
  <si>
    <t>突尼斯SA</t>
  </si>
  <si>
    <t>SA-03</t>
  </si>
  <si>
    <t>6913 -1台12.25好，预计走12.28船，联系货代订舱安排中</t>
  </si>
  <si>
    <t>OS-12</t>
  </si>
  <si>
    <t>安排定12.28船，待舱位，待客户全款，这个会预计会爆柜6台69产品</t>
  </si>
  <si>
    <t>客户明确订单要在1月份确认</t>
  </si>
  <si>
    <t>SA-04</t>
  </si>
  <si>
    <t>待03单出货之后客户才会考虑此订单清单</t>
  </si>
  <si>
    <t>伊朗MJD(新）</t>
  </si>
  <si>
    <t>SH2023-02</t>
  </si>
  <si>
    <t>货好时间为12.23，客户在安排定金中，同时申请LC中，定28的船</t>
  </si>
  <si>
    <t>paterner 公司信息客户反馈周一回复</t>
  </si>
  <si>
    <t>IV-04</t>
  </si>
  <si>
    <t>调拨需求待回复中，安排定12.26船，</t>
  </si>
  <si>
    <t>SH2023-003</t>
  </si>
  <si>
    <t>待信用证</t>
  </si>
  <si>
    <t>VE-05</t>
  </si>
  <si>
    <t>因交期不满足，04单楼梯机2台+7703-1台，7706-1台挪到05单，其他清单待客户提供</t>
  </si>
  <si>
    <t>12月预计发货</t>
  </si>
  <si>
    <t>1-11月船期达成</t>
  </si>
  <si>
    <t>船期落12月金额</t>
  </si>
  <si>
    <t>按1.2亿差距</t>
  </si>
  <si>
    <t>按1.45亿差距</t>
  </si>
  <si>
    <t xml:space="preserve">    2023.4月份发货计划表  </t>
  </si>
  <si>
    <t>LAR-02</t>
  </si>
  <si>
    <t>4月29号装柜 T860(客户标)/G699(舒华标)</t>
  </si>
  <si>
    <t>AF-03</t>
  </si>
  <si>
    <t>4/17号装柜</t>
  </si>
  <si>
    <t>9100系列/T8919</t>
  </si>
  <si>
    <t>罗马尼亚</t>
  </si>
  <si>
    <t>ZD-01</t>
  </si>
  <si>
    <t>4/19发成都拼柜</t>
  </si>
  <si>
    <t>德国SEN</t>
  </si>
  <si>
    <t xml:space="preserve"> SEN-01</t>
  </si>
  <si>
    <t>调拨营销</t>
  </si>
  <si>
    <t>4月26号装柜</t>
  </si>
  <si>
    <t>路径产品</t>
  </si>
  <si>
    <t>3月订单4月开船</t>
  </si>
  <si>
    <t>FG-09</t>
  </si>
  <si>
    <t>4月27号送8台到厦门供应商拼柜，客户标随柜发</t>
  </si>
  <si>
    <t>5907*12</t>
  </si>
  <si>
    <t>26cbm</t>
  </si>
  <si>
    <t xml:space="preserve">哥伦比亚HABIKE </t>
  </si>
  <si>
    <t>HB03</t>
  </si>
  <si>
    <t>4月28号装柜，客户标</t>
  </si>
  <si>
    <t xml:space="preserve">1*40HQ </t>
  </si>
  <si>
    <t>MOV20230202</t>
  </si>
  <si>
    <t>4月19号已装柜</t>
  </si>
  <si>
    <t>5170A/6500R/U</t>
  </si>
  <si>
    <t>4月24号装柜发货</t>
  </si>
  <si>
    <t>68/69系列</t>
  </si>
  <si>
    <t>HF-14</t>
  </si>
  <si>
    <t>4/28号船期，计划4月23号装柜</t>
  </si>
  <si>
    <t>9100系列</t>
  </si>
  <si>
    <t>哥斯达黎加PSG</t>
  </si>
  <si>
    <t>PSG-02</t>
  </si>
  <si>
    <r>
      <rPr>
        <sz val="11"/>
        <color rgb="FF000000"/>
        <rFont val="微软雅黑"/>
        <charset val="134"/>
      </rPr>
      <t>付费配件，已开单发货（</t>
    </r>
    <r>
      <rPr>
        <sz val="11"/>
        <color rgb="FFFF0000"/>
        <rFont val="微软雅黑"/>
        <charset val="134"/>
      </rPr>
      <t>无票</t>
    </r>
    <r>
      <rPr>
        <sz val="11"/>
        <color rgb="FF000000"/>
        <rFont val="微软雅黑"/>
        <charset val="134"/>
      </rPr>
      <t>）</t>
    </r>
  </si>
  <si>
    <t>HX-004</t>
  </si>
  <si>
    <t>全款已到账，4.19已安排发货义乌，做无票</t>
  </si>
  <si>
    <t>HX-005</t>
  </si>
  <si>
    <t>EJ-X3-084</t>
  </si>
  <si>
    <t>订单已确认，SO已拿到，28号晚上装柜</t>
  </si>
  <si>
    <t>EJ-X3-085</t>
  </si>
  <si>
    <t>EJ-X3-086</t>
  </si>
  <si>
    <t>文莱BI</t>
  </si>
  <si>
    <t>BI-02</t>
  </si>
  <si>
    <t>定金已收到，已走完让利，4.7号装柜，4.12船期</t>
  </si>
  <si>
    <t>SH-E550</t>
  </si>
  <si>
    <t>OT-161Q</t>
  </si>
  <si>
    <t>已走完让利，走完延期付款申请，4.14装柜，4.18船期</t>
  </si>
  <si>
    <t>OT-161R</t>
  </si>
  <si>
    <t>已走完让利，走完延期付款申请，4.28装柜，5.2船期</t>
  </si>
  <si>
    <t>3月份已开单，4月船期</t>
  </si>
  <si>
    <t xml:space="preserve"> BX(X7)230209</t>
  </si>
  <si>
    <t>定金已收到，4.25装柜，5.1号船期</t>
  </si>
  <si>
    <t>CV-01</t>
  </si>
  <si>
    <t>4.7号已开单，已发货至客户指定地址</t>
  </si>
  <si>
    <t>CV-02</t>
  </si>
  <si>
    <t>CV-03</t>
  </si>
  <si>
    <t>订单已确认，安排装车送货广州仓库</t>
  </si>
  <si>
    <t>RA-05</t>
  </si>
  <si>
    <t>客户放假至4月27日，客户预计今明2天可给货代信息</t>
  </si>
  <si>
    <t>SHUA-ARR20230410</t>
  </si>
  <si>
    <t>4月23日船期，4月19日装柜。</t>
  </si>
  <si>
    <t>68、69系列</t>
  </si>
  <si>
    <t>ST-19B</t>
  </si>
  <si>
    <t>客户明细已给，水单已收到，27日装柜</t>
  </si>
  <si>
    <t>ST-20</t>
  </si>
  <si>
    <t>4.28装柜，5.2船期</t>
  </si>
  <si>
    <t>ORG-04</t>
  </si>
  <si>
    <t>客户明细已给，全款已收到，27日装柜</t>
  </si>
  <si>
    <t>SA-14</t>
  </si>
  <si>
    <t>已收到客户全款水单，待订舱以及写请示报告</t>
  </si>
  <si>
    <t>GW-31</t>
  </si>
  <si>
    <t>订单已确认，安排装车送货晋江仓库</t>
  </si>
  <si>
    <t>SFF-03</t>
  </si>
  <si>
    <t>订单已确认，客户已付全款，已空运，预计4.28到达目的地</t>
  </si>
  <si>
    <t>KI-40</t>
  </si>
  <si>
    <t>客户已付全款，4.6物流发出，做无票</t>
  </si>
  <si>
    <t>GLT-34</t>
  </si>
  <si>
    <t>订单已确认，客户已付80%货款，4.7装柜，4.8船期</t>
  </si>
  <si>
    <t>GLT-35</t>
  </si>
  <si>
    <t>订单已确认，客户已汇订金，SO已拿到，27号晚上装柜</t>
  </si>
  <si>
    <t>提单显示船期3.31，财务数据显示4月</t>
  </si>
  <si>
    <t>HA-07</t>
  </si>
  <si>
    <t>客户已付全款，收到水单，SO已拿到，27号装柜</t>
  </si>
  <si>
    <t>澳大利亚CTD</t>
  </si>
  <si>
    <t>CTD-01</t>
  </si>
  <si>
    <t>订单已确认，客户已付全款，已安排货车运送至台州，我司报关</t>
  </si>
  <si>
    <t>GPR-03</t>
  </si>
  <si>
    <t>客户反馈本月确认订单</t>
  </si>
  <si>
    <t>提单显示船期3-31，财务数据显示4月</t>
  </si>
  <si>
    <t>F230503</t>
  </si>
  <si>
    <t>全款已收，无需走让利，4.28验货。</t>
  </si>
  <si>
    <t>8860S, 6500E</t>
  </si>
  <si>
    <t>F230411</t>
  </si>
  <si>
    <t>全款已收，先随F230503发28台，剩余24台5500（拼柜）</t>
  </si>
  <si>
    <t>SH-T5500</t>
  </si>
  <si>
    <t>MT2023-01B</t>
  </si>
  <si>
    <t>全款已收</t>
  </si>
  <si>
    <t>12月底出库，4月发车报关</t>
  </si>
  <si>
    <t>VG-06A</t>
  </si>
  <si>
    <t>VG-06A 全款已收
VG-06B全款已收</t>
  </si>
  <si>
    <t>VG-06B</t>
  </si>
  <si>
    <t>3月开单，4月船期</t>
  </si>
  <si>
    <t>印度COS</t>
  </si>
  <si>
    <t>COS-01</t>
  </si>
  <si>
    <t>定金已收,4月27日已装柜</t>
  </si>
  <si>
    <t>全款已付，客户自行出口</t>
  </si>
  <si>
    <t xml:space="preserve">    2023.5月份发货计划表  </t>
  </si>
  <si>
    <t>BT-04</t>
  </si>
  <si>
    <t>5月13发货青岛仓库</t>
  </si>
  <si>
    <t>6700A(110V）</t>
  </si>
  <si>
    <t>VPS-20</t>
  </si>
  <si>
    <t>5月22号装柜</t>
  </si>
  <si>
    <t>5170A/6500SZ</t>
  </si>
  <si>
    <t>罗马尼亚EFS</t>
  </si>
  <si>
    <t>EFS-01</t>
  </si>
  <si>
    <t>68/69/8919/9100车</t>
  </si>
  <si>
    <t>1*40HQ 1*20GP</t>
  </si>
  <si>
    <t>4月订单5月开船</t>
  </si>
  <si>
    <t>BT-04A</t>
  </si>
  <si>
    <t>从青岛仓库发墨西哥</t>
  </si>
  <si>
    <t>10台</t>
  </si>
  <si>
    <t>TFC20230407</t>
  </si>
  <si>
    <t>5月13号装柜</t>
  </si>
  <si>
    <t>6700A 6500E</t>
  </si>
  <si>
    <t>PE20230427</t>
  </si>
  <si>
    <t>5月29号装柜 客户标快递</t>
  </si>
  <si>
    <t>FCL20230508</t>
  </si>
  <si>
    <t>5月26号装柜</t>
  </si>
  <si>
    <t>AP-24</t>
  </si>
  <si>
    <t>EW-06</t>
  </si>
  <si>
    <t>5月29号装柜</t>
  </si>
  <si>
    <t>MOV20230510</t>
  </si>
  <si>
    <t xml:space="preserve"> 5月30号装柜</t>
  </si>
  <si>
    <t>5170A/B6500RE</t>
  </si>
  <si>
    <t>EJ-X3-087</t>
  </si>
  <si>
    <t>EJ-X3-088</t>
  </si>
  <si>
    <t>EJ-X3-089</t>
  </si>
  <si>
    <t>EJ-X6-131</t>
  </si>
  <si>
    <t>产品已发货，5.17号船期</t>
  </si>
  <si>
    <t>4月开单发货，5月船期</t>
  </si>
  <si>
    <t>HX-006</t>
  </si>
  <si>
    <t>已开单，发客户指定仓库，已报关</t>
  </si>
  <si>
    <t>HX-007</t>
  </si>
  <si>
    <t>已开单，发客户指定仓库，做无票</t>
  </si>
  <si>
    <t>HX-009</t>
  </si>
  <si>
    <t>HX-010</t>
  </si>
  <si>
    <t xml:space="preserve"> D</t>
  </si>
  <si>
    <t>OT-161S</t>
  </si>
  <si>
    <t>5.31日已装柜</t>
  </si>
  <si>
    <t>BX(E7)230117</t>
  </si>
  <si>
    <t>定金已收到，5.22开单，5.25船期</t>
  </si>
  <si>
    <t>SH-T399</t>
  </si>
  <si>
    <t>IR-04</t>
  </si>
  <si>
    <t>IR-05</t>
  </si>
  <si>
    <t>26号船期。23号装柜</t>
  </si>
  <si>
    <t>NE-23</t>
  </si>
  <si>
    <t>SA-15</t>
  </si>
  <si>
    <t>OL-063</t>
  </si>
  <si>
    <t>ARR20230525</t>
  </si>
  <si>
    <t>ARR20230510</t>
  </si>
  <si>
    <t>5.24号装柜，5.26号船期。</t>
  </si>
  <si>
    <t>SSG-02K</t>
  </si>
  <si>
    <t>订单已确认，订金已付，已开单，5.31已入仓</t>
  </si>
  <si>
    <t>澳大利亚MFS</t>
  </si>
  <si>
    <t>MFS-01</t>
  </si>
  <si>
    <t>订单已确认，客户已付全款，已发客户指定仓库，做无票</t>
  </si>
  <si>
    <t>澳大利亚YFG</t>
  </si>
  <si>
    <t>YFG-03</t>
  </si>
  <si>
    <t>订单已确认，客户已付全款，已发货代指定仓库</t>
  </si>
  <si>
    <t>JIE-SP02</t>
  </si>
  <si>
    <t>配件订单，客户已汇款，发客户指定仓库，做无票</t>
  </si>
  <si>
    <t>KI-41</t>
  </si>
  <si>
    <t>订单已确认，客户已付全款。安排5.30发货，做无票</t>
  </si>
  <si>
    <t>HA-08</t>
  </si>
  <si>
    <t>6月</t>
  </si>
  <si>
    <t>PI已确认，全款已入账，已走陆运出库</t>
  </si>
  <si>
    <t>新西兰FNZ</t>
  </si>
  <si>
    <t>FNZ-03</t>
  </si>
  <si>
    <t>已全款入账并送到货代仓库，船期5.28</t>
  </si>
  <si>
    <t>STR-19A</t>
  </si>
  <si>
    <t>5.30装柜</t>
  </si>
  <si>
    <t>MIF-30(阿联酋）</t>
  </si>
  <si>
    <t>货已备齐舱位已定，需走让利流程</t>
  </si>
  <si>
    <t>MIF-31（南非）</t>
  </si>
  <si>
    <t>ZSL-04B</t>
  </si>
  <si>
    <t>15万定金已收</t>
  </si>
  <si>
    <t>4月开单，5月发车报关</t>
  </si>
  <si>
    <t>5月</t>
  </si>
  <si>
    <t>3月开单，5月发车报关</t>
  </si>
  <si>
    <t>VG-06C</t>
  </si>
  <si>
    <t>2月开单，5月发车报关</t>
  </si>
  <si>
    <t>CG2023-004</t>
  </si>
  <si>
    <t>客诉批量订单，买单报关</t>
  </si>
  <si>
    <t>孟加拉OLY</t>
  </si>
  <si>
    <t>OLY-01</t>
  </si>
  <si>
    <t>全款已收，5.31发货</t>
  </si>
  <si>
    <t>CE2022-002C</t>
  </si>
  <si>
    <t>定金已到，5.18已装柜</t>
  </si>
  <si>
    <t>KA2023-001A</t>
  </si>
  <si>
    <t>定金到账，5.15装柜，5.18船期，</t>
  </si>
  <si>
    <t>KA2023-001B</t>
  </si>
  <si>
    <t>5.29装柜</t>
  </si>
  <si>
    <t>CG2023-005</t>
  </si>
  <si>
    <t>5.23装柜</t>
  </si>
  <si>
    <t xml:space="preserve">    2023.6月份发货计划表  </t>
  </si>
  <si>
    <t>YFE-02</t>
  </si>
  <si>
    <t>6/30装柜--303716</t>
  </si>
  <si>
    <t>68凳架</t>
  </si>
  <si>
    <t>VX-15</t>
  </si>
  <si>
    <t>6/21装柜</t>
  </si>
  <si>
    <t>T6500SZ</t>
  </si>
  <si>
    <t>STG-02</t>
  </si>
  <si>
    <t>6/25装柜, Reach证书30号好,6/28号货代通知换船，船期延迟</t>
  </si>
  <si>
    <t>B9100E/B9100U</t>
  </si>
  <si>
    <t>AME-04</t>
  </si>
  <si>
    <t>6/27装柜</t>
  </si>
  <si>
    <t>T9100,B9100UR，E800</t>
  </si>
  <si>
    <t>德国FWM</t>
  </si>
  <si>
    <t>FWM-01</t>
  </si>
  <si>
    <t>2023 FIBO 展会样品</t>
  </si>
  <si>
    <t>2*20GP</t>
  </si>
  <si>
    <t>5/22号装柜，6月开船</t>
  </si>
  <si>
    <t xml:space="preserve">罗马尼亚ZD </t>
  </si>
  <si>
    <t>3月发青岛，6月开船</t>
  </si>
  <si>
    <t xml:space="preserve">6700A </t>
  </si>
  <si>
    <t>AP-25/26</t>
  </si>
  <si>
    <t>6/26装柜</t>
  </si>
  <si>
    <t xml:space="preserve"> T8919 10台</t>
  </si>
  <si>
    <t>UKG-01</t>
  </si>
  <si>
    <t>6/19装柜，原船期6-24号，船公司甩柜新船期7/1</t>
  </si>
  <si>
    <t>T9100,T8700,B9100URE</t>
  </si>
  <si>
    <t>FE-007</t>
  </si>
  <si>
    <t>发库存/6.23</t>
  </si>
  <si>
    <t>6/25装柜</t>
  </si>
  <si>
    <t>6700A，5170A，G6819</t>
  </si>
  <si>
    <t>MDF-10</t>
  </si>
  <si>
    <t>6/14散货，发货代仓库拼柜</t>
  </si>
  <si>
    <t>G5205,G6876</t>
  </si>
  <si>
    <t>LCL(2cbm)</t>
  </si>
  <si>
    <t>5月订单6月开船</t>
  </si>
  <si>
    <t>4月订单6月开船(4月27号送8台到厦门供应商拼柜)</t>
  </si>
  <si>
    <t>T5907</t>
  </si>
  <si>
    <t>EJ-J9-003</t>
  </si>
  <si>
    <t>6.28号已开单装柜，船期6.30号</t>
  </si>
  <si>
    <t>SH-T2100</t>
  </si>
  <si>
    <t>EJ-X1-006</t>
  </si>
  <si>
    <t>5月开单发货，6月船期</t>
  </si>
  <si>
    <t>HX-008</t>
  </si>
  <si>
    <t>7月</t>
  </si>
  <si>
    <t>定金已收到，产品交货期6月25，船期7月5号</t>
  </si>
  <si>
    <t>HX-011</t>
  </si>
  <si>
    <t>HX-012</t>
  </si>
  <si>
    <t>HX-013</t>
  </si>
  <si>
    <t>HX-014</t>
  </si>
  <si>
    <t>OT-161U</t>
  </si>
  <si>
    <t>订单明细已确认， 6.28号已开单装柜，6.30号已开船</t>
  </si>
  <si>
    <t>5月份开单装柜，6月船期</t>
  </si>
  <si>
    <t>NF-104</t>
  </si>
  <si>
    <t>1x20GP 订单，明细已确认，船期7.01号</t>
  </si>
  <si>
    <t>ARR20230621</t>
  </si>
  <si>
    <t>2x40HQ 意向订单，订单明细确认中，新船期7.5号</t>
  </si>
  <si>
    <t>NE-25</t>
  </si>
  <si>
    <t>1x20GP 合同已确认，客户定金已入账，船期6.29号</t>
  </si>
  <si>
    <t>CV-04</t>
  </si>
  <si>
    <t>CV-06</t>
  </si>
  <si>
    <t>ST-21</t>
  </si>
  <si>
    <t>ORG-05</t>
  </si>
  <si>
    <t>6月初</t>
  </si>
  <si>
    <t>新加坡Fit Summit展会样机</t>
  </si>
  <si>
    <t>5月开单发货，走陆运，船期数据落在6月</t>
  </si>
  <si>
    <t>平板车</t>
  </si>
  <si>
    <t>PG-08</t>
  </si>
  <si>
    <t>SSG-01</t>
  </si>
  <si>
    <t>产品清单已确认，客户全款已到账</t>
  </si>
  <si>
    <t>GLT-036</t>
  </si>
  <si>
    <t>已开单装柜，船期6.28号</t>
  </si>
  <si>
    <t>STR-19B</t>
  </si>
  <si>
    <t>6.25货好，6.26验货并装柜，6.29船晚开到7月1日</t>
  </si>
  <si>
    <t>MIF-33（发南非）</t>
  </si>
  <si>
    <t>6/21装</t>
  </si>
  <si>
    <t>MIF-30(发阿联酋）</t>
  </si>
  <si>
    <t xml:space="preserve"> F230705</t>
  </si>
  <si>
    <t>7月火车</t>
  </si>
  <si>
    <t>全款待收</t>
  </si>
  <si>
    <t>SH-B6500U</t>
  </si>
  <si>
    <t>MS-01</t>
  </si>
  <si>
    <r>
      <rPr>
        <sz val="11"/>
        <color rgb="FF000000"/>
        <rFont val="微软雅黑"/>
        <charset val="134"/>
      </rPr>
      <t>预计8/17 到港，</t>
    </r>
    <r>
      <rPr>
        <sz val="11"/>
        <color rgb="FFFF0000"/>
        <rFont val="微软雅黑"/>
        <charset val="134"/>
      </rPr>
      <t>全款已收</t>
    </r>
  </si>
  <si>
    <t>ZSL-05</t>
  </si>
  <si>
    <t>发印度CK的5918X44，全款已收</t>
  </si>
  <si>
    <t>MT2023-02</t>
  </si>
  <si>
    <r>
      <rPr>
        <sz val="11"/>
        <color rgb="FF000000"/>
        <rFont val="微软雅黑"/>
        <charset val="134"/>
      </rPr>
      <t>尝试推呆滞库存，30装柜，</t>
    </r>
    <r>
      <rPr>
        <sz val="11"/>
        <color rgb="FFFF0000"/>
        <rFont val="微软雅黑"/>
        <charset val="134"/>
      </rPr>
      <t>70%尾款待收</t>
    </r>
  </si>
  <si>
    <t>RFT2023-03</t>
  </si>
  <si>
    <t>ZS-P04</t>
  </si>
  <si>
    <t>配件单，6月无票</t>
  </si>
  <si>
    <t>MT2023-P02</t>
  </si>
  <si>
    <t>5月装柜，6月船期 全款已收</t>
  </si>
  <si>
    <t>CG2023-003</t>
  </si>
  <si>
    <t>6.17已验货，6.29装柜，船晚开到7.2</t>
  </si>
  <si>
    <t>SI2023-001A</t>
  </si>
  <si>
    <t>6月7日已装柜，6月9日船期</t>
  </si>
  <si>
    <t>OS-06</t>
  </si>
  <si>
    <t>定金到账，30号船期，25日装柜</t>
  </si>
  <si>
    <t>印度VE（新客户）</t>
  </si>
  <si>
    <t>VE-01</t>
  </si>
  <si>
    <t>定金到账，已订舱6.23,6.20已装柜</t>
  </si>
  <si>
    <t xml:space="preserve"> 全款已收，5.31发货 </t>
  </si>
  <si>
    <t>6月财务船期</t>
  </si>
  <si>
    <t>差额</t>
  </si>
  <si>
    <t>订单已确认，争取当月发货</t>
  </si>
  <si>
    <t>客户未确认订单，争取中</t>
  </si>
  <si>
    <t>无异常，预计本月可发货</t>
  </si>
  <si>
    <t>·</t>
  </si>
  <si>
    <t xml:space="preserve">    2023.7月份发货计划表  </t>
  </si>
  <si>
    <t>MM-02</t>
  </si>
  <si>
    <t>7/6送货代仓库拼柜</t>
  </si>
  <si>
    <t>BT-05</t>
  </si>
  <si>
    <t>7月12号发青岛仓库</t>
  </si>
  <si>
    <t>6/25装柜, 7月船期</t>
  </si>
  <si>
    <t>6/30装柜--303716，7月船期</t>
  </si>
  <si>
    <t>6/27装柜，7月船期</t>
  </si>
  <si>
    <t>巴西Wedo</t>
  </si>
  <si>
    <t>WD-01/02</t>
  </si>
  <si>
    <t>7/25装柜，体博会客户</t>
  </si>
  <si>
    <t>68,89,系列</t>
  </si>
  <si>
    <t xml:space="preserve">5*40HQ </t>
  </si>
  <si>
    <t>HF-15</t>
  </si>
  <si>
    <t>7/17号装柜</t>
  </si>
  <si>
    <t>68,9100ure</t>
  </si>
  <si>
    <t>FC-05</t>
  </si>
  <si>
    <t xml:space="preserve">发库存 </t>
  </si>
  <si>
    <t>7/18装柜</t>
  </si>
  <si>
    <t xml:space="preserve"> T8919,T6500S</t>
  </si>
  <si>
    <t>巴拿马FSP</t>
  </si>
  <si>
    <t>FSP-01</t>
  </si>
  <si>
    <t>7/24装柜，船司通知换船，船期延一水</t>
  </si>
  <si>
    <t>68，6500URE</t>
  </si>
  <si>
    <t>7/22装柜</t>
  </si>
  <si>
    <t>路径产品，追加5170A/5500A</t>
  </si>
  <si>
    <t>6/26装柜，7月船期</t>
  </si>
  <si>
    <r>
      <rPr>
        <sz val="11"/>
        <color rgb="FF000000"/>
        <rFont val="微软雅黑"/>
        <charset val="134"/>
      </rPr>
      <t>已签订订单</t>
    </r>
    <r>
      <rPr>
        <sz val="9"/>
        <color rgb="FF000000"/>
        <rFont val="微软雅黑"/>
        <charset val="134"/>
      </rPr>
      <t>（发货时间明确不在本月）</t>
    </r>
  </si>
  <si>
    <t>信用证收到，已下单，客户要求交期8月底</t>
  </si>
  <si>
    <t>已确认明细, 交期争取8月底</t>
  </si>
  <si>
    <t>LAR-03</t>
  </si>
  <si>
    <t>信用证已收到，正在下单</t>
  </si>
  <si>
    <t>2*40HQ 1*20GP</t>
  </si>
  <si>
    <t>信用证收到，正在下单，客户要求交期9月底</t>
  </si>
  <si>
    <r>
      <rPr>
        <sz val="11"/>
        <color rgb="FF000000"/>
        <rFont val="微软雅黑"/>
        <charset val="134"/>
      </rPr>
      <t>已收定金，</t>
    </r>
    <r>
      <rPr>
        <b/>
        <sz val="11"/>
        <color rgb="FFFF0000"/>
        <rFont val="微软雅黑"/>
        <charset val="134"/>
      </rPr>
      <t>安排调拨中</t>
    </r>
  </si>
  <si>
    <t>智利PSC</t>
  </si>
  <si>
    <t>PSC-01</t>
  </si>
  <si>
    <t>7月20延至8月5号</t>
  </si>
  <si>
    <t>已订舱排载，船期8/12，暂定8/5装柜，客户标</t>
  </si>
  <si>
    <t>69系列黑灰</t>
  </si>
  <si>
    <t>MDF-11</t>
  </si>
  <si>
    <t>舒华展厅健身房项目（1000平）客户在加68龙门架产品，希望享受以量换价政策</t>
  </si>
  <si>
    <t>秘鲁健身房项目，人民币含税开票</t>
  </si>
  <si>
    <t>美国WU</t>
  </si>
  <si>
    <t>WU-01</t>
  </si>
  <si>
    <t>对新款跑步机E3有兴趣，确认贴标问题</t>
  </si>
  <si>
    <t>T310</t>
  </si>
  <si>
    <t>英国FST</t>
  </si>
  <si>
    <t>FST-01</t>
  </si>
  <si>
    <t>体博会客户 意向订单明细确认中，客户希望区域独家，对HF感到不满</t>
  </si>
  <si>
    <t>意向订单明细确认中，需跟进联系</t>
  </si>
  <si>
    <t>意向订单，正在确认明细，年度协议正在确认，需跟进联系</t>
  </si>
  <si>
    <t>询盘 健身房，已发PI,客户在内部沟通大概需要30天时间方能确认，需跟进联系</t>
  </si>
  <si>
    <t>意向订单3900A 40台，不达MOQ，需跟进联系</t>
  </si>
  <si>
    <t>T3900A</t>
  </si>
  <si>
    <t>6.28号已开单装柜，船期6.30号（实际船期落在7月）</t>
  </si>
  <si>
    <t>航星体育</t>
  </si>
  <si>
    <t>产品交货期6月25，船期7月5号</t>
  </si>
  <si>
    <t>HX-015</t>
  </si>
  <si>
    <t>GLT-037</t>
  </si>
  <si>
    <t>7月份开单，船期7月9日</t>
  </si>
  <si>
    <t>GLT-038</t>
  </si>
  <si>
    <t>订单明细已确认，7/27开单，7/30发货，此单报无票</t>
  </si>
  <si>
    <t>9月</t>
  </si>
  <si>
    <t>订单明细已确认， 6.28号已开单装柜，船期7月</t>
  </si>
  <si>
    <t>SH20230608</t>
  </si>
  <si>
    <t>7.1号开单装柜，船期7.5号</t>
  </si>
  <si>
    <t>6月开单发货，7月船期</t>
  </si>
  <si>
    <t>1x40HQ 意向订单，清单已确认，船期待定</t>
  </si>
  <si>
    <t>UT-02</t>
  </si>
  <si>
    <t>7/20开单，预计船期7月28日，全款已汇，已入客户指定仓</t>
  </si>
  <si>
    <t>OBT-12</t>
  </si>
  <si>
    <t>1x20GP 产品订单清单已确认，客户已汇定金，船期7.22</t>
  </si>
  <si>
    <t>澳大利亚JUS</t>
  </si>
  <si>
    <t>JUS-01</t>
  </si>
  <si>
    <t>样品订单，7.26开单发货，送入客户指定仓，做无票申请。</t>
  </si>
  <si>
    <t>ERC-02</t>
  </si>
  <si>
    <t>7.17号已开单，送入客户指定仓，客户付人民币全款开税票，做无票申请。</t>
  </si>
  <si>
    <r>
      <rPr>
        <sz val="11"/>
        <color rgb="FF000000"/>
        <rFont val="微软雅黑"/>
        <charset val="134"/>
      </rPr>
      <t>已签订订单（</t>
    </r>
    <r>
      <rPr>
        <sz val="9"/>
        <color rgb="FF000000"/>
        <rFont val="微软雅黑"/>
        <charset val="134"/>
      </rPr>
      <t>发货时间明确不在本月）</t>
    </r>
  </si>
  <si>
    <t>EJ-AFple-01</t>
  </si>
  <si>
    <t>样品改制中</t>
  </si>
  <si>
    <t>力量器械样品订单，客户定金已入账，产品涉及更改，沟通本月发货</t>
  </si>
  <si>
    <t>产品交货期6月26号，发货时间待定</t>
  </si>
  <si>
    <t>LJW-010</t>
  </si>
  <si>
    <t>订单明细已确认，客户待汇全款，发货时间待定</t>
  </si>
  <si>
    <t>KI-42</t>
  </si>
  <si>
    <t>MIF-34</t>
  </si>
  <si>
    <t>F230804</t>
  </si>
  <si>
    <t>8月火车</t>
  </si>
  <si>
    <t>29下午验货，30装柜</t>
  </si>
  <si>
    <t>KA2023-002</t>
  </si>
  <si>
    <t>定金到账，24号已装柜</t>
  </si>
  <si>
    <t>68/89/9100E,800E</t>
  </si>
  <si>
    <t>OS-07</t>
  </si>
  <si>
    <t>29号船，25日已装柜</t>
  </si>
  <si>
    <t>客户表示需10月发货</t>
  </si>
  <si>
    <t>ZSL-06</t>
  </si>
  <si>
    <t>交期延到8月初</t>
  </si>
  <si>
    <t>8月底</t>
  </si>
  <si>
    <t>客户要求8月底出货，目前还没有8月的船期表</t>
  </si>
  <si>
    <t>MS-003A&amp;B</t>
  </si>
  <si>
    <t>定金不足30%发货，流程已过。预计8月3日装柜</t>
  </si>
  <si>
    <t>订单明细确认，客户反馈美元短缺，汇率不稳，28号股东会决定下一步选择。</t>
  </si>
  <si>
    <t>6.26催客户发LC draft，同步提高货代信息。 货已备好。</t>
  </si>
  <si>
    <t>SF-01</t>
  </si>
  <si>
    <r>
      <rPr>
        <sz val="11"/>
        <color rgb="FF000000"/>
        <rFont val="微软雅黑"/>
        <charset val="134"/>
      </rPr>
      <t>已确认意向单9月陆续出货，待客户提供BOM图，待合同签订和</t>
    </r>
    <r>
      <rPr>
        <sz val="11"/>
        <color rgb="FFFF0000"/>
        <rFont val="微软雅黑"/>
        <charset val="134"/>
      </rPr>
      <t>定金催收，</t>
    </r>
  </si>
  <si>
    <t>待8人站的报价</t>
  </si>
  <si>
    <t>订单明细确认中，另外客户反馈国家美元不足，开信用证需要较长时间，出货时间不确定</t>
  </si>
  <si>
    <t>中心合计
（本月发货订单）</t>
  </si>
  <si>
    <t xml:space="preserve">    2023.8月份发货计划表  </t>
  </si>
  <si>
    <t>LT-08</t>
  </si>
  <si>
    <t>8/1装柜</t>
  </si>
  <si>
    <t>68,69,系列</t>
  </si>
  <si>
    <t>8/26装柜</t>
  </si>
  <si>
    <t>8/30装柜，先发1小柜</t>
  </si>
  <si>
    <t>8/29装柜</t>
  </si>
  <si>
    <t>FG-10</t>
  </si>
  <si>
    <t>8/6装柜</t>
  </si>
  <si>
    <t>HF-16</t>
  </si>
  <si>
    <t>8/14装柜</t>
  </si>
  <si>
    <t>T8919,68，9100URE</t>
  </si>
  <si>
    <t>8/17装柜，客户标</t>
  </si>
  <si>
    <t>TFC20230803</t>
  </si>
  <si>
    <t>8/18装柜</t>
  </si>
  <si>
    <t>6700A，6500RE</t>
  </si>
  <si>
    <t>AP-27</t>
  </si>
  <si>
    <t>8/25装柜</t>
  </si>
  <si>
    <t>68,T8919</t>
  </si>
  <si>
    <t>7/24装柜，8月船期</t>
  </si>
  <si>
    <t>信用证收到,7/20已下单, 9月初发完</t>
  </si>
  <si>
    <t>订单已确认，舒华品牌更改颜色（红），下单生产，交期10月初</t>
  </si>
  <si>
    <r>
      <rPr>
        <sz val="11"/>
        <color rgb="FF000000"/>
        <rFont val="微软雅黑"/>
        <charset val="134"/>
      </rPr>
      <t>已收全款，</t>
    </r>
    <r>
      <rPr>
        <sz val="11"/>
        <color rgb="FFFF0000"/>
        <rFont val="微软雅黑"/>
        <charset val="134"/>
      </rPr>
      <t>追货代</t>
    </r>
  </si>
  <si>
    <t>9月20号</t>
  </si>
  <si>
    <r>
      <rPr>
        <sz val="11"/>
        <color rgb="FF000000"/>
        <rFont val="微软雅黑"/>
        <charset val="134"/>
      </rPr>
      <t>舒华展厅健身房项目（1200平） 已收定金（</t>
    </r>
    <r>
      <rPr>
        <sz val="11"/>
        <color rgb="FFFF0000"/>
        <rFont val="微软雅黑"/>
        <charset val="134"/>
      </rPr>
      <t>68 黑色坐垫需要下单做</t>
    </r>
    <r>
      <rPr>
        <sz val="11"/>
        <color rgb="FF000000"/>
        <rFont val="微软雅黑"/>
        <charset val="134"/>
      </rPr>
      <t>）</t>
    </r>
  </si>
  <si>
    <t>何时发货，什么类型健身房</t>
  </si>
  <si>
    <t>意向订单，客户在调整订单明细中</t>
  </si>
  <si>
    <t>待确认</t>
  </si>
  <si>
    <r>
      <rPr>
        <sz val="11"/>
        <color rgb="FF000000"/>
        <rFont val="微软雅黑"/>
        <charset val="134"/>
      </rPr>
      <t>明细确认+</t>
    </r>
    <r>
      <rPr>
        <sz val="11"/>
        <color rgb="FFFF0000"/>
        <rFont val="微软雅黑"/>
        <charset val="134"/>
      </rPr>
      <t>增加付费配件</t>
    </r>
    <r>
      <rPr>
        <sz val="11"/>
        <color rgb="FF000000"/>
        <rFont val="微软雅黑"/>
        <charset val="134"/>
      </rPr>
      <t>（交期待确认），</t>
    </r>
    <r>
      <rPr>
        <sz val="11"/>
        <color rgb="FFFF0000"/>
        <rFont val="微软雅黑"/>
        <charset val="134"/>
      </rPr>
      <t>催定金</t>
    </r>
    <r>
      <rPr>
        <sz val="11"/>
        <color rgb="FF000000"/>
        <rFont val="微软雅黑"/>
        <charset val="134"/>
      </rPr>
      <t>，人民币含税开票</t>
    </r>
  </si>
  <si>
    <t>客户已汇定金，已走完让利流程，船期8.28号</t>
  </si>
  <si>
    <t>EJ-AFple-03</t>
  </si>
  <si>
    <t>客户已汇定金， 预计8月26号开单发货，做无票申请</t>
  </si>
  <si>
    <t>RA-06</t>
  </si>
  <si>
    <t>客户已汇定金，船期8.7号</t>
  </si>
  <si>
    <t>LJW-009</t>
  </si>
  <si>
    <t>客户已汇全款，8.9号开单，8.9号装车，做无票申请</t>
  </si>
  <si>
    <t>客户已汇全款，8.3号开单，8.4号装柜，做无票申请</t>
  </si>
  <si>
    <t>OT-164</t>
  </si>
  <si>
    <t>已开单，8.18号已装柜，船期8.21号</t>
  </si>
  <si>
    <t>订单明细确认，8.23号已发货，做无票申请</t>
  </si>
  <si>
    <t>NF-106</t>
  </si>
  <si>
    <t>船期8月8日，已装柜8/4装柜</t>
  </si>
  <si>
    <t>LF-01A</t>
  </si>
  <si>
    <t>z</t>
  </si>
  <si>
    <t>客户订金已汇，待入账，与货代确认船期</t>
  </si>
  <si>
    <t>SH20230608-2</t>
  </si>
  <si>
    <t>客户定金已到账，8月26日船期</t>
  </si>
  <si>
    <t>CV-07</t>
  </si>
  <si>
    <t>客户已汇全款，发货时间8/8，做无票申请</t>
  </si>
  <si>
    <t>NE-26</t>
  </si>
  <si>
    <t>订单已发货，8.17号装柜，8月20日船期</t>
  </si>
  <si>
    <t>SA-16</t>
  </si>
  <si>
    <t>订单已发货，8.24号装柜，船期8.26号</t>
  </si>
  <si>
    <t>SHUA-ARR20230727</t>
  </si>
  <si>
    <t>1x40HQ 订单，8.4号已开单装柜，8.6号船期</t>
  </si>
  <si>
    <t>SUN-008</t>
  </si>
  <si>
    <t>1x20GP订单，8.4号装柜，8.6号船期</t>
  </si>
  <si>
    <t>AIF-03</t>
  </si>
  <si>
    <t>与其他工厂拼柜，8.3号已装柜，船期8.5号</t>
  </si>
  <si>
    <t>AF-08</t>
  </si>
  <si>
    <t>全款已收到，开单8.8号，船期8.15号</t>
  </si>
  <si>
    <t>预计9月发货</t>
  </si>
  <si>
    <t>产品已入库，发货时间确认中，预计9月发货</t>
  </si>
  <si>
    <t>产品已入库，发货时间确认中，预计10月发货</t>
  </si>
  <si>
    <t>生产回复交期9月25号</t>
  </si>
  <si>
    <t>菲律宾健身房项目</t>
  </si>
  <si>
    <t>已回传客户合同，已收到客户定金，持续与客户确认发货时间</t>
  </si>
  <si>
    <t>订单明细确认，预计9月初装柜，船期由于受台风影响延误至9月4日，待发布操作时间</t>
  </si>
  <si>
    <t>订单明细已确认，持续与客户沟通发货时间</t>
  </si>
  <si>
    <t>23日已确认订单明细，待客户汇全款</t>
  </si>
  <si>
    <t>LF-01B</t>
  </si>
  <si>
    <t>待客户确认销售合同及PI合同，客户预计8月24日汇定金</t>
  </si>
  <si>
    <t>订单明细已确认，待客户汇定金，发货时间确认中</t>
  </si>
  <si>
    <t>MIF-35</t>
  </si>
  <si>
    <t>黎巴嫩3C</t>
  </si>
  <si>
    <t>土耳其INT</t>
  </si>
  <si>
    <t>IN-01</t>
  </si>
  <si>
    <t>收费配件</t>
  </si>
  <si>
    <r>
      <rPr>
        <sz val="11"/>
        <color rgb="FF000000"/>
        <rFont val="微软雅黑"/>
        <charset val="134"/>
      </rPr>
      <t xml:space="preserve">已电放, </t>
    </r>
    <r>
      <rPr>
        <sz val="11"/>
        <color rgb="FFFF0000"/>
        <rFont val="微软雅黑"/>
        <charset val="134"/>
      </rPr>
      <t>尾款待收</t>
    </r>
  </si>
  <si>
    <t>7/27火车</t>
  </si>
  <si>
    <t>全款已收, 7/27号已开车</t>
  </si>
  <si>
    <t>定金已到账，8月3日装柜，短装3台6822A.8月7日船期</t>
  </si>
  <si>
    <t>KA2023-003A</t>
  </si>
  <si>
    <t>定金到账，16号装柜,爆柜短装5台</t>
  </si>
  <si>
    <t>25号装柜，31号船期，短装6874-2台，船延到9.1</t>
  </si>
  <si>
    <t>VE-02A</t>
  </si>
  <si>
    <t>定金到账，29号装柜，短装650S1台，船提开8.31</t>
  </si>
  <si>
    <r>
      <rPr>
        <sz val="11"/>
        <color rgb="FF000000"/>
        <rFont val="微软雅黑"/>
        <charset val="134"/>
      </rPr>
      <t>外购交期预计在10月份，</t>
    </r>
    <r>
      <rPr>
        <sz val="11"/>
        <color rgb="FFFF0000"/>
        <rFont val="微软雅黑"/>
        <charset val="134"/>
      </rPr>
      <t>9100起订量不满</t>
    </r>
  </si>
  <si>
    <t>客户要求9月初发货,</t>
  </si>
  <si>
    <t>客户反馈预计9月15处理银行相关资料，那之后再联系</t>
  </si>
  <si>
    <r>
      <rPr>
        <sz val="11"/>
        <color rgb="FF000000"/>
        <rFont val="微软雅黑"/>
        <charset val="134"/>
      </rPr>
      <t>客户需10月发货，</t>
    </r>
    <r>
      <rPr>
        <sz val="11"/>
        <color rgb="FFFF0000"/>
        <rFont val="微软雅黑"/>
        <charset val="134"/>
      </rPr>
      <t>定金催收,whatapp不回，电话不聊。本单变数很大。</t>
    </r>
  </si>
  <si>
    <t>建筑公司，有户外路径设备需求</t>
  </si>
  <si>
    <t>订单明细待确认</t>
  </si>
  <si>
    <t>MAC-04</t>
  </si>
  <si>
    <t>清单明细确认中，发货时间预计10月底</t>
  </si>
  <si>
    <r>
      <rPr>
        <sz val="11"/>
        <color rgb="FF000000"/>
        <rFont val="微软雅黑"/>
        <charset val="134"/>
      </rPr>
      <t>9/21号装柜，</t>
    </r>
    <r>
      <rPr>
        <sz val="11"/>
        <color rgb="FFFF0000"/>
        <rFont val="微软雅黑"/>
        <charset val="134"/>
      </rPr>
      <t>原船期9/29，实际船期延误至10/1</t>
    </r>
  </si>
  <si>
    <t>9/12号装柜</t>
  </si>
  <si>
    <t>9/23号装柜</t>
  </si>
  <si>
    <t>9/28号送仓， 老客户本次是最后一次做小柜。</t>
  </si>
  <si>
    <r>
      <rPr>
        <sz val="11"/>
        <color rgb="FF000000"/>
        <rFont val="微软雅黑"/>
        <charset val="134"/>
      </rPr>
      <t>9/23号装柜，</t>
    </r>
    <r>
      <rPr>
        <sz val="11"/>
        <color rgb="FFFF0000"/>
        <rFont val="微软雅黑"/>
        <charset val="134"/>
      </rPr>
      <t>原船期9/29，实际船期延误至10/1</t>
    </r>
  </si>
  <si>
    <t>5170A, 5918</t>
  </si>
  <si>
    <t>9/15号装柜</t>
  </si>
  <si>
    <r>
      <rPr>
        <sz val="11"/>
        <color rgb="FF000000"/>
        <rFont val="微软雅黑"/>
        <charset val="134"/>
      </rPr>
      <t>9/23号装柜</t>
    </r>
    <r>
      <rPr>
        <sz val="11"/>
        <color rgb="FFFF0000"/>
        <rFont val="微软雅黑"/>
        <charset val="134"/>
      </rPr>
      <t>，原船期9/30，实际船期延误至10/9</t>
    </r>
  </si>
  <si>
    <t>联系货代订舱</t>
  </si>
  <si>
    <r>
      <rPr>
        <sz val="11"/>
        <color rgb="FF000000"/>
        <rFont val="微软雅黑"/>
        <charset val="134"/>
      </rPr>
      <t xml:space="preserve">9月已开单， 生产交期延误暂定10-18， </t>
    </r>
    <r>
      <rPr>
        <sz val="11"/>
        <color rgb="FFFF0000"/>
        <rFont val="微软雅黑"/>
        <charset val="134"/>
      </rPr>
      <t>原因是8805的铸钢件踏板不良，已经退物3次</t>
    </r>
  </si>
  <si>
    <t>9/19号发散货拼柜</t>
  </si>
  <si>
    <t>交期评审中，预计11月底12月发货。展厅订单，已下单，定金安排中。</t>
  </si>
  <si>
    <t>大货订单G8919,G8923, G8924</t>
  </si>
  <si>
    <t>PL-04</t>
  </si>
  <si>
    <t>交期评审中，预计10月底，定金安排中</t>
  </si>
  <si>
    <t>产品和PL-03重复，一起生产，定金安排中</t>
  </si>
  <si>
    <t>FO-02A</t>
  </si>
  <si>
    <t>订单明细确认，客户要求按10月20发第一批，每款都发，数量不一。跟进定金中</t>
  </si>
  <si>
    <t>FO-02B</t>
  </si>
  <si>
    <t>订单明细确认，客户要求按12月20发第二批。跟进定金中</t>
  </si>
  <si>
    <t>意向订单T860一高柜，催定金</t>
  </si>
  <si>
    <t>订单明细及发货时间待客户确认，已收定金US$10000</t>
  </si>
  <si>
    <t>750美金/730美金，有有氧去平摊</t>
  </si>
  <si>
    <t>10月底</t>
  </si>
  <si>
    <t>所有货一起发，交期争取到10月底。G8808/G8809/G8818在10-28以后,11月初</t>
  </si>
  <si>
    <t>G8808/G8809/G8818</t>
  </si>
  <si>
    <t>订单确认，已收定金，客户还要加货</t>
  </si>
  <si>
    <t>询盘客户，意向订单, 明细确认中</t>
  </si>
  <si>
    <t>送样T6500，T210， 9月18号已送样入仓</t>
  </si>
  <si>
    <t>2018年来过舒华，询盘，政府项目健身房，最终竞标失败，可能原因1.缺少商用4人站 2.竞争对手与政府部门有关系 3.业务缺乏国外招标项目经验</t>
  </si>
  <si>
    <t>通知下单</t>
  </si>
  <si>
    <t>意向订单, 明细确认中</t>
  </si>
  <si>
    <t>秘鲁高端健身房项目，经销商还在争取中，暂无进展</t>
  </si>
  <si>
    <t>客户新开健身房1300平方米，健身房基本建好，明细确认，已发PI，跟进客户确认</t>
  </si>
  <si>
    <t>墨西哥大型商超COPPEL，家用健身器材，深圳采购办事处（25号去拜访），待报价。</t>
  </si>
  <si>
    <t>泉州出差时去拜访</t>
  </si>
  <si>
    <t>访问工厂，了解需求</t>
  </si>
  <si>
    <t>美国大型分销商，FCC测试通过，舒华承测试费18285元，验厂后计划下1x40HQ</t>
  </si>
  <si>
    <t>意向订单，MOQ下单，待确认价格折扣。就家用增长的产品尝试以量换价。</t>
  </si>
  <si>
    <t>更具体的折扣对比， T6500s. T 860</t>
  </si>
  <si>
    <t>意向订单，订单部分明细确认, 要加货，7704是否要下市？</t>
  </si>
  <si>
    <t>25%折扣冲量</t>
  </si>
  <si>
    <t>家用维持销量的产品有没有</t>
  </si>
  <si>
    <t>斯洛伐克IG</t>
  </si>
  <si>
    <t>IG-01</t>
  </si>
  <si>
    <t>款项已付，客户船期还未确认，EXW条款，LCL</t>
  </si>
  <si>
    <t>意向订单明细确认中，9月14更新PI给客户</t>
  </si>
  <si>
    <t>发印度城市</t>
  </si>
  <si>
    <t>GP-05</t>
  </si>
  <si>
    <t>意向订单明细确认中。</t>
  </si>
  <si>
    <t>入库日/ETD起3个月内发走</t>
  </si>
  <si>
    <t>无蓝牙款，交期9月19号，9/21开单，9/23船期。</t>
  </si>
  <si>
    <t>T5100贴牌</t>
  </si>
  <si>
    <t>生产回复交期9月25号，9/26开单，9/29船期。</t>
  </si>
  <si>
    <t>配件订单，待货好，预计9/27发货，报无票</t>
  </si>
  <si>
    <t>OT-165</t>
  </si>
  <si>
    <t>订单明细确认，计划9/20开单，船期9/30；</t>
  </si>
  <si>
    <t>订单明细确认，SO已拿到，计划9/27开单，船期10/06；</t>
  </si>
  <si>
    <t>9.22号开单发货，船期9.26</t>
  </si>
  <si>
    <t>9/15开单，船期9月18号</t>
  </si>
  <si>
    <t>SHUA-ARR20230824</t>
  </si>
  <si>
    <t>SHUA-ARR20230913</t>
  </si>
  <si>
    <t>9月19日已装柜，9月21日船期</t>
  </si>
  <si>
    <t>订单明细已确认中，9月12号已开单，计划9.13装柜</t>
  </si>
  <si>
    <t>客户定金已汇款，SO已拿到仓位，9.27装柜，10.1船期</t>
  </si>
  <si>
    <t>XG-01A</t>
  </si>
  <si>
    <t>OL-064</t>
  </si>
  <si>
    <t>订单明细确认，目前与客户沟通其逾期账款问题，其终端客户确认订单后会给我们汇款前期逾期尾款和定金</t>
  </si>
  <si>
    <t>订单明细确认，9月20开单发货，做无票申请</t>
  </si>
  <si>
    <t>SUN-009</t>
  </si>
  <si>
    <t>订单明细确认，客户已汇定金，9.27装柜，10.9船期</t>
  </si>
  <si>
    <t>LJW-008A</t>
  </si>
  <si>
    <t>订单明细已确认，公寓健身房项目，客户已汇全款，做无票申请</t>
  </si>
  <si>
    <t>EJ-X3-094</t>
  </si>
  <si>
    <t>10月29号</t>
  </si>
  <si>
    <t>预计11月发货</t>
  </si>
  <si>
    <t>生产回复交期10月29号，预计10月底开单发货。</t>
  </si>
  <si>
    <t>EJ-X3-095</t>
  </si>
  <si>
    <t>待生产回复交期，预计11月中旬</t>
  </si>
  <si>
    <t>EJ-X3-096</t>
  </si>
  <si>
    <t>预计12月发货</t>
  </si>
  <si>
    <t>11月中旬</t>
  </si>
  <si>
    <t>订单明细已确认，客户标，交期确认中，预计11中旬开单发货。</t>
  </si>
  <si>
    <t>12月中旬</t>
  </si>
  <si>
    <t>订单明细已确认，客户标，交期确认中，预计12中旬开单发货。</t>
  </si>
  <si>
    <t>11月17</t>
  </si>
  <si>
    <t>11月18</t>
  </si>
  <si>
    <t>1x40HQ订单明细已确认，客户标，交期11月</t>
  </si>
  <si>
    <t>KI-43</t>
  </si>
  <si>
    <t>9月30</t>
  </si>
  <si>
    <t>10月7</t>
  </si>
  <si>
    <t>订单明细已确认，待收款后发货</t>
  </si>
  <si>
    <t>预计10月底发货</t>
  </si>
  <si>
    <t>订单明细已确认，客户的终端客户发生变化，预计10月底装柜，待定</t>
  </si>
  <si>
    <t>LF-01E</t>
  </si>
  <si>
    <t>订单明细已确认，持续落实可发货产品清单</t>
  </si>
  <si>
    <t>XG-01</t>
  </si>
  <si>
    <t>订单清单已确认，客户于9.25号安排定金</t>
  </si>
  <si>
    <t>与客户沟通新订单定金和11月发货，其需求交期在12月份；以及24年的订单计划</t>
  </si>
  <si>
    <t>意向订单，订单明细确认中。跟客户确认是否先出有氧器械</t>
  </si>
  <si>
    <t>意向订单，订单明细确认中，客户计划11月出货</t>
  </si>
  <si>
    <t>意向订单，订单明细确认中，客户计划10月出货</t>
  </si>
  <si>
    <t>备货订单，订单发货时间持续与客户确认中。</t>
  </si>
  <si>
    <t>MIF-D36</t>
  </si>
  <si>
    <t>MIF-S37</t>
  </si>
  <si>
    <t>SL-02A</t>
  </si>
  <si>
    <t>铁路，待定</t>
  </si>
  <si>
    <t>27 装柜</t>
  </si>
  <si>
    <t>68批量客诉订单17+5台9100E客诉替换，9.19装柜。 0金额，不用开单和填船期。</t>
  </si>
  <si>
    <t>OS-08</t>
  </si>
  <si>
    <t>22日已装柜，29日船期</t>
  </si>
  <si>
    <t>船期29，25装柜；定金到账</t>
  </si>
  <si>
    <t>定金到账，29号装柜，短装650S1台，船提开9.1</t>
  </si>
  <si>
    <t>定金已付待到账已走流程，船期28日，24号装柜，短装2台9100E</t>
  </si>
  <si>
    <t>已确认订单（明确本月不发货）</t>
  </si>
  <si>
    <t>SL-02B</t>
  </si>
  <si>
    <t>无现货，G6802交期10月29</t>
  </si>
  <si>
    <t>PPT-03</t>
  </si>
  <si>
    <t>客户标，T5100A交期11月</t>
  </si>
  <si>
    <r>
      <rPr>
        <sz val="11"/>
        <color rgb="FF000000"/>
        <rFont val="微软雅黑"/>
        <charset val="134"/>
      </rPr>
      <t>外购62万交期预计在10月份，</t>
    </r>
    <r>
      <rPr>
        <sz val="11"/>
        <color rgb="FFFF0000"/>
        <rFont val="微软雅黑"/>
        <charset val="134"/>
      </rPr>
      <t>9100 44万交期10/31</t>
    </r>
  </si>
  <si>
    <t>E800，预计10月底货好</t>
  </si>
  <si>
    <t>8919T，待翻箱，预计10月底货好</t>
  </si>
  <si>
    <t>力量货好部分</t>
  </si>
  <si>
    <t>901Z&amp; 力量改款部分，预计11月底货好</t>
  </si>
  <si>
    <t>NR-S01</t>
  </si>
  <si>
    <t>样机订单，研发在改logo，无预计时间</t>
  </si>
  <si>
    <t>NR-S02</t>
  </si>
  <si>
    <t>-</t>
  </si>
  <si>
    <t>按箱下单，暂无法下单</t>
  </si>
  <si>
    <t>EP-05</t>
  </si>
  <si>
    <t>配件库存确认中，9月发货。订舱，同步争取第二个柜。</t>
  </si>
  <si>
    <t>货已好，酒店自用。客户要求十月发货，全款(含海运费）已收</t>
  </si>
  <si>
    <t>客户标，6857交期评估中，争取10月下旬交期并发货</t>
  </si>
  <si>
    <t>通过以量换价的价格让利对冲客户汇率风险，9-21电话沟通，客户回复本周末反馈</t>
  </si>
  <si>
    <t>康乐佳独家经销商，对价格极敏感。争取客户确认合同中，暂未回复。</t>
  </si>
  <si>
    <t>南非MIF-D38</t>
  </si>
  <si>
    <t>客户确认产品清单中</t>
  </si>
  <si>
    <t>国庆节后确认订单</t>
  </si>
  <si>
    <t>以量换价订单在谈，客户反馈不积极</t>
  </si>
  <si>
    <t>TF-01B</t>
  </si>
  <si>
    <t>缺货部分订单，PI给了</t>
  </si>
  <si>
    <t>该订单客户与CEO协商中</t>
  </si>
  <si>
    <t>客户目前已先安排部分定金2261美金，不足一个高柜，客户反馈要加清单，另外客户说还要等八人站。建议客户外购，拼柜发货。</t>
  </si>
  <si>
    <t>CE2023-001</t>
  </si>
  <si>
    <t>需求1*40HQ T860，洽谈中，</t>
  </si>
  <si>
    <t>STR-21</t>
  </si>
  <si>
    <t>客户反馈10月下旬可能下单T5918</t>
  </si>
  <si>
    <t xml:space="preserve">    2023.10月份发货计划表   </t>
  </si>
  <si>
    <t>本月预计发货</t>
  </si>
  <si>
    <t>9/21号装柜，10月船期</t>
  </si>
  <si>
    <t>9/23号装柜，10月船期</t>
  </si>
  <si>
    <t>BT-02D/BT-05A</t>
  </si>
  <si>
    <t>从青岛仓库发货</t>
  </si>
  <si>
    <t>9/28号送仓，10月船期</t>
  </si>
  <si>
    <t>KNG-01-a</t>
  </si>
  <si>
    <t>10/28 已装柜</t>
  </si>
  <si>
    <t>今天下午有结论</t>
  </si>
  <si>
    <t>KNG-02</t>
  </si>
  <si>
    <t xml:space="preserve">9100E </t>
  </si>
  <si>
    <t>HF-17</t>
  </si>
  <si>
    <t>已收定金，暂定10/15发货</t>
  </si>
  <si>
    <t>68,6500U/E</t>
  </si>
  <si>
    <t>业务线了解</t>
  </si>
  <si>
    <t>10/7装柜，已扣增票税额</t>
  </si>
  <si>
    <t>68， G8807 等翻箱</t>
  </si>
  <si>
    <t>哥斯达黎加DF</t>
  </si>
  <si>
    <t>DF-01</t>
  </si>
  <si>
    <t>试订单，25号发货到山东拼柜</t>
  </si>
  <si>
    <t>68,68,88,9100样机</t>
  </si>
  <si>
    <t>9/23号装柜，原船期9/29，实际船期延误至10/1</t>
  </si>
  <si>
    <r>
      <rPr>
        <sz val="11"/>
        <color rgb="FF000000"/>
        <rFont val="微软雅黑"/>
        <charset val="134"/>
      </rPr>
      <t>10/18号装柜，</t>
    </r>
    <r>
      <rPr>
        <sz val="11"/>
        <color rgb="FFFF0000"/>
        <rFont val="微软雅黑"/>
        <charset val="134"/>
      </rPr>
      <t>短装G6912红色10台</t>
    </r>
  </si>
  <si>
    <t>款项已付，10/8装柜，按FOB条款，但客户自行安排了司机提货，LCL</t>
  </si>
  <si>
    <t>LT-09</t>
  </si>
  <si>
    <t>9/27号装柜</t>
  </si>
  <si>
    <t>是否调拨10月份线上更改</t>
  </si>
  <si>
    <t>订单明细确认，客户要求按12月25发第二批。定金已收</t>
  </si>
  <si>
    <t>预计11月底12月发货。展厅订单，已下单，定金已收，69/77把手问题在协商</t>
  </si>
  <si>
    <t>大货订单G8919,G8923, G8924，空运发澳大利亚，已联系货代发托书，交期延至11/7</t>
  </si>
  <si>
    <t>PL-03B</t>
  </si>
  <si>
    <t>大货订单G8919,G8923, G8924，货代已联系，交期延至11/7</t>
  </si>
  <si>
    <t>PL-04A</t>
  </si>
  <si>
    <t>交期延至11/7，定金已收， 空运发澳大利亚</t>
  </si>
  <si>
    <t>交期延至11/7，定金已收，海运发澳大利亚</t>
  </si>
  <si>
    <t>产品和PL-03重复，一起生产，定金已收，空运澳大利亚</t>
  </si>
  <si>
    <t>PL-06</t>
  </si>
  <si>
    <t>急发4台G8924库存，无定金发货，空运澳大利亚</t>
  </si>
  <si>
    <t>产品明细确认中</t>
  </si>
  <si>
    <t>客户要求按10月30发第一批，定金已收，增票开具寄客户，确认尾款进度，确认预提柜费用</t>
  </si>
  <si>
    <t>5*40HQ</t>
  </si>
  <si>
    <t>已收定金US$10000，明年1月开健身房，明细已安排调拨，其中77系列库存不足</t>
  </si>
  <si>
    <t>KNG-01-b</t>
  </si>
  <si>
    <t>88系列剩余产品1高柜，预计11/11</t>
  </si>
  <si>
    <t>订单确认，已收定金， 正在处理合同，然后付尾款， 6824A 一台，11月7号</t>
  </si>
  <si>
    <t>明细确认，已付定金，产品已调拨，路径产品12月交货</t>
  </si>
  <si>
    <t>6888,6883,6884A</t>
  </si>
  <si>
    <t>FE-008</t>
  </si>
  <si>
    <t>客户已付款收到水单，11月初发货</t>
  </si>
  <si>
    <t>G5205，68/69系列， B6500E</t>
  </si>
  <si>
    <t>已收全款，6912 缺2台无在制订单，7706 一台交期11月，6824A 11月7号，因终端健身房建筑延误，需求11月底发货</t>
  </si>
  <si>
    <t>交期预计11/15，定金已收。可能分批发货。线上订单更改。产品贴标定制内容在和客户确认</t>
  </si>
  <si>
    <t>T8919 T8919T</t>
  </si>
  <si>
    <t>询盘客户，意向订单, 10/12发PI，经销商卖到健身房，预计明年开业。</t>
  </si>
  <si>
    <t>询盘客户，意向订单, 明细确认中，对有氧产品有兴趣，客户标，考虑要样品。</t>
  </si>
  <si>
    <t>LAR的验货照作为参考， 一次订货，分批发货，考虑送样</t>
  </si>
  <si>
    <t>以量换价新订单</t>
  </si>
  <si>
    <t>送样T6500，T210， 9月18号已送样入仓；</t>
  </si>
  <si>
    <t>意向订单, 明细确认中，要求交期在12月20号左右</t>
  </si>
  <si>
    <t>B8960S, T9100</t>
  </si>
  <si>
    <t>客户新开健身房1300平方米，健身房基本建好，明细确认，已发PI，跟进客户确认-客户最近家人都生病住院，影响订单进展。</t>
  </si>
  <si>
    <t>更新库存，年底让利额度，可能去当地见面，引导客户回复</t>
  </si>
  <si>
    <t>MOV20231008</t>
  </si>
  <si>
    <t>意向订单，按照MOQ下单，分批发货，客户承诺6个月内发完。PI已发，催促客户确认</t>
  </si>
  <si>
    <t>T5918，5517S，5170A，9119P,3900A</t>
  </si>
  <si>
    <t>美国大型分销商，测试费已付，说明书完成，需赵经理提供证书给客户，验厂后计划下1x40HQ</t>
  </si>
  <si>
    <t>2018年来过舒华，询盘，政府项目健身房，最终竞标失败，可能原因1.接洽初期招标清单是英派斯的产品，竞争对手与政府部门有关系。 2.舒华竞标时缺少商用4人站 3.客户缺乏国外招标项目经验， 客户反馈政府招标像中奖一样机会很少；
报价方面，舒华投比英派斯低2% 
此外，客户没有做商用项目， 家用器材方面我们舒华价格太高不适合，新品牌spartafit 入门级价格US$113</t>
  </si>
  <si>
    <t>墨西哥大型商超COPPEL，家用健身器材，深圳采购办事处（9/25号去拜访），已报价。</t>
  </si>
  <si>
    <t>催收定金，客户在询问装柜事宜</t>
  </si>
  <si>
    <t>88，T8919</t>
  </si>
  <si>
    <t>明细还未最终确认</t>
  </si>
  <si>
    <t>10月25号</t>
  </si>
  <si>
    <t>1X40HQ订单，本月25号入库，10.28船期</t>
  </si>
  <si>
    <t>10月30</t>
  </si>
  <si>
    <t>1X40HQ订单，本月30号入库，11.06船期</t>
  </si>
  <si>
    <t>10月13日已发货，做无票申请</t>
  </si>
  <si>
    <t>OT-166</t>
  </si>
  <si>
    <t>订单明细确认，10.25装柜，10.31船期</t>
  </si>
  <si>
    <t>HA-10A</t>
  </si>
  <si>
    <t>最终清单已确认，11.1船期，10.27装柜</t>
  </si>
  <si>
    <t>已发至客户仓库，做无票申请</t>
  </si>
  <si>
    <t>订单明细已确认，持续与客户沟通本月出货时间，客户已同意26号先汇部分定金，10月29日船期，SO已拿到</t>
  </si>
  <si>
    <t>LF-02A</t>
  </si>
  <si>
    <t>2*40HQ ,订单明细已确认，已订舱，，预计10月29日船期</t>
  </si>
  <si>
    <t>LF-02B</t>
  </si>
  <si>
    <t>LF-01E&amp;LF-02C</t>
  </si>
  <si>
    <t>已装柜，船期10.29</t>
  </si>
  <si>
    <t>XG-01B</t>
  </si>
  <si>
    <t>订舱11月2日，预计10月底发货，船期11.02，SO已拿到</t>
  </si>
  <si>
    <t>SHUA-ARR20230925</t>
  </si>
  <si>
    <t>10.15船期，9.27订金已汇</t>
  </si>
  <si>
    <t>SA-17</t>
  </si>
  <si>
    <t>1x40HQ，10.22船期</t>
  </si>
  <si>
    <t>LJW-008B</t>
  </si>
  <si>
    <t>10月25日发货，做无票申请</t>
  </si>
  <si>
    <t>KSC20231024</t>
  </si>
  <si>
    <t>产品含蓝牙，待认证后或产品改制再安排发出</t>
  </si>
  <si>
    <t>生产回复交期，预计11月中旬</t>
  </si>
  <si>
    <t>订单明细已确认，生产回复交期，预计11月中旬</t>
  </si>
  <si>
    <t>11月中下旬</t>
  </si>
  <si>
    <t>1x40HQ订单明细已确认，客户标，交期11月，定金已收到</t>
  </si>
  <si>
    <t>KI-44</t>
  </si>
  <si>
    <t>11月初</t>
  </si>
  <si>
    <t>最终清单已确认，待收款，预计11月初发货</t>
  </si>
  <si>
    <t>清单已确认，待收款，因物流运输问题，发货时间待确认</t>
  </si>
  <si>
    <t>2x40HQ，订单明细已确认，88系列有影响，持续与支持部落实可发货产品清单。</t>
  </si>
  <si>
    <t>11月30日前</t>
  </si>
  <si>
    <t>订单明细已确认，11月份发货。</t>
  </si>
  <si>
    <t>已收到客户全款，等外购产品到货，订单10/20刚下单，待确认交期</t>
  </si>
  <si>
    <t>SA-18</t>
  </si>
  <si>
    <t>1x40HQ，清单确认中，客户说清单还在确认中，故要11月发货</t>
  </si>
  <si>
    <t>SFF-05</t>
  </si>
  <si>
    <t>订单明细已确认，待客户安排全款，与货代联系订舱中</t>
  </si>
  <si>
    <t>意向订单，订单明细确中，持续与客户确认订单</t>
  </si>
  <si>
    <t>政府投标项目，预计11月份才能确认是否中标</t>
  </si>
  <si>
    <t>原规划50万美金，多次沟通跟进客户并无实质的大额订单规划。</t>
  </si>
  <si>
    <t>CV-10</t>
  </si>
  <si>
    <t>意向订单，订单明细确认中，客户计划11月出货。跟进第一批货的安装，服务。询问12月的俱乐部</t>
  </si>
  <si>
    <t>10月30日装柜，加装2台T9100T</t>
  </si>
  <si>
    <t>MIF-S41</t>
  </si>
  <si>
    <t>MF-S42</t>
  </si>
  <si>
    <t>已订舱，待客户确认海运费后排载</t>
  </si>
  <si>
    <t>F231106A</t>
  </si>
  <si>
    <t>外购2个高柜24号验货，31装柜</t>
  </si>
  <si>
    <t>塞浦路斯LXW</t>
  </si>
  <si>
    <t>LXW-01</t>
  </si>
  <si>
    <t>散货单</t>
  </si>
  <si>
    <t>全款已支付</t>
  </si>
  <si>
    <t>酒店自用，全款(含海运费）已收,船期10.30延到11月2日，25日验货并装柜</t>
  </si>
  <si>
    <t>客户标，货30号已好，31号验货并装柜</t>
  </si>
  <si>
    <t>VE-03A</t>
  </si>
  <si>
    <t>船期11月2日，定金客户预计11月2日安排，10.27装柜</t>
  </si>
  <si>
    <t>确认T9100交期无法落在11，影响金额44万</t>
  </si>
  <si>
    <t>E800，预计11月中货好</t>
  </si>
  <si>
    <t>8919T，待翻箱，预计11月底货好</t>
  </si>
  <si>
    <t>19台901Z，预计11月中货好</t>
  </si>
  <si>
    <t>力量器械</t>
  </si>
  <si>
    <t>按箱号下单配件</t>
  </si>
  <si>
    <t>坐垫等配件单</t>
  </si>
  <si>
    <t>11月和12月</t>
  </si>
  <si>
    <t>客户已安排定金，待定金到账</t>
  </si>
  <si>
    <t>客户标，T5100A交期11月8日</t>
  </si>
  <si>
    <t>预计03B 11月中旬发货</t>
  </si>
  <si>
    <t>预计03C 和04 12月下旬</t>
  </si>
  <si>
    <t>沙特新客户户外</t>
  </si>
  <si>
    <t>俄罗斯RCC</t>
  </si>
  <si>
    <t>年底确认订单</t>
  </si>
  <si>
    <t>明细待提供</t>
  </si>
  <si>
    <t xml:space="preserve">Konda ODM订单 </t>
  </si>
  <si>
    <t>T860 未达到销量，差1个柜。客户11月底或12月确认订单</t>
  </si>
  <si>
    <t>通过以量换价的价格让利对冲客户汇率风险客户未确认，后续电话未接。短期成交概率低，不做重点跟进</t>
  </si>
  <si>
    <t>客户目前已先安排部分定金2261美金，订单明细尚未确认</t>
  </si>
  <si>
    <t>利比亚新客户Hussein</t>
  </si>
  <si>
    <t>国内贸易商反馈客户未收到终端买家定金，项目待定</t>
  </si>
  <si>
    <t>SL-03</t>
  </si>
  <si>
    <t>待客户提供清单明细</t>
  </si>
  <si>
    <t>OS-09</t>
  </si>
  <si>
    <t>国家情况确认中</t>
  </si>
  <si>
    <t>待客户清单;待我司设计图</t>
  </si>
  <si>
    <t>清单明细确认中,调拨需求确认中</t>
  </si>
  <si>
    <t>清单明细确认中</t>
  </si>
  <si>
    <t>已签单</t>
  </si>
  <si>
    <t>1-9月船期达成</t>
  </si>
  <si>
    <t xml:space="preserve">    2023.11月份发货计划表   </t>
  </si>
  <si>
    <t>11/14装柜</t>
  </si>
  <si>
    <t>11/22发货入仓，空运澳大利亚</t>
  </si>
  <si>
    <t>G8856, G8883, G8884A</t>
  </si>
  <si>
    <t>12pcs</t>
  </si>
  <si>
    <t>11/4发货入仓，空运澳大利亚</t>
  </si>
  <si>
    <t>G8924</t>
  </si>
  <si>
    <t>4pcs</t>
  </si>
  <si>
    <t>11/8装柜</t>
  </si>
  <si>
    <t>BT-05C</t>
  </si>
  <si>
    <t>SAT-53</t>
  </si>
  <si>
    <t>购买配件发杭州拼柜</t>
  </si>
  <si>
    <t>11/26装柜</t>
  </si>
  <si>
    <t>11/24装柜（G8808 短装1台）</t>
  </si>
  <si>
    <t>88系列产品</t>
  </si>
  <si>
    <t>68，88</t>
  </si>
  <si>
    <t>FSP-02</t>
  </si>
  <si>
    <t>11/27装柜（5205短装3台，6500E短装4台）</t>
  </si>
  <si>
    <t>68,6500E</t>
  </si>
  <si>
    <t>SP-PE-20231116</t>
  </si>
  <si>
    <t>10/28 装柜，船期11月/1日</t>
  </si>
  <si>
    <t>试订单，已收全款，25号发货到山东拼柜</t>
  </si>
  <si>
    <t>T8919 10pcs, T8919T 5pcs</t>
  </si>
  <si>
    <t>10/27装柜</t>
  </si>
  <si>
    <t>外采楼梯机22台，赵经理回复：预计交期12月中，锁定交期再回复,因不满整柜，后续会跟其他工厂拼柜出</t>
  </si>
  <si>
    <t>9月已下单，69/77把手按常规，开模流程还在走。赵经理预估交期1月底。手工打样争取12月底发货</t>
  </si>
  <si>
    <t>紧盯订单流程</t>
  </si>
  <si>
    <t>海运发澳大利亚，错开圣诞节到港，暂定定12/9船期</t>
  </si>
  <si>
    <t>定金已收，海运发澳大利亚</t>
  </si>
  <si>
    <t>产品和PL-03重复，一起生产，定金已收，海运澳大利亚</t>
  </si>
  <si>
    <t>订单明细确认，已下单，定金已收，线上更改跑步机11月底   ，外购 12.20</t>
  </si>
  <si>
    <r>
      <rPr>
        <sz val="11"/>
        <color rgb="FF000000"/>
        <rFont val="微软雅黑"/>
        <charset val="134"/>
      </rPr>
      <t>追定金，线上更改跑步机 12.29，G699目前调拨到7台，还差3台等营销线上订单入库，</t>
    </r>
    <r>
      <rPr>
        <b/>
        <sz val="11"/>
        <color rgb="FFFF0000"/>
        <rFont val="微软雅黑"/>
        <charset val="134"/>
      </rPr>
      <t>预计1月</t>
    </r>
  </si>
  <si>
    <t>配件交期12月24号</t>
  </si>
  <si>
    <t>独家协议跟进</t>
  </si>
  <si>
    <t>跟催触屏 尽量按12.23推进（生产给到交期12/30），赵说他亲自去跟供应商确认下，配件交期12/28</t>
  </si>
  <si>
    <t>明细确认，已付定金，产品已调拨，路径产品交期12/25号</t>
  </si>
  <si>
    <t xml:space="preserve">订单确认，已收15%定金，尾款的一半给予60天账期 </t>
  </si>
  <si>
    <t>让客户去降价，考虑给账期</t>
  </si>
  <si>
    <t>订单确认，已收15%定金，5918 1个高柜评审交期12/31</t>
  </si>
  <si>
    <t>订单确认，已收15%定金，5517S 1个高柜评审交期12/30</t>
  </si>
  <si>
    <t>已收定金US$10000, Lux健身房开业延迟到2024年3月，明细已安排调拨，77系列库存不足，健身房老板还在装修健身房，计划12月初付剩余定金，12月发货</t>
  </si>
  <si>
    <t>已收定金，88系列需求电池版，交期12/30，争取12月发货</t>
  </si>
  <si>
    <t>88，68,69</t>
  </si>
  <si>
    <t>5*40NOR</t>
  </si>
  <si>
    <t>YFE-03</t>
  </si>
  <si>
    <t>订单明细已给，客户标定制方式正在确认，流程还在生管，跟进评审交期</t>
  </si>
  <si>
    <t>FIBO新客户，明细已确认，水单已提供，缺小件，墨绿色坐垫产品12月初货好，装柜预计会剩2台产品</t>
  </si>
  <si>
    <t>有可能需和别的供应商拼柜一起发货。</t>
  </si>
  <si>
    <t>T8919 34台</t>
  </si>
  <si>
    <t>ETE-01</t>
  </si>
  <si>
    <t>定制单，等待客户回签，定金已收，正在下单</t>
  </si>
  <si>
    <t>7*40HQ</t>
  </si>
  <si>
    <t>跟进下单流程</t>
  </si>
  <si>
    <t>12月底</t>
  </si>
  <si>
    <t xml:space="preserve">Shua标，定金已收，正在下单，77系列交期1/19， </t>
  </si>
  <si>
    <t>询盘客户，考虑要样品。询问产品细节</t>
  </si>
  <si>
    <t>SAT-56</t>
  </si>
  <si>
    <t>T860按协议争取订单，11/10通知客户协议进度，暂未回复</t>
  </si>
  <si>
    <t>6500S 考虑取消独家</t>
  </si>
  <si>
    <t>意向订单，产品改制确认中</t>
  </si>
  <si>
    <t>客户新开健身房1300平方米，明细确认。11/9联系，客户还在办理贷款，计划1月开业。短暂取得联系</t>
  </si>
  <si>
    <t>通过折扣促进下单</t>
  </si>
  <si>
    <t>意向订单，Totalfitness健身房建筑延误2024年2月开业，跟进上一批器材交付地点</t>
  </si>
  <si>
    <t>800平米精品展厅，其中88系列需求电池版，终端买家是台湾人在巴西开健身房，这次回台湾准备拜访台湾GLT展厅，看88系列</t>
  </si>
  <si>
    <t>巴西VM（Hermindo）</t>
  </si>
  <si>
    <t>VMSH-01</t>
  </si>
  <si>
    <t>订单确认，预计本周收到定金，G6913 1台，交期2024/1/15</t>
  </si>
  <si>
    <t>订单明细还在洽谈，希望给更多的折扣，需要3x楼梯机，9人站</t>
  </si>
  <si>
    <t>争取年底</t>
  </si>
  <si>
    <t>订单明细确认，迟迟未付款，催水单</t>
  </si>
  <si>
    <t>68/69/77/T8919，T8700/T199P</t>
  </si>
  <si>
    <t>10/31号装柜，11月08船期</t>
  </si>
  <si>
    <t>已订舱排载，预计装柜时间11.27，船期11.30</t>
  </si>
  <si>
    <t>11月21号</t>
  </si>
  <si>
    <t>1x40HQ订单明细已确认，定金已收到，客户标，交期11月21号，11.27装柜，12.2船期</t>
  </si>
  <si>
    <t>最终清单已确认，11.25已发货，无票</t>
  </si>
  <si>
    <t>11.1船期，10.27装柜</t>
  </si>
  <si>
    <t>HA-11</t>
  </si>
  <si>
    <t>发散货，11.9发货，做无票申请</t>
  </si>
  <si>
    <t>发散货，11.29发货，船期12.3</t>
  </si>
  <si>
    <t>JOE-SP02</t>
  </si>
  <si>
    <t>配件单，无票</t>
  </si>
  <si>
    <t>10月开单发货，船期落在11月</t>
  </si>
  <si>
    <t>LF-02C</t>
  </si>
  <si>
    <t>11月29日已装柜，已定好船期12月1日</t>
  </si>
  <si>
    <t>LF-01F/LF-02E</t>
  </si>
  <si>
    <t>11月3日已装柜，预计11月13日船期</t>
  </si>
  <si>
    <t>LF-01G/LF-02D</t>
  </si>
  <si>
    <t>LF-01H/LF-02F</t>
  </si>
  <si>
    <t>11月22日装柜，预计11月24日船期</t>
  </si>
  <si>
    <t>LF-01I/LF-02G</t>
  </si>
  <si>
    <t>NF-110</t>
  </si>
  <si>
    <t>11月27日装柜，12月1日船期</t>
  </si>
  <si>
    <t>已开单出库，做无票申请</t>
  </si>
  <si>
    <t>SHUA-ARR20231110</t>
  </si>
  <si>
    <t>11.11号开单，11.14船期</t>
  </si>
  <si>
    <t>SHUA-ARR20231025</t>
  </si>
  <si>
    <t>SHUA-ARR20231113</t>
  </si>
  <si>
    <t>11月24日装柜，11月25日船期</t>
  </si>
  <si>
    <t>11月24日装柜，11月26日船期</t>
  </si>
  <si>
    <t>SA-19</t>
  </si>
  <si>
    <t>已送客户指定仓，做无票申请</t>
  </si>
  <si>
    <t>11月16日开单，11月19日船期</t>
  </si>
  <si>
    <t>SFF-04</t>
  </si>
  <si>
    <t>订单明细已确认，客户全款已入账，开单11.2，船期11.7</t>
  </si>
  <si>
    <t>订单已确认，11.3号已开单，做无票申请</t>
  </si>
  <si>
    <t>LJW-012</t>
  </si>
  <si>
    <t>订单已确认，11.14号已开单，做无票申请</t>
  </si>
  <si>
    <t>LJW-013</t>
  </si>
  <si>
    <t>订单已确认，11.17号已开单，做无票申请</t>
  </si>
  <si>
    <t>力量器械产品涉及改制，为了满足KC认证标准</t>
  </si>
  <si>
    <t>清单已确认，已收款，因物流运输问题，发货时间待确认</t>
  </si>
  <si>
    <t>待翻箱</t>
  </si>
  <si>
    <t>1x40HQ订单明细已确认，型号SH-T5100，客户标，交期12月16</t>
  </si>
  <si>
    <t>12月16</t>
  </si>
  <si>
    <t>1x40HQ订单明细已确认，型号SH-T5412，客户标，交期12月16</t>
  </si>
  <si>
    <t>ML-09</t>
  </si>
  <si>
    <t>24年Q2</t>
  </si>
  <si>
    <t>ML-10</t>
  </si>
  <si>
    <t>LF-01J</t>
  </si>
  <si>
    <t>1x40HQ，订单明细已确认，88系列有影响，持续与支持部落实可发货产品清单。</t>
  </si>
  <si>
    <t>LF-02G</t>
  </si>
  <si>
    <t>12月初</t>
  </si>
  <si>
    <t>意向订单，SH-T5170P和SH-B369备用机交期回复12月，需协助提前</t>
  </si>
  <si>
    <t>原规划50万美金，多次沟通跟进客户，终端客户暂缓开店计划。</t>
  </si>
  <si>
    <t>计划促销9119D产品</t>
  </si>
  <si>
    <t>南非MIF-D43</t>
  </si>
  <si>
    <t>客户散货订单，尽快发货</t>
  </si>
  <si>
    <t>10月已发货</t>
  </si>
  <si>
    <t xml:space="preserve"> SH20231031-1</t>
  </si>
  <si>
    <t>专票全款已到，舒华标，需要返箱贴Made in China 标，客户要求分7个国家出，27号先出一个国家</t>
  </si>
  <si>
    <t>一个高柜9100 ，24已装柜，全款已支付</t>
  </si>
  <si>
    <t>25已装柜</t>
  </si>
  <si>
    <r>
      <rPr>
        <sz val="11"/>
        <color rgb="FF000000"/>
        <rFont val="微软雅黑"/>
        <charset val="134"/>
      </rPr>
      <t>客户29提供汇款水单，</t>
    </r>
    <r>
      <rPr>
        <sz val="11"/>
        <color rgb="FFFF0000"/>
        <rFont val="微软雅黑"/>
        <charset val="134"/>
      </rPr>
      <t>30装柜</t>
    </r>
  </si>
  <si>
    <t>火车</t>
  </si>
  <si>
    <t xml:space="preserve">客户标，定金已收，30号验货装柜，12.2船期
</t>
  </si>
  <si>
    <t>从03C 调整型号到03B,订12月1日的船，客户表示资金链紧张,客户承诺11.30安排定金，无定金发货流程已过，27号已装柜</t>
  </si>
  <si>
    <t>定金已到账,30号装柜12.10船,爆柜短装5201-2台，5203-5台，6904-1台</t>
  </si>
  <si>
    <t>客户标，定金已收，18号已装柜</t>
  </si>
  <si>
    <t>货延期，定12.7船，30号装柜，定金到账，30号装柜</t>
  </si>
  <si>
    <t>客户定金到账，船延到25，22号装柜,加装4台6855</t>
  </si>
  <si>
    <t>SH2023-01</t>
  </si>
  <si>
    <t>11月3日发货到义乌，无票报关</t>
  </si>
  <si>
    <t>第二批</t>
  </si>
  <si>
    <t>第三批</t>
  </si>
  <si>
    <t>100台6500U</t>
  </si>
  <si>
    <t>21提供清单，争取本月发货，</t>
  </si>
  <si>
    <t>一个柜预计12.30号好</t>
  </si>
  <si>
    <t>预计03C 和04 12月下旬出货,VE-04更新清单</t>
  </si>
  <si>
    <t>待楼梯机，预计12月中旬完成</t>
  </si>
  <si>
    <t>常规下单节奏的返单，30台9100T的订单在谈</t>
  </si>
  <si>
    <t>贸易商KH</t>
  </si>
  <si>
    <t>项目延迟，可能明年2月出货</t>
  </si>
  <si>
    <t>Konda ODM订单</t>
  </si>
  <si>
    <t>力量器械，瓦夏21之前确认客户能够接受棕色烤漆</t>
  </si>
  <si>
    <t>T860 未达到销量，差1个柜，计划11月底或者12月发</t>
  </si>
  <si>
    <t>客户代理反馈不去迪拜展，但在办中国签证，争取邀请客户12月拜访我司</t>
  </si>
  <si>
    <t>待客户提供清单明细,客户反馈最近因为奥运会项目比较忙，会尽快给清单</t>
  </si>
  <si>
    <t>清单明细确认中,</t>
  </si>
  <si>
    <t>清单确认，待LC</t>
  </si>
  <si>
    <t>客户反馈12.2会最终确认清单，目前清单是35方。</t>
  </si>
  <si>
    <t>待客户开信用证，预计11月底或12月初，等信用证开出来最终确认</t>
  </si>
  <si>
    <t>T5918一个高柜，价格洽谈中</t>
  </si>
  <si>
    <t>利比亚GC</t>
  </si>
  <si>
    <t>健身房，客户去年采购舒华产品，今年10月开业，目前还需要补点配套的产品，待客户确认清单，预计不足一个柜</t>
  </si>
  <si>
    <t>巴基斯坦NA</t>
  </si>
  <si>
    <t>客户计划后期代理舒华品牌，目前他的终端客户有询价及健身房设计的项目，客户已22号访厂</t>
  </si>
  <si>
    <t>11月预计发货</t>
  </si>
  <si>
    <t>已确认12月发货订单</t>
  </si>
  <si>
    <t>洽谈中订单</t>
  </si>
  <si>
    <t>1-10月船期达成</t>
  </si>
  <si>
    <t>6508万+771万</t>
  </si>
  <si>
    <t>船期落11月的订单</t>
  </si>
  <si>
    <t xml:space="preserve">    2024.3月份发货计划表   </t>
  </si>
  <si>
    <t>本月目标</t>
  </si>
  <si>
    <t>装柜日期</t>
  </si>
  <si>
    <r>
      <rPr>
        <b/>
        <sz val="11"/>
        <color rgb="FF000000"/>
        <rFont val="微软雅黑"/>
        <charset val="134"/>
      </rPr>
      <t>最新进度（</t>
    </r>
    <r>
      <rPr>
        <b/>
        <sz val="11"/>
        <color rgb="FFFF0000"/>
        <rFont val="微软雅黑"/>
        <charset val="134"/>
      </rPr>
      <t>格式：合同已签+定金/LC已收+货已好+舱位已定+流程已走+其他需协调）</t>
    </r>
  </si>
  <si>
    <t>墨西哥MD</t>
  </si>
  <si>
    <t>MD-01</t>
  </si>
  <si>
    <t>3月</t>
  </si>
  <si>
    <t>2024年IHRSA展品销售</t>
  </si>
  <si>
    <t>BT-05M</t>
  </si>
  <si>
    <t>从青岛仓库发货3台</t>
  </si>
  <si>
    <t>FU-06</t>
  </si>
  <si>
    <t>合同已签+定金已收+货已好+已装柜</t>
  </si>
  <si>
    <t>G8919/B6500R/E/T6700A</t>
  </si>
  <si>
    <t>KNG-04-A</t>
  </si>
  <si>
    <t>88,SH-T9100，9100URE，68系列</t>
  </si>
  <si>
    <t>6*40HQ</t>
  </si>
  <si>
    <t>为了配合客户发货计划，了解客户发货节奏，不然紧急发货无法达成</t>
  </si>
  <si>
    <t>KNG-04-B</t>
  </si>
  <si>
    <t>合同已签+定金已收+货好+3月30号装柜</t>
  </si>
  <si>
    <t>EW-07</t>
  </si>
  <si>
    <t>合同确认+定金待+货已好+已装柜</t>
  </si>
  <si>
    <t>E800</t>
  </si>
  <si>
    <t>ETE-01C</t>
  </si>
  <si>
    <t>T8919T 20/T9100 20/ 9100E 3</t>
  </si>
  <si>
    <t>赵说1/25下单</t>
  </si>
  <si>
    <t>FG-12</t>
  </si>
  <si>
    <t>合同已签+定金已收+货已好+3.30装柜</t>
  </si>
  <si>
    <t>LT-12</t>
  </si>
  <si>
    <t>68/88/B9100R</t>
  </si>
  <si>
    <t>AP-30</t>
  </si>
  <si>
    <t>大区小计</t>
  </si>
  <si>
    <t>本月完成率</t>
  </si>
  <si>
    <t>累计目标</t>
  </si>
  <si>
    <t>累计差额</t>
  </si>
  <si>
    <t>累计完成率</t>
  </si>
  <si>
    <t>BT-06</t>
  </si>
  <si>
    <t>合同已签，定金已收，1/18下单, 待收齐尾款 Ship to Kerry warehouse</t>
  </si>
  <si>
    <t>合同已签，信用证已收，2/1下单</t>
  </si>
  <si>
    <t>KNG-04C</t>
  </si>
  <si>
    <r>
      <rPr>
        <sz val="11"/>
        <color rgb="FF000000"/>
        <rFont val="微软雅黑"/>
        <charset val="134"/>
      </rPr>
      <t>答应客户5月份发货，目前大部分货交期在4月，5月，</t>
    </r>
    <r>
      <rPr>
        <sz val="11"/>
        <color rgb="FFFF0000"/>
        <rFont val="微软雅黑"/>
        <charset val="134"/>
      </rPr>
      <t xml:space="preserve"> G8806 6台交期6/19号（客户只要银色版，是否可以线上订单黑色改成银色）</t>
    </r>
  </si>
  <si>
    <t>巴西SFG(smartfit）</t>
  </si>
  <si>
    <t>SFG-02</t>
  </si>
  <si>
    <t>合同已签，等定金水单, 另外板凳框架系列客户计划一个高柜订单，2订单3个高柜</t>
  </si>
  <si>
    <t>69 89系列</t>
  </si>
  <si>
    <t>VX-03</t>
  </si>
  <si>
    <t>合同已签+ 定金已收+2/6下单</t>
  </si>
  <si>
    <t>6500SZ</t>
  </si>
  <si>
    <t>ON-02</t>
  </si>
  <si>
    <t>PI已给。终端客户订单没有确认</t>
  </si>
  <si>
    <t>客户反馈6月项目取消，因为场地有问题，另外有2个项目，预计9月开业</t>
  </si>
  <si>
    <t>欧洲有联系人，及售后支持，部分发货折扣</t>
  </si>
  <si>
    <t>送样T6500，T210，11月26号ISPO展会；展会效果一般，已把样机加入画册</t>
  </si>
  <si>
    <t>年度协议跟进，巴西IHRSA展会已订，展位装修客户在跟进</t>
  </si>
  <si>
    <t>按独家代理在执行，一季度的量能否达成</t>
  </si>
  <si>
    <t>加拿大Legacy</t>
  </si>
  <si>
    <t>无法满足定制起订量，但是对有氧产品很有兴趣，愿意尝试按年度下单，需求加拿大证书</t>
  </si>
  <si>
    <t>荷兰DKN</t>
  </si>
  <si>
    <t>Roland介绍，3/14访厂，有欧洲健身房项目，需要价格支持</t>
  </si>
  <si>
    <t>年度协议待签，3月底前会提供器材整改方案</t>
  </si>
  <si>
    <t>美国Gronk</t>
  </si>
  <si>
    <t>经销商，代理Life, Precor, Matrix, Octane, 介绍SHUA信息, 对88系列有兴趣，要改Logo，要改颜色，发报价，约会议</t>
  </si>
  <si>
    <t>美国Fitness Gallery</t>
  </si>
  <si>
    <t>家用为主，IHRSA会面，代理True, 90% 是家用,对T399，商用跑步机有兴趣，需要UL认证，有8个店面</t>
  </si>
  <si>
    <t>发样机</t>
  </si>
  <si>
    <t>巴西WEL</t>
  </si>
  <si>
    <t>7个健身房项目（每个健身房配置一样）主要是68,69系列，3/25重新核算报价</t>
  </si>
  <si>
    <t>巴西INV</t>
  </si>
  <si>
    <t>INV-03</t>
  </si>
  <si>
    <t>原定3月份意向订单，跟进中</t>
  </si>
  <si>
    <t>FSP-03</t>
  </si>
  <si>
    <r>
      <rPr>
        <sz val="11"/>
        <color rgb="FF000000"/>
        <rFont val="微软雅黑"/>
        <charset val="134"/>
      </rPr>
      <t>意向订单，舒华标，一个小柜的量，</t>
    </r>
    <r>
      <rPr>
        <sz val="11"/>
        <color rgb="FFFF0000"/>
        <rFont val="微软雅黑"/>
        <charset val="134"/>
      </rPr>
      <t>，跑步机T399,T6700A要110V，告知110V需要满足起订量下单</t>
    </r>
  </si>
  <si>
    <t>68,5205,6500E</t>
  </si>
  <si>
    <t>意向订单，68,88，今天整理订单明细</t>
  </si>
  <si>
    <t>FC-06</t>
  </si>
  <si>
    <t>意向订单，T8919,T8919T,T6500S 贴牌拼一个高柜</t>
  </si>
  <si>
    <t>T8919,T8919T,T6500S</t>
  </si>
  <si>
    <t>墨西哥Gaston</t>
  </si>
  <si>
    <t>健身房老板，意向订单，健身房700平米 订单金额3万美金，不足高柜，争取让客户加货</t>
  </si>
  <si>
    <t>多巴哥MARC</t>
  </si>
  <si>
    <t>意向订单，健身房项目，计划6月份开业，88系列要黑色，已发PI</t>
  </si>
  <si>
    <t>88,68，SH-G8919</t>
  </si>
  <si>
    <r>
      <rPr>
        <sz val="11"/>
        <color rgb="FF000000"/>
        <rFont val="微软雅黑"/>
        <charset val="134"/>
      </rPr>
      <t>客户更新订单明细，银行贷款预计2月份有消息，健身房装修中2月份可以完成。</t>
    </r>
    <r>
      <rPr>
        <sz val="11"/>
        <color rgb="FFFF0000"/>
        <rFont val="微软雅黑"/>
        <charset val="134"/>
      </rPr>
      <t>询问贷款结果，迟迟没回信息</t>
    </r>
  </si>
  <si>
    <t>意向订单， lux club更换管理人，健身房延期开业；有新的海边健身房项目已确认成交，客户说下周提供明细，这几天在安装健身房器材</t>
  </si>
  <si>
    <t>墨西哥大型商超COPPEL，已选品SH-T5412,199P,T210 各一台，准备样机中，三月底送样到深圳参加选品大会</t>
  </si>
  <si>
    <t>墨西哥SIRA</t>
  </si>
  <si>
    <t>IHRSA 展会客户，已发报价单，画册，询问跑步机电压</t>
  </si>
  <si>
    <t>巴拿马HUGO</t>
  </si>
  <si>
    <t>意向订单，舒华标，一个小柜的量, 5517A下市，沟通6700A，告知三月底交期后，客户回复项目暂停</t>
  </si>
  <si>
    <t>昨天刚美国展会回国，持续跟进订单计划</t>
  </si>
  <si>
    <t>波多黎各Wilfredo</t>
  </si>
  <si>
    <t>询盘客户，邮件联系，想做经销商</t>
  </si>
  <si>
    <t>哥伦比亚Master gym</t>
  </si>
  <si>
    <t>询盘客户，邮件联系</t>
  </si>
  <si>
    <t>FLG-01</t>
  </si>
  <si>
    <t>明细待确认，昨天有联系客户</t>
  </si>
  <si>
    <t>20GP +配件单，由于英国FST未能签署独家合同，所以迟迟没有接单。</t>
  </si>
  <si>
    <t>ON-03</t>
  </si>
  <si>
    <t>政府订单，还在等客户最终确认</t>
  </si>
  <si>
    <t>MM-05</t>
  </si>
  <si>
    <t>明细已确认，定制单，全黑，FIBO约会议。4月中下旬拼单交货。和客户确认机身+外箱稿件。但因为599坐垫盖有shua logo，客户迟迟不下单。我们要改logo就得开模。</t>
  </si>
  <si>
    <t>T6700/B599/T599定制</t>
  </si>
  <si>
    <t>葡萄牙BFT</t>
  </si>
  <si>
    <t>BFT-01</t>
  </si>
  <si>
    <t>明细已确认，定制单，正在沟通装箱信息和logo开模费用。PI已发，FIBO约会议。客户因为仓库不够大为借口，拖延付定金时间。</t>
  </si>
  <si>
    <t>68系列凳架贴标</t>
  </si>
  <si>
    <t>VPS-22</t>
  </si>
  <si>
    <t>配件订单，已确认明细，今天会给到PI，等客户定金。</t>
  </si>
  <si>
    <r>
      <rPr>
        <sz val="11"/>
        <color rgb="FF000000"/>
        <rFont val="微软雅黑"/>
        <charset val="134"/>
      </rPr>
      <t>美国大型分销商，测试费已付，客户已确认BOM图，确认屏幕软件系统，赵经理建议按大货去做，给客户发系统安装包确认。说明书需要打包发客户。</t>
    </r>
    <r>
      <rPr>
        <sz val="11"/>
        <color rgb="FFFF0000"/>
        <rFont val="微软雅黑"/>
        <charset val="134"/>
      </rPr>
      <t>直接打样，需赵经理确认报价。目前还是天线报告的问题，我方提供了错误的天线样本，导致项目无法推进。</t>
    </r>
  </si>
  <si>
    <t>RP-02</t>
  </si>
  <si>
    <t>现客户要我们更新一个price list给他，今天跟进回复</t>
  </si>
  <si>
    <t>FST-02</t>
  </si>
  <si>
    <t>5201颜色更改为6501一样的黑色，确认Logo贴标信息。独家协议发修改稿，同意客户家用独家。改款的起订量和报价已给，今天发邮件跟进。</t>
  </si>
  <si>
    <t>STG-04</t>
  </si>
  <si>
    <t>明细基本确认1个小柜，争取按40HQ下单, 昨天沟通下来 客户还对如下产品感兴趣，说服客户增加以下sku
SH-B9100R
SH-B9100RT
SH-B9100UT
SH-B9100ET</t>
  </si>
  <si>
    <t>B9100E /B9100U</t>
  </si>
  <si>
    <t>客户希望mix 9100URE和E800，一个高柜。</t>
  </si>
  <si>
    <t>匈牙利Fitness.Hr</t>
  </si>
  <si>
    <t>FH-01</t>
  </si>
  <si>
    <t>2022年就开始询问合作，对B399/B599/B596有兴趣，但需要CE和EN957证书才愿意下单。</t>
  </si>
  <si>
    <t>B399/B599/B596</t>
  </si>
  <si>
    <t>英国GG</t>
  </si>
  <si>
    <t>GG-01</t>
  </si>
  <si>
    <t>客户给到20GP小柜订单明细，如果合作说每一次订单都是1个高柜或小柜混装贴牌，</t>
  </si>
  <si>
    <t>JB-02</t>
  </si>
  <si>
    <t>150台椭圆机B9100E，客户竞标YMCA健身房项目, 客户丢标</t>
  </si>
  <si>
    <t>明细待提供，有氧系列，客户现在想要MPH的触摸屏, 引导客户买整柜T8919， 按起订量改英里，接受SHUA Logo</t>
  </si>
  <si>
    <t>询盘客, 经销商卖到健身房，计划在马德里开展厅。E拜访</t>
  </si>
  <si>
    <t>西班牙MM Fit</t>
  </si>
  <si>
    <t>MF-01</t>
  </si>
  <si>
    <t>询盘客户，已经有3家健身房，计划开第四家, 已whatsapp取得联系。</t>
  </si>
  <si>
    <t>P</t>
  </si>
  <si>
    <t>IG-02</t>
  </si>
  <si>
    <t>跟进1000平健身房 订单明细，跟进具体健身房信息，FIBO展会面谈</t>
  </si>
  <si>
    <t>卡塔尔SPORTS VILLAGE</t>
  </si>
  <si>
    <t>自开发客户，必确代理商，国内供应商很多，英派斯，英吉多，参加IHRSA，预约会议</t>
  </si>
  <si>
    <t>去了ISHRA 但是没有机会谈，邮件联系问情况还没回复，他也会去FIBO希望再次约会</t>
  </si>
  <si>
    <t>爱沙尼亚HC GYM</t>
  </si>
  <si>
    <t>自己开发，已经有3家健身房，需要我们最高度的产品 价格。商用产品价格给她，也推荐了跑步机和68 series</t>
  </si>
  <si>
    <t>德国 FTC (better perform)</t>
  </si>
  <si>
    <t>自己开发 ，Distributor,Assault,Concept2, 还有自己品牌，已经和CEO约好 FIBO会议谈。11日下午</t>
  </si>
  <si>
    <t>斯洛伐克SmartGym</t>
  </si>
  <si>
    <t>询盘客户下，想做区域独家，待了解客户实力</t>
  </si>
  <si>
    <t>已经来我们上海了3月21日回到工厂，他想做我们代理
建议他买样品先去推有客户 给他代理的优点，20-50%</t>
  </si>
  <si>
    <t>Peter</t>
  </si>
  <si>
    <t>德国Climaqx</t>
  </si>
  <si>
    <t>Peter校友，Linkedin 联系，从MND/Gymbro采购，家用为主转商用，发报价，要试样，预约FIBO见面</t>
  </si>
  <si>
    <t xml:space="preserve">本月目标   </t>
  </si>
  <si>
    <t>合同已签，定金已收，货好时间3月13日，船期3月30号，流程已走。</t>
  </si>
  <si>
    <t>NF-112</t>
  </si>
  <si>
    <t>合同已签，100%货款，3.7号开单入仓，3.12号船期</t>
  </si>
  <si>
    <t>合同已签，定金未收，货已好，流程已走</t>
  </si>
  <si>
    <t>2.28装柜，3.3号船期</t>
  </si>
  <si>
    <t>BX(X7)240119</t>
  </si>
  <si>
    <t>合同已签，定金已收，货好时间3月28日，已订好3.31船期，流程已走；</t>
  </si>
  <si>
    <t>SA-21</t>
  </si>
  <si>
    <t>合同已签，定金未收，货好，已拿到SO，3.26船期，无需走流程，3.22装柜</t>
  </si>
  <si>
    <t>SUN-010A</t>
  </si>
  <si>
    <t>合同已签，定金未收，货已齐，预计货好及装柜时间3.29，舱位已定，4.4船期，流程已走</t>
  </si>
  <si>
    <t>合同已签，定金已到账，3.26客户已经最终确认，船期3.31号，流程已走</t>
  </si>
  <si>
    <t>FTL-03</t>
  </si>
  <si>
    <t>合同未签，定金未收，3.27与客户确认清单中，船期4.3号，按本月发货推进</t>
  </si>
  <si>
    <t>IR-12</t>
  </si>
  <si>
    <t>合同已签，定金已收，舱位已定，无需走流程，3月18日装柜</t>
  </si>
  <si>
    <t>KSC240330</t>
  </si>
  <si>
    <t>配件订单，4月份做无票申请</t>
  </si>
  <si>
    <t>让利流程已走，待让利流程确认后给客户确认合同，客户回复2.28底打定金，已安排3月初船期</t>
  </si>
  <si>
    <t>GLT-041</t>
  </si>
  <si>
    <t>合同已签，100%货款，3.12号开单入仓，3.19号船期</t>
  </si>
  <si>
    <t>OL-068</t>
  </si>
  <si>
    <t>合同已签，全款已收到，做无票</t>
  </si>
  <si>
    <t>OL-069</t>
  </si>
  <si>
    <t>合同已签，3.29装柜，船期4月2号，流程已走。</t>
  </si>
  <si>
    <t>KI-47</t>
  </si>
  <si>
    <t>合同已签，3.19装柜，全款已入账，无需让利，做无票申请</t>
  </si>
  <si>
    <t>SG-01B</t>
  </si>
  <si>
    <t>合同已签，10%定金已收，货好时间3.30，船期4.4号，无需走流程。</t>
  </si>
  <si>
    <t>累计完成</t>
  </si>
  <si>
    <t>合同已签，定金已收，货已好，舱位未定，流程已走，待验货以及客户确认出货时间</t>
  </si>
  <si>
    <t>BX(X7)240120</t>
  </si>
  <si>
    <t>合同已签，定金已收，货好时间3月27日，舱位未定，流程未走</t>
  </si>
  <si>
    <t>OBT-014</t>
  </si>
  <si>
    <t>合同已签，定金已收，货好时间4月20</t>
  </si>
  <si>
    <t>OBT-015</t>
  </si>
  <si>
    <t>SUN-010B</t>
  </si>
  <si>
    <t>合同已签，定金未收，货好时间5月份</t>
  </si>
  <si>
    <t>EJ-X3-106</t>
  </si>
  <si>
    <t>合同未签，定金未收，备货订单（持续关注客户&amp;市场销售情况，落实新订单的签订），订单先暂停，舱位未定，流程未走，需与客户确认销售情况及发货可能性，3.15客户计划4月下单出货。</t>
  </si>
  <si>
    <t>EJ-X3-107</t>
  </si>
  <si>
    <t>EJ-X3-108</t>
  </si>
  <si>
    <t>EJ-X6-135</t>
  </si>
  <si>
    <t>合同未签，定金未收，备货订单，货好时间2.20，舱位未定，流程未走，3.22反馈4-5个月后再出货</t>
  </si>
  <si>
    <t>LF-04</t>
  </si>
  <si>
    <t>合同未签，定金未收，货已好，3.29核对计划三月底发货，SO已拿到，4.2号船期，暂无需流程。
客户库存清单显示库存充足，希望延后发货。</t>
  </si>
  <si>
    <t>NF-113</t>
  </si>
  <si>
    <t>日本NF与终端客户的在谈意向订单，暂未收到最新产品明细，3.21持续跟进中</t>
  </si>
  <si>
    <t>韩国SL</t>
  </si>
  <si>
    <t>韩国商用力量客户寻求商用有氧产品合作，已重新报价有氧产品，持续追踪客户反馈，已邀约客户来访FIBO展，再洽谈合作机会</t>
  </si>
  <si>
    <t>HK-02</t>
  </si>
  <si>
    <t>合同未签，定金未收，清单已提供，但是有烤漆改制和商标改制需求，皮革颜色改制需求，部分款式未达起订量，内部沟通后不达起订量款式无法接单，客户无法加货并暂缓订单</t>
  </si>
  <si>
    <t>韩国FORWARD</t>
  </si>
  <si>
    <t>韩国商用器械品牌，在SPOEX展会上有遇到，跟进双方ODM产品的合作</t>
  </si>
  <si>
    <t>韩国商用器械品牌，在SPOEX展会上有遇到，邀请客户来FIBO展会碰面。</t>
  </si>
  <si>
    <t>与全总洽谈双方有氧产品的合作，客户反馈3月底来访，再进一步讨论</t>
  </si>
  <si>
    <t>泰国FIN</t>
  </si>
  <si>
    <t>泰国5星级酒店老板，对我们产品有兴趣，3.19泰国碰面洽谈，客户反馈有两个新酒店健身房项目可以合作</t>
  </si>
  <si>
    <t>合同已签，定金未收，货好时间3.15，客户安排全款，舱位预定中，流程已走</t>
  </si>
  <si>
    <t>SA-22</t>
  </si>
  <si>
    <t>合同未签，定金未收，清单确认中</t>
  </si>
  <si>
    <t>SSG-03</t>
  </si>
  <si>
    <t>合同未签，定金未收，3.19客户反馈暂缓至5月份发货，舱位未定，流程未走。</t>
  </si>
  <si>
    <t>最新的沟通情况，受缅甸内战的影响，运输费用高，且消费力低，客户暂不考虑发货</t>
  </si>
  <si>
    <t>NE-28</t>
  </si>
  <si>
    <t>需求订单为5月份，目前已发调拨</t>
  </si>
  <si>
    <t>合同未签，产品清单货已好，因澳门政府项目暂缓，订单确认时间待客户通知</t>
  </si>
  <si>
    <t>新项目订单，洽谈中，发货计划待确认</t>
  </si>
  <si>
    <t>澳洲NOVOFIT</t>
  </si>
  <si>
    <t>澳大利亚Beyond Activ展会认识，美国IHRSA展会洽谈合作，推进澳洲市场的合作，3.21跟进待客户回复</t>
  </si>
  <si>
    <t>澳洲GYM Direct</t>
  </si>
  <si>
    <t>澳大利亚Beyond Activ展会认识，客户对77力量器械感兴趣，已发送产品资料，沟通送样测试，暂无回复</t>
  </si>
  <si>
    <t>亚
非</t>
  </si>
  <si>
    <t>VE-08A&amp;B</t>
  </si>
  <si>
    <t>合同已签，定金到账，3.25已装柜，加装 68795套,6872-2套,6873-2套</t>
  </si>
  <si>
    <t>MIF-S49</t>
  </si>
  <si>
    <t>MIF-S48</t>
  </si>
  <si>
    <t>追客户确认合同</t>
  </si>
  <si>
    <t>LFT-04</t>
  </si>
  <si>
    <t>合同已签，定金已收10w，流程已走，28已装柜</t>
  </si>
  <si>
    <t>ZSL-10（T860）</t>
  </si>
  <si>
    <t>合同已确认，3.5装柜</t>
  </si>
  <si>
    <t>合同已确认，全款到账，3月13日装柜</t>
  </si>
  <si>
    <t>EP-07</t>
  </si>
  <si>
    <t>合同已签，定金已付待到账，31号船，25号装柜，加装3台8860S</t>
  </si>
  <si>
    <t>CG-02</t>
  </si>
  <si>
    <r>
      <rPr>
        <sz val="11"/>
        <color rgb="FF000000"/>
        <rFont val="微软雅黑"/>
        <charset val="134"/>
      </rPr>
      <t>合同已签+定金已收+</t>
    </r>
    <r>
      <rPr>
        <sz val="11"/>
        <color rgb="FFFF0000"/>
        <rFont val="微软雅黑"/>
        <charset val="134"/>
      </rPr>
      <t>货在制+舱未定+流程未发起</t>
    </r>
  </si>
  <si>
    <t>部分4/14</t>
  </si>
  <si>
    <t>合同已签，定金已收，T399+5517A 交期4/14。需协助：T399T交期5/21, 晚于客户需求交期</t>
  </si>
  <si>
    <t>STR-22</t>
  </si>
  <si>
    <t>已确认合同，定金到账</t>
  </si>
  <si>
    <t>VE-09</t>
  </si>
  <si>
    <t>ZSL-11</t>
  </si>
  <si>
    <t>合同未签，定金未收，仍在等客户确定，库存已调拨</t>
  </si>
  <si>
    <t>ZSL-12</t>
  </si>
  <si>
    <t>一个高柜B9100E(LED），26台</t>
  </si>
  <si>
    <t>NR-04</t>
  </si>
  <si>
    <t>合同未签，定金未收。</t>
  </si>
  <si>
    <t>VSI-05</t>
  </si>
  <si>
    <t>有意向，但还未提供清单</t>
  </si>
  <si>
    <t>俄罗斯SE</t>
  </si>
  <si>
    <t>SE-01</t>
  </si>
  <si>
    <t>合同未签，定金未收。客户反馈健身房还没建好，本月发货希望较小</t>
  </si>
  <si>
    <t>俄罗斯Oleg</t>
  </si>
  <si>
    <t>合同未签，需求一个高柜订单，但客户度假中，明细未提供</t>
  </si>
  <si>
    <t>伊朗KAM</t>
  </si>
  <si>
    <t>KAM-02</t>
  </si>
  <si>
    <t>合同未签，定金待收</t>
  </si>
  <si>
    <t>阿尔及利亚（IWF）</t>
  </si>
  <si>
    <t>报价单已发客户，合同未签,客户信息未回，电话未接</t>
  </si>
  <si>
    <t>突尼斯GN</t>
  </si>
  <si>
    <t>GN-01</t>
  </si>
  <si>
    <t>合同未确认，</t>
  </si>
  <si>
    <t>黎巴嫩Progear</t>
  </si>
  <si>
    <t>PR-01</t>
  </si>
  <si>
    <t>合同未确认，安哥拉资本集团连锁俱乐部项目，黎巴嫩市场合作机会</t>
  </si>
  <si>
    <t>沙特MF</t>
  </si>
  <si>
    <t>Mohammed 6月计划开业的大型健身房，4月下单，大概率采购舒华有氧，瑞丽达力量</t>
  </si>
  <si>
    <t>在进行价格谈判</t>
  </si>
  <si>
    <t>中心本月目标</t>
  </si>
  <si>
    <t>本月完成金额</t>
  </si>
  <si>
    <t>中心累计目标</t>
  </si>
  <si>
    <t>中心累计差额</t>
  </si>
  <si>
    <t xml:space="preserve">    2024.4月份发货计划表   </t>
  </si>
  <si>
    <t>BT-06A</t>
  </si>
  <si>
    <t>合同已签，定金已收，1/18下单, 尾款收齐， 12.44%折扣无需走让利，货代仓位难以确认，已跟小时预订</t>
  </si>
  <si>
    <t>BT-06B</t>
  </si>
  <si>
    <t>送仓库</t>
  </si>
  <si>
    <t>合同已签，定金已收，1/18下单, 尾款收齐，4/22 已送货 Kerry warehouse</t>
  </si>
  <si>
    <t>合同已签，信用证已收，流程已走，4/10装柜</t>
  </si>
  <si>
    <t>MD-02</t>
  </si>
  <si>
    <t>2024年FIBO展品销售，4/22走流程</t>
  </si>
  <si>
    <t>墨西哥GL</t>
  </si>
  <si>
    <t>GL-01</t>
  </si>
  <si>
    <t>合同已签，已收定金，无需让利流程，已4/25装柜</t>
  </si>
  <si>
    <t>9100E，9100RE</t>
  </si>
  <si>
    <t>WEL-02-A</t>
  </si>
  <si>
    <t>合同已签，定金已收，货交期4/30好，船期5/6 已放舱，流程已走，已4/28装柜</t>
  </si>
  <si>
    <t>12*40HQ</t>
  </si>
  <si>
    <t>WEL-02-B</t>
  </si>
  <si>
    <t>合同已签，定金已收，货交期4/30好，船期5/6 已放舱，流程已走，已4/29装柜</t>
  </si>
  <si>
    <t>WEL-02-C</t>
  </si>
  <si>
    <t>9100缺货</t>
  </si>
  <si>
    <t>KNG-04-C</t>
  </si>
  <si>
    <t>合同已签，定金已收，货交期4/30，船期5/5已放舱，，流程已走，计划30号装</t>
  </si>
  <si>
    <t>电池板88系列</t>
  </si>
  <si>
    <t>FU-07</t>
  </si>
  <si>
    <t>合同已签，定金已收，指定货代订舱中，暂定船期4/30,已放舱</t>
  </si>
  <si>
    <t>6700A，6500E，SH-G698</t>
  </si>
  <si>
    <t>3月已装柜</t>
  </si>
  <si>
    <t>合同已签+ 定金已收+4.25船+4.19已装柜</t>
  </si>
  <si>
    <t>SO已给，客户水单已给，26号下午最晚装柜</t>
  </si>
  <si>
    <t>VPS-23</t>
  </si>
  <si>
    <t>合同已签+ 定金水单已收+流程已走+4.28已装柜</t>
  </si>
  <si>
    <t>8人站/4人站/T5500/T6500SZ</t>
  </si>
  <si>
    <t>4月开单，5月船期</t>
  </si>
  <si>
    <t>BT-07</t>
  </si>
  <si>
    <t>加拿大FAR</t>
  </si>
  <si>
    <t>FAR-01</t>
  </si>
  <si>
    <t>询盘客户，FIBO展会见面，2个线下店，6个线下代理商店，有8年工程师经历，2年前开始开店，营收2.5million, 下试样单，跟MND采购</t>
  </si>
  <si>
    <t>T8919，B9100U/R/E</t>
  </si>
  <si>
    <t>WEL-02-D</t>
  </si>
  <si>
    <t>5月底</t>
  </si>
  <si>
    <t>合同已签，定金已收，交期落在5/30</t>
  </si>
  <si>
    <t>WEL-02-E</t>
  </si>
  <si>
    <t>10月初</t>
  </si>
  <si>
    <t>10月中</t>
  </si>
  <si>
    <t>合同已签，定金已收10%，客户需求10月中旬发货</t>
  </si>
  <si>
    <t>MOV20240423</t>
  </si>
  <si>
    <t>意向订单，5170A，9119P 各一个高柜,B6500RE一个小柜，目前让利20.4%，走让利流程中</t>
  </si>
  <si>
    <t>VX-18</t>
  </si>
  <si>
    <t>6月底</t>
  </si>
  <si>
    <t>合同已签，定金已收，待评审交期。</t>
  </si>
  <si>
    <t>波兰TF</t>
  </si>
  <si>
    <t>合同已签，定金已收，待客户确定稿件后评审交期。</t>
  </si>
  <si>
    <t>客户持续在INS推广SHUA产品，FIBO展会上客户接待Bodyteck/ALLP FIT/SELFIT,巴西IHRSA展会已订，展位装修客户在跟进</t>
  </si>
  <si>
    <t>FIBO展会见面，5月初给到订单明细，需要定制Logo</t>
  </si>
  <si>
    <t>加拿大Ryan</t>
  </si>
  <si>
    <t>Roland介绍，3/14访厂,4/16访问客户办事处，有欧洲健身房项目，需要价格支持，需区域支持，5月到访体博会</t>
  </si>
  <si>
    <t>4/17拜访客户公司，需商用有氧改标支持</t>
  </si>
  <si>
    <t>意大利Wellness Point</t>
  </si>
  <si>
    <t>4/19拜访客户，沟通SHUA品牌推广渠道</t>
  </si>
  <si>
    <t>美国Fitotrain Fitness</t>
  </si>
  <si>
    <t>询盘客户，设计公司，美国做酒店项目，看中我们商用有氧系列</t>
  </si>
  <si>
    <t>合同未签 2024下半年8个健身房，计划10月中发货</t>
  </si>
  <si>
    <t>MT-10</t>
  </si>
  <si>
    <t>意向订单，T9100,8700,9100UR,E800</t>
  </si>
  <si>
    <t>巴西Evolve</t>
  </si>
  <si>
    <t>连锁健身房项目，目前需求 5918，6874(新款）8926报价（ 2024年计划6个连锁健身房）</t>
  </si>
  <si>
    <t>巴西LIVE</t>
  </si>
  <si>
    <t>连锁健身房项目,已报价（ 2024年计划10个连锁健身房）</t>
  </si>
  <si>
    <t>玻利维亚Bodytech</t>
  </si>
  <si>
    <t>意向订单，健身房项目，预计12号之前提供订单明细</t>
  </si>
  <si>
    <t>墨西哥大型商超COPPEL，已选品SH-T5412,199P,T210 各一台，准备样机中，三月底送样到深圳，4月20号参加选品大会</t>
  </si>
  <si>
    <t>客户 下半年新健身房项目，4月最后一周会签订场地合同</t>
  </si>
  <si>
    <t>WEL-03</t>
  </si>
  <si>
    <t>合同未签， 新增一个健身房项目，88系列</t>
  </si>
  <si>
    <r>
      <rPr>
        <sz val="11"/>
        <color rgb="FF000000"/>
        <rFont val="微软雅黑"/>
        <charset val="134"/>
      </rPr>
      <t>20GP +配件单，由于英国FST未能签署独家合同，所以迟迟没有接单。</t>
    </r>
    <r>
      <rPr>
        <sz val="11"/>
        <color rgb="FFFF0000"/>
        <rFont val="微软雅黑"/>
        <charset val="134"/>
      </rPr>
      <t>客户直接跟FST购买。</t>
    </r>
  </si>
  <si>
    <t>瑞典CSC</t>
  </si>
  <si>
    <t>CSC-01</t>
  </si>
  <si>
    <r>
      <rPr>
        <sz val="11"/>
        <color rgb="FF000000"/>
        <rFont val="微软雅黑"/>
        <charset val="134"/>
      </rPr>
      <t>给到小柜的明细，</t>
    </r>
    <r>
      <rPr>
        <sz val="11"/>
        <color rgb="FFFF0000"/>
        <rFont val="微软雅黑"/>
        <charset val="134"/>
      </rPr>
      <t>客户要求68系列降价250-300美金，把我们的产品和MBH的M1 series比较.</t>
    </r>
  </si>
  <si>
    <t>EFS-02</t>
  </si>
  <si>
    <r>
      <rPr>
        <sz val="11"/>
        <color rgb="FF000000"/>
        <rFont val="微软雅黑"/>
        <charset val="134"/>
      </rPr>
      <t>明细基本确认，等客户定金,已联系上货代。</t>
    </r>
    <r>
      <rPr>
        <sz val="11"/>
        <color rgb="FFFF0000"/>
        <rFont val="微软雅黑"/>
        <charset val="134"/>
      </rPr>
      <t>4月的订单在和matrix竞争，5月的订单在和imuplse竞争.货代回复有4.30的船。</t>
    </r>
  </si>
  <si>
    <t>PI已给。8w美金政采项目，询问项目时间，给到客户benefit方案，待回复。客户资金困难。</t>
  </si>
  <si>
    <r>
      <rPr>
        <sz val="11"/>
        <color rgb="FF000000"/>
        <rFont val="微软雅黑"/>
        <charset val="134"/>
      </rPr>
      <t>美国大型分销商，测试费已付，客户已确认BOM图，确认屏幕软件系统，赵经理建议按大货去做，给客户发系统安装包确认。说明书需要打包发客户。</t>
    </r>
    <r>
      <rPr>
        <sz val="11"/>
        <color rgb="FFFF0000"/>
        <rFont val="微软雅黑"/>
        <charset val="134"/>
      </rPr>
      <t>直接打样，需赵经理确认报价。供应商4.12提供报告。</t>
    </r>
  </si>
  <si>
    <t>等货到后才会翻单，还未找到买家，需要推广找买家。</t>
  </si>
  <si>
    <t>明细基本确认1个小柜，争取按40HQ下单, 昨天沟通下来 客户还对如下产品感兴趣，说服客户增加以下sku
SH-B9100R、SH-B9100RT、SH-B9100UT、SH-B9100ET</t>
  </si>
  <si>
    <t>9个线下经销店，计划开拓美国市场，英派斯一年采购10个柜，FIBO展会见面，做贴牌，想先试样；</t>
  </si>
  <si>
    <t>3.27装柜，4月船期</t>
  </si>
  <si>
    <t>合同已签，见提单付100%全款，货好，无需走流程，已订4.30号船期，4.26装柜。</t>
  </si>
  <si>
    <t>3月装柜，4月船期</t>
  </si>
  <si>
    <t>3月装柜，5月船期</t>
  </si>
  <si>
    <t>合同已签，定金已收，货好，已定4.29船期，流程已走</t>
  </si>
  <si>
    <t>合同已签，定金已收，货好，已定4.27船期，流程已走</t>
  </si>
  <si>
    <t>SHUA-ARR20240407</t>
  </si>
  <si>
    <t>合同已签，4.13已装柜发货，4.17船期</t>
  </si>
  <si>
    <t>SHUA-ARR20240416</t>
  </si>
  <si>
    <t>合同已签，4.26安排装柜，5.3船期</t>
  </si>
  <si>
    <t>NE-27B</t>
  </si>
  <si>
    <t>上票订单遗留产品，已发散货入广州仓，做无票申请</t>
  </si>
  <si>
    <t>Jamie</t>
  </si>
  <si>
    <t>3月装柜，4月船期。双方合作协议客户答复本周提供，连锁健身房开店计划同步搜集中</t>
  </si>
  <si>
    <t>合同已签，定金已收，货好时间3月27日，舱位未定，流程已走</t>
  </si>
  <si>
    <t>合同已签，定金已收，货好时间5月份</t>
  </si>
  <si>
    <t>计划4月底发，目前客户4.26确认PI，待订舱和回款</t>
  </si>
  <si>
    <t>ML-11</t>
  </si>
  <si>
    <t>合同已签，定金已收，货好时间待支持部同事提供，持续跟进客户计划发货时间。</t>
  </si>
  <si>
    <t>合同未签，定金未收，备货订单（持续关注客户&amp;市场销售情况，落实新订单的签订）</t>
  </si>
  <si>
    <t>EJ-X3-109</t>
  </si>
  <si>
    <t>EJ-X3-110</t>
  </si>
  <si>
    <t>EJ-X3-111</t>
  </si>
  <si>
    <t>合同未签，定金未收，备货订单，货好时间2.20，舱位未定，流程未走，需等客户通知才能安排发货。</t>
  </si>
  <si>
    <t>合同未签，定金未收，货已好，客户库存清单显示库存充足，希望后续根据开店节奏来发货，4.19客户计划5月底或6月初开始发货。</t>
  </si>
  <si>
    <t>NF-114</t>
  </si>
  <si>
    <t>合同未签，定金未收，意向新订单</t>
  </si>
  <si>
    <t>印尼Suyudi</t>
  </si>
  <si>
    <t>SYD-01</t>
  </si>
  <si>
    <t>合同未签，定金未收，意向新订单（ODM家用E599椭圆机，颜色白+黑，各一个高柜，计划拼柜出货）</t>
  </si>
  <si>
    <t>韩国Letscompany</t>
  </si>
  <si>
    <t>LSC-01</t>
  </si>
  <si>
    <t>FIBO展会客户，韩国连锁健身房，目前共有7家，主要使用韩国本土DRAX器械，洽谈合作机会，争取送样测试，免费提供样品（有氧）。</t>
  </si>
  <si>
    <t>韩国LEXCO</t>
  </si>
  <si>
    <t>LEX-01</t>
  </si>
  <si>
    <t>韩国商用器械品牌，在FIBO展会上有遇到，跟进双方ODM产品的合作。免费提供样品（有氧 OR 力量）</t>
  </si>
  <si>
    <t>SL-01</t>
  </si>
  <si>
    <t>韩国商用力量客户寻求商用有氧产品合作，已重新报价有氧产品，持续追踪客户反馈，已邀约客户来访FIBO展，再洽谈合作机会，争取送样测试，免费提供样品（有氧）。</t>
  </si>
  <si>
    <t>合同未签，定金未收，清单已提供，客户需求烤漆颜色改成白色，跟进客户确认订单</t>
  </si>
  <si>
    <t>韩国商用器械品牌，在SPOEX展会上有遇到，跟进双方ODM产品的合作。免费提供样品（有氧 OR 力量）</t>
  </si>
  <si>
    <t>与全总洽谈双方有氧产品的合作，约对方4月份来访舒华碰面</t>
  </si>
  <si>
    <t>WA-03</t>
  </si>
  <si>
    <t>合同未签，定金未收，客户意向新订单，清单确认中</t>
  </si>
  <si>
    <t>FTL-04</t>
  </si>
  <si>
    <t>合同未签，定金未收，清单确认中，4.25跟进中，其中88系列需求黑色电池版，产品交期在5月</t>
  </si>
  <si>
    <t>SG-03</t>
  </si>
  <si>
    <t>合同未签，定金未收，清单确认中，预定5.5船期，4.25跟进中</t>
  </si>
  <si>
    <t>FIN-01</t>
  </si>
  <si>
    <t>泰国5星级酒店老板二代，有两个新酒店健身房项目可以合作，4.2号回复正在确认设计方案</t>
  </si>
  <si>
    <t>泰国Anton</t>
  </si>
  <si>
    <t>ATN-01</t>
  </si>
  <si>
    <t>FIBO健身房意向客户，邀约客户访厂，持续跟进项目进展，需提供报价</t>
  </si>
  <si>
    <t>合同未签，定金未收，客户反馈暂缓至5月份发货，舱位未定，流程未走。</t>
  </si>
  <si>
    <t>HA-13</t>
  </si>
  <si>
    <t>新订单待定洽谈中</t>
  </si>
  <si>
    <t>客户反馈珠海横琴项目推迟，具体时间未定</t>
  </si>
  <si>
    <t>蒙古意向客户</t>
  </si>
  <si>
    <t>商用健身房意向订单，产品型号及数量还在调整中，</t>
  </si>
  <si>
    <t>客户意向新订单产品洽谈中，修改PI中</t>
  </si>
  <si>
    <t>洽谈中，待客户提供明细，预计5月有出货计划</t>
  </si>
  <si>
    <t>澳大利亚Beyond Activ展会认识，推进澳洲市场的合作，邀约客户来访FIBO展会</t>
  </si>
  <si>
    <t>合同已签，定金到账，75方，短装十台产品，23号装柜，27号船</t>
  </si>
  <si>
    <t>KA-07</t>
  </si>
  <si>
    <t>合同已签，定金到账，25号船，22号装柜，短装6871 -2台</t>
  </si>
  <si>
    <t>KA-P0415</t>
  </si>
  <si>
    <t>合同已签，全款已收，物流发货到广州佛山</t>
  </si>
  <si>
    <t>合同已签+定金已收+定5.6船,4.29装柜</t>
  </si>
  <si>
    <t>CG-RL-016</t>
  </si>
  <si>
    <t>合同已签，全款已收，配件单随柜,</t>
  </si>
  <si>
    <t>MIF-S50</t>
  </si>
  <si>
    <t>合同已签+订舱中</t>
  </si>
  <si>
    <t>合同已签，定金已到账，已装柜</t>
  </si>
  <si>
    <t>STR-22A</t>
  </si>
  <si>
    <t>合同已签，定金已收，评审交期4.29，75方，可以确认会爆柜（6500E 和E800最后装），定5.10船</t>
  </si>
  <si>
    <t>OS-13</t>
  </si>
  <si>
    <t>合同已签，全款已付待到账，5.3爆仓，5.10待放舱位</t>
  </si>
  <si>
    <t>配件</t>
  </si>
  <si>
    <t>配件发快递</t>
  </si>
  <si>
    <t>MS-P231201
（配件）</t>
  </si>
  <si>
    <t>配件单，配件款之前客户已随MS-04安排。走物流到义乌</t>
  </si>
  <si>
    <t>VE-10A</t>
  </si>
  <si>
    <t>合同已签，定金待收，舱位待放5.10，节后装柜</t>
  </si>
  <si>
    <t>VE-10B</t>
  </si>
  <si>
    <t>合同已签，定金待收，8919T22交期商不明确，8818交期6.15，其他交期5月中下旬</t>
  </si>
  <si>
    <t>VG-07B</t>
  </si>
  <si>
    <t>合同已确认，定金未收，订舱中</t>
  </si>
  <si>
    <t>ZSL-13</t>
  </si>
  <si>
    <t>合同已确认，定金未收，订舱中，9100RT触摸屏交期6.28</t>
  </si>
  <si>
    <t>STR-22B</t>
  </si>
  <si>
    <t>合同已签，定金已收，评审交期未定(出货顺序会根据订单进度，可能会调整清单出货顺序，)</t>
  </si>
  <si>
    <t>STR-22C</t>
  </si>
  <si>
    <t>合同已签，定金已收，评审交期未定( 出货顺序会根据订单进度，可能会调整清单出货顺序 ，)</t>
  </si>
  <si>
    <t>合同未确认，客户反馈待第一个柜到之后看情况再决定</t>
  </si>
  <si>
    <t>合同未确认，客户反馈斋月，进度较慢，目前未对报价做出任何回复</t>
  </si>
  <si>
    <t>合同未确认，在进行价格谈判，对我们最新的报价，客户表示尚未决定</t>
  </si>
  <si>
    <t>沙特 AMBASADORR</t>
  </si>
  <si>
    <t>土耳其EV</t>
  </si>
  <si>
    <t>EV-01</t>
  </si>
  <si>
    <t>合同未确认。1200平健身房，已报价，客户反馈价格太高，让其确认款式清单后再给折扣，客户预计4月份访厂看质量再做决定</t>
  </si>
  <si>
    <t>埃塞俄比亚</t>
  </si>
  <si>
    <t>AW-01</t>
  </si>
  <si>
    <t>合同未确认，清单基本确认，客户还在考虑中</t>
  </si>
  <si>
    <t>伊拉克JAY</t>
  </si>
  <si>
    <t>沙特MO</t>
  </si>
  <si>
    <t>出口到尼日利亚</t>
  </si>
  <si>
    <t>TC-01</t>
  </si>
  <si>
    <t>清单基本确认，合同未确认，定金未付</t>
  </si>
  <si>
    <t>2025.01月份发货计划表</t>
  </si>
  <si>
    <t>新连锁开发-区域</t>
  </si>
  <si>
    <t>订单金额（美金）</t>
  </si>
  <si>
    <r>
      <rPr>
        <b/>
        <sz val="10"/>
        <color rgb="FF000000"/>
        <rFont val="微软雅黑"/>
        <charset val="134"/>
      </rPr>
      <t>发货最新进度（</t>
    </r>
    <r>
      <rPr>
        <b/>
        <sz val="10"/>
        <color rgb="FFFF0000"/>
        <rFont val="微软雅黑"/>
        <charset val="134"/>
      </rPr>
      <t>格式：合同已签+定金/LC已收+货已好+已排载+流程已走+其他需协调）</t>
    </r>
  </si>
  <si>
    <t>欧洲事业部</t>
  </si>
  <si>
    <t>K</t>
  </si>
  <si>
    <t>WIF-01B</t>
  </si>
  <si>
    <t>经销商增量-占比高</t>
  </si>
  <si>
    <t>VPS-25</t>
  </si>
  <si>
    <t>1月17</t>
  </si>
  <si>
    <t>其他</t>
  </si>
  <si>
    <t>RC-01</t>
  </si>
  <si>
    <t>M</t>
  </si>
  <si>
    <t>ODM开发+增量</t>
  </si>
  <si>
    <t>YFE-05B</t>
  </si>
  <si>
    <t>经销商增量-占比低</t>
  </si>
  <si>
    <t>COR-02B</t>
  </si>
  <si>
    <t>1月10</t>
  </si>
  <si>
    <t>AME-06A</t>
  </si>
  <si>
    <t>AME-06B</t>
  </si>
  <si>
    <t>FST-11</t>
  </si>
  <si>
    <t>AP-34</t>
  </si>
  <si>
    <t>ETE-03B</t>
  </si>
  <si>
    <t>SAT-61E</t>
  </si>
  <si>
    <t>交期未定</t>
  </si>
  <si>
    <t>BNX-P02</t>
  </si>
  <si>
    <t>LAR-P07B</t>
  </si>
  <si>
    <t>FST-10</t>
  </si>
  <si>
    <t>AP-33</t>
  </si>
  <si>
    <t>ETE-03C</t>
  </si>
  <si>
    <t>BT-10</t>
  </si>
  <si>
    <t>ELB-01</t>
  </si>
  <si>
    <t>PB-01</t>
  </si>
  <si>
    <t>经销商开发-重点空白</t>
  </si>
  <si>
    <t>MP-01</t>
  </si>
  <si>
    <t>库存</t>
  </si>
  <si>
    <t>NF-03</t>
  </si>
  <si>
    <t>JS-01</t>
  </si>
  <si>
    <t>GB-01</t>
  </si>
  <si>
    <t>GF-02</t>
  </si>
  <si>
    <t>PLN-01</t>
  </si>
  <si>
    <t>ALV-02</t>
  </si>
  <si>
    <t>ODM增量</t>
  </si>
  <si>
    <t>BFT-03</t>
  </si>
  <si>
    <t>STG-03</t>
  </si>
  <si>
    <t>BNX-03</t>
  </si>
  <si>
    <t>LAR-09</t>
  </si>
  <si>
    <t>ROD-01</t>
  </si>
  <si>
    <t>全球新连锁开发</t>
  </si>
  <si>
    <t>MON-01</t>
  </si>
  <si>
    <t>美洲大区</t>
  </si>
  <si>
    <t>SKL-02A</t>
  </si>
  <si>
    <t>定制</t>
  </si>
  <si>
    <t>MUC-01</t>
  </si>
  <si>
    <t>SKL-02C</t>
  </si>
  <si>
    <t>SKL-02D</t>
  </si>
  <si>
    <t>RY-02B</t>
  </si>
  <si>
    <t>WDF-22</t>
  </si>
  <si>
    <t>GT-01</t>
  </si>
  <si>
    <t>现有连锁增量</t>
  </si>
  <si>
    <t>WEL-03-C</t>
  </si>
  <si>
    <t>GNL-02</t>
  </si>
  <si>
    <t>KNG-08</t>
  </si>
  <si>
    <t>TFC-01-SP</t>
  </si>
  <si>
    <t>RY-02C</t>
  </si>
  <si>
    <t>SKL-03</t>
  </si>
  <si>
    <t>INV-04-D</t>
  </si>
  <si>
    <t>KNG-09</t>
  </si>
  <si>
    <t>EG-01</t>
  </si>
  <si>
    <t>LGF-02</t>
  </si>
  <si>
    <t>EVO-01</t>
  </si>
  <si>
    <t>VF-02</t>
  </si>
  <si>
    <t>FU-09</t>
  </si>
  <si>
    <t>LFG-01</t>
  </si>
  <si>
    <t>GNL-03</t>
  </si>
  <si>
    <t>F1-04A</t>
  </si>
  <si>
    <t>GW-SP06</t>
  </si>
  <si>
    <t>HX-24B</t>
  </si>
  <si>
    <t>ML-13</t>
  </si>
  <si>
    <t>SHUA-ARR20250107</t>
  </si>
  <si>
    <t>HA-15</t>
  </si>
  <si>
    <t>D-代
（待聘A）</t>
  </si>
  <si>
    <t>IR-17B&amp;18</t>
  </si>
  <si>
    <t>SK-代
（待聘B）</t>
  </si>
  <si>
    <t>LF-16</t>
  </si>
  <si>
    <t>ML-17</t>
  </si>
  <si>
    <t>ML-16</t>
  </si>
  <si>
    <t>ODM</t>
  </si>
  <si>
    <t>ML-15</t>
  </si>
  <si>
    <t>ML-14</t>
  </si>
  <si>
    <t>2月初</t>
  </si>
  <si>
    <t>HK-04</t>
  </si>
  <si>
    <t>M10-BX24121</t>
  </si>
  <si>
    <t>NF-124</t>
  </si>
  <si>
    <t>HA</t>
  </si>
  <si>
    <t>F1-05</t>
  </si>
  <si>
    <t>GLT</t>
  </si>
  <si>
    <t>MEF-01</t>
  </si>
  <si>
    <t>OB-01</t>
  </si>
  <si>
    <t>SU-02</t>
  </si>
  <si>
    <t>BRI-01</t>
  </si>
  <si>
    <t>KOG-01</t>
  </si>
  <si>
    <t>MIF-S55B</t>
  </si>
  <si>
    <t>MIF-S55C</t>
  </si>
  <si>
    <t>MIF-DF52</t>
  </si>
  <si>
    <t>MIF-D56</t>
  </si>
  <si>
    <t>VE-25</t>
  </si>
  <si>
    <t>3月份（先发货好部分）</t>
  </si>
  <si>
    <t>ODM开发</t>
  </si>
  <si>
    <t>STR-24D</t>
  </si>
  <si>
    <t>AT-02</t>
  </si>
  <si>
    <t>2月16日
先发货好部分</t>
  </si>
  <si>
    <t>经销商开发</t>
  </si>
  <si>
    <t>BB-01</t>
  </si>
  <si>
    <t>PR-01A</t>
  </si>
  <si>
    <t>PR-01B</t>
  </si>
  <si>
    <t>AB</t>
  </si>
  <si>
    <t>OS-17B</t>
  </si>
  <si>
    <t>PV-01</t>
  </si>
  <si>
    <t>VSI-01</t>
  </si>
  <si>
    <t>S代</t>
  </si>
  <si>
    <t>SH-04</t>
  </si>
  <si>
    <t>AA-02</t>
  </si>
  <si>
    <t>EA-02C</t>
  </si>
  <si>
    <t>PPT-04</t>
  </si>
  <si>
    <t>PH-02</t>
  </si>
  <si>
    <t>VG-09</t>
  </si>
  <si>
    <t>区域新连锁开发</t>
  </si>
  <si>
    <t>IR-01</t>
  </si>
  <si>
    <t>CF-01</t>
  </si>
  <si>
    <t>AZ-01</t>
  </si>
  <si>
    <t>OX-01</t>
  </si>
  <si>
    <t>DS-01</t>
  </si>
  <si>
    <t>DS-02</t>
  </si>
  <si>
    <t>政采</t>
  </si>
  <si>
    <t>NG-01</t>
  </si>
  <si>
    <t>STL-06</t>
  </si>
  <si>
    <t>FS-03C</t>
  </si>
  <si>
    <t>2025.02月份发货计划表</t>
  </si>
  <si>
    <t>TP-01</t>
  </si>
  <si>
    <t>BZ-01A</t>
  </si>
  <si>
    <t>COR-03A</t>
  </si>
  <si>
    <t>BFT-03A</t>
  </si>
  <si>
    <t>ETE-02E</t>
  </si>
  <si>
    <t>FST-13(HF)</t>
  </si>
  <si>
    <t>BLK-01</t>
  </si>
  <si>
    <t>STG-05</t>
  </si>
  <si>
    <t>TF-04</t>
  </si>
  <si>
    <t>COR-03B</t>
  </si>
  <si>
    <t>BFT-03B</t>
  </si>
  <si>
    <t>FST-12</t>
  </si>
  <si>
    <t>AP-35</t>
  </si>
  <si>
    <t>FST-14(HF)</t>
  </si>
  <si>
    <t>DKN-01</t>
  </si>
  <si>
    <t>SK-01</t>
  </si>
  <si>
    <t>CA-01</t>
  </si>
  <si>
    <t>WIF-02</t>
  </si>
  <si>
    <t>FTF-01</t>
  </si>
  <si>
    <t>ML-01</t>
  </si>
  <si>
    <t>MC-01</t>
  </si>
  <si>
    <t>PH-01</t>
  </si>
  <si>
    <t>PX-01</t>
  </si>
  <si>
    <t>DKN-02</t>
  </si>
  <si>
    <t>DKN-03</t>
  </si>
  <si>
    <t>ITL-02</t>
  </si>
  <si>
    <t>MGM-01</t>
  </si>
  <si>
    <t>SGC-02</t>
  </si>
  <si>
    <t>WDF-23</t>
  </si>
  <si>
    <t>WDF-24</t>
  </si>
  <si>
    <t>KNG-10</t>
  </si>
  <si>
    <t>KNG-11</t>
  </si>
  <si>
    <t>GNL-02-B</t>
  </si>
  <si>
    <t>HB-05</t>
  </si>
  <si>
    <t>2025/4/25 -5/8</t>
  </si>
  <si>
    <t>SKL-04</t>
  </si>
  <si>
    <t>SKL-05</t>
  </si>
  <si>
    <t>新连锁开发-全球</t>
  </si>
  <si>
    <t>SFG-12P</t>
  </si>
  <si>
    <t>颜色定制</t>
  </si>
  <si>
    <t>3月底-4月初</t>
  </si>
  <si>
    <t>SFG-13U</t>
  </si>
  <si>
    <t>XTF-01</t>
  </si>
  <si>
    <t>DF-02</t>
  </si>
  <si>
    <t>FE-10</t>
  </si>
  <si>
    <t>MOV-04</t>
  </si>
  <si>
    <t>GUT-01-B</t>
  </si>
  <si>
    <t>AAF-01</t>
  </si>
  <si>
    <t>AFG-01</t>
  </si>
  <si>
    <t>AB-01</t>
  </si>
  <si>
    <t>LF-16-1</t>
  </si>
  <si>
    <t>LF-17-1</t>
  </si>
  <si>
    <t>LF-17-2</t>
  </si>
  <si>
    <t>NOF-03</t>
  </si>
  <si>
    <t>SE-02</t>
  </si>
  <si>
    <t>SE-03</t>
  </si>
  <si>
    <t>HX-27</t>
  </si>
  <si>
    <t>OL-079</t>
  </si>
  <si>
    <t>待确认中</t>
  </si>
  <si>
    <t>OL-077</t>
  </si>
  <si>
    <t>NF-123</t>
  </si>
  <si>
    <t>NF-125</t>
  </si>
  <si>
    <t>HA-15A</t>
  </si>
  <si>
    <t>ORG-12</t>
  </si>
  <si>
    <t>FTL-12C；FTL-13B&amp;FTL-14B；FTL-15B</t>
  </si>
  <si>
    <t>IR-19</t>
  </si>
  <si>
    <t>ML-18</t>
  </si>
  <si>
    <t>FNZ-05</t>
  </si>
  <si>
    <t>FTL-16</t>
  </si>
  <si>
    <t>CV-13</t>
  </si>
  <si>
    <t>FIB-01</t>
  </si>
  <si>
    <t>SG-</t>
  </si>
  <si>
    <t>ML-19</t>
  </si>
  <si>
    <t>NF-126</t>
  </si>
  <si>
    <t>PHG-01</t>
  </si>
  <si>
    <t>VE-26A</t>
  </si>
  <si>
    <t>VE-25B</t>
  </si>
  <si>
    <t>TF-06</t>
  </si>
  <si>
    <t>ZSL-19</t>
  </si>
  <si>
    <t>DS-03</t>
  </si>
  <si>
    <t>SH-05
（原SH-04更新合同号）</t>
  </si>
  <si>
    <t>GPR-04</t>
  </si>
  <si>
    <t>OS-18</t>
  </si>
  <si>
    <t>三月初</t>
  </si>
  <si>
    <t>SS</t>
  </si>
  <si>
    <t>DL-02</t>
  </si>
  <si>
    <t>VE-26</t>
  </si>
  <si>
    <t>SPK-01</t>
  </si>
  <si>
    <t>AE-01</t>
  </si>
  <si>
    <t>EP-08</t>
  </si>
  <si>
    <t>AH-03</t>
  </si>
  <si>
    <t>AK-01</t>
  </si>
  <si>
    <t>STL-07</t>
  </si>
  <si>
    <t>2025.03月份发货计划表</t>
  </si>
  <si>
    <r>
      <rPr>
        <b/>
        <sz val="10"/>
        <color rgb="FF000000"/>
        <rFont val="微软雅黑"/>
        <charset val="134"/>
      </rPr>
      <t>发货最新进度（</t>
    </r>
    <r>
      <rPr>
        <b/>
        <sz val="10"/>
        <color rgb="FFFF0000"/>
        <rFont val="微软雅黑"/>
        <charset val="134"/>
      </rPr>
      <t>格式：合同已签+定金/LC已收+货已好+已排载+流程已完成+其他需协调）</t>
    </r>
  </si>
  <si>
    <t>JP-01</t>
  </si>
  <si>
    <t>IPD-01</t>
  </si>
  <si>
    <t>BZ-01B</t>
  </si>
  <si>
    <t>FST-14 (HF)</t>
  </si>
  <si>
    <t>MM-07</t>
  </si>
  <si>
    <t>4月10</t>
  </si>
  <si>
    <t>TF-05</t>
  </si>
  <si>
    <t>ETE-04</t>
  </si>
  <si>
    <t>BO-01</t>
  </si>
  <si>
    <t>OC-01</t>
  </si>
  <si>
    <t>OA-01</t>
  </si>
  <si>
    <t>ST-01</t>
  </si>
  <si>
    <t>FTF-02</t>
  </si>
  <si>
    <t>VD-01</t>
  </si>
  <si>
    <t>FFO-05</t>
  </si>
  <si>
    <t>LAR-10</t>
  </si>
  <si>
    <t>SFG-12P-1</t>
  </si>
  <si>
    <t>SFG-13U-1</t>
  </si>
  <si>
    <t>WDF-25</t>
  </si>
  <si>
    <t>LGF-02A</t>
  </si>
  <si>
    <t>MOV-04-A</t>
  </si>
  <si>
    <t>GGD-01</t>
  </si>
  <si>
    <t>AD-01</t>
  </si>
  <si>
    <t>HT-01</t>
  </si>
  <si>
    <t>LGF-02B</t>
  </si>
  <si>
    <t>MOV-04-B</t>
  </si>
  <si>
    <t>BDT-03</t>
  </si>
  <si>
    <t>ABS-01</t>
  </si>
  <si>
    <t>OV-01</t>
  </si>
  <si>
    <t>DO-01</t>
  </si>
  <si>
    <t>HT-02</t>
  </si>
  <si>
    <t>LF-18-1</t>
  </si>
  <si>
    <t>LF-18-2</t>
  </si>
  <si>
    <t>NOF-04</t>
  </si>
  <si>
    <t>NOF-05</t>
  </si>
  <si>
    <t>NOF-06</t>
  </si>
  <si>
    <t>SE-03A</t>
  </si>
  <si>
    <t>SE-04</t>
  </si>
  <si>
    <t>F1-06</t>
  </si>
  <si>
    <t>FRCX-01</t>
  </si>
  <si>
    <t>KI-55</t>
  </si>
  <si>
    <t>IG-P07</t>
  </si>
  <si>
    <t>FTL-17</t>
  </si>
  <si>
    <t>HA-15B</t>
  </si>
  <si>
    <t>SA-27</t>
  </si>
  <si>
    <t>SHUA</t>
  </si>
  <si>
    <t>EJ-</t>
  </si>
  <si>
    <t>NT-</t>
  </si>
  <si>
    <t>MIF-D57</t>
  </si>
  <si>
    <t>MIF-S56A</t>
  </si>
  <si>
    <t>MIF-S56B</t>
  </si>
  <si>
    <t>VE-27</t>
  </si>
  <si>
    <t>VE-26B</t>
  </si>
  <si>
    <t>GV-01</t>
  </si>
  <si>
    <t>MS-06</t>
  </si>
  <si>
    <t>MAD-01A</t>
  </si>
  <si>
    <t>DS-01A</t>
  </si>
  <si>
    <t>OS-19</t>
  </si>
  <si>
    <t>现货</t>
  </si>
  <si>
    <t>F1-01</t>
  </si>
  <si>
    <t>TH-02</t>
  </si>
  <si>
    <t>ZSL-20</t>
  </si>
  <si>
    <t>DS-01B</t>
  </si>
  <si>
    <t>SPK-02
(原01单拆成2单）</t>
  </si>
  <si>
    <t>MAD-01B</t>
  </si>
  <si>
    <t>AFS-01</t>
  </si>
  <si>
    <t>NR-09</t>
  </si>
  <si>
    <t>MAD-01</t>
  </si>
  <si>
    <t>DS-04</t>
  </si>
  <si>
    <t>BZ-01</t>
  </si>
  <si>
    <t>BE-03</t>
  </si>
  <si>
    <t>RA-01</t>
  </si>
  <si>
    <t>IB-01</t>
  </si>
  <si>
    <t>IB-02</t>
  </si>
  <si>
    <t>BI-01</t>
  </si>
  <si>
    <t>2025.04月份发货计划表</t>
  </si>
  <si>
    <t>WIF-02B</t>
  </si>
  <si>
    <t>BF-02A</t>
  </si>
  <si>
    <t>VPS-26</t>
  </si>
  <si>
    <t>IK-01</t>
  </si>
  <si>
    <t>ETE-04A</t>
  </si>
  <si>
    <t>FST-15</t>
  </si>
  <si>
    <t>BF-02B</t>
  </si>
  <si>
    <t>FTF-01B</t>
  </si>
  <si>
    <t>ETE-04B</t>
  </si>
  <si>
    <t>ETE-04C</t>
  </si>
  <si>
    <t>FCL-01</t>
  </si>
  <si>
    <t>NF-01</t>
  </si>
  <si>
    <t>BF-02</t>
  </si>
  <si>
    <t>5月初</t>
  </si>
  <si>
    <t>MDF-15</t>
  </si>
  <si>
    <t>WEL-05</t>
  </si>
  <si>
    <t>MD-03</t>
  </si>
  <si>
    <t>DV</t>
  </si>
  <si>
    <t>LF-18-3</t>
  </si>
  <si>
    <t>LF-19</t>
  </si>
  <si>
    <t>LF-20</t>
  </si>
  <si>
    <t>NOF-06A</t>
  </si>
  <si>
    <t>NOF-06B</t>
  </si>
  <si>
    <t>SE-05</t>
  </si>
  <si>
    <t>ML-15A</t>
  </si>
  <si>
    <t>F1-</t>
  </si>
  <si>
    <t>FCN-01</t>
  </si>
  <si>
    <t>FTL-18</t>
  </si>
  <si>
    <t>IR-20</t>
  </si>
  <si>
    <t>ML-15B</t>
  </si>
  <si>
    <t>Bre</t>
  </si>
  <si>
    <t>NAT</t>
  </si>
  <si>
    <t>BA-01</t>
  </si>
  <si>
    <t>ES-01</t>
  </si>
  <si>
    <t>NF-127</t>
  </si>
  <si>
    <t>V</t>
  </si>
  <si>
    <t>EL</t>
  </si>
  <si>
    <t>VE-27&amp;28</t>
  </si>
  <si>
    <t>VI-03</t>
  </si>
  <si>
    <t>EA-03</t>
  </si>
  <si>
    <t>2025.05月份发货计划表</t>
  </si>
  <si>
    <t>欧洲
事业部</t>
  </si>
  <si>
    <t>LS-01</t>
  </si>
  <si>
    <t>LO-01</t>
  </si>
  <si>
    <t>HF-01</t>
  </si>
  <si>
    <t>DP-01</t>
  </si>
  <si>
    <t>FTPA-01</t>
  </si>
  <si>
    <t>KE-03A</t>
  </si>
  <si>
    <t>FR-02</t>
  </si>
  <si>
    <t>NP-02</t>
  </si>
  <si>
    <t>LT-14</t>
  </si>
  <si>
    <t>Marshall</t>
  </si>
  <si>
    <t>DKN-08A</t>
  </si>
  <si>
    <t>FST-16</t>
  </si>
  <si>
    <t>KE-03B</t>
  </si>
  <si>
    <t>Patrice</t>
  </si>
  <si>
    <t>BFT-04</t>
  </si>
  <si>
    <t>FST-17HF</t>
  </si>
  <si>
    <t>NA-01</t>
  </si>
  <si>
    <t>MV-01</t>
  </si>
  <si>
    <t>VPS-27</t>
  </si>
  <si>
    <t>SP-02</t>
  </si>
  <si>
    <t>RP-04</t>
  </si>
  <si>
    <t>TG-01</t>
  </si>
  <si>
    <t>FS-04</t>
  </si>
  <si>
    <t>WS-01</t>
  </si>
  <si>
    <t>FSB-01</t>
  </si>
  <si>
    <t>BFT-05</t>
  </si>
  <si>
    <t>VX-21</t>
  </si>
  <si>
    <t>GOX-01</t>
  </si>
  <si>
    <t>美洲</t>
  </si>
  <si>
    <t>SFG-14R</t>
  </si>
  <si>
    <t>SFG-15C</t>
  </si>
  <si>
    <t>SKL-03A-1</t>
  </si>
  <si>
    <t>WDF-27</t>
  </si>
  <si>
    <t>MD-03B</t>
  </si>
  <si>
    <t>BF-01B</t>
  </si>
  <si>
    <t>2025/5/15 -5/25</t>
  </si>
  <si>
    <t>MOV-05-B</t>
  </si>
  <si>
    <t>LUF-01</t>
  </si>
  <si>
    <t>KNG-12</t>
  </si>
  <si>
    <t>HG-01</t>
  </si>
  <si>
    <t>FIT-011</t>
  </si>
  <si>
    <t>SKL-03B</t>
  </si>
  <si>
    <t>SKL-03A-2</t>
  </si>
  <si>
    <t>SFG-16C</t>
  </si>
  <si>
    <t>SFG-17C</t>
  </si>
  <si>
    <t>SFG-18C</t>
  </si>
  <si>
    <t>Jaden</t>
  </si>
  <si>
    <t>RY-03</t>
  </si>
  <si>
    <t>STK-04</t>
  </si>
  <si>
    <t>15家开店计划：• January: 1 unit
 • February: 1 unit
 • March: 1 unit
 • April: 2 units
 • May: 2 units
 • June: 1 unit
 • July: 1 unit
 • August: 2 units
 • September: 2 units
 • October: 1 unit
 • November: 1 unit
 • December: 1 unit</t>
  </si>
  <si>
    <t>LF-20-1</t>
  </si>
  <si>
    <t>LF-20-2</t>
  </si>
  <si>
    <t>NOF-06C</t>
  </si>
  <si>
    <t>SE-06</t>
  </si>
  <si>
    <t>SE-07</t>
  </si>
  <si>
    <t>其它</t>
  </si>
  <si>
    <t>F1-08</t>
  </si>
  <si>
    <t>LUX-01</t>
  </si>
  <si>
    <t>LUX-02</t>
  </si>
  <si>
    <t>CV-SP01</t>
  </si>
  <si>
    <t>FTL-16B</t>
  </si>
  <si>
    <t>IR-21</t>
  </si>
  <si>
    <t>SA-28</t>
  </si>
  <si>
    <t>Sky-代
（待聘B）</t>
  </si>
  <si>
    <t>VE-30</t>
  </si>
  <si>
    <t>MIF-S57</t>
  </si>
  <si>
    <t>YL-01</t>
  </si>
  <si>
    <t>FC-01</t>
  </si>
  <si>
    <t>EP-08A</t>
  </si>
  <si>
    <t>F1G-01</t>
  </si>
  <si>
    <t>FG-02</t>
  </si>
  <si>
    <t>STL-08</t>
  </si>
  <si>
    <t>Abbot</t>
  </si>
  <si>
    <t>VE-31</t>
  </si>
  <si>
    <t>EP-08B</t>
  </si>
  <si>
    <t>EC-02</t>
  </si>
  <si>
    <t>LE-01</t>
  </si>
  <si>
    <t>SA-06</t>
  </si>
  <si>
    <t>CI-05</t>
  </si>
  <si>
    <t>PU-01</t>
  </si>
  <si>
    <t>DMD-01</t>
  </si>
  <si>
    <t>KE-01</t>
  </si>
  <si>
    <t>A1-01</t>
  </si>
  <si>
    <t>PR-02</t>
  </si>
  <si>
    <t>EP-09</t>
  </si>
  <si>
    <t>MAC-07</t>
  </si>
  <si>
    <t>S 代</t>
  </si>
  <si>
    <t>STR-25</t>
  </si>
  <si>
    <t>SAR-06</t>
  </si>
  <si>
    <t>SPC-01</t>
  </si>
  <si>
    <t>AAG-01</t>
  </si>
  <si>
    <t>SOV-01</t>
  </si>
  <si>
    <t>部门/业务员</t>
  </si>
  <si>
    <t>累计任务量</t>
  </si>
  <si>
    <t>累计已开单金额</t>
  </si>
  <si>
    <t>累计已开船金额</t>
  </si>
  <si>
    <t>累计开单完成率(%)</t>
  </si>
  <si>
    <t>累计船期完成率(%)</t>
  </si>
  <si>
    <t>当月任务量</t>
  </si>
  <si>
    <t>当月已开单金额</t>
  </si>
  <si>
    <t>当月已开船金额</t>
  </si>
  <si>
    <t>当月开单完成率(%)</t>
  </si>
  <si>
    <t>当月船期完成率(%)</t>
  </si>
  <si>
    <t>亚太 - AF</t>
  </si>
  <si>
    <t>亚太 - D</t>
  </si>
  <si>
    <t>亚太 - D-代
（待聘A）</t>
  </si>
  <si>
    <t>亚太 - SK</t>
  </si>
  <si>
    <t>亚太 - SK-代
（待聘B）</t>
  </si>
  <si>
    <t>亚非 - AB</t>
  </si>
  <si>
    <t>亚非 - C</t>
  </si>
  <si>
    <t>亚非 - JD</t>
  </si>
  <si>
    <t>亚非 - S</t>
  </si>
  <si>
    <t>亚非 - S代</t>
  </si>
  <si>
    <t>欧洲事业部 - E</t>
  </si>
  <si>
    <t>欧洲事业部 - K</t>
  </si>
  <si>
    <t>欧洲事业部 - M</t>
  </si>
  <si>
    <t>欧洲事业部 - P</t>
  </si>
  <si>
    <t>欧洲事业部 - W</t>
  </si>
  <si>
    <t>美洲大区 - A</t>
  </si>
  <si>
    <t>美洲大区 - G</t>
  </si>
  <si>
    <t>美洲大区 - M</t>
  </si>
  <si>
    <t>说明：该看板的数据来源起于该计划表的今年1月，终于目前月份最新数据，所有数据四舍五入到小数点后两位。</t>
  </si>
  <si>
    <t>该表每小时整点会自动进行更新，无需人工修改或操作。</t>
  </si>
  <si>
    <t>累计已开单金额=当年已开单金额总和</t>
  </si>
  <si>
    <t>累计已开船金额=当年已开船金额总和</t>
  </si>
  <si>
    <t>累计开单完成率=(累计已开单金额/累计任务量)*100</t>
  </si>
  <si>
    <t>累计船期完成率=(累计已开船金额/累计已开单金额)*100</t>
  </si>
  <si>
    <t>当月已开单金额=当月已开单金额总和</t>
  </si>
  <si>
    <t>当月已开船金额=当月已开船金额总和</t>
  </si>
  <si>
    <t>当月开单完成率=(当月已开单金额/当月任务量)*100</t>
  </si>
  <si>
    <t>当月船期完成率=(当月已开船金额/当月已开单金额)*100</t>
  </si>
  <si>
    <t>l</t>
  </si>
  <si>
    <t>二级指标</t>
  </si>
  <si>
    <t>类型</t>
  </si>
  <si>
    <t>名称</t>
  </si>
  <si>
    <t>累计开单占比(%)</t>
  </si>
  <si>
    <t>当月开单占比(%)</t>
  </si>
  <si>
    <t>固本</t>
  </si>
  <si>
    <t>拓展</t>
  </si>
  <si>
    <t>欧洲事业部-M</t>
  </si>
  <si>
    <t>欧洲事业部-W</t>
  </si>
  <si>
    <t>亚非-C</t>
  </si>
  <si>
    <t>亚非-S</t>
  </si>
  <si>
    <t>亚太-SK</t>
  </si>
  <si>
    <t>亚太-SK-代
（待聘B）</t>
  </si>
  <si>
    <t>欧洲事业部-K</t>
  </si>
  <si>
    <t>欧洲事业部-P</t>
  </si>
  <si>
    <t>美洲大区-A</t>
  </si>
  <si>
    <t>亚太-AF</t>
  </si>
  <si>
    <t>亚太-D</t>
  </si>
  <si>
    <t>亚太-D-代
（待聘A）</t>
  </si>
  <si>
    <t>亚非-AB</t>
  </si>
  <si>
    <t>亚非-JD</t>
  </si>
  <si>
    <t>亚非-S代</t>
  </si>
  <si>
    <t>欧洲
事业部-E</t>
  </si>
  <si>
    <t>欧洲事业部-E</t>
  </si>
  <si>
    <t>美洲大区-G</t>
  </si>
  <si>
    <t>美洲-A</t>
  </si>
  <si>
    <t>美洲大区-M</t>
  </si>
  <si>
    <t>部门-业务员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</si>
</sst>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4" formatCode="\$#,##0_);[Red]\(\$#,##0\)"/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#,##0_ "/>
    <numFmt numFmtId="179" formatCode="_-[$$-409]* #,##0.00_ ;_-[$$-409]* \-#,##0.00\ ;_-[$$-409]* &quot;-&quot;??_ ;_-@_ "/>
    <numFmt numFmtId="180" formatCode="0_ "/>
    <numFmt numFmtId="181" formatCode="&quot;$&quot;#,##0.00;\-&quot;$&quot;#,##0.00"/>
    <numFmt numFmtId="182" formatCode="&quot;$&quot;#,##0;&quot;$&quot;\-#,##0"/>
    <numFmt numFmtId="183" formatCode="0.0000_ "/>
    <numFmt numFmtId="184" formatCode="#\ ??/??"/>
    <numFmt numFmtId="185" formatCode="&quot;￥&quot;#,##0.00_);[Red]\(&quot;￥&quot;#,##0.00\)"/>
    <numFmt numFmtId="186" formatCode="m/d;@"/>
    <numFmt numFmtId="187" formatCode="&quot;US$&quot;#,##0.00;\-&quot;US$&quot;#,##0.00"/>
    <numFmt numFmtId="188" formatCode="&quot;$&quot;#,##0_);[Red]\(&quot;$&quot;#,##0\)"/>
    <numFmt numFmtId="189" formatCode="m/d"/>
    <numFmt numFmtId="190" formatCode="&quot;€&quot;#,##0;&quot;€&quot;\-#,##0"/>
    <numFmt numFmtId="191" formatCode="\¥#,##0.00_);[Red]\(\¥#,##0.00\)"/>
    <numFmt numFmtId="192" formatCode="&quot;￥&quot;#,##0.00;[Red]&quot;￥&quot;#,##0.00"/>
    <numFmt numFmtId="193" formatCode="\$#,##0.00;\$\-#,##0.00"/>
    <numFmt numFmtId="194" formatCode="#\ ?/?"/>
    <numFmt numFmtId="195" formatCode="0_);[Red]\(0\)"/>
    <numFmt numFmtId="196" formatCode="&quot;￥&quot;#,##0_);[Red]\(&quot;￥&quot;#,##0\)"/>
    <numFmt numFmtId="197" formatCode="&quot;US$&quot;#,##0;\-&quot;US$&quot;#,##0"/>
    <numFmt numFmtId="198" formatCode="\¥#,##0.00;\¥\-#,##0.00"/>
    <numFmt numFmtId="199" formatCode="0.00_ "/>
    <numFmt numFmtId="200" formatCode="yyyy&quot;年&quot;m&quot;月&quot;d&quot;日&quot;;@"/>
    <numFmt numFmtId="201" formatCode="0.0_);[Red]\(0.0\)"/>
    <numFmt numFmtId="202" formatCode="m&quot;月&quot;d&quot;日&quot;;@"/>
    <numFmt numFmtId="203" formatCode="&quot;$&quot;#,##0.0;&quot;$&quot;\-#,##0.0"/>
    <numFmt numFmtId="204" formatCode="&quot;US$&quot;#,##0.00;&quot;US$&quot;\-#,##0.00"/>
    <numFmt numFmtId="205" formatCode="yyyy/m/d;@"/>
    <numFmt numFmtId="206" formatCode="&quot;US$&quot;#,##0_);\(&quot;US$&quot;#,##0\)"/>
    <numFmt numFmtId="207" formatCode="&quot;US$&quot;#,##0.00_);[Red]\(&quot;US$&quot;#,##0.00\)"/>
    <numFmt numFmtId="208" formatCode="\¥#,##0_);\(\¥#,##0\)"/>
    <numFmt numFmtId="209" formatCode="&quot;$&quot;#,##0.00_);[Red]\(&quot;$&quot;#,##0.00\)"/>
    <numFmt numFmtId="210" formatCode="&quot;US$&quot;#,##0_);[Red]\(&quot;US$&quot;#,##0\)"/>
  </numFmts>
  <fonts count="123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rgb="FFFFFFFF"/>
      <name val="微软雅黑"/>
      <charset val="134"/>
    </font>
    <font>
      <sz val="10"/>
      <color theme="1"/>
      <name val="微软雅黑"/>
      <charset val="134"/>
    </font>
    <font>
      <sz val="14"/>
      <color rgb="FFFFFFFF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b/>
      <sz val="10"/>
      <color rgb="FFFFFFFF"/>
      <name val="微软雅黑"/>
      <charset val="134"/>
    </font>
    <font>
      <b/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9.75"/>
      <color rgb="FF000000"/>
      <name val="Calibri"/>
      <charset val="134"/>
    </font>
    <font>
      <b/>
      <sz val="10"/>
      <color theme="1"/>
      <name val="微软雅黑"/>
      <charset val="134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0"/>
    </font>
    <font>
      <sz val="10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FF0000"/>
      <name val="微软雅黑"/>
      <charset val="134"/>
    </font>
    <font>
      <sz val="11"/>
      <color rgb="FF000000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1"/>
      <color rgb="FF417FF9"/>
      <name val="宋体"/>
      <charset val="134"/>
    </font>
    <font>
      <sz val="10"/>
      <color rgb="FF417FF9"/>
      <name val="微软雅黑"/>
      <charset val="134"/>
    </font>
    <font>
      <b/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4"/>
      <color theme="1"/>
      <name val="微软雅黑"/>
      <charset val="134"/>
    </font>
    <font>
      <b/>
      <sz val="11"/>
      <color rgb="FF000000"/>
      <name val="微软雅黑"/>
      <charset val="0"/>
    </font>
    <font>
      <sz val="11"/>
      <color rgb="FF000000"/>
      <name val="微软雅黑"/>
      <charset val="0"/>
    </font>
    <font>
      <u/>
      <sz val="11"/>
      <color rgb="FF000000"/>
      <name val="微软雅黑"/>
      <charset val="134"/>
    </font>
    <font>
      <sz val="11"/>
      <color rgb="FF417FF9"/>
      <name val="微软雅黑"/>
      <charset val="134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rgb="FF262626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u/>
      <sz val="11"/>
      <color rgb="FF0000FF"/>
      <name val="微软雅黑"/>
      <charset val="134"/>
    </font>
    <font>
      <b/>
      <sz val="12"/>
      <color theme="1"/>
      <name val="微软雅黑"/>
      <charset val="134"/>
    </font>
    <font>
      <b/>
      <sz val="18"/>
      <color rgb="FF000000"/>
      <name val="宋体"/>
      <charset val="134"/>
    </font>
    <font>
      <sz val="18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000000"/>
      <name val="等线"/>
      <charset val="134"/>
    </font>
    <font>
      <sz val="11"/>
      <name val="微软雅黑"/>
      <charset val="134"/>
    </font>
    <font>
      <u/>
      <sz val="11"/>
      <color rgb="FF000000"/>
      <name val="等线"/>
      <charset val="134"/>
    </font>
    <font>
      <u/>
      <sz val="12"/>
      <color rgb="FF000000"/>
      <name val="微软雅黑"/>
      <charset val="134"/>
    </font>
    <font>
      <sz val="12"/>
      <color rgb="FF000000"/>
      <name val="微软雅黑"/>
      <charset val="0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FF0000"/>
      <name val="微软雅黑"/>
      <charset val="134"/>
    </font>
    <font>
      <sz val="12"/>
      <color rgb="FFFF0000"/>
      <name val="宋体"/>
      <charset val="134"/>
      <scheme val="minor"/>
    </font>
    <font>
      <sz val="12"/>
      <color rgb="FF000000"/>
      <name val="等线"/>
      <charset val="134"/>
    </font>
    <font>
      <sz val="12"/>
      <name val="微软雅黑"/>
      <charset val="134"/>
    </font>
    <font>
      <u/>
      <sz val="12"/>
      <color rgb="FF000000"/>
      <name val="等线"/>
      <charset val="134"/>
    </font>
    <font>
      <sz val="18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sz val="18"/>
      <color rgb="FF000000"/>
      <name val="微软雅黑"/>
      <charset val="134"/>
    </font>
    <font>
      <b/>
      <sz val="11"/>
      <name val="宋体"/>
      <charset val="134"/>
      <scheme val="minor"/>
    </font>
    <font>
      <sz val="10"/>
      <name val="微软雅黑"/>
      <charset val="134"/>
    </font>
    <font>
      <sz val="12"/>
      <color rgb="FF000000"/>
      <name val="宋体"/>
      <charset val="0"/>
      <scheme val="minor"/>
    </font>
    <font>
      <sz val="12"/>
      <color rgb="FF000000"/>
      <name val="PingFang TC Regular"/>
      <charset val="134"/>
    </font>
    <font>
      <sz val="10"/>
      <color rgb="FFFF0000"/>
      <name val="宋体"/>
      <charset val="134"/>
      <scheme val="minor"/>
    </font>
    <font>
      <b/>
      <sz val="10"/>
      <color rgb="FF417FF9"/>
      <name val="微软雅黑"/>
      <charset val="134"/>
    </font>
    <font>
      <sz val="11"/>
      <color theme="1"/>
      <name val="宋体"/>
      <charset val="134"/>
    </font>
    <font>
      <sz val="11"/>
      <color rgb="FF000000"/>
      <name val="Trebuchet MS"/>
      <charset val="0"/>
    </font>
    <font>
      <sz val="11"/>
      <color rgb="FF000000"/>
      <name val="宋体"/>
      <charset val="0"/>
      <scheme val="minor"/>
    </font>
    <font>
      <sz val="11"/>
      <color rgb="FFFF0000"/>
      <name val="微软雅黑"/>
      <charset val="0"/>
    </font>
    <font>
      <sz val="14"/>
      <color rgb="FF417FF9"/>
      <name val="微软雅黑"/>
      <charset val="134"/>
    </font>
    <font>
      <sz val="14"/>
      <color rgb="FFFF0000"/>
      <name val="微软雅黑"/>
      <charset val="134"/>
    </font>
    <font>
      <sz val="20"/>
      <color rgb="FFFF0000"/>
      <name val="微软雅黑"/>
      <charset val="134"/>
    </font>
    <font>
      <sz val="16"/>
      <color rgb="FF000000"/>
      <name val="微软雅黑"/>
      <charset val="134"/>
    </font>
    <font>
      <sz val="12"/>
      <color rgb="FFFF0000"/>
      <name val="PingFang TC Regular"/>
      <charset val="134"/>
    </font>
    <font>
      <sz val="12"/>
      <name val="Trebuchet MS"/>
      <charset val="0"/>
    </font>
    <font>
      <sz val="12"/>
      <color rgb="FF000000"/>
      <name val="Trebuchet MS"/>
      <charset val="0"/>
    </font>
    <font>
      <sz val="9"/>
      <color rgb="FF000000"/>
      <name val="Trebuchet MS"/>
      <charset val="134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9"/>
      <color rgb="FF000000"/>
      <name val="宋体"/>
      <charset val="0"/>
      <scheme val="minor"/>
    </font>
    <font>
      <b/>
      <sz val="11"/>
      <color rgb="FFFF0000"/>
      <name val="宋体"/>
      <charset val="0"/>
      <scheme val="minor"/>
    </font>
    <font>
      <b/>
      <sz val="11"/>
      <color rgb="FF000000"/>
      <name val="宋体"/>
      <charset val="0"/>
      <scheme val="minor"/>
    </font>
    <font>
      <sz val="9"/>
      <color rgb="FF000000"/>
      <name val="Cambria"/>
      <charset val="134"/>
    </font>
    <font>
      <sz val="12"/>
      <color rgb="FF000000"/>
      <name val="宋体"/>
      <charset val="0"/>
    </font>
    <font>
      <sz val="9"/>
      <name val="宋体"/>
      <charset val="134"/>
      <scheme val="minor"/>
    </font>
    <font>
      <sz val="9"/>
      <color rgb="FF000000"/>
      <name val="Cambria"/>
      <charset val="0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Trebuchet MS"/>
      <charset val="0"/>
    </font>
    <font>
      <sz val="10"/>
      <color rgb="FFFF0000"/>
      <name val="Trebuchet MS"/>
      <charset val="0"/>
    </font>
    <font>
      <sz val="11"/>
      <color rgb="FFFF0000"/>
      <name val="Trebuchet MS"/>
      <charset val="0"/>
    </font>
    <font>
      <sz val="9"/>
      <name val="宋体"/>
      <charset val="134"/>
    </font>
    <font>
      <b/>
      <sz val="9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E7E3D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0" fillId="26" borderId="48" applyNumberFormat="0" applyFon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49" applyNumberFormat="0" applyFill="0" applyAlignment="0" applyProtection="0">
      <alignment vertical="center"/>
    </xf>
    <xf numFmtId="0" fontId="105" fillId="0" borderId="49" applyNumberFormat="0" applyFill="0" applyAlignment="0" applyProtection="0">
      <alignment vertical="center"/>
    </xf>
    <xf numFmtId="0" fontId="106" fillId="0" borderId="50" applyNumberFormat="0" applyFill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27" borderId="51" applyNumberFormat="0" applyAlignment="0" applyProtection="0">
      <alignment vertical="center"/>
    </xf>
    <xf numFmtId="0" fontId="108" fillId="8" borderId="52" applyNumberFormat="0" applyAlignment="0" applyProtection="0">
      <alignment vertical="center"/>
    </xf>
    <xf numFmtId="0" fontId="109" fillId="8" borderId="51" applyNumberFormat="0" applyAlignment="0" applyProtection="0">
      <alignment vertical="center"/>
    </xf>
    <xf numFmtId="0" fontId="110" fillId="28" borderId="53" applyNumberFormat="0" applyAlignment="0" applyProtection="0">
      <alignment vertical="center"/>
    </xf>
    <xf numFmtId="0" fontId="111" fillId="0" borderId="54" applyNumberFormat="0" applyFill="0" applyAlignment="0" applyProtection="0">
      <alignment vertical="center"/>
    </xf>
    <xf numFmtId="0" fontId="112" fillId="0" borderId="55" applyNumberFormat="0" applyFill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4" fillId="30" borderId="0" applyNumberFormat="0" applyBorder="0" applyAlignment="0" applyProtection="0">
      <alignment vertical="center"/>
    </xf>
    <xf numFmtId="0" fontId="115" fillId="31" borderId="0" applyNumberFormat="0" applyBorder="0" applyAlignment="0" applyProtection="0">
      <alignment vertical="center"/>
    </xf>
    <xf numFmtId="0" fontId="116" fillId="32" borderId="0" applyNumberFormat="0" applyBorder="0" applyAlignment="0" applyProtection="0">
      <alignment vertical="center"/>
    </xf>
    <xf numFmtId="0" fontId="117" fillId="33" borderId="0" applyNumberFormat="0" applyBorder="0" applyAlignment="0" applyProtection="0">
      <alignment vertical="center"/>
    </xf>
    <xf numFmtId="0" fontId="117" fillId="34" borderId="0" applyNumberFormat="0" applyBorder="0" applyAlignment="0" applyProtection="0">
      <alignment vertical="center"/>
    </xf>
    <xf numFmtId="0" fontId="116" fillId="35" borderId="0" applyNumberFormat="0" applyBorder="0" applyAlignment="0" applyProtection="0">
      <alignment vertical="center"/>
    </xf>
    <xf numFmtId="0" fontId="116" fillId="36" borderId="0" applyNumberFormat="0" applyBorder="0" applyAlignment="0" applyProtection="0">
      <alignment vertical="center"/>
    </xf>
    <xf numFmtId="0" fontId="117" fillId="37" borderId="0" applyNumberFormat="0" applyBorder="0" applyAlignment="0" applyProtection="0">
      <alignment vertical="center"/>
    </xf>
    <xf numFmtId="0" fontId="117" fillId="38" borderId="0" applyNumberFormat="0" applyBorder="0" applyAlignment="0" applyProtection="0">
      <alignment vertical="center"/>
    </xf>
    <xf numFmtId="0" fontId="116" fillId="39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17" fillId="41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4" borderId="0" applyNumberFormat="0" applyBorder="0" applyAlignment="0" applyProtection="0">
      <alignment vertical="center"/>
    </xf>
    <xf numFmtId="0" fontId="117" fillId="45" borderId="0" applyNumberFormat="0" applyBorder="0" applyAlignment="0" applyProtection="0">
      <alignment vertical="center"/>
    </xf>
    <xf numFmtId="0" fontId="117" fillId="46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7" fillId="49" borderId="0" applyNumberFormat="0" applyBorder="0" applyAlignment="0" applyProtection="0">
      <alignment vertical="center"/>
    </xf>
    <xf numFmtId="0" fontId="117" fillId="5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7" fillId="53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</cellStyleXfs>
  <cellXfs count="289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7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8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79" fontId="9" fillId="0" borderId="0" xfId="0" applyNumberFormat="1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79" fontId="10" fillId="4" borderId="1" xfId="0" applyNumberFormat="1" applyFont="1" applyFill="1" applyBorder="1" applyAlignment="1">
      <alignment horizontal="center" vertical="center"/>
    </xf>
    <xf numFmtId="180" fontId="10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/>
    </xf>
    <xf numFmtId="180" fontId="6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9" fontId="6" fillId="0" borderId="3" xfId="0" applyNumberFormat="1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center" vertical="center"/>
    </xf>
    <xf numFmtId="180" fontId="6" fillId="0" borderId="4" xfId="0" applyNumberFormat="1" applyFont="1" applyFill="1" applyBorder="1" applyAlignment="1">
      <alignment horizontal="center" vertical="center"/>
    </xf>
    <xf numFmtId="179" fontId="6" fillId="5" borderId="1" xfId="0" applyNumberFormat="1" applyFont="1" applyFill="1" applyBorder="1" applyAlignment="1">
      <alignment horizontal="center" vertical="center"/>
    </xf>
    <xf numFmtId="180" fontId="6" fillId="5" borderId="1" xfId="0" applyNumberFormat="1" applyFont="1" applyFill="1" applyBorder="1" applyAlignment="1">
      <alignment horizontal="center" vertical="center"/>
    </xf>
    <xf numFmtId="179" fontId="6" fillId="5" borderId="3" xfId="0" applyNumberFormat="1" applyFont="1" applyFill="1" applyBorder="1" applyAlignment="1">
      <alignment horizontal="center" vertical="center"/>
    </xf>
    <xf numFmtId="180" fontId="6" fillId="0" borderId="5" xfId="0" applyNumberFormat="1" applyFont="1" applyFill="1" applyBorder="1" applyAlignment="1">
      <alignment horizontal="center" vertical="center"/>
    </xf>
    <xf numFmtId="179" fontId="6" fillId="5" borderId="4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180" fontId="6" fillId="5" borderId="3" xfId="0" applyNumberFormat="1" applyFont="1" applyFill="1" applyBorder="1" applyAlignment="1">
      <alignment horizontal="center" vertical="center"/>
    </xf>
    <xf numFmtId="180" fontId="6" fillId="5" borderId="6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181" fontId="10" fillId="4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82" fontId="6" fillId="0" borderId="1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82" fontId="3" fillId="0" borderId="4" xfId="0" applyNumberFormat="1" applyFont="1" applyFill="1" applyBorder="1" applyAlignment="1">
      <alignment horizontal="center" vertical="center"/>
    </xf>
    <xf numFmtId="24" fontId="6" fillId="5" borderId="1" xfId="0" applyNumberFormat="1" applyFont="1" applyFill="1" applyBorder="1" applyAlignment="1">
      <alignment horizontal="center" vertical="center"/>
    </xf>
    <xf numFmtId="7" fontId="10" fillId="4" borderId="1" xfId="0" applyNumberFormat="1" applyFont="1" applyFill="1" applyBorder="1" applyAlignment="1">
      <alignment horizontal="center" vertical="center"/>
    </xf>
    <xf numFmtId="183" fontId="10" fillId="4" borderId="1" xfId="0" applyNumberFormat="1" applyFont="1" applyFill="1" applyBorder="1" applyAlignment="1">
      <alignment horizontal="center" vertical="center"/>
    </xf>
    <xf numFmtId="5" fontId="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5" fontId="6" fillId="5" borderId="1" xfId="0" applyNumberFormat="1" applyFont="1" applyFill="1" applyBorder="1" applyAlignment="1">
      <alignment horizontal="center" vertical="center"/>
    </xf>
    <xf numFmtId="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5" fontId="11" fillId="0" borderId="1" xfId="0" applyNumberFormat="1" applyFont="1" applyFill="1" applyBorder="1" applyAlignment="1">
      <alignment horizontal="center" vertical="center"/>
    </xf>
    <xf numFmtId="5" fontId="3" fillId="5" borderId="1" xfId="0" applyNumberFormat="1" applyFont="1" applyFill="1" applyBorder="1" applyAlignment="1">
      <alignment horizontal="center" vertical="center"/>
    </xf>
    <xf numFmtId="5" fontId="6" fillId="0" borderId="1" xfId="0" applyNumberFormat="1" applyFont="1" applyFill="1" applyBorder="1" applyAlignment="1">
      <alignment horizontal="center" vertical="center"/>
    </xf>
    <xf numFmtId="5" fontId="6" fillId="0" borderId="1" xfId="0" applyNumberFormat="1" applyFont="1" applyBorder="1" applyAlignment="1">
      <alignment horizontal="center" vertical="center"/>
    </xf>
    <xf numFmtId="184" fontId="6" fillId="0" borderId="1" xfId="0" applyNumberFormat="1" applyFont="1" applyBorder="1" applyAlignment="1">
      <alignment horizontal="center" vertical="center"/>
    </xf>
    <xf numFmtId="5" fontId="14" fillId="0" borderId="4" xfId="0" applyNumberFormat="1" applyFont="1" applyFill="1" applyBorder="1" applyAlignment="1">
      <alignment horizontal="center" vertical="center"/>
    </xf>
    <xf numFmtId="5" fontId="3" fillId="5" borderId="4" xfId="0" applyNumberFormat="1" applyFont="1" applyFill="1" applyBorder="1" applyAlignment="1">
      <alignment horizontal="center" vertical="center"/>
    </xf>
    <xf numFmtId="185" fontId="3" fillId="0" borderId="1" xfId="0" applyNumberFormat="1" applyFont="1" applyBorder="1">
      <alignment vertical="center"/>
    </xf>
    <xf numFmtId="5" fontId="10" fillId="4" borderId="1" xfId="0" applyNumberFormat="1" applyFont="1" applyFill="1" applyBorder="1" applyAlignment="1">
      <alignment horizontal="center" vertical="center"/>
    </xf>
    <xf numFmtId="186" fontId="10" fillId="4" borderId="1" xfId="0" applyNumberFormat="1" applyFont="1" applyFill="1" applyBorder="1" applyAlignment="1">
      <alignment horizontal="center" vertical="center"/>
    </xf>
    <xf numFmtId="179" fontId="11" fillId="0" borderId="1" xfId="0" applyNumberFormat="1" applyFont="1" applyFill="1" applyBorder="1" applyAlignment="1">
      <alignment horizontal="center" vertical="center" wrapText="1"/>
    </xf>
    <xf numFmtId="18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186" fontId="6" fillId="0" borderId="1" xfId="0" applyNumberFormat="1" applyFont="1" applyBorder="1" applyAlignment="1">
      <alignment horizontal="center" vertical="center"/>
    </xf>
    <xf numFmtId="186" fontId="3" fillId="0" borderId="1" xfId="0" applyNumberFormat="1" applyFont="1" applyBorder="1" applyAlignment="1">
      <alignment horizontal="center" vertical="center"/>
    </xf>
    <xf numFmtId="186" fontId="6" fillId="0" borderId="1" xfId="0" applyNumberFormat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186" fontId="6" fillId="5" borderId="1" xfId="0" applyNumberFormat="1" applyFont="1" applyFill="1" applyBorder="1" applyAlignment="1">
      <alignment horizontal="center" vertical="center"/>
    </xf>
    <xf numFmtId="186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186" fontId="6" fillId="0" borderId="1" xfId="0" applyNumberFormat="1" applyFont="1" applyFill="1" applyBorder="1" applyAlignment="1">
      <alignment horizontal="center" vertical="center" wrapText="1"/>
    </xf>
    <xf numFmtId="186" fontId="11" fillId="0" borderId="1" xfId="0" applyNumberFormat="1" applyFont="1" applyFill="1" applyBorder="1" applyAlignment="1">
      <alignment horizontal="center" vertical="center" wrapText="1"/>
    </xf>
    <xf numFmtId="186" fontId="8" fillId="0" borderId="1" xfId="0" applyNumberFormat="1" applyFont="1" applyBorder="1">
      <alignment vertical="center"/>
    </xf>
    <xf numFmtId="186" fontId="8" fillId="0" borderId="1" xfId="0" applyNumberFormat="1" applyFont="1" applyBorder="1" applyAlignment="1">
      <alignment horizontal="center" vertical="center"/>
    </xf>
    <xf numFmtId="186" fontId="15" fillId="0" borderId="1" xfId="0" applyNumberFormat="1" applyFont="1" applyBorder="1" applyAlignment="1">
      <alignment horizontal="center" vertical="center"/>
    </xf>
    <xf numFmtId="186" fontId="8" fillId="0" borderId="1" xfId="0" applyNumberFormat="1" applyFont="1" applyFill="1" applyBorder="1" applyAlignment="1">
      <alignment horizontal="center" vertical="center"/>
    </xf>
    <xf numFmtId="186" fontId="8" fillId="0" borderId="1" xfId="0" applyNumberFormat="1" applyFont="1" applyFill="1" applyBorder="1">
      <alignment vertical="center"/>
    </xf>
    <xf numFmtId="179" fontId="6" fillId="5" borderId="1" xfId="0" applyNumberFormat="1" applyFont="1" applyFill="1" applyBorder="1" applyAlignment="1"/>
    <xf numFmtId="181" fontId="6" fillId="5" borderId="1" xfId="0" applyNumberFormat="1" applyFont="1" applyFill="1" applyBorder="1" applyAlignment="1">
      <alignment horizontal="center" vertical="center"/>
    </xf>
    <xf numFmtId="5" fontId="16" fillId="5" borderId="1" xfId="0" applyNumberFormat="1" applyFont="1" applyFill="1" applyBorder="1" applyAlignment="1">
      <alignment horizontal="left" vertical="center"/>
    </xf>
    <xf numFmtId="179" fontId="6" fillId="5" borderId="7" xfId="0" applyNumberFormat="1" applyFont="1" applyFill="1" applyBorder="1" applyAlignment="1"/>
    <xf numFmtId="181" fontId="6" fillId="5" borderId="8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80" fontId="6" fillId="5" borderId="5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5" fontId="14" fillId="5" borderId="1" xfId="0" applyNumberFormat="1" applyFont="1" applyFill="1" applyBorder="1" applyAlignment="1">
      <alignment horizontal="center" vertical="center"/>
    </xf>
    <xf numFmtId="186" fontId="16" fillId="0" borderId="1" xfId="0" applyNumberFormat="1" applyFont="1" applyBorder="1" applyAlignment="1">
      <alignment horizontal="center" vertical="center"/>
    </xf>
    <xf numFmtId="179" fontId="6" fillId="5" borderId="5" xfId="0" applyNumberFormat="1" applyFont="1" applyFill="1" applyBorder="1" applyAlignment="1">
      <alignment horizontal="center" vertical="center"/>
    </xf>
    <xf numFmtId="180" fontId="6" fillId="5" borderId="4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5" borderId="5" xfId="0" applyNumberFormat="1" applyFont="1" applyFill="1" applyBorder="1" applyAlignment="1">
      <alignment horizontal="center" vertical="center"/>
    </xf>
    <xf numFmtId="182" fontId="3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5" fontId="3" fillId="5" borderId="5" xfId="0" applyNumberFormat="1" applyFont="1" applyFill="1" applyBorder="1" applyAlignment="1">
      <alignment horizontal="center" vertical="center"/>
    </xf>
    <xf numFmtId="5" fontId="3" fillId="0" borderId="5" xfId="0" applyNumberFormat="1" applyFont="1" applyFill="1" applyBorder="1" applyAlignment="1">
      <alignment horizontal="center" vertical="center"/>
    </xf>
    <xf numFmtId="5" fontId="6" fillId="0" borderId="5" xfId="0" applyNumberFormat="1" applyFont="1" applyFill="1" applyBorder="1" applyAlignment="1">
      <alignment horizontal="center" vertical="center"/>
    </xf>
    <xf numFmtId="5" fontId="6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5" fontId="3" fillId="0" borderId="5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6" fontId="6" fillId="0" borderId="5" xfId="0" applyNumberFormat="1" applyFont="1" applyFill="1" applyBorder="1" applyAlignment="1">
      <alignment horizontal="center" vertical="center"/>
    </xf>
    <xf numFmtId="186" fontId="6" fillId="0" borderId="2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186" fontId="6" fillId="5" borderId="2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186" fontId="6" fillId="0" borderId="2" xfId="0" applyNumberFormat="1" applyFont="1" applyBorder="1" applyAlignment="1">
      <alignment horizontal="center" vertical="center" wrapText="1"/>
    </xf>
    <xf numFmtId="186" fontId="3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186" fontId="6" fillId="0" borderId="2" xfId="0" applyNumberFormat="1" applyFont="1" applyBorder="1" applyAlignment="1">
      <alignment horizontal="center" vertical="center"/>
    </xf>
    <xf numFmtId="186" fontId="6" fillId="0" borderId="7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186" fontId="3" fillId="0" borderId="1" xfId="0" applyNumberFormat="1" applyFont="1" applyBorder="1">
      <alignment vertical="center"/>
    </xf>
    <xf numFmtId="0" fontId="6" fillId="5" borderId="8" xfId="0" applyFont="1" applyFill="1" applyBorder="1" applyAlignment="1">
      <alignment horizontal="left" vertical="center" wrapText="1"/>
    </xf>
    <xf numFmtId="186" fontId="16" fillId="0" borderId="2" xfId="0" applyNumberFormat="1" applyFont="1" applyFill="1" applyBorder="1" applyAlignment="1">
      <alignment horizontal="center" vertical="center"/>
    </xf>
    <xf numFmtId="186" fontId="16" fillId="0" borderId="1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/>
    </xf>
    <xf numFmtId="0" fontId="6" fillId="0" borderId="7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9" fontId="6" fillId="5" borderId="9" xfId="0" applyNumberFormat="1" applyFont="1" applyFill="1" applyBorder="1" applyAlignment="1">
      <alignment horizontal="center" vertical="center"/>
    </xf>
    <xf numFmtId="179" fontId="6" fillId="5" borderId="10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8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horizontal="left" vertical="center" wrapText="1"/>
    </xf>
    <xf numFmtId="186" fontId="6" fillId="0" borderId="7" xfId="0" applyNumberFormat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6" fillId="0" borderId="8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86" fontId="3" fillId="0" borderId="1" xfId="0" applyNumberFormat="1" applyFont="1" applyFill="1" applyBorder="1">
      <alignment vertical="center"/>
    </xf>
    <xf numFmtId="0" fontId="15" fillId="0" borderId="0" xfId="0" applyFont="1" applyAlignment="1">
      <alignment horizontal="left" vertical="center" wrapText="1"/>
    </xf>
    <xf numFmtId="186" fontId="16" fillId="5" borderId="1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186" fontId="3" fillId="0" borderId="7" xfId="0" applyNumberFormat="1" applyFont="1" applyFill="1" applyBorder="1" applyAlignment="1">
      <alignment horizontal="center" vertical="center"/>
    </xf>
    <xf numFmtId="186" fontId="3" fillId="5" borderId="1" xfId="0" applyNumberFormat="1" applyFont="1" applyFill="1" applyBorder="1" applyAlignment="1">
      <alignment horizontal="center" vertical="center"/>
    </xf>
    <xf numFmtId="5" fontId="6" fillId="0" borderId="1" xfId="0" applyNumberFormat="1" applyFont="1" applyFill="1" applyBorder="1" applyAlignment="1">
      <alignment horizontal="left" vertical="center"/>
    </xf>
    <xf numFmtId="186" fontId="3" fillId="5" borderId="5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179" fontId="6" fillId="0" borderId="1" xfId="0" applyNumberFormat="1" applyFont="1" applyFill="1" applyBorder="1" applyAlignment="1"/>
    <xf numFmtId="187" fontId="17" fillId="0" borderId="1" xfId="0" applyNumberFormat="1" applyFont="1" applyFill="1" applyBorder="1" applyAlignment="1">
      <alignment horizontal="center" vertical="center"/>
    </xf>
    <xf numFmtId="58" fontId="16" fillId="0" borderId="1" xfId="0" applyNumberFormat="1" applyFont="1" applyFill="1" applyBorder="1" applyAlignment="1">
      <alignment horizontal="center" vertical="center" wrapText="1"/>
    </xf>
    <xf numFmtId="58" fontId="6" fillId="5" borderId="1" xfId="0" applyNumberFormat="1" applyFont="1" applyFill="1" applyBorder="1" applyAlignment="1">
      <alignment horizontal="center" vertical="center"/>
    </xf>
    <xf numFmtId="179" fontId="6" fillId="5" borderId="1" xfId="0" applyNumberFormat="1" applyFont="1" applyFill="1" applyBorder="1" applyAlignment="1">
      <alignment horizontal="center" vertical="center" wrapText="1"/>
    </xf>
    <xf numFmtId="179" fontId="6" fillId="0" borderId="5" xfId="0" applyNumberFormat="1" applyFont="1" applyFill="1" applyBorder="1" applyAlignment="1">
      <alignment horizontal="center" vertical="center"/>
    </xf>
    <xf numFmtId="180" fontId="6" fillId="0" borderId="5" xfId="0" applyNumberFormat="1" applyFont="1" applyFill="1" applyBorder="1" applyAlignment="1">
      <alignment horizontal="center" vertical="center" wrapText="1"/>
    </xf>
    <xf numFmtId="180" fontId="6" fillId="0" borderId="3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179" fontId="6" fillId="0" borderId="5" xfId="0" applyNumberFormat="1" applyFont="1" applyFill="1" applyBorder="1" applyAlignment="1">
      <alignment horizontal="center" vertical="center" wrapText="1"/>
    </xf>
    <xf numFmtId="179" fontId="6" fillId="0" borderId="3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88" fontId="6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188" fontId="6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82" fontId="6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5" fontId="6" fillId="5" borderId="5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left" vertical="center" wrapText="1"/>
    </xf>
    <xf numFmtId="179" fontId="6" fillId="0" borderId="1" xfId="0" applyNumberFormat="1" applyFont="1" applyBorder="1" applyAlignment="1">
      <alignment horizontal="left" vertical="center" wrapText="1"/>
    </xf>
    <xf numFmtId="180" fontId="3" fillId="3" borderId="1" xfId="0" applyNumberFormat="1" applyFont="1" applyFill="1" applyBorder="1" applyAlignment="1">
      <alignment horizontal="center" vertical="center"/>
    </xf>
    <xf numFmtId="188" fontId="6" fillId="3" borderId="1" xfId="0" applyNumberFormat="1" applyFont="1" applyFill="1" applyBorder="1" applyAlignment="1">
      <alignment horizontal="center" vertical="center"/>
    </xf>
    <xf numFmtId="189" fontId="6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80" fontId="3" fillId="3" borderId="0" xfId="0" applyNumberFormat="1" applyFont="1" applyFill="1" applyAlignment="1">
      <alignment horizontal="center" vertical="center"/>
    </xf>
    <xf numFmtId="188" fontId="6" fillId="3" borderId="0" xfId="0" applyNumberFormat="1" applyFont="1" applyFill="1" applyAlignment="1">
      <alignment horizontal="center" vertical="center"/>
    </xf>
    <xf numFmtId="189" fontId="6" fillId="3" borderId="0" xfId="0" applyNumberFormat="1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179" fontId="6" fillId="5" borderId="5" xfId="0" applyNumberFormat="1" applyFont="1" applyFill="1" applyBorder="1" applyAlignment="1">
      <alignment horizontal="center" vertical="center" wrapText="1"/>
    </xf>
    <xf numFmtId="179" fontId="6" fillId="5" borderId="3" xfId="0" applyNumberFormat="1" applyFont="1" applyFill="1" applyBorder="1" applyAlignment="1">
      <alignment horizontal="center" vertical="center" wrapText="1"/>
    </xf>
    <xf numFmtId="179" fontId="6" fillId="5" borderId="4" xfId="0" applyNumberFormat="1" applyFont="1" applyFill="1" applyBorder="1" applyAlignment="1">
      <alignment horizontal="center" vertical="center" wrapText="1"/>
    </xf>
    <xf numFmtId="180" fontId="6" fillId="0" borderId="1" xfId="0" applyNumberFormat="1" applyFont="1" applyFill="1" applyBorder="1" applyAlignment="1">
      <alignment horizontal="center" vertical="center" wrapText="1"/>
    </xf>
    <xf numFmtId="182" fontId="6" fillId="5" borderId="4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179" fontId="6" fillId="0" borderId="1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180" fontId="11" fillId="0" borderId="5" xfId="0" applyNumberFormat="1" applyFont="1" applyFill="1" applyBorder="1" applyAlignment="1">
      <alignment horizontal="center" vertical="center" wrapText="1"/>
    </xf>
    <xf numFmtId="180" fontId="11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5" fontId="6" fillId="0" borderId="10" xfId="0" applyNumberFormat="1" applyFont="1" applyFill="1" applyBorder="1" applyAlignment="1">
      <alignment horizontal="center" vertical="center"/>
    </xf>
    <xf numFmtId="182" fontId="6" fillId="5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90" fontId="6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80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5" fontId="6" fillId="0" borderId="7" xfId="0" applyNumberFormat="1" applyFont="1" applyFill="1" applyBorder="1" applyAlignment="1">
      <alignment horizontal="center" vertical="center"/>
    </xf>
    <xf numFmtId="180" fontId="6" fillId="0" borderId="10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79" fontId="6" fillId="0" borderId="4" xfId="0" applyNumberFormat="1" applyFont="1" applyFill="1" applyBorder="1" applyAlignment="1">
      <alignment horizontal="center" vertical="center" wrapText="1"/>
    </xf>
    <xf numFmtId="5" fontId="3" fillId="0" borderId="7" xfId="0" applyNumberFormat="1" applyFont="1" applyFill="1" applyBorder="1" applyAlignment="1">
      <alignment horizontal="center" vertical="center"/>
    </xf>
    <xf numFmtId="7" fontId="6" fillId="0" borderId="1" xfId="0" applyNumberFormat="1" applyFont="1" applyFill="1" applyBorder="1" applyAlignment="1">
      <alignment horizontal="center" vertical="center"/>
    </xf>
    <xf numFmtId="6" fontId="5" fillId="0" borderId="1" xfId="0" applyNumberFormat="1" applyFont="1" applyBorder="1" applyAlignment="1">
      <alignment horizontal="center" vertical="center"/>
    </xf>
    <xf numFmtId="5" fontId="8" fillId="0" borderId="1" xfId="0" applyNumberFormat="1" applyFont="1" applyBorder="1" applyAlignment="1">
      <alignment horizontal="center" vertical="center"/>
    </xf>
    <xf numFmtId="7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7" fontId="5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7" fontId="11" fillId="0" borderId="1" xfId="0" applyNumberFormat="1" applyFont="1" applyFill="1" applyBorder="1" applyAlignment="1">
      <alignment horizontal="center" vertical="center"/>
    </xf>
    <xf numFmtId="7" fontId="6" fillId="0" borderId="10" xfId="0" applyNumberFormat="1" applyFont="1" applyFill="1" applyBorder="1" applyAlignment="1">
      <alignment horizontal="center" vertical="center"/>
    </xf>
    <xf numFmtId="5" fontId="8" fillId="0" borderId="8" xfId="0" applyNumberFormat="1" applyFont="1" applyFill="1" applyBorder="1" applyAlignment="1">
      <alignment horizontal="center" vertical="center"/>
    </xf>
    <xf numFmtId="7" fontId="11" fillId="0" borderId="10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186" fontId="6" fillId="5" borderId="1" xfId="0" applyNumberFormat="1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186" fontId="11" fillId="0" borderId="1" xfId="0" applyNumberFormat="1" applyFont="1" applyFill="1" applyBorder="1" applyAlignment="1">
      <alignment horizontal="center" vertical="center"/>
    </xf>
    <xf numFmtId="186" fontId="21" fillId="0" borderId="1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 wrapText="1"/>
    </xf>
    <xf numFmtId="186" fontId="6" fillId="0" borderId="4" xfId="0" applyNumberFormat="1" applyFont="1" applyFill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0" fillId="0" borderId="4" xfId="0" applyFont="1" applyBorder="1">
      <alignment vertical="center"/>
    </xf>
    <xf numFmtId="0" fontId="6" fillId="0" borderId="4" xfId="0" applyFont="1" applyFill="1" applyBorder="1" applyAlignment="1">
      <alignment vertical="center" wrapText="1"/>
    </xf>
    <xf numFmtId="186" fontId="11" fillId="0" borderId="4" xfId="0" applyNumberFormat="1" applyFont="1" applyFill="1" applyBorder="1" applyAlignment="1">
      <alignment horizontal="center" vertical="center"/>
    </xf>
    <xf numFmtId="186" fontId="6" fillId="0" borderId="13" xfId="0" applyNumberFormat="1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/>
    </xf>
    <xf numFmtId="180" fontId="11" fillId="0" borderId="1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179" fontId="6" fillId="0" borderId="4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5" fontId="6" fillId="0" borderId="4" xfId="0" applyNumberFormat="1" applyFont="1" applyFill="1" applyBorder="1" applyAlignment="1">
      <alignment horizontal="center" vertical="center"/>
    </xf>
    <xf numFmtId="5" fontId="3" fillId="0" borderId="4" xfId="0" applyNumberFormat="1" applyFont="1" applyFill="1" applyBorder="1" applyAlignment="1">
      <alignment horizontal="center" vertical="center"/>
    </xf>
    <xf numFmtId="7" fontId="11" fillId="0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86" fontId="1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8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Fill="1" applyBorder="1" applyAlignment="1">
      <alignment horizontal="left" vertical="center" wrapText="1"/>
    </xf>
    <xf numFmtId="186" fontId="6" fillId="0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179" fontId="6" fillId="0" borderId="0" xfId="0" applyNumberFormat="1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5" fontId="11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24" fillId="0" borderId="0" xfId="0" applyNumberFormat="1" applyFont="1" applyFill="1" applyAlignment="1">
      <alignment horizontal="center" vertical="center"/>
    </xf>
    <xf numFmtId="180" fontId="24" fillId="0" borderId="0" xfId="0" applyNumberFormat="1" applyFont="1" applyFill="1" applyAlignment="1">
      <alignment horizontal="center" vertical="center"/>
    </xf>
    <xf numFmtId="180" fontId="8" fillId="0" borderId="0" xfId="0" applyNumberFormat="1" applyFont="1" applyFill="1">
      <alignment vertical="center"/>
    </xf>
    <xf numFmtId="182" fontId="6" fillId="0" borderId="1" xfId="0" applyNumberFormat="1" applyFont="1" applyBorder="1" applyAlignment="1">
      <alignment horizontal="center" vertical="center"/>
    </xf>
    <xf numFmtId="182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179" fontId="11" fillId="0" borderId="0" xfId="0" applyNumberFormat="1" applyFont="1" applyFill="1" applyAlignment="1">
      <alignment horizontal="center" vertical="center"/>
    </xf>
    <xf numFmtId="179" fontId="21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left" vertical="center"/>
    </xf>
    <xf numFmtId="0" fontId="23" fillId="0" borderId="0" xfId="0" applyFont="1" applyFill="1" applyAlignment="1">
      <alignment horizontal="center" vertical="center"/>
    </xf>
    <xf numFmtId="179" fontId="23" fillId="0" borderId="0" xfId="0" applyNumberFormat="1" applyFont="1" applyFill="1" applyAlignment="1">
      <alignment vertical="center"/>
    </xf>
    <xf numFmtId="179" fontId="24" fillId="0" borderId="0" xfId="0" applyNumberFormat="1" applyFont="1" applyFill="1" applyAlignment="1">
      <alignment vertical="center"/>
    </xf>
    <xf numFmtId="179" fontId="23" fillId="0" borderId="0" xfId="0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>
      <alignment vertical="center"/>
    </xf>
    <xf numFmtId="0" fontId="23" fillId="0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7" fontId="6" fillId="0" borderId="4" xfId="0" applyNumberFormat="1" applyFont="1" applyFill="1" applyBorder="1" applyAlignment="1">
      <alignment horizontal="center" vertical="center"/>
    </xf>
    <xf numFmtId="7" fontId="6" fillId="0" borderId="0" xfId="0" applyNumberFormat="1" applyFont="1" applyFill="1" applyAlignment="1">
      <alignment horizontal="center" vertical="center"/>
    </xf>
    <xf numFmtId="7" fontId="11" fillId="0" borderId="0" xfId="0" applyNumberFormat="1" applyFont="1" applyFill="1" applyAlignment="1">
      <alignment horizontal="center" vertical="center"/>
    </xf>
    <xf numFmtId="7" fontId="3" fillId="0" borderId="0" xfId="0" applyNumberFormat="1" applyFont="1" applyFill="1">
      <alignment vertical="center"/>
    </xf>
    <xf numFmtId="5" fontId="6" fillId="0" borderId="0" xfId="0" applyNumberFormat="1" applyFont="1" applyFill="1" applyAlignment="1">
      <alignment horizontal="center" vertical="center"/>
    </xf>
    <xf numFmtId="7" fontId="3" fillId="0" borderId="0" xfId="0" applyNumberFormat="1" applyFont="1">
      <alignment vertical="center"/>
    </xf>
    <xf numFmtId="186" fontId="6" fillId="0" borderId="0" xfId="0" applyNumberFormat="1" applyFont="1" applyFill="1" applyAlignment="1">
      <alignment horizontal="center" vertical="center"/>
    </xf>
    <xf numFmtId="179" fontId="6" fillId="0" borderId="0" xfId="0" applyNumberFormat="1" applyFont="1" applyFill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 wrapText="1"/>
    </xf>
    <xf numFmtId="0" fontId="24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5" fillId="0" borderId="0" xfId="0" applyFont="1">
      <alignment vertical="center"/>
    </xf>
    <xf numFmtId="0" fontId="25" fillId="0" borderId="0" xfId="0" applyFont="1">
      <alignment vertical="center"/>
    </xf>
    <xf numFmtId="10" fontId="8" fillId="0" borderId="0" xfId="0" applyNumberFormat="1" applyFont="1">
      <alignment vertical="center"/>
    </xf>
    <xf numFmtId="179" fontId="9" fillId="0" borderId="1" xfId="0" applyNumberFormat="1" applyFont="1" applyFill="1" applyBorder="1" applyAlignment="1">
      <alignment horizontal="center" vertical="center"/>
    </xf>
    <xf numFmtId="5" fontId="14" fillId="0" borderId="1" xfId="0" applyNumberFormat="1" applyFont="1" applyFill="1" applyBorder="1" applyAlignment="1">
      <alignment horizontal="center" vertical="center"/>
    </xf>
    <xf numFmtId="186" fontId="9" fillId="0" borderId="1" xfId="0" applyNumberFormat="1" applyFont="1" applyFill="1" applyBorder="1" applyAlignment="1">
      <alignment horizontal="center" vertical="center"/>
    </xf>
    <xf numFmtId="179" fontId="26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181" fontId="1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179" fontId="6" fillId="5" borderId="1" xfId="0" applyNumberFormat="1" applyFont="1" applyFill="1" applyBorder="1" applyAlignment="1">
      <alignment horizontal="left"/>
    </xf>
    <xf numFmtId="180" fontId="6" fillId="5" borderId="1" xfId="0" applyNumberFormat="1" applyFont="1" applyFill="1" applyBorder="1" applyAlignment="1">
      <alignment horizontal="left" vertical="center"/>
    </xf>
    <xf numFmtId="179" fontId="6" fillId="0" borderId="1" xfId="0" applyNumberFormat="1" applyFont="1" applyFill="1" applyBorder="1" applyAlignment="1">
      <alignment horizontal="left"/>
    </xf>
    <xf numFmtId="184" fontId="6" fillId="5" borderId="1" xfId="0" applyNumberFormat="1" applyFont="1" applyFill="1" applyBorder="1" applyAlignment="1">
      <alignment horizontal="center" vertical="center"/>
    </xf>
    <xf numFmtId="181" fontId="6" fillId="0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 applyProtection="1">
      <alignment horizontal="left" vertical="center"/>
    </xf>
    <xf numFmtId="184" fontId="6" fillId="0" borderId="1" xfId="0" applyNumberFormat="1" applyFont="1" applyFill="1" applyBorder="1" applyAlignment="1">
      <alignment horizontal="center" vertical="center"/>
    </xf>
    <xf numFmtId="58" fontId="16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58" fontId="21" fillId="0" borderId="1" xfId="0" applyNumberFormat="1" applyFont="1" applyFill="1" applyBorder="1" applyAlignment="1">
      <alignment horizontal="left" vertical="center"/>
    </xf>
    <xf numFmtId="186" fontId="21" fillId="5" borderId="1" xfId="0" applyNumberFormat="1" applyFont="1" applyFill="1" applyBorder="1" applyAlignment="1">
      <alignment horizontal="center" vertical="center"/>
    </xf>
    <xf numFmtId="58" fontId="16" fillId="5" borderId="1" xfId="0" applyNumberFormat="1" applyFont="1" applyFill="1" applyBorder="1" applyAlignment="1">
      <alignment horizontal="left" vertical="center"/>
    </xf>
    <xf numFmtId="184" fontId="16" fillId="5" borderId="1" xfId="0" applyNumberFormat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4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58" fontId="16" fillId="5" borderId="1" xfId="0" applyNumberFormat="1" applyFont="1" applyFill="1" applyBorder="1" applyAlignment="1">
      <alignment horizontal="center" vertical="center"/>
    </xf>
    <xf numFmtId="187" fontId="17" fillId="0" borderId="4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180" fontId="3" fillId="0" borderId="4" xfId="0" applyNumberFormat="1" applyFont="1" applyFill="1" applyBorder="1" applyAlignment="1">
      <alignment horizontal="center" vertical="center"/>
    </xf>
    <xf numFmtId="187" fontId="17" fillId="0" borderId="0" xfId="0" applyNumberFormat="1" applyFont="1" applyFill="1" applyBorder="1" applyAlignment="1">
      <alignment horizontal="center" vertical="center"/>
    </xf>
    <xf numFmtId="58" fontId="6" fillId="0" borderId="14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87" fontId="17" fillId="0" borderId="11" xfId="0" applyNumberFormat="1" applyFont="1" applyFill="1" applyBorder="1" applyAlignment="1">
      <alignment horizontal="center" vertical="center"/>
    </xf>
    <xf numFmtId="191" fontId="6" fillId="0" borderId="14" xfId="0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189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91" fontId="6" fillId="0" borderId="6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91" fontId="6" fillId="0" borderId="4" xfId="0" applyNumberFormat="1" applyFont="1" applyFill="1" applyBorder="1" applyAlignment="1">
      <alignment horizontal="center" vertical="center"/>
    </xf>
    <xf numFmtId="191" fontId="6" fillId="0" borderId="1" xfId="0" applyNumberFormat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186" fontId="6" fillId="0" borderId="1" xfId="0" applyNumberFormat="1" applyFont="1" applyFill="1" applyBorder="1" applyAlignment="1">
      <alignment horizontal="left" vertical="center" wrapText="1"/>
    </xf>
    <xf numFmtId="179" fontId="11" fillId="0" borderId="1" xfId="0" applyNumberFormat="1" applyFont="1" applyFill="1" applyBorder="1" applyAlignment="1">
      <alignment horizontal="center" vertical="center"/>
    </xf>
    <xf numFmtId="179" fontId="11" fillId="0" borderId="5" xfId="0" applyNumberFormat="1" applyFont="1" applyFill="1" applyBorder="1" applyAlignment="1">
      <alignment horizontal="center" vertical="center"/>
    </xf>
    <xf numFmtId="179" fontId="11" fillId="0" borderId="13" xfId="0" applyNumberFormat="1" applyFont="1" applyFill="1" applyBorder="1" applyAlignment="1">
      <alignment horizontal="center" vertical="center" wrapText="1"/>
    </xf>
    <xf numFmtId="180" fontId="11" fillId="0" borderId="4" xfId="0" applyNumberFormat="1" applyFont="1" applyFill="1" applyBorder="1" applyAlignment="1">
      <alignment horizontal="center" vertical="center"/>
    </xf>
    <xf numFmtId="179" fontId="11" fillId="0" borderId="4" xfId="0" applyNumberFormat="1" applyFont="1" applyFill="1" applyBorder="1" applyAlignment="1">
      <alignment horizontal="center" vertical="center"/>
    </xf>
    <xf numFmtId="179" fontId="6" fillId="0" borderId="13" xfId="0" applyNumberFormat="1" applyFont="1" applyFill="1" applyBorder="1" applyAlignment="1">
      <alignment wrapText="1"/>
    </xf>
    <xf numFmtId="179" fontId="11" fillId="0" borderId="8" xfId="0" applyNumberFormat="1" applyFont="1" applyFill="1" applyBorder="1" applyAlignment="1">
      <alignment horizontal="center" vertical="center" wrapText="1"/>
    </xf>
    <xf numFmtId="179" fontId="11" fillId="0" borderId="8" xfId="0" applyNumberFormat="1" applyFont="1" applyFill="1" applyBorder="1" applyAlignment="1">
      <alignment horizontal="center" vertical="center"/>
    </xf>
    <xf numFmtId="180" fontId="6" fillId="3" borderId="10" xfId="0" applyNumberFormat="1" applyFont="1" applyFill="1" applyBorder="1" applyAlignment="1">
      <alignment horizontal="center" vertical="center"/>
    </xf>
    <xf numFmtId="7" fontId="6" fillId="0" borderId="7" xfId="0" applyNumberFormat="1" applyFont="1" applyFill="1" applyBorder="1" applyAlignment="1">
      <alignment horizontal="center" vertical="center"/>
    </xf>
    <xf numFmtId="7" fontId="5" fillId="0" borderId="1" xfId="0" applyNumberFormat="1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7" fontId="5" fillId="0" borderId="7" xfId="0" applyNumberFormat="1" applyFont="1" applyFill="1" applyBorder="1">
      <alignment vertical="center"/>
    </xf>
    <xf numFmtId="186" fontId="0" fillId="0" borderId="1" xfId="0" applyNumberFormat="1" applyBorder="1">
      <alignment vertical="center"/>
    </xf>
    <xf numFmtId="186" fontId="11" fillId="0" borderId="3" xfId="0" applyNumberFormat="1" applyFont="1" applyFill="1" applyBorder="1" applyAlignment="1">
      <alignment horizontal="center" vertical="center"/>
    </xf>
    <xf numFmtId="186" fontId="6" fillId="0" borderId="4" xfId="0" applyNumberFormat="1" applyFont="1" applyFill="1" applyBorder="1" applyAlignment="1">
      <alignment horizontal="left" vertical="center" wrapText="1"/>
    </xf>
    <xf numFmtId="179" fontId="6" fillId="0" borderId="8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wrapText="1"/>
    </xf>
    <xf numFmtId="191" fontId="11" fillId="0" borderId="1" xfId="0" applyNumberFormat="1" applyFont="1" applyFill="1" applyBorder="1" applyAlignment="1">
      <alignment horizontal="center" vertical="center"/>
    </xf>
    <xf numFmtId="179" fontId="11" fillId="0" borderId="12" xfId="0" applyNumberFormat="1" applyFont="1" applyFill="1" applyBorder="1" applyAlignment="1">
      <alignment horizontal="center" vertical="center" wrapText="1"/>
    </xf>
    <xf numFmtId="180" fontId="11" fillId="0" borderId="12" xfId="0" applyNumberFormat="1" applyFont="1" applyFill="1" applyBorder="1" applyAlignment="1">
      <alignment horizontal="center" vertical="center"/>
    </xf>
    <xf numFmtId="179" fontId="11" fillId="0" borderId="13" xfId="0" applyNumberFormat="1" applyFont="1" applyFill="1" applyBorder="1" applyAlignment="1">
      <alignment horizontal="center" vertical="center"/>
    </xf>
    <xf numFmtId="181" fontId="11" fillId="0" borderId="13" xfId="0" applyNumberFormat="1" applyFont="1" applyFill="1" applyBorder="1" applyAlignment="1">
      <alignment horizontal="center" vertical="center"/>
    </xf>
    <xf numFmtId="191" fontId="11" fillId="0" borderId="4" xfId="0" applyNumberFormat="1" applyFont="1" applyFill="1" applyBorder="1" applyAlignment="1">
      <alignment horizontal="center" vertical="center"/>
    </xf>
    <xf numFmtId="179" fontId="11" fillId="0" borderId="3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186" fontId="8" fillId="0" borderId="4" xfId="0" applyNumberFormat="1" applyFont="1" applyFill="1" applyBorder="1" applyAlignment="1">
      <alignment horizontal="center" vertical="center"/>
    </xf>
    <xf numFmtId="186" fontId="8" fillId="0" borderId="4" xfId="0" applyNumberFormat="1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179" fontId="11" fillId="0" borderId="14" xfId="0" applyNumberFormat="1" applyFont="1" applyFill="1" applyBorder="1" applyAlignment="1">
      <alignment horizontal="left" vertical="center" wrapText="1"/>
    </xf>
    <xf numFmtId="186" fontId="11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186" fontId="9" fillId="0" borderId="0" xfId="0" applyNumberFormat="1" applyFont="1" applyFill="1" applyAlignment="1">
      <alignment horizontal="center" vertical="center"/>
    </xf>
    <xf numFmtId="179" fontId="26" fillId="0" borderId="0" xfId="0" applyNumberFormat="1" applyFont="1" applyFill="1" applyAlignment="1">
      <alignment horizontal="left" vertical="center" wrapText="1"/>
    </xf>
    <xf numFmtId="58" fontId="1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9" fontId="6" fillId="0" borderId="15" xfId="0" applyNumberFormat="1" applyFont="1" applyFill="1" applyBorder="1" applyAlignment="1">
      <alignment horizontal="center" vertical="center"/>
    </xf>
    <xf numFmtId="5" fontId="11" fillId="0" borderId="16" xfId="0" applyNumberFormat="1" applyFont="1" applyFill="1" applyBorder="1" applyAlignment="1">
      <alignment horizontal="center" vertical="center"/>
    </xf>
    <xf numFmtId="5" fontId="6" fillId="0" borderId="1" xfId="0" applyNumberFormat="1" applyFont="1" applyFill="1" applyBorder="1" applyAlignment="1">
      <alignment horizontal="center" vertical="center" wrapText="1"/>
    </xf>
    <xf numFmtId="179" fontId="6" fillId="0" borderId="7" xfId="0" applyNumberFormat="1" applyFont="1" applyFill="1" applyBorder="1" applyAlignment="1">
      <alignment horizontal="left"/>
    </xf>
    <xf numFmtId="180" fontId="6" fillId="0" borderId="1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9" fontId="6" fillId="0" borderId="5" xfId="0" applyNumberFormat="1" applyFont="1" applyFill="1" applyBorder="1" applyAlignment="1"/>
    <xf numFmtId="179" fontId="6" fillId="5" borderId="1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27" fillId="0" borderId="0" xfId="0" applyFont="1" applyFill="1">
      <alignment vertical="center"/>
    </xf>
    <xf numFmtId="179" fontId="6" fillId="5" borderId="2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5" fontId="11" fillId="0" borderId="4" xfId="0" applyNumberFormat="1" applyFont="1" applyFill="1" applyBorder="1" applyAlignment="1">
      <alignment horizontal="center" vertical="center"/>
    </xf>
    <xf numFmtId="186" fontId="6" fillId="5" borderId="4" xfId="0" applyNumberFormat="1" applyFont="1" applyFill="1" applyBorder="1" applyAlignment="1">
      <alignment horizontal="center" vertical="center"/>
    </xf>
    <xf numFmtId="0" fontId="6" fillId="5" borderId="10" xfId="0" applyFont="1" applyFill="1" applyBorder="1" applyAlignment="1" applyProtection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186" fontId="21" fillId="5" borderId="2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8" fillId="0" borderId="8" xfId="0" applyFont="1" applyBorder="1">
      <alignment vertical="center"/>
    </xf>
    <xf numFmtId="179" fontId="6" fillId="5" borderId="5" xfId="0" applyNumberFormat="1" applyFont="1" applyFill="1" applyBorder="1" applyAlignment="1">
      <alignment horizontal="center"/>
    </xf>
    <xf numFmtId="180" fontId="6" fillId="5" borderId="4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 wrapText="1"/>
    </xf>
    <xf numFmtId="186" fontId="16" fillId="5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4" xfId="0" applyFont="1" applyBorder="1">
      <alignment vertical="center"/>
    </xf>
    <xf numFmtId="191" fontId="6" fillId="0" borderId="5" xfId="0" applyNumberFormat="1" applyFont="1" applyFill="1" applyBorder="1" applyAlignment="1">
      <alignment horizontal="center" vertical="center"/>
    </xf>
    <xf numFmtId="191" fontId="6" fillId="0" borderId="0" xfId="0" applyNumberFormat="1" applyFont="1" applyFill="1" applyAlignment="1">
      <alignment horizontal="center" vertical="center"/>
    </xf>
    <xf numFmtId="5" fontId="14" fillId="5" borderId="5" xfId="0" applyNumberFormat="1" applyFont="1" applyFill="1" applyBorder="1" applyAlignment="1">
      <alignment horizontal="center" vertical="center"/>
    </xf>
    <xf numFmtId="187" fontId="17" fillId="0" borderId="5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 wrapText="1"/>
    </xf>
    <xf numFmtId="0" fontId="8" fillId="0" borderId="10" xfId="0" applyFont="1" applyBorder="1">
      <alignment vertical="center"/>
    </xf>
    <xf numFmtId="5" fontId="3" fillId="0" borderId="10" xfId="0" applyNumberFormat="1" applyFont="1" applyFill="1" applyBorder="1" applyAlignment="1">
      <alignment horizontal="center" vertical="center"/>
    </xf>
    <xf numFmtId="186" fontId="6" fillId="0" borderId="12" xfId="0" applyNumberFormat="1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>
      <alignment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58" fontId="8" fillId="0" borderId="1" xfId="0" applyNumberFormat="1" applyFont="1" applyBorder="1">
      <alignment vertical="center"/>
    </xf>
    <xf numFmtId="58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/>
    </xf>
    <xf numFmtId="186" fontId="6" fillId="5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179" fontId="6" fillId="5" borderId="5" xfId="0" applyNumberFormat="1" applyFont="1" applyFill="1" applyBorder="1" applyAlignment="1"/>
    <xf numFmtId="5" fontId="1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20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186" fontId="6" fillId="3" borderId="1" xfId="0" applyNumberFormat="1" applyFont="1" applyFill="1" applyBorder="1" applyAlignment="1">
      <alignment horizontal="center" vertical="center"/>
    </xf>
    <xf numFmtId="0" fontId="24" fillId="0" borderId="1" xfId="0" applyFont="1" applyBorder="1">
      <alignment vertical="center"/>
    </xf>
    <xf numFmtId="186" fontId="6" fillId="0" borderId="11" xfId="0" applyNumberFormat="1" applyFont="1" applyFill="1" applyBorder="1" applyAlignment="1">
      <alignment horizontal="center" vertical="center"/>
    </xf>
    <xf numFmtId="179" fontId="6" fillId="0" borderId="14" xfId="0" applyNumberFormat="1" applyFont="1" applyFill="1" applyBorder="1" applyAlignment="1">
      <alignment horizontal="left" vertical="center" wrapText="1"/>
    </xf>
    <xf numFmtId="0" fontId="6" fillId="5" borderId="4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5" fontId="3" fillId="5" borderId="7" xfId="0" applyNumberFormat="1" applyFont="1" applyFill="1" applyBorder="1" applyAlignment="1">
      <alignment horizontal="center" vertical="center"/>
    </xf>
    <xf numFmtId="179" fontId="6" fillId="5" borderId="1" xfId="0" applyNumberFormat="1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187" fontId="17" fillId="0" borderId="3" xfId="0" applyNumberFormat="1" applyFont="1" applyFill="1" applyBorder="1" applyAlignment="1">
      <alignment horizontal="center" vertical="center"/>
    </xf>
    <xf numFmtId="191" fontId="6" fillId="0" borderId="3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 wrapText="1"/>
    </xf>
    <xf numFmtId="5" fontId="6" fillId="0" borderId="7" xfId="0" applyNumberFormat="1" applyFont="1" applyFill="1" applyBorder="1" applyAlignment="1">
      <alignment horizontal="center" vertical="center" wrapText="1"/>
    </xf>
    <xf numFmtId="7" fontId="6" fillId="5" borderId="10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86" fontId="6" fillId="0" borderId="3" xfId="0" applyNumberFormat="1" applyFont="1" applyFill="1" applyBorder="1" applyAlignment="1">
      <alignment horizontal="center" vertical="center"/>
    </xf>
    <xf numFmtId="186" fontId="6" fillId="5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86" fontId="11" fillId="5" borderId="4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>
      <alignment vertical="center"/>
    </xf>
    <xf numFmtId="0" fontId="6" fillId="0" borderId="0" xfId="0" applyFont="1" applyFill="1" applyAlignment="1">
      <alignment horizontal="left" vertical="center"/>
    </xf>
    <xf numFmtId="18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182" fontId="11" fillId="5" borderId="4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>
      <alignment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7" xfId="0" applyFont="1" applyFill="1" applyBorder="1" applyAlignment="1" applyProtection="1">
      <alignment horizontal="left" vertical="center"/>
    </xf>
    <xf numFmtId="0" fontId="16" fillId="0" borderId="2" xfId="0" applyFont="1" applyFill="1" applyBorder="1" applyAlignment="1">
      <alignment horizontal="left" vertical="center" wrapText="1"/>
    </xf>
    <xf numFmtId="5" fontId="6" fillId="5" borderId="1" xfId="0" applyNumberFormat="1" applyFont="1" applyFill="1" applyBorder="1" applyAlignment="1">
      <alignment horizontal="left" vertical="center"/>
    </xf>
    <xf numFmtId="58" fontId="16" fillId="0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186" fontId="6" fillId="0" borderId="1" xfId="0" applyNumberFormat="1" applyFont="1" applyFill="1" applyBorder="1" applyAlignment="1">
      <alignment horizontal="left" vertical="center"/>
    </xf>
    <xf numFmtId="187" fontId="17" fillId="0" borderId="0" xfId="0" applyNumberFormat="1" applyFont="1" applyFill="1" applyAlignment="1">
      <alignment horizontal="center" vertical="center"/>
    </xf>
    <xf numFmtId="179" fontId="6" fillId="5" borderId="6" xfId="0" applyNumberFormat="1" applyFont="1" applyFill="1" applyBorder="1" applyAlignment="1">
      <alignment horizontal="center" vertical="center"/>
    </xf>
    <xf numFmtId="180" fontId="6" fillId="5" borderId="10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7" fontId="3" fillId="5" borderId="1" xfId="0" applyNumberFormat="1" applyFont="1" applyFill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192" fontId="3" fillId="0" borderId="1" xfId="0" applyNumberFormat="1" applyFont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186" fontId="6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179" fontId="6" fillId="5" borderId="1" xfId="0" applyNumberFormat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80" fontId="2" fillId="4" borderId="1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179" fontId="19" fillId="0" borderId="5" xfId="0" applyNumberFormat="1" applyFont="1" applyFill="1" applyBorder="1" applyAlignment="1">
      <alignment horizontal="center" vertical="center"/>
    </xf>
    <xf numFmtId="180" fontId="19" fillId="0" borderId="5" xfId="0" applyNumberFormat="1" applyFont="1" applyFill="1" applyBorder="1" applyAlignment="1">
      <alignment horizontal="center" vertical="center"/>
    </xf>
    <xf numFmtId="179" fontId="19" fillId="0" borderId="3" xfId="0" applyNumberFormat="1" applyFont="1" applyFill="1" applyBorder="1" applyAlignment="1">
      <alignment horizontal="center" vertical="center"/>
    </xf>
    <xf numFmtId="180" fontId="19" fillId="0" borderId="3" xfId="0" applyNumberFormat="1" applyFont="1" applyFill="1" applyBorder="1" applyAlignment="1">
      <alignment horizontal="center" vertical="center"/>
    </xf>
    <xf numFmtId="179" fontId="19" fillId="0" borderId="4" xfId="0" applyNumberFormat="1" applyFont="1" applyFill="1" applyBorder="1" applyAlignment="1">
      <alignment horizontal="center" vertical="center"/>
    </xf>
    <xf numFmtId="180" fontId="19" fillId="0" borderId="4" xfId="0" applyNumberFormat="1" applyFont="1" applyFill="1" applyBorder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5" fontId="7" fillId="5" borderId="5" xfId="0" applyNumberFormat="1" applyFont="1" applyFill="1" applyBorder="1" applyAlignment="1">
      <alignment horizontal="center" vertical="center"/>
    </xf>
    <xf numFmtId="5" fontId="7" fillId="5" borderId="4" xfId="0" applyNumberFormat="1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5" fontId="29" fillId="5" borderId="5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179" fontId="29" fillId="8" borderId="1" xfId="0" applyNumberFormat="1" applyFont="1" applyFill="1" applyBorder="1" applyAlignment="1">
      <alignment horizontal="center" vertical="center"/>
    </xf>
    <xf numFmtId="180" fontId="29" fillId="8" borderId="1" xfId="0" applyNumberFormat="1" applyFont="1" applyFill="1" applyBorder="1" applyAlignment="1">
      <alignment horizontal="center" vertical="center" wrapText="1"/>
    </xf>
    <xf numFmtId="179" fontId="19" fillId="5" borderId="3" xfId="0" applyNumberFormat="1" applyFont="1" applyFill="1" applyBorder="1" applyAlignment="1">
      <alignment horizontal="center" vertical="center"/>
    </xf>
    <xf numFmtId="180" fontId="19" fillId="5" borderId="3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81" fontId="2" fillId="4" borderId="1" xfId="0" applyNumberFormat="1" applyFont="1" applyFill="1" applyBorder="1" applyAlignment="1">
      <alignment horizontal="center" vertical="center"/>
    </xf>
    <xf numFmtId="7" fontId="2" fillId="4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/>
    </xf>
    <xf numFmtId="5" fontId="5" fillId="0" borderId="5" xfId="0" applyNumberFormat="1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5" fontId="5" fillId="5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5" fontId="19" fillId="5" borderId="5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9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24" fontId="5" fillId="0" borderId="1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82" fontId="19" fillId="0" borderId="1" xfId="0" applyNumberFormat="1" applyFont="1" applyFill="1" applyBorder="1" applyAlignment="1">
      <alignment horizontal="center" vertical="center"/>
    </xf>
    <xf numFmtId="5" fontId="19" fillId="5" borderId="1" xfId="0" applyNumberFormat="1" applyFont="1" applyFill="1" applyBorder="1" applyAlignment="1">
      <alignment horizontal="center" vertical="center"/>
    </xf>
    <xf numFmtId="180" fontId="29" fillId="5" borderId="4" xfId="0" applyNumberFormat="1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182" fontId="29" fillId="5" borderId="4" xfId="0" applyNumberFormat="1" applyFont="1" applyFill="1" applyBorder="1" applyAlignment="1">
      <alignment horizontal="center" vertical="center"/>
    </xf>
    <xf numFmtId="5" fontId="29" fillId="5" borderId="4" xfId="0" applyNumberFormat="1" applyFont="1" applyFill="1" applyBorder="1" applyAlignment="1">
      <alignment horizontal="center" vertical="center"/>
    </xf>
    <xf numFmtId="180" fontId="29" fillId="5" borderId="5" xfId="0" applyNumberFormat="1" applyFont="1" applyFill="1" applyBorder="1" applyAlignment="1">
      <alignment horizontal="center" vertical="center"/>
    </xf>
    <xf numFmtId="179" fontId="29" fillId="5" borderId="5" xfId="0" applyNumberFormat="1" applyFont="1" applyFill="1" applyBorder="1" applyAlignment="1">
      <alignment horizontal="center" vertical="center"/>
    </xf>
    <xf numFmtId="182" fontId="29" fillId="5" borderId="5" xfId="0" applyNumberFormat="1" applyFont="1" applyFill="1" applyBorder="1" applyAlignment="1">
      <alignment horizontal="center" vertical="center"/>
    </xf>
    <xf numFmtId="10" fontId="29" fillId="5" borderId="5" xfId="0" applyNumberFormat="1" applyFont="1" applyFill="1" applyBorder="1" applyAlignment="1">
      <alignment horizontal="center" vertical="center"/>
    </xf>
    <xf numFmtId="7" fontId="29" fillId="5" borderId="5" xfId="0" applyNumberFormat="1" applyFont="1" applyFill="1" applyBorder="1" applyAlignment="1">
      <alignment horizontal="center" vertical="center"/>
    </xf>
    <xf numFmtId="10" fontId="29" fillId="5" borderId="11" xfId="0" applyNumberFormat="1" applyFont="1" applyFill="1" applyBorder="1" applyAlignment="1">
      <alignment horizontal="center" vertical="center"/>
    </xf>
    <xf numFmtId="49" fontId="29" fillId="8" borderId="1" xfId="0" applyNumberFormat="1" applyFont="1" applyFill="1" applyBorder="1" applyAlignment="1">
      <alignment horizontal="center" vertical="center"/>
    </xf>
    <xf numFmtId="181" fontId="29" fillId="8" borderId="1" xfId="0" applyNumberFormat="1" applyFont="1" applyFill="1" applyBorder="1" applyAlignment="1">
      <alignment horizontal="center" vertical="center"/>
    </xf>
    <xf numFmtId="0" fontId="29" fillId="8" borderId="17" xfId="0" applyFont="1" applyFill="1" applyBorder="1" applyAlignment="1">
      <alignment horizontal="center" vertical="center" wrapText="1"/>
    </xf>
    <xf numFmtId="182" fontId="5" fillId="5" borderId="1" xfId="0" applyNumberFormat="1" applyFont="1" applyFill="1" applyBorder="1" applyAlignment="1">
      <alignment horizontal="center" vertical="center"/>
    </xf>
    <xf numFmtId="5" fontId="5" fillId="5" borderId="5" xfId="0" applyNumberFormat="1" applyFont="1" applyFill="1" applyBorder="1" applyAlignment="1">
      <alignment horizontal="center" vertical="center"/>
    </xf>
    <xf numFmtId="182" fontId="5" fillId="0" borderId="5" xfId="0" applyNumberFormat="1" applyFont="1" applyFill="1" applyBorder="1" applyAlignment="1">
      <alignment horizontal="center" vertical="center"/>
    </xf>
    <xf numFmtId="183" fontId="2" fillId="4" borderId="1" xfId="0" applyNumberFormat="1" applyFont="1" applyFill="1" applyBorder="1" applyAlignment="1">
      <alignment horizontal="center" vertical="center"/>
    </xf>
    <xf numFmtId="5" fontId="2" fillId="4" borderId="1" xfId="0" applyNumberFormat="1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86" fontId="19" fillId="0" borderId="1" xfId="0" applyNumberFormat="1" applyFont="1" applyFill="1" applyBorder="1" applyAlignment="1">
      <alignment horizontal="center" vertical="center"/>
    </xf>
    <xf numFmtId="5" fontId="5" fillId="9" borderId="1" xfId="0" applyNumberFormat="1" applyFont="1" applyFill="1" applyBorder="1" applyAlignment="1">
      <alignment horizontal="center" vertical="center"/>
    </xf>
    <xf numFmtId="5" fontId="19" fillId="0" borderId="1" xfId="0" applyNumberFormat="1" applyFont="1" applyBorder="1" applyAlignment="1">
      <alignment horizontal="center" vertical="center"/>
    </xf>
    <xf numFmtId="5" fontId="19" fillId="10" borderId="1" xfId="0" applyNumberFormat="1" applyFont="1" applyFill="1" applyBorder="1" applyAlignment="1">
      <alignment horizontal="center" vertical="center"/>
    </xf>
    <xf numFmtId="5" fontId="19" fillId="0" borderId="1" xfId="0" applyNumberFormat="1" applyFont="1" applyFill="1" applyBorder="1" applyAlignment="1">
      <alignment horizontal="center" vertical="center"/>
    </xf>
    <xf numFmtId="5" fontId="5" fillId="0" borderId="1" xfId="0" applyNumberFormat="1" applyFont="1" applyBorder="1" applyAlignment="1">
      <alignment horizontal="center" vertical="center"/>
    </xf>
    <xf numFmtId="5" fontId="5" fillId="10" borderId="1" xfId="0" applyNumberFormat="1" applyFont="1" applyFill="1" applyBorder="1" applyAlignment="1">
      <alignment horizontal="center" vertical="center"/>
    </xf>
    <xf numFmtId="5" fontId="5" fillId="0" borderId="5" xfId="0" applyNumberFormat="1" applyFont="1" applyBorder="1" applyAlignment="1">
      <alignment horizontal="center" vertical="center"/>
    </xf>
    <xf numFmtId="58" fontId="19" fillId="0" borderId="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86" fontId="30" fillId="0" borderId="1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86" fontId="19" fillId="0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86" fontId="19" fillId="0" borderId="2" xfId="0" applyNumberFormat="1" applyFont="1" applyFill="1" applyBorder="1" applyAlignment="1">
      <alignment horizontal="center" vertical="center"/>
    </xf>
    <xf numFmtId="10" fontId="29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5" fontId="29" fillId="8" borderId="1" xfId="0" applyNumberFormat="1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5" xfId="0" applyFont="1" applyFill="1" applyBorder="1" applyAlignment="1">
      <alignment horizontal="center" vertical="center"/>
    </xf>
    <xf numFmtId="186" fontId="19" fillId="0" borderId="5" xfId="0" applyNumberFormat="1" applyFont="1" applyFill="1" applyBorder="1" applyAlignment="1">
      <alignment horizontal="center" vertical="center"/>
    </xf>
    <xf numFmtId="186" fontId="2" fillId="4" borderId="1" xfId="0" applyNumberFormat="1" applyFont="1" applyFill="1" applyBorder="1" applyAlignment="1">
      <alignment horizontal="center" vertical="center"/>
    </xf>
    <xf numFmtId="179" fontId="29" fillId="0" borderId="1" xfId="0" applyNumberFormat="1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5" borderId="1" xfId="0" applyFont="1" applyFill="1" applyBorder="1">
      <alignment vertical="center"/>
    </xf>
    <xf numFmtId="0" fontId="19" fillId="0" borderId="5" xfId="0" applyFont="1" applyFill="1" applyBorder="1" applyAlignment="1">
      <alignment horizontal="left" vertical="center" wrapText="1"/>
    </xf>
    <xf numFmtId="186" fontId="19" fillId="5" borderId="1" xfId="0" applyNumberFormat="1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 wrapText="1"/>
    </xf>
    <xf numFmtId="0" fontId="19" fillId="5" borderId="8" xfId="0" applyFont="1" applyFill="1" applyBorder="1">
      <alignment vertical="center"/>
    </xf>
    <xf numFmtId="0" fontId="19" fillId="0" borderId="1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19" fillId="0" borderId="8" xfId="0" applyFont="1" applyBorder="1">
      <alignment vertical="center"/>
    </xf>
    <xf numFmtId="186" fontId="30" fillId="5" borderId="1" xfId="0" applyNumberFormat="1" applyFont="1" applyFill="1" applyBorder="1" applyAlignment="1">
      <alignment horizontal="center" vertical="center"/>
    </xf>
    <xf numFmtId="0" fontId="19" fillId="5" borderId="13" xfId="0" applyFont="1" applyFill="1" applyBorder="1">
      <alignment vertical="center"/>
    </xf>
    <xf numFmtId="186" fontId="19" fillId="5" borderId="4" xfId="0" applyNumberFormat="1" applyFont="1" applyFill="1" applyBorder="1" applyAlignment="1">
      <alignment horizontal="center" vertical="center"/>
    </xf>
    <xf numFmtId="179" fontId="19" fillId="5" borderId="8" xfId="0" applyNumberFormat="1" applyFont="1" applyFill="1" applyBorder="1" applyAlignment="1"/>
    <xf numFmtId="179" fontId="19" fillId="5" borderId="13" xfId="0" applyNumberFormat="1" applyFont="1" applyFill="1" applyBorder="1" applyAlignment="1"/>
    <xf numFmtId="186" fontId="19" fillId="5" borderId="10" xfId="0" applyNumberFormat="1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left" vertical="center" wrapText="1"/>
    </xf>
    <xf numFmtId="186" fontId="19" fillId="0" borderId="10" xfId="0" applyNumberFormat="1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left" vertical="center" wrapText="1"/>
    </xf>
    <xf numFmtId="179" fontId="19" fillId="5" borderId="4" xfId="0" applyNumberFormat="1" applyFont="1" applyFill="1" applyBorder="1" applyAlignment="1"/>
    <xf numFmtId="0" fontId="19" fillId="0" borderId="7" xfId="0" applyFont="1" applyFill="1" applyBorder="1" applyAlignment="1">
      <alignment horizontal="left" vertical="center" wrapText="1"/>
    </xf>
    <xf numFmtId="179" fontId="19" fillId="5" borderId="1" xfId="0" applyNumberFormat="1" applyFont="1" applyFill="1" applyBorder="1" applyAlignment="1"/>
    <xf numFmtId="179" fontId="19" fillId="5" borderId="14" xfId="0" applyNumberFormat="1" applyFont="1" applyFill="1" applyBorder="1" applyAlignment="1"/>
    <xf numFmtId="186" fontId="5" fillId="5" borderId="4" xfId="0" applyNumberFormat="1" applyFont="1" applyFill="1" applyBorder="1" applyAlignment="1">
      <alignment horizontal="center" vertical="center"/>
    </xf>
    <xf numFmtId="186" fontId="5" fillId="5" borderId="1" xfId="0" applyNumberFormat="1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179" fontId="19" fillId="5" borderId="1" xfId="0" applyNumberFormat="1" applyFont="1" applyFill="1" applyBorder="1" applyAlignment="1">
      <alignment horizontal="left"/>
    </xf>
    <xf numFmtId="179" fontId="19" fillId="5" borderId="5" xfId="0" applyNumberFormat="1" applyFont="1" applyFill="1" applyBorder="1" applyAlignment="1"/>
    <xf numFmtId="179" fontId="19" fillId="0" borderId="15" xfId="0" applyNumberFormat="1" applyFont="1" applyFill="1" applyBorder="1" applyAlignment="1">
      <alignment horizontal="center" vertical="center"/>
    </xf>
    <xf numFmtId="180" fontId="29" fillId="0" borderId="1" xfId="0" applyNumberFormat="1" applyFont="1" applyFill="1" applyBorder="1" applyAlignment="1">
      <alignment horizontal="center" vertical="center"/>
    </xf>
    <xf numFmtId="181" fontId="29" fillId="0" borderId="1" xfId="0" applyNumberFormat="1" applyFont="1" applyFill="1" applyBorder="1" applyAlignment="1">
      <alignment horizontal="center" vertical="center"/>
    </xf>
    <xf numFmtId="5" fontId="29" fillId="0" borderId="16" xfId="0" applyNumberFormat="1" applyFont="1" applyFill="1" applyBorder="1" applyAlignment="1">
      <alignment horizontal="center" vertical="center"/>
    </xf>
    <xf numFmtId="180" fontId="19" fillId="5" borderId="1" xfId="0" applyNumberFormat="1" applyFont="1" applyFill="1" applyBorder="1" applyAlignment="1">
      <alignment horizontal="center" vertical="center"/>
    </xf>
    <xf numFmtId="181" fontId="19" fillId="5" borderId="1" xfId="0" applyNumberFormat="1" applyFont="1" applyFill="1" applyBorder="1" applyAlignment="1">
      <alignment horizontal="center" vertical="center"/>
    </xf>
    <xf numFmtId="184" fontId="19" fillId="5" borderId="1" xfId="0" applyNumberFormat="1" applyFont="1" applyFill="1" applyBorder="1" applyAlignment="1">
      <alignment horizontal="center" vertical="center"/>
    </xf>
    <xf numFmtId="181" fontId="30" fillId="5" borderId="1" xfId="0" applyNumberFormat="1" applyFont="1" applyFill="1" applyBorder="1" applyAlignment="1">
      <alignment horizontal="center" vertical="center"/>
    </xf>
    <xf numFmtId="181" fontId="19" fillId="5" borderId="1" xfId="0" applyNumberFormat="1" applyFont="1" applyFill="1" applyBorder="1" applyAlignment="1">
      <alignment horizontal="left" vertical="center"/>
    </xf>
    <xf numFmtId="0" fontId="30" fillId="0" borderId="1" xfId="0" applyFont="1" applyBorder="1" applyAlignment="1">
      <alignment vertical="center" wrapText="1"/>
    </xf>
    <xf numFmtId="180" fontId="19" fillId="5" borderId="0" xfId="0" applyNumberFormat="1" applyFont="1" applyFill="1" applyAlignment="1">
      <alignment horizontal="center" vertical="center"/>
    </xf>
    <xf numFmtId="0" fontId="30" fillId="0" borderId="1" xfId="0" applyFont="1" applyBorder="1">
      <alignment vertical="center"/>
    </xf>
    <xf numFmtId="180" fontId="19" fillId="5" borderId="13" xfId="0" applyNumberFormat="1" applyFont="1" applyFill="1" applyBorder="1" applyAlignment="1">
      <alignment horizontal="center" vertical="center"/>
    </xf>
    <xf numFmtId="179" fontId="19" fillId="5" borderId="1" xfId="0" applyNumberFormat="1" applyFont="1" applyFill="1" applyBorder="1" applyAlignment="1">
      <alignment horizontal="center" vertical="center"/>
    </xf>
    <xf numFmtId="5" fontId="30" fillId="5" borderId="1" xfId="0" applyNumberFormat="1" applyFont="1" applyFill="1" applyBorder="1" applyAlignment="1">
      <alignment horizontal="left" vertical="center"/>
    </xf>
    <xf numFmtId="179" fontId="19" fillId="5" borderId="5" xfId="0" applyNumberFormat="1" applyFont="1" applyFill="1" applyBorder="1" applyAlignment="1">
      <alignment horizontal="center" vertical="center"/>
    </xf>
    <xf numFmtId="180" fontId="19" fillId="5" borderId="1" xfId="0" applyNumberFormat="1" applyFont="1" applyFill="1" applyBorder="1" applyAlignment="1">
      <alignment horizontal="left" vertical="center"/>
    </xf>
    <xf numFmtId="184" fontId="19" fillId="5" borderId="1" xfId="0" applyNumberFormat="1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center" vertical="center" wrapText="1"/>
    </xf>
    <xf numFmtId="179" fontId="19" fillId="5" borderId="4" xfId="0" applyNumberFormat="1" applyFont="1" applyFill="1" applyBorder="1" applyAlignment="1">
      <alignment horizontal="center" vertical="center"/>
    </xf>
    <xf numFmtId="179" fontId="19" fillId="5" borderId="6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/>
    </xf>
    <xf numFmtId="182" fontId="5" fillId="0" borderId="4" xfId="0" applyNumberFormat="1" applyFont="1" applyFill="1" applyBorder="1" applyAlignment="1">
      <alignment horizontal="center" vertical="center"/>
    </xf>
    <xf numFmtId="5" fontId="7" fillId="5" borderId="1" xfId="0" applyNumberFormat="1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4" xfId="0" applyNumberFormat="1" applyFont="1" applyFill="1" applyBorder="1" applyAlignment="1">
      <alignment horizontal="center" vertical="center"/>
    </xf>
    <xf numFmtId="5" fontId="5" fillId="0" borderId="4" xfId="0" applyNumberFormat="1" applyFont="1" applyBorder="1" applyAlignment="1">
      <alignment horizontal="center" vertical="center"/>
    </xf>
    <xf numFmtId="5" fontId="5" fillId="5" borderId="4" xfId="0" applyNumberFormat="1" applyFont="1" applyFill="1" applyBorder="1" applyAlignment="1">
      <alignment horizontal="center" vertical="center"/>
    </xf>
    <xf numFmtId="186" fontId="19" fillId="0" borderId="7" xfId="0" applyNumberFormat="1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30" fillId="0" borderId="1" xfId="0" applyFont="1" applyBorder="1" applyAlignment="1">
      <alignment horizontal="center" vertical="center"/>
    </xf>
    <xf numFmtId="58" fontId="30" fillId="0" borderId="1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vertical="center" wrapText="1"/>
    </xf>
    <xf numFmtId="0" fontId="19" fillId="5" borderId="7" xfId="0" applyFont="1" applyFill="1" applyBorder="1" applyAlignment="1">
      <alignment horizontal="left" vertical="center" wrapText="1"/>
    </xf>
    <xf numFmtId="179" fontId="30" fillId="5" borderId="1" xfId="0" applyNumberFormat="1" applyFont="1" applyFill="1" applyBorder="1" applyAlignment="1"/>
    <xf numFmtId="0" fontId="19" fillId="0" borderId="2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5" borderId="4" xfId="0" applyFont="1" applyFill="1" applyBorder="1">
      <alignment vertical="center"/>
    </xf>
    <xf numFmtId="0" fontId="5" fillId="0" borderId="10" xfId="0" applyFont="1" applyBorder="1">
      <alignment vertical="center"/>
    </xf>
    <xf numFmtId="0" fontId="19" fillId="0" borderId="4" xfId="0" applyFont="1" applyBorder="1">
      <alignment vertical="center"/>
    </xf>
    <xf numFmtId="0" fontId="29" fillId="5" borderId="1" xfId="0" applyFont="1" applyFill="1" applyBorder="1">
      <alignment vertical="center"/>
    </xf>
    <xf numFmtId="184" fontId="30" fillId="5" borderId="1" xfId="0" applyNumberFormat="1" applyFont="1" applyFill="1" applyBorder="1" applyAlignment="1">
      <alignment horizontal="left" vertical="center"/>
    </xf>
    <xf numFmtId="0" fontId="19" fillId="5" borderId="8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9" fillId="5" borderId="3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186" fontId="5" fillId="0" borderId="1" xfId="0" applyNumberFormat="1" applyFont="1" applyBorder="1" applyAlignment="1">
      <alignment horizontal="center" vertical="center"/>
    </xf>
    <xf numFmtId="186" fontId="19" fillId="0" borderId="1" xfId="0" applyNumberFormat="1" applyFont="1" applyBorder="1" applyAlignment="1">
      <alignment horizontal="center" vertical="center"/>
    </xf>
    <xf numFmtId="186" fontId="5" fillId="5" borderId="10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180" fontId="19" fillId="5" borderId="8" xfId="0" applyNumberFormat="1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79" fontId="19" fillId="5" borderId="1" xfId="0" applyNumberFormat="1" applyFont="1" applyFill="1" applyBorder="1" applyAlignment="1">
      <alignment horizontal="center" vertical="center" wrapText="1"/>
    </xf>
    <xf numFmtId="179" fontId="19" fillId="0" borderId="1" xfId="0" applyNumberFormat="1" applyFont="1" applyFill="1" applyBorder="1" applyAlignment="1">
      <alignment horizontal="center" vertical="center"/>
    </xf>
    <xf numFmtId="180" fontId="19" fillId="0" borderId="1" xfId="0" applyNumberFormat="1" applyFont="1" applyFill="1" applyBorder="1" applyAlignment="1">
      <alignment horizontal="center" vertical="center"/>
    </xf>
    <xf numFmtId="179" fontId="29" fillId="5" borderId="4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9" fontId="29" fillId="0" borderId="4" xfId="0" applyNumberFormat="1" applyFont="1" applyFill="1" applyBorder="1" applyAlignment="1">
      <alignment horizontal="center" vertical="center"/>
    </xf>
    <xf numFmtId="5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/>
    </xf>
    <xf numFmtId="182" fontId="19" fillId="0" borderId="1" xfId="0" applyNumberFormat="1" applyFont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center" vertical="center"/>
    </xf>
    <xf numFmtId="182" fontId="19" fillId="5" borderId="1" xfId="0" applyNumberFormat="1" applyFont="1" applyFill="1" applyBorder="1" applyAlignment="1">
      <alignment horizontal="center" vertical="center"/>
    </xf>
    <xf numFmtId="182" fontId="32" fillId="0" borderId="1" xfId="0" applyNumberFormat="1" applyFont="1" applyFill="1" applyBorder="1" applyAlignment="1">
      <alignment horizontal="center" vertical="center"/>
    </xf>
    <xf numFmtId="179" fontId="29" fillId="0" borderId="1" xfId="0" applyNumberFormat="1" applyFont="1" applyFill="1" applyBorder="1" applyAlignment="1">
      <alignment horizontal="center" vertical="center"/>
    </xf>
    <xf numFmtId="10" fontId="7" fillId="5" borderId="1" xfId="0" applyNumberFormat="1" applyFont="1" applyFill="1" applyBorder="1" applyAlignment="1">
      <alignment horizontal="center" vertical="center"/>
    </xf>
    <xf numFmtId="180" fontId="29" fillId="0" borderId="1" xfId="0" applyNumberFormat="1" applyFont="1" applyFill="1" applyBorder="1" applyAlignment="1">
      <alignment horizontal="center" vertical="center" wrapText="1"/>
    </xf>
    <xf numFmtId="10" fontId="29" fillId="0" borderId="1" xfId="0" applyNumberFormat="1" applyFont="1" applyFill="1" applyBorder="1" applyAlignment="1">
      <alignment horizontal="center" vertical="center" wrapText="1"/>
    </xf>
    <xf numFmtId="0" fontId="19" fillId="5" borderId="4" xfId="0" applyNumberFormat="1" applyFont="1" applyFill="1" applyBorder="1" applyAlignment="1">
      <alignment horizontal="center" vertical="center"/>
    </xf>
    <xf numFmtId="5" fontId="29" fillId="5" borderId="1" xfId="0" applyNumberFormat="1" applyFont="1" applyFill="1" applyBorder="1" applyAlignment="1">
      <alignment horizontal="center" vertical="center"/>
    </xf>
    <xf numFmtId="183" fontId="19" fillId="5" borderId="1" xfId="0" applyNumberFormat="1" applyFont="1" applyFill="1" applyBorder="1" applyAlignment="1">
      <alignment horizontal="center" vertical="center"/>
    </xf>
    <xf numFmtId="5" fontId="19" fillId="3" borderId="4" xfId="0" applyNumberFormat="1" applyFont="1" applyFill="1" applyBorder="1" applyAlignment="1">
      <alignment horizontal="center" vertical="center"/>
    </xf>
    <xf numFmtId="5" fontId="19" fillId="5" borderId="4" xfId="0" applyNumberFormat="1" applyFont="1" applyFill="1" applyBorder="1" applyAlignment="1">
      <alignment horizontal="center" vertical="center"/>
    </xf>
    <xf numFmtId="186" fontId="19" fillId="5" borderId="5" xfId="0" applyNumberFormat="1" applyFont="1" applyFill="1" applyBorder="1" applyAlignment="1">
      <alignment horizontal="center" vertical="center"/>
    </xf>
    <xf numFmtId="5" fontId="19" fillId="3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5" fontId="29" fillId="0" borderId="1" xfId="0" applyNumberFormat="1" applyFont="1" applyFill="1" applyBorder="1" applyAlignment="1">
      <alignment horizontal="center" vertical="center"/>
    </xf>
    <xf numFmtId="179" fontId="19" fillId="0" borderId="1" xfId="0" applyNumberFormat="1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186" fontId="19" fillId="5" borderId="8" xfId="0" applyNumberFormat="1" applyFont="1" applyFill="1" applyBorder="1" applyAlignment="1">
      <alignment horizontal="center" vertical="center"/>
    </xf>
    <xf numFmtId="179" fontId="19" fillId="0" borderId="7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>
      <alignment vertical="center"/>
    </xf>
    <xf numFmtId="5" fontId="19" fillId="0" borderId="1" xfId="0" applyNumberFormat="1" applyFont="1" applyFill="1" applyBorder="1" applyAlignment="1">
      <alignment horizontal="center" vertical="center" wrapText="1"/>
    </xf>
    <xf numFmtId="180" fontId="29" fillId="0" borderId="4" xfId="0" applyNumberFormat="1" applyFont="1" applyFill="1" applyBorder="1" applyAlignment="1">
      <alignment horizontal="center" vertical="center"/>
    </xf>
    <xf numFmtId="181" fontId="29" fillId="0" borderId="4" xfId="0" applyNumberFormat="1" applyFont="1" applyFill="1" applyBorder="1" applyAlignment="1">
      <alignment horizontal="center" vertical="center"/>
    </xf>
    <xf numFmtId="180" fontId="5" fillId="0" borderId="4" xfId="0" applyNumberFormat="1" applyFont="1" applyFill="1" applyBorder="1" applyAlignment="1">
      <alignment horizontal="center" vertical="center"/>
    </xf>
    <xf numFmtId="187" fontId="33" fillId="0" borderId="4" xfId="0" applyNumberFormat="1" applyFont="1" applyFill="1" applyBorder="1" applyAlignment="1">
      <alignment horizontal="center" vertical="center"/>
    </xf>
    <xf numFmtId="58" fontId="19" fillId="5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/>
    </xf>
    <xf numFmtId="187" fontId="33" fillId="0" borderId="1" xfId="0" applyNumberFormat="1" applyFont="1" applyFill="1" applyBorder="1" applyAlignment="1">
      <alignment horizontal="center" vertical="center"/>
    </xf>
    <xf numFmtId="191" fontId="19" fillId="5" borderId="1" xfId="0" applyNumberFormat="1" applyFont="1" applyFill="1" applyBorder="1" applyAlignment="1">
      <alignment horizontal="center" vertical="center"/>
    </xf>
    <xf numFmtId="191" fontId="19" fillId="0" borderId="1" xfId="0" applyNumberFormat="1" applyFont="1" applyFill="1" applyBorder="1" applyAlignment="1">
      <alignment horizontal="center" vertical="center"/>
    </xf>
    <xf numFmtId="188" fontId="19" fillId="0" borderId="1" xfId="0" applyNumberFormat="1" applyFont="1" applyFill="1" applyBorder="1" applyAlignment="1">
      <alignment horizontal="center" vertical="center"/>
    </xf>
    <xf numFmtId="189" fontId="19" fillId="0" borderId="1" xfId="0" applyNumberFormat="1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 wrapText="1"/>
    </xf>
    <xf numFmtId="180" fontId="19" fillId="5" borderId="5" xfId="0" applyNumberFormat="1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 wrapText="1"/>
    </xf>
    <xf numFmtId="5" fontId="7" fillId="0" borderId="1" xfId="0" applyNumberFormat="1" applyFont="1" applyFill="1" applyBorder="1" applyAlignment="1">
      <alignment horizontal="center" vertical="center"/>
    </xf>
    <xf numFmtId="188" fontId="19" fillId="5" borderId="1" xfId="0" applyNumberFormat="1" applyFont="1" applyFill="1" applyBorder="1" applyAlignment="1">
      <alignment horizontal="center" vertical="center"/>
    </xf>
    <xf numFmtId="0" fontId="34" fillId="0" borderId="5" xfId="0" applyNumberFormat="1" applyFont="1" applyFill="1" applyBorder="1" applyAlignment="1">
      <alignment horizontal="center" vertical="center"/>
    </xf>
    <xf numFmtId="0" fontId="34" fillId="0" borderId="1" xfId="0" applyNumberFormat="1" applyFont="1" applyFill="1" applyBorder="1" applyAlignment="1">
      <alignment horizontal="center" vertical="center"/>
    </xf>
    <xf numFmtId="182" fontId="19" fillId="3" borderId="1" xfId="0" applyNumberFormat="1" applyFont="1" applyFill="1" applyBorder="1" applyAlignment="1">
      <alignment horizontal="center" vertical="center"/>
    </xf>
    <xf numFmtId="5" fontId="19" fillId="0" borderId="4" xfId="0" applyNumberFormat="1" applyFont="1" applyFill="1" applyBorder="1" applyAlignment="1">
      <alignment horizontal="center" vertical="center"/>
    </xf>
    <xf numFmtId="186" fontId="19" fillId="5" borderId="3" xfId="0" applyNumberFormat="1" applyFont="1" applyFill="1" applyBorder="1" applyAlignment="1">
      <alignment horizontal="center" vertical="center"/>
    </xf>
    <xf numFmtId="179" fontId="30" fillId="0" borderId="5" xfId="0" applyNumberFormat="1" applyFont="1" applyFill="1" applyBorder="1" applyAlignment="1">
      <alignment horizontal="left" vertical="center" wrapText="1"/>
    </xf>
    <xf numFmtId="179" fontId="30" fillId="0" borderId="3" xfId="0" applyNumberFormat="1" applyFont="1" applyFill="1" applyBorder="1" applyAlignment="1">
      <alignment horizontal="left" vertical="center" wrapText="1"/>
    </xf>
    <xf numFmtId="179" fontId="30" fillId="0" borderId="4" xfId="0" applyNumberFormat="1" applyFont="1" applyFill="1" applyBorder="1" applyAlignment="1">
      <alignment horizontal="left" vertical="center" wrapText="1"/>
    </xf>
    <xf numFmtId="179" fontId="19" fillId="0" borderId="4" xfId="0" applyNumberFormat="1" applyFont="1" applyFill="1" applyBorder="1" applyAlignment="1">
      <alignment horizontal="left" vertical="center" wrapText="1"/>
    </xf>
    <xf numFmtId="179" fontId="30" fillId="0" borderId="1" xfId="0" applyNumberFormat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 wrapText="1"/>
    </xf>
    <xf numFmtId="179" fontId="29" fillId="0" borderId="6" xfId="0" applyNumberFormat="1" applyFont="1" applyFill="1" applyBorder="1" applyAlignment="1">
      <alignment horizontal="center" vertical="center"/>
    </xf>
    <xf numFmtId="180" fontId="29" fillId="0" borderId="3" xfId="0" applyNumberFormat="1" applyFont="1" applyFill="1" applyBorder="1" applyAlignment="1">
      <alignment horizontal="center" vertical="center"/>
    </xf>
    <xf numFmtId="179" fontId="29" fillId="0" borderId="13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5" fontId="29" fillId="0" borderId="4" xfId="0" applyNumberFormat="1" applyFont="1" applyFill="1" applyBorder="1" applyAlignment="1">
      <alignment horizontal="center" vertical="center" wrapText="1"/>
    </xf>
    <xf numFmtId="5" fontId="29" fillId="0" borderId="4" xfId="0" applyNumberFormat="1" applyFont="1" applyFill="1" applyBorder="1" applyAlignment="1">
      <alignment horizontal="center" vertical="center"/>
    </xf>
    <xf numFmtId="182" fontId="19" fillId="5" borderId="4" xfId="0" applyNumberFormat="1" applyFont="1" applyFill="1" applyBorder="1" applyAlignment="1">
      <alignment horizontal="center" vertical="center"/>
    </xf>
    <xf numFmtId="193" fontId="19" fillId="0" borderId="4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 wrapText="1"/>
    </xf>
    <xf numFmtId="182" fontId="19" fillId="0" borderId="4" xfId="0" applyNumberFormat="1" applyFont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192" fontId="5" fillId="0" borderId="5" xfId="0" applyNumberFormat="1" applyFont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 wrapText="1"/>
    </xf>
    <xf numFmtId="182" fontId="29" fillId="0" borderId="4" xfId="0" applyNumberFormat="1" applyFont="1" applyFill="1" applyBorder="1" applyAlignment="1">
      <alignment horizontal="center" vertical="center"/>
    </xf>
    <xf numFmtId="7" fontId="29" fillId="0" borderId="4" xfId="0" applyNumberFormat="1" applyFont="1" applyFill="1" applyBorder="1" applyAlignment="1">
      <alignment horizontal="center" vertical="center"/>
    </xf>
    <xf numFmtId="180" fontId="19" fillId="0" borderId="1" xfId="0" applyNumberFormat="1" applyFont="1" applyFill="1" applyBorder="1" applyAlignment="1">
      <alignment horizontal="center" vertical="center" wrapText="1"/>
    </xf>
    <xf numFmtId="180" fontId="29" fillId="0" borderId="10" xfId="0" applyNumberFormat="1" applyFont="1" applyFill="1" applyBorder="1" applyAlignment="1">
      <alignment horizontal="center" vertical="center"/>
    </xf>
    <xf numFmtId="182" fontId="29" fillId="0" borderId="1" xfId="0" applyNumberFormat="1" applyFont="1" applyFill="1" applyBorder="1" applyAlignment="1">
      <alignment horizontal="center" vertical="center"/>
    </xf>
    <xf numFmtId="10" fontId="29" fillId="0" borderId="1" xfId="0" applyNumberFormat="1" applyFont="1" applyFill="1" applyBorder="1" applyAlignment="1">
      <alignment horizontal="center" vertical="center"/>
    </xf>
    <xf numFmtId="10" fontId="29" fillId="0" borderId="17" xfId="0" applyNumberFormat="1" applyFont="1" applyFill="1" applyBorder="1" applyAlignment="1">
      <alignment horizontal="center" vertical="center" wrapText="1"/>
    </xf>
    <xf numFmtId="7" fontId="5" fillId="0" borderId="1" xfId="0" applyNumberFormat="1" applyFont="1" applyBorder="1">
      <alignment vertical="center"/>
    </xf>
    <xf numFmtId="7" fontId="5" fillId="0" borderId="1" xfId="0" applyNumberFormat="1" applyFont="1" applyBorder="1" applyAlignment="1">
      <alignment horizontal="center" vertical="center"/>
    </xf>
    <xf numFmtId="7" fontId="19" fillId="0" borderId="1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Border="1">
      <alignment vertical="center"/>
    </xf>
    <xf numFmtId="5" fontId="5" fillId="11" borderId="1" xfId="0" applyNumberFormat="1" applyFont="1" applyFill="1" applyBorder="1" applyAlignment="1">
      <alignment horizontal="center" vertical="center"/>
    </xf>
    <xf numFmtId="7" fontId="5" fillId="5" borderId="1" xfId="0" applyNumberFormat="1" applyFont="1" applyFill="1" applyBorder="1" applyAlignment="1">
      <alignment horizontal="center" vertical="center"/>
    </xf>
    <xf numFmtId="7" fontId="29" fillId="0" borderId="1" xfId="0" applyNumberFormat="1" applyFont="1" applyFill="1" applyBorder="1" applyAlignment="1">
      <alignment horizontal="center" vertical="center"/>
    </xf>
    <xf numFmtId="7" fontId="19" fillId="11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91" fontId="29" fillId="0" borderId="4" xfId="0" applyNumberFormat="1" applyFont="1" applyFill="1" applyBorder="1" applyAlignment="1">
      <alignment horizontal="center" vertical="center"/>
    </xf>
    <xf numFmtId="183" fontId="29" fillId="0" borderId="1" xfId="0" applyNumberFormat="1" applyFont="1" applyFill="1" applyBorder="1" applyAlignment="1">
      <alignment horizontal="center" vertical="center"/>
    </xf>
    <xf numFmtId="191" fontId="29" fillId="0" borderId="1" xfId="0" applyNumberFormat="1" applyFont="1" applyFill="1" applyBorder="1" applyAlignment="1">
      <alignment horizontal="center" vertical="center"/>
    </xf>
    <xf numFmtId="7" fontId="29" fillId="8" borderId="1" xfId="0" applyNumberFormat="1" applyFont="1" applyFill="1" applyBorder="1" applyAlignment="1">
      <alignment horizontal="center" vertical="center"/>
    </xf>
    <xf numFmtId="5" fontId="5" fillId="5" borderId="8" xfId="0" applyNumberFormat="1" applyFont="1" applyFill="1" applyBorder="1" applyAlignment="1">
      <alignment horizontal="center" vertical="center"/>
    </xf>
    <xf numFmtId="179" fontId="29" fillId="0" borderId="1" xfId="0" applyNumberFormat="1" applyFont="1" applyFill="1" applyBorder="1" applyAlignment="1">
      <alignment horizontal="left" vertical="center" wrapText="1"/>
    </xf>
    <xf numFmtId="186" fontId="19" fillId="0" borderId="2" xfId="0" applyNumberFormat="1" applyFont="1" applyFill="1" applyBorder="1" applyAlignment="1">
      <alignment horizontal="left" vertical="center" wrapText="1"/>
    </xf>
    <xf numFmtId="5" fontId="35" fillId="5" borderId="1" xfId="0" applyNumberFormat="1" applyFont="1" applyFill="1" applyBorder="1" applyAlignment="1">
      <alignment horizontal="center" vertical="center" wrapText="1"/>
    </xf>
    <xf numFmtId="186" fontId="19" fillId="5" borderId="5" xfId="0" applyNumberFormat="1" applyFont="1" applyFill="1" applyBorder="1" applyAlignment="1">
      <alignment horizontal="left" vertical="center" wrapText="1"/>
    </xf>
    <xf numFmtId="179" fontId="19" fillId="5" borderId="1" xfId="0" applyNumberFormat="1" applyFont="1" applyFill="1" applyBorder="1" applyAlignment="1">
      <alignment wrapText="1"/>
    </xf>
    <xf numFmtId="0" fontId="19" fillId="0" borderId="5" xfId="0" applyFont="1" applyBorder="1">
      <alignment vertical="center"/>
    </xf>
    <xf numFmtId="18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19" fillId="0" borderId="17" xfId="0" applyNumberFormat="1" applyFont="1" applyFill="1" applyBorder="1" applyAlignment="1">
      <alignment horizontal="left" vertical="center" wrapText="1"/>
    </xf>
    <xf numFmtId="186" fontId="29" fillId="5" borderId="1" xfId="0" applyNumberFormat="1" applyFont="1" applyFill="1" applyBorder="1" applyAlignment="1">
      <alignment horizontal="center" vertical="center"/>
    </xf>
    <xf numFmtId="179" fontId="29" fillId="0" borderId="14" xfId="0" applyNumberFormat="1" applyFont="1" applyFill="1" applyBorder="1" applyAlignment="1">
      <alignment horizontal="left" vertical="center" wrapText="1"/>
    </xf>
    <xf numFmtId="0" fontId="19" fillId="5" borderId="14" xfId="0" applyFont="1" applyFill="1" applyBorder="1" applyAlignment="1">
      <alignment horizontal="left" vertical="center" wrapText="1"/>
    </xf>
    <xf numFmtId="179" fontId="19" fillId="0" borderId="8" xfId="0" applyNumberFormat="1" applyFont="1" applyFill="1" applyBorder="1" applyAlignment="1">
      <alignment horizontal="left" vertical="center" wrapText="1"/>
    </xf>
    <xf numFmtId="179" fontId="19" fillId="5" borderId="8" xfId="0" applyNumberFormat="1" applyFont="1" applyFill="1" applyBorder="1" applyAlignment="1">
      <alignment horizontal="center" vertical="center"/>
    </xf>
    <xf numFmtId="0" fontId="19" fillId="5" borderId="17" xfId="0" applyNumberFormat="1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180" fontId="29" fillId="0" borderId="17" xfId="0" applyNumberFormat="1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5" fontId="29" fillId="0" borderId="5" xfId="0" applyNumberFormat="1" applyFont="1" applyFill="1" applyBorder="1" applyAlignment="1">
      <alignment horizontal="center" vertical="center"/>
    </xf>
    <xf numFmtId="179" fontId="19" fillId="0" borderId="0" xfId="0" applyNumberFormat="1" applyFont="1" applyFill="1" applyAlignment="1">
      <alignment horizontal="center" vertical="center"/>
    </xf>
    <xf numFmtId="180" fontId="19" fillId="0" borderId="0" xfId="0" applyNumberFormat="1" applyFont="1" applyFill="1" applyAlignment="1">
      <alignment horizontal="center" vertical="center"/>
    </xf>
    <xf numFmtId="0" fontId="19" fillId="5" borderId="4" xfId="0" applyNumberFormat="1" applyFont="1" applyFill="1" applyBorder="1" applyAlignment="1">
      <alignment horizontal="center" vertical="center" wrapText="1"/>
    </xf>
    <xf numFmtId="7" fontId="19" fillId="0" borderId="1" xfId="0" applyNumberFormat="1" applyFont="1" applyFill="1" applyBorder="1" applyAlignment="1">
      <alignment horizontal="center" vertical="center"/>
    </xf>
    <xf numFmtId="180" fontId="19" fillId="3" borderId="1" xfId="0" applyNumberFormat="1" applyFont="1" applyFill="1" applyBorder="1" applyAlignment="1">
      <alignment horizontal="center" vertical="center"/>
    </xf>
    <xf numFmtId="182" fontId="19" fillId="0" borderId="4" xfId="0" applyNumberFormat="1" applyFont="1" applyFill="1" applyBorder="1" applyAlignment="1">
      <alignment horizontal="center" vertical="center"/>
    </xf>
    <xf numFmtId="7" fontId="19" fillId="0" borderId="4" xfId="0" applyNumberFormat="1" applyFont="1" applyFill="1" applyBorder="1" applyAlignment="1">
      <alignment horizontal="center" vertical="center"/>
    </xf>
    <xf numFmtId="180" fontId="19" fillId="3" borderId="4" xfId="0" applyNumberFormat="1" applyFont="1" applyFill="1" applyBorder="1" applyAlignment="1">
      <alignment horizontal="center" vertical="center"/>
    </xf>
    <xf numFmtId="179" fontId="29" fillId="0" borderId="17" xfId="0" applyNumberFormat="1" applyFont="1" applyFill="1" applyBorder="1" applyAlignment="1">
      <alignment horizontal="center" vertical="center"/>
    </xf>
    <xf numFmtId="7" fontId="29" fillId="0" borderId="17" xfId="0" applyNumberFormat="1" applyFont="1" applyFill="1" applyBorder="1" applyAlignment="1">
      <alignment horizontal="center" vertical="center"/>
    </xf>
    <xf numFmtId="180" fontId="29" fillId="0" borderId="8" xfId="0" applyNumberFormat="1" applyFont="1" applyFill="1" applyBorder="1" applyAlignment="1">
      <alignment horizontal="center" vertical="center"/>
    </xf>
    <xf numFmtId="180" fontId="29" fillId="0" borderId="14" xfId="0" applyNumberFormat="1" applyFont="1" applyFill="1" applyBorder="1" applyAlignment="1">
      <alignment horizontal="center" vertical="center"/>
    </xf>
    <xf numFmtId="179" fontId="29" fillId="0" borderId="5" xfId="0" applyNumberFormat="1" applyFont="1" applyFill="1" applyBorder="1" applyAlignment="1">
      <alignment horizontal="center" vertical="center"/>
    </xf>
    <xf numFmtId="10" fontId="29" fillId="0" borderId="5" xfId="0" applyNumberFormat="1" applyFont="1" applyFill="1" applyBorder="1" applyAlignment="1">
      <alignment horizontal="center" vertical="center"/>
    </xf>
    <xf numFmtId="7" fontId="19" fillId="0" borderId="0" xfId="0" applyNumberFormat="1" applyFont="1" applyFill="1" applyAlignment="1">
      <alignment horizontal="center" vertical="center"/>
    </xf>
    <xf numFmtId="0" fontId="19" fillId="5" borderId="8" xfId="0" applyNumberFormat="1" applyFont="1" applyFill="1" applyBorder="1" applyAlignment="1">
      <alignment horizontal="center" vertical="center" wrapText="1"/>
    </xf>
    <xf numFmtId="0" fontId="19" fillId="5" borderId="14" xfId="0" applyNumberFormat="1" applyFont="1" applyFill="1" applyBorder="1" applyAlignment="1">
      <alignment horizontal="center" vertical="center" wrapText="1"/>
    </xf>
    <xf numFmtId="7" fontId="29" fillId="0" borderId="8" xfId="0" applyNumberFormat="1" applyFont="1" applyFill="1" applyBorder="1" applyAlignment="1">
      <alignment horizontal="center" vertical="center"/>
    </xf>
    <xf numFmtId="186" fontId="29" fillId="0" borderId="1" xfId="0" applyNumberFormat="1" applyFont="1" applyFill="1" applyBorder="1" applyAlignment="1">
      <alignment horizontal="center" vertical="center"/>
    </xf>
    <xf numFmtId="186" fontId="5" fillId="0" borderId="4" xfId="0" applyNumberFormat="1" applyFont="1" applyFill="1" applyBorder="1" applyAlignment="1">
      <alignment horizontal="center" vertical="center"/>
    </xf>
    <xf numFmtId="186" fontId="5" fillId="0" borderId="1" xfId="0" applyNumberFormat="1" applyFont="1" applyFill="1" applyBorder="1" applyAlignment="1">
      <alignment horizontal="center" vertical="center"/>
    </xf>
    <xf numFmtId="0" fontId="29" fillId="0" borderId="4" xfId="0" applyNumberFormat="1" applyFont="1" applyFill="1" applyBorder="1" applyAlignment="1">
      <alignment horizontal="center" vertical="center"/>
    </xf>
    <xf numFmtId="186" fontId="29" fillId="0" borderId="4" xfId="0" applyNumberFormat="1" applyFont="1" applyFill="1" applyBorder="1" applyAlignment="1">
      <alignment horizontal="center" vertical="center"/>
    </xf>
    <xf numFmtId="179" fontId="30" fillId="0" borderId="17" xfId="0" applyNumberFormat="1" applyFont="1" applyFill="1" applyBorder="1" applyAlignment="1">
      <alignment horizontal="left" vertical="center" wrapText="1"/>
    </xf>
    <xf numFmtId="5" fontId="5" fillId="0" borderId="4" xfId="0" applyNumberFormat="1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vertical="center" wrapText="1"/>
    </xf>
    <xf numFmtId="0" fontId="19" fillId="5" borderId="8" xfId="0" applyFont="1" applyFill="1" applyBorder="1" applyAlignment="1">
      <alignment horizontal="left" vertical="center" wrapText="1"/>
    </xf>
    <xf numFmtId="186" fontId="29" fillId="0" borderId="5" xfId="0" applyNumberFormat="1" applyFont="1" applyFill="1" applyBorder="1" applyAlignment="1">
      <alignment horizontal="center" vertical="center"/>
    </xf>
    <xf numFmtId="179" fontId="29" fillId="0" borderId="5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vertical="center" wrapText="1"/>
    </xf>
    <xf numFmtId="179" fontId="19" fillId="0" borderId="1" xfId="0" applyNumberFormat="1" applyFont="1" applyFill="1" applyBorder="1" applyAlignment="1">
      <alignment wrapText="1"/>
    </xf>
    <xf numFmtId="58" fontId="5" fillId="0" borderId="1" xfId="0" applyNumberFormat="1" applyFont="1" applyBorder="1">
      <alignment vertical="center"/>
    </xf>
    <xf numFmtId="186" fontId="29" fillId="0" borderId="17" xfId="0" applyNumberFormat="1" applyFont="1" applyFill="1" applyBorder="1" applyAlignment="1">
      <alignment horizontal="center" vertical="center"/>
    </xf>
    <xf numFmtId="186" fontId="29" fillId="0" borderId="11" xfId="0" applyNumberFormat="1" applyFont="1" applyFill="1" applyBorder="1" applyAlignment="1">
      <alignment horizontal="center" vertical="center"/>
    </xf>
    <xf numFmtId="186" fontId="19" fillId="0" borderId="0" xfId="0" applyNumberFormat="1" applyFont="1" applyFill="1" applyAlignment="1">
      <alignment horizontal="center" vertical="center"/>
    </xf>
    <xf numFmtId="179" fontId="19" fillId="0" borderId="0" xfId="0" applyNumberFormat="1" applyFont="1" applyFill="1" applyAlignment="1">
      <alignment horizontal="left" vertical="center" wrapText="1"/>
    </xf>
    <xf numFmtId="0" fontId="19" fillId="12" borderId="8" xfId="0" applyFont="1" applyFill="1" applyBorder="1" applyAlignment="1">
      <alignment horizontal="left" vertical="center" wrapText="1"/>
    </xf>
    <xf numFmtId="0" fontId="19" fillId="0" borderId="1" xfId="0" applyNumberFormat="1" applyFont="1" applyFill="1" applyBorder="1" applyAlignment="1">
      <alignment horizontal="center"/>
    </xf>
    <xf numFmtId="0" fontId="19" fillId="5" borderId="1" xfId="0" applyNumberFormat="1" applyFont="1" applyFill="1" applyBorder="1" applyAlignment="1">
      <alignment horizontal="center"/>
    </xf>
    <xf numFmtId="0" fontId="36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center" vertical="center"/>
    </xf>
    <xf numFmtId="180" fontId="22" fillId="0" borderId="0" xfId="0" applyNumberFormat="1" applyFont="1" applyFill="1" applyAlignment="1">
      <alignment horizontal="center" vertical="center"/>
    </xf>
    <xf numFmtId="180" fontId="0" fillId="0" borderId="0" xfId="0" applyNumberFormat="1" applyFill="1">
      <alignment vertical="center"/>
    </xf>
    <xf numFmtId="7" fontId="5" fillId="0" borderId="0" xfId="0" applyNumberFormat="1" applyFont="1" applyFill="1">
      <alignment vertical="center"/>
    </xf>
    <xf numFmtId="0" fontId="36" fillId="0" borderId="0" xfId="0" applyFont="1" applyFill="1" applyAlignment="1">
      <alignment horizontal="center" vertical="center"/>
    </xf>
    <xf numFmtId="179" fontId="36" fillId="0" borderId="0" xfId="0" applyNumberFormat="1" applyFont="1" applyFill="1" applyAlignment="1">
      <alignment vertical="center"/>
    </xf>
    <xf numFmtId="7" fontId="5" fillId="0" borderId="0" xfId="0" applyNumberFormat="1" applyFont="1">
      <alignment vertical="center"/>
    </xf>
    <xf numFmtId="179" fontId="22" fillId="0" borderId="0" xfId="0" applyNumberFormat="1" applyFont="1" applyFill="1" applyAlignment="1">
      <alignment vertical="center"/>
    </xf>
    <xf numFmtId="179" fontId="22" fillId="0" borderId="0" xfId="0" applyNumberFormat="1" applyFont="1" applyFill="1" applyAlignment="1">
      <alignment horizontal="left" vertical="center"/>
    </xf>
    <xf numFmtId="179" fontId="36" fillId="0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7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5" fontId="19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 wrapText="1"/>
    </xf>
    <xf numFmtId="186" fontId="22" fillId="0" borderId="0" xfId="0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left" vertical="center" wrapText="1"/>
    </xf>
    <xf numFmtId="186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 wrapText="1"/>
    </xf>
    <xf numFmtId="18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2" fontId="5" fillId="5" borderId="12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 wrapText="1"/>
    </xf>
    <xf numFmtId="5" fontId="19" fillId="9" borderId="1" xfId="0" applyNumberFormat="1" applyFont="1" applyFill="1" applyBorder="1" applyAlignment="1">
      <alignment horizontal="center" vertical="center"/>
    </xf>
    <xf numFmtId="5" fontId="19" fillId="0" borderId="5" xfId="0" applyNumberFormat="1" applyFont="1" applyBorder="1" applyAlignment="1">
      <alignment horizontal="center" vertical="center"/>
    </xf>
    <xf numFmtId="179" fontId="19" fillId="5" borderId="6" xfId="0" applyNumberFormat="1" applyFont="1" applyFill="1" applyBorder="1" applyAlignment="1"/>
    <xf numFmtId="58" fontId="30" fillId="0" borderId="10" xfId="0" applyNumberFormat="1" applyFont="1" applyBorder="1">
      <alignment vertical="center"/>
    </xf>
    <xf numFmtId="180" fontId="30" fillId="5" borderId="1" xfId="0" applyNumberFormat="1" applyFont="1" applyFill="1" applyBorder="1" applyAlignment="1">
      <alignment horizontal="left" vertical="center"/>
    </xf>
    <xf numFmtId="179" fontId="30" fillId="5" borderId="1" xfId="0" applyNumberFormat="1" applyFont="1" applyFill="1" applyBorder="1" applyAlignment="1">
      <alignment horizontal="left" vertical="center"/>
    </xf>
    <xf numFmtId="5" fontId="30" fillId="5" borderId="1" xfId="0" applyNumberFormat="1" applyFont="1" applyFill="1" applyBorder="1" applyAlignment="1">
      <alignment horizontal="center" vertical="center"/>
    </xf>
    <xf numFmtId="186" fontId="5" fillId="0" borderId="4" xfId="0" applyNumberFormat="1" applyFont="1" applyBorder="1" applyAlignment="1">
      <alignment horizontal="center" vertical="center"/>
    </xf>
    <xf numFmtId="179" fontId="19" fillId="5" borderId="3" xfId="0" applyNumberFormat="1" applyFont="1" applyFill="1" applyBorder="1" applyAlignment="1">
      <alignment horizontal="center" vertical="center" wrapText="1"/>
    </xf>
    <xf numFmtId="179" fontId="19" fillId="5" borderId="4" xfId="0" applyNumberFormat="1" applyFont="1" applyFill="1" applyBorder="1" applyAlignment="1">
      <alignment horizontal="center" vertical="center" wrapText="1"/>
    </xf>
    <xf numFmtId="5" fontId="5" fillId="5" borderId="3" xfId="0" applyNumberFormat="1" applyFont="1" applyFill="1" applyBorder="1" applyAlignment="1">
      <alignment horizontal="center" vertical="center"/>
    </xf>
    <xf numFmtId="179" fontId="19" fillId="0" borderId="2" xfId="0" applyNumberFormat="1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center" vertical="center"/>
    </xf>
    <xf numFmtId="186" fontId="19" fillId="5" borderId="1" xfId="0" applyNumberFormat="1" applyFont="1" applyFill="1" applyBorder="1" applyAlignment="1">
      <alignment horizontal="center" vertical="center" wrapText="1"/>
    </xf>
    <xf numFmtId="181" fontId="19" fillId="5" borderId="4" xfId="0" applyNumberFormat="1" applyFont="1" applyFill="1" applyBorder="1" applyAlignment="1">
      <alignment horizontal="center" vertical="center"/>
    </xf>
    <xf numFmtId="5" fontId="29" fillId="0" borderId="3" xfId="0" applyNumberFormat="1" applyFont="1" applyFill="1" applyBorder="1" applyAlignment="1">
      <alignment horizontal="center" vertical="center"/>
    </xf>
    <xf numFmtId="182" fontId="19" fillId="0" borderId="8" xfId="0" applyNumberFormat="1" applyFont="1" applyBorder="1" applyAlignment="1">
      <alignment horizontal="center" vertical="center"/>
    </xf>
    <xf numFmtId="5" fontId="19" fillId="11" borderId="1" xfId="0" applyNumberFormat="1" applyFont="1" applyFill="1" applyBorder="1" applyAlignment="1">
      <alignment horizontal="center" vertical="center"/>
    </xf>
    <xf numFmtId="194" fontId="5" fillId="0" borderId="4" xfId="0" applyNumberFormat="1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left" vertical="center" wrapText="1"/>
    </xf>
    <xf numFmtId="0" fontId="19" fillId="5" borderId="5" xfId="0" applyFont="1" applyFill="1" applyBorder="1" applyAlignment="1">
      <alignment horizontal="left" vertical="center" wrapText="1"/>
    </xf>
    <xf numFmtId="179" fontId="30" fillId="0" borderId="7" xfId="0" applyNumberFormat="1" applyFont="1" applyFill="1" applyBorder="1" applyAlignment="1">
      <alignment horizontal="left" vertical="center" wrapText="1"/>
    </xf>
    <xf numFmtId="192" fontId="5" fillId="0" borderId="1" xfId="0" applyNumberFormat="1" applyFont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86" fontId="19" fillId="13" borderId="1" xfId="0" applyNumberFormat="1" applyFont="1" applyFill="1" applyBorder="1" applyAlignment="1">
      <alignment horizontal="center" vertical="center"/>
    </xf>
    <xf numFmtId="179" fontId="26" fillId="0" borderId="0" xfId="0" applyNumberFormat="1" applyFont="1" applyFill="1" applyAlignment="1">
      <alignment horizontal="left" vertical="center"/>
    </xf>
    <xf numFmtId="179" fontId="29" fillId="0" borderId="7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5" borderId="7" xfId="0" applyFont="1" applyFill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1" xfId="0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left" vertical="center"/>
    </xf>
    <xf numFmtId="0" fontId="19" fillId="0" borderId="7" xfId="0" applyFont="1" applyBorder="1">
      <alignment vertical="center"/>
    </xf>
    <xf numFmtId="0" fontId="5" fillId="0" borderId="7" xfId="0" applyFont="1" applyBorder="1">
      <alignment vertical="center"/>
    </xf>
    <xf numFmtId="186" fontId="5" fillId="5" borderId="3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179" fontId="19" fillId="0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180" fontId="19" fillId="13" borderId="1" xfId="0" applyNumberFormat="1" applyFont="1" applyFill="1" applyBorder="1" applyAlignment="1">
      <alignment horizontal="left" vertical="center"/>
    </xf>
    <xf numFmtId="0" fontId="19" fillId="5" borderId="3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182" fontId="5" fillId="5" borderId="5" xfId="0" applyNumberFormat="1" applyFont="1" applyFill="1" applyBorder="1" applyAlignment="1">
      <alignment horizontal="center" vertical="center"/>
    </xf>
    <xf numFmtId="182" fontId="5" fillId="14" borderId="1" xfId="0" applyNumberFormat="1" applyFont="1" applyFill="1" applyBorder="1" applyAlignment="1">
      <alignment horizontal="center" vertical="center"/>
    </xf>
    <xf numFmtId="182" fontId="5" fillId="14" borderId="5" xfId="0" applyNumberFormat="1" applyFont="1" applyFill="1" applyBorder="1" applyAlignment="1">
      <alignment horizontal="center" vertical="center"/>
    </xf>
    <xf numFmtId="182" fontId="19" fillId="14" borderId="1" xfId="0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center" vertical="center"/>
    </xf>
    <xf numFmtId="186" fontId="19" fillId="3" borderId="1" xfId="0" applyNumberFormat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left" vertical="center"/>
    </xf>
    <xf numFmtId="0" fontId="19" fillId="0" borderId="7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179" fontId="41" fillId="5" borderId="1" xfId="0" applyNumberFormat="1" applyFont="1" applyFill="1" applyBorder="1" applyAlignment="1"/>
    <xf numFmtId="0" fontId="41" fillId="5" borderId="1" xfId="0" applyFont="1" applyFill="1" applyBorder="1">
      <alignment vertical="center"/>
    </xf>
    <xf numFmtId="0" fontId="42" fillId="5" borderId="7" xfId="0" applyFont="1" applyFill="1" applyBorder="1" applyAlignment="1">
      <alignment horizontal="left" vertical="center"/>
    </xf>
    <xf numFmtId="186" fontId="19" fillId="5" borderId="7" xfId="0" applyNumberFormat="1" applyFont="1" applyFill="1" applyBorder="1" applyAlignment="1">
      <alignment horizontal="center" vertical="center"/>
    </xf>
    <xf numFmtId="179" fontId="41" fillId="5" borderId="1" xfId="0" applyNumberFormat="1" applyFont="1" applyFill="1" applyBorder="1" applyAlignment="1">
      <alignment horizontal="center" vertical="center"/>
    </xf>
    <xf numFmtId="181" fontId="41" fillId="5" borderId="1" xfId="0" applyNumberFormat="1" applyFont="1" applyFill="1" applyBorder="1" applyAlignment="1">
      <alignment horizontal="left" vertical="center"/>
    </xf>
    <xf numFmtId="179" fontId="19" fillId="5" borderId="5" xfId="0" applyNumberFormat="1" applyFont="1" applyFill="1" applyBorder="1" applyAlignment="1">
      <alignment horizontal="center" vertical="center" wrapText="1"/>
    </xf>
    <xf numFmtId="186" fontId="19" fillId="5" borderId="13" xfId="0" applyNumberFormat="1" applyFont="1" applyFill="1" applyBorder="1" applyAlignment="1">
      <alignment horizontal="center" vertical="center"/>
    </xf>
    <xf numFmtId="186" fontId="19" fillId="0" borderId="1" xfId="0" applyNumberFormat="1" applyFont="1" applyFill="1" applyBorder="1" applyAlignment="1">
      <alignment horizontal="center" vertical="center" wrapText="1"/>
    </xf>
    <xf numFmtId="180" fontId="19" fillId="5" borderId="4" xfId="0" applyNumberFormat="1" applyFont="1" applyFill="1" applyBorder="1" applyAlignment="1">
      <alignment horizontal="center" vertical="center"/>
    </xf>
    <xf numFmtId="182" fontId="33" fillId="0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182" fontId="19" fillId="15" borderId="1" xfId="0" applyNumberFormat="1" applyFont="1" applyFill="1" applyBorder="1" applyAlignment="1">
      <alignment horizontal="center" vertical="center"/>
    </xf>
    <xf numFmtId="186" fontId="5" fillId="0" borderId="13" xfId="0" applyNumberFormat="1" applyFont="1" applyFill="1" applyBorder="1" applyAlignment="1">
      <alignment horizontal="center" vertical="center"/>
    </xf>
    <xf numFmtId="186" fontId="5" fillId="5" borderId="13" xfId="0" applyNumberFormat="1" applyFont="1" applyFill="1" applyBorder="1" applyAlignment="1">
      <alignment horizontal="center" vertical="center"/>
    </xf>
    <xf numFmtId="186" fontId="19" fillId="0" borderId="8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82" fontId="5" fillId="5" borderId="4" xfId="0" applyNumberFormat="1" applyFont="1" applyFill="1" applyBorder="1" applyAlignment="1">
      <alignment horizontal="center" vertical="center"/>
    </xf>
    <xf numFmtId="182" fontId="33" fillId="5" borderId="1" xfId="0" applyNumberFormat="1" applyFont="1" applyFill="1" applyBorder="1" applyAlignment="1">
      <alignment horizontal="center" vertical="center"/>
    </xf>
    <xf numFmtId="180" fontId="29" fillId="0" borderId="7" xfId="0" applyNumberFormat="1" applyFont="1" applyFill="1" applyBorder="1" applyAlignment="1">
      <alignment horizontal="center" vertical="center"/>
    </xf>
    <xf numFmtId="5" fontId="5" fillId="0" borderId="8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 wrapText="1"/>
    </xf>
    <xf numFmtId="195" fontId="5" fillId="5" borderId="1" xfId="0" applyNumberFormat="1" applyFont="1" applyFill="1" applyBorder="1" applyAlignment="1">
      <alignment horizontal="center" vertical="center"/>
    </xf>
    <xf numFmtId="195" fontId="5" fillId="0" borderId="8" xfId="0" applyNumberFormat="1" applyFont="1" applyFill="1" applyBorder="1" applyAlignment="1">
      <alignment horizontal="center" vertical="center"/>
    </xf>
    <xf numFmtId="179" fontId="19" fillId="0" borderId="7" xfId="0" applyNumberFormat="1" applyFont="1" applyFill="1" applyBorder="1" applyAlignment="1">
      <alignment horizontal="left" vertical="center"/>
    </xf>
    <xf numFmtId="179" fontId="29" fillId="0" borderId="7" xfId="0" applyNumberFormat="1" applyFont="1" applyFill="1" applyBorder="1" applyAlignment="1">
      <alignment horizontal="left" vertical="center"/>
    </xf>
    <xf numFmtId="5" fontId="35" fillId="5" borderId="1" xfId="0" applyNumberFormat="1" applyFont="1" applyFill="1" applyBorder="1" applyAlignment="1">
      <alignment horizontal="center" vertical="center"/>
    </xf>
    <xf numFmtId="58" fontId="19" fillId="5" borderId="1" xfId="0" applyNumberFormat="1" applyFont="1" applyFill="1" applyBorder="1">
      <alignment vertical="center"/>
    </xf>
    <xf numFmtId="186" fontId="19" fillId="5" borderId="7" xfId="0" applyNumberFormat="1" applyFont="1" applyFill="1" applyBorder="1" applyAlignment="1">
      <alignment horizontal="left" vertical="center"/>
    </xf>
    <xf numFmtId="186" fontId="19" fillId="0" borderId="2" xfId="0" applyNumberFormat="1" applyFont="1" applyFill="1" applyBorder="1" applyAlignment="1">
      <alignment horizontal="left" vertical="center"/>
    </xf>
    <xf numFmtId="186" fontId="19" fillId="0" borderId="7" xfId="0" applyNumberFormat="1" applyFont="1" applyFill="1" applyBorder="1" applyAlignment="1">
      <alignment horizontal="left" vertical="center"/>
    </xf>
    <xf numFmtId="58" fontId="19" fillId="0" borderId="1" xfId="0" applyNumberFormat="1" applyFont="1" applyFill="1" applyBorder="1" applyAlignment="1">
      <alignment horizontal="center" vertical="center"/>
    </xf>
    <xf numFmtId="58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/>
    </xf>
    <xf numFmtId="179" fontId="29" fillId="0" borderId="11" xfId="0" applyNumberFormat="1" applyFont="1" applyFill="1" applyBorder="1" applyAlignment="1">
      <alignment horizontal="left" vertical="center"/>
    </xf>
    <xf numFmtId="186" fontId="29" fillId="5" borderId="5" xfId="0" applyNumberFormat="1" applyFont="1" applyFill="1" applyBorder="1" applyAlignment="1">
      <alignment horizontal="center" vertical="center"/>
    </xf>
    <xf numFmtId="179" fontId="29" fillId="0" borderId="5" xfId="0" applyNumberFormat="1" applyFont="1" applyFill="1" applyBorder="1" applyAlignment="1">
      <alignment horizontal="left" vertical="center"/>
    </xf>
    <xf numFmtId="186" fontId="19" fillId="0" borderId="5" xfId="0" applyNumberFormat="1" applyFont="1" applyFill="1" applyBorder="1" applyAlignment="1">
      <alignment horizontal="left" vertical="center"/>
    </xf>
    <xf numFmtId="0" fontId="29" fillId="0" borderId="4" xfId="0" applyFont="1" applyFill="1" applyBorder="1" applyAlignment="1">
      <alignment horizontal="center" vertical="center"/>
    </xf>
    <xf numFmtId="182" fontId="19" fillId="14" borderId="8" xfId="0" applyNumberFormat="1" applyFont="1" applyFill="1" applyBorder="1" applyAlignment="1">
      <alignment horizontal="center" vertical="center"/>
    </xf>
    <xf numFmtId="0" fontId="19" fillId="5" borderId="0" xfId="0" applyNumberFormat="1" applyFont="1" applyFill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179" fontId="29" fillId="0" borderId="0" xfId="0" applyNumberFormat="1" applyFont="1" applyFill="1" applyAlignment="1">
      <alignment horizontal="left" vertical="center"/>
    </xf>
    <xf numFmtId="184" fontId="19" fillId="0" borderId="1" xfId="0" applyNumberFormat="1" applyFont="1" applyFill="1" applyBorder="1" applyAlignment="1">
      <alignment horizontal="center" vertical="center"/>
    </xf>
    <xf numFmtId="7" fontId="19" fillId="0" borderId="8" xfId="0" applyNumberFormat="1" applyFont="1" applyFill="1" applyBorder="1" applyAlignment="1">
      <alignment horizontal="center" vertical="center"/>
    </xf>
    <xf numFmtId="7" fontId="43" fillId="0" borderId="0" xfId="0" applyNumberFormat="1" applyFont="1" applyFill="1">
      <alignment vertical="center"/>
    </xf>
    <xf numFmtId="186" fontId="19" fillId="5" borderId="5" xfId="0" applyNumberFormat="1" applyFont="1" applyFill="1" applyBorder="1" applyAlignment="1">
      <alignment horizontal="left" vertical="center"/>
    </xf>
    <xf numFmtId="5" fontId="19" fillId="0" borderId="7" xfId="0" applyNumberFormat="1" applyFont="1" applyBorder="1" applyAlignment="1">
      <alignment horizontal="center" vertical="center"/>
    </xf>
    <xf numFmtId="186" fontId="29" fillId="0" borderId="2" xfId="0" applyNumberFormat="1" applyFont="1" applyFill="1" applyBorder="1" applyAlignment="1">
      <alignment horizontal="center" vertical="center"/>
    </xf>
    <xf numFmtId="179" fontId="19" fillId="0" borderId="5" xfId="0" applyNumberFormat="1" applyFont="1" applyFill="1" applyBorder="1" applyAlignment="1">
      <alignment horizontal="left" vertical="center"/>
    </xf>
    <xf numFmtId="179" fontId="19" fillId="0" borderId="1" xfId="0" applyNumberFormat="1" applyFont="1" applyFill="1" applyBorder="1" applyAlignment="1">
      <alignment horizontal="left" vertical="center"/>
    </xf>
    <xf numFmtId="179" fontId="19" fillId="0" borderId="2" xfId="0" applyNumberFormat="1" applyFont="1" applyFill="1" applyBorder="1" applyAlignment="1">
      <alignment horizontal="left" vertical="center"/>
    </xf>
    <xf numFmtId="179" fontId="29" fillId="0" borderId="1" xfId="0" applyNumberFormat="1" applyFont="1" applyFill="1" applyBorder="1" applyAlignment="1">
      <alignment horizontal="left" vertical="center"/>
    </xf>
    <xf numFmtId="179" fontId="19" fillId="0" borderId="0" xfId="0" applyNumberFormat="1" applyFont="1" applyFill="1" applyAlignment="1">
      <alignment horizontal="left" vertical="center"/>
    </xf>
    <xf numFmtId="179" fontId="36" fillId="12" borderId="0" xfId="0" applyNumberFormat="1" applyFont="1" applyFill="1" applyAlignment="1">
      <alignment horizontal="left" vertical="center"/>
    </xf>
    <xf numFmtId="7" fontId="19" fillId="12" borderId="0" xfId="0" applyNumberFormat="1" applyFont="1" applyFill="1" applyAlignment="1">
      <alignment horizontal="center" vertical="center"/>
    </xf>
    <xf numFmtId="5" fontId="44" fillId="12" borderId="0" xfId="0" applyNumberFormat="1" applyFont="1" applyFill="1" applyAlignment="1">
      <alignment horizontal="center" vertical="center"/>
    </xf>
    <xf numFmtId="5" fontId="44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left" vertical="center"/>
    </xf>
    <xf numFmtId="0" fontId="5" fillId="5" borderId="0" xfId="0" applyFont="1" applyFill="1">
      <alignment vertical="center"/>
    </xf>
    <xf numFmtId="180" fontId="29" fillId="5" borderId="3" xfId="0" applyNumberFormat="1" applyFont="1" applyFill="1" applyBorder="1" applyAlignment="1">
      <alignment horizontal="center" vertical="center"/>
    </xf>
    <xf numFmtId="0" fontId="19" fillId="0" borderId="13" xfId="0" applyFont="1" applyFill="1" applyBorder="1">
      <alignment vertical="center"/>
    </xf>
    <xf numFmtId="0" fontId="19" fillId="0" borderId="1" xfId="0" applyFont="1" applyFill="1" applyBorder="1">
      <alignment vertical="center"/>
    </xf>
    <xf numFmtId="179" fontId="19" fillId="0" borderId="13" xfId="0" applyNumberFormat="1" applyFont="1" applyFill="1" applyBorder="1" applyAlignment="1"/>
    <xf numFmtId="179" fontId="19" fillId="0" borderId="8" xfId="0" applyNumberFormat="1" applyFont="1" applyFill="1" applyBorder="1" applyAlignment="1"/>
    <xf numFmtId="0" fontId="19" fillId="0" borderId="8" xfId="0" applyFont="1" applyFill="1" applyBorder="1">
      <alignment vertical="center"/>
    </xf>
    <xf numFmtId="0" fontId="5" fillId="0" borderId="14" xfId="0" applyFont="1" applyBorder="1">
      <alignment vertical="center"/>
    </xf>
    <xf numFmtId="0" fontId="19" fillId="0" borderId="5" xfId="0" applyFont="1" applyFill="1" applyBorder="1" applyAlignment="1">
      <alignment horizontal="left" vertical="center"/>
    </xf>
    <xf numFmtId="0" fontId="19" fillId="0" borderId="14" xfId="0" applyFont="1" applyFill="1" applyBorder="1" applyAlignment="1">
      <alignment horizontal="left" vertical="center"/>
    </xf>
    <xf numFmtId="181" fontId="19" fillId="0" borderId="1" xfId="0" applyNumberFormat="1" applyFont="1" applyFill="1" applyBorder="1" applyAlignment="1">
      <alignment horizontal="center" vertical="center"/>
    </xf>
    <xf numFmtId="5" fontId="19" fillId="0" borderId="1" xfId="0" applyNumberFormat="1" applyFont="1" applyFill="1" applyBorder="1" applyAlignment="1">
      <alignment horizontal="left" vertical="center"/>
    </xf>
    <xf numFmtId="0" fontId="19" fillId="0" borderId="0" xfId="0" applyFont="1" applyFill="1">
      <alignment vertical="center"/>
    </xf>
    <xf numFmtId="5" fontId="19" fillId="5" borderId="1" xfId="0" applyNumberFormat="1" applyFont="1" applyFill="1" applyBorder="1" applyAlignment="1">
      <alignment horizontal="left" vertical="center"/>
    </xf>
    <xf numFmtId="179" fontId="19" fillId="0" borderId="5" xfId="0" applyNumberFormat="1" applyFont="1" applyFill="1" applyBorder="1" applyAlignment="1">
      <alignment horizontal="center" vertical="center" wrapText="1"/>
    </xf>
    <xf numFmtId="179" fontId="19" fillId="0" borderId="3" xfId="0" applyNumberFormat="1" applyFont="1" applyFill="1" applyBorder="1" applyAlignment="1">
      <alignment horizontal="center" vertical="center" wrapText="1"/>
    </xf>
    <xf numFmtId="179" fontId="19" fillId="0" borderId="4" xfId="0" applyNumberFormat="1" applyFont="1" applyFill="1" applyBorder="1" applyAlignment="1">
      <alignment horizontal="center" vertical="center" wrapText="1"/>
    </xf>
    <xf numFmtId="5" fontId="19" fillId="0" borderId="4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186" fontId="5" fillId="5" borderId="5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center" wrapText="1"/>
    </xf>
    <xf numFmtId="0" fontId="5" fillId="5" borderId="4" xfId="0" applyFont="1" applyFill="1" applyBorder="1">
      <alignment vertical="center"/>
    </xf>
    <xf numFmtId="0" fontId="19" fillId="0" borderId="0" xfId="0" applyFont="1">
      <alignment vertical="center"/>
    </xf>
    <xf numFmtId="180" fontId="19" fillId="5" borderId="5" xfId="0" applyNumberFormat="1" applyFont="1" applyFill="1" applyBorder="1" applyAlignment="1">
      <alignment horizontal="left" vertical="center"/>
    </xf>
    <xf numFmtId="181" fontId="19" fillId="5" borderId="5" xfId="0" applyNumberFormat="1" applyFont="1" applyFill="1" applyBorder="1" applyAlignment="1">
      <alignment horizontal="center" vertical="center"/>
    </xf>
    <xf numFmtId="181" fontId="30" fillId="5" borderId="4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179" fontId="19" fillId="5" borderId="1" xfId="0" applyNumberFormat="1" applyFont="1" applyFill="1" applyBorder="1" applyAlignment="1">
      <alignment horizontal="left" vertical="center" wrapText="1"/>
    </xf>
    <xf numFmtId="180" fontId="5" fillId="5" borderId="1" xfId="0" applyNumberFormat="1" applyFont="1" applyFill="1" applyBorder="1" applyAlignment="1">
      <alignment horizontal="center" vertical="center"/>
    </xf>
    <xf numFmtId="189" fontId="19" fillId="5" borderId="1" xfId="0" applyNumberFormat="1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/>
    </xf>
    <xf numFmtId="179" fontId="29" fillId="5" borderId="1" xfId="0" applyNumberFormat="1" applyFont="1" applyFill="1" applyBorder="1" applyAlignment="1">
      <alignment horizontal="center" vertical="center"/>
    </xf>
    <xf numFmtId="186" fontId="19" fillId="5" borderId="1" xfId="0" applyNumberFormat="1" applyFont="1" applyFill="1" applyBorder="1" applyAlignment="1">
      <alignment horizontal="left" vertical="center"/>
    </xf>
    <xf numFmtId="58" fontId="19" fillId="5" borderId="5" xfId="0" applyNumberFormat="1" applyFont="1" applyFill="1" applyBorder="1" applyAlignment="1">
      <alignment horizontal="center" vertical="center"/>
    </xf>
    <xf numFmtId="58" fontId="5" fillId="5" borderId="1" xfId="0" applyNumberFormat="1" applyFont="1" applyFill="1" applyBorder="1" applyAlignment="1">
      <alignment horizontal="center" vertical="center"/>
    </xf>
    <xf numFmtId="58" fontId="5" fillId="5" borderId="1" xfId="0" applyNumberFormat="1" applyFont="1" applyFill="1" applyBorder="1">
      <alignment vertical="center"/>
    </xf>
    <xf numFmtId="58" fontId="5" fillId="0" borderId="1" xfId="0" applyNumberFormat="1" applyFont="1" applyBorder="1" applyAlignment="1">
      <alignment horizontal="center" vertical="center"/>
    </xf>
    <xf numFmtId="180" fontId="29" fillId="5" borderId="1" xfId="0" applyNumberFormat="1" applyFont="1" applyFill="1" applyBorder="1" applyAlignment="1">
      <alignment horizontal="center" vertical="center"/>
    </xf>
    <xf numFmtId="179" fontId="29" fillId="0" borderId="14" xfId="0" applyNumberFormat="1" applyFont="1" applyFill="1" applyBorder="1" applyAlignment="1">
      <alignment horizontal="left" vertical="center"/>
    </xf>
    <xf numFmtId="0" fontId="19" fillId="5" borderId="1" xfId="0" applyFont="1" applyFill="1" applyBorder="1" applyAlignment="1">
      <alignment vertical="center"/>
    </xf>
    <xf numFmtId="0" fontId="5" fillId="3" borderId="0" xfId="0" applyFont="1" applyFill="1">
      <alignment vertical="center"/>
    </xf>
    <xf numFmtId="0" fontId="45" fillId="0" borderId="1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186" fontId="5" fillId="3" borderId="4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182" fontId="19" fillId="3" borderId="4" xfId="0" applyNumberFormat="1" applyFont="1" applyFill="1" applyBorder="1" applyAlignment="1">
      <alignment horizontal="center" vertical="center"/>
    </xf>
    <xf numFmtId="0" fontId="5" fillId="5" borderId="13" xfId="0" applyFont="1" applyFill="1" applyBorder="1">
      <alignment vertical="center"/>
    </xf>
    <xf numFmtId="0" fontId="19" fillId="0" borderId="4" xfId="0" applyFont="1" applyFill="1" applyBorder="1" applyAlignment="1">
      <alignment horizontal="left" vertical="center"/>
    </xf>
    <xf numFmtId="58" fontId="19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29" fillId="5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45" fillId="0" borderId="3" xfId="0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 wrapText="1"/>
    </xf>
    <xf numFmtId="188" fontId="19" fillId="0" borderId="1" xfId="0" applyNumberFormat="1" applyFont="1" applyBorder="1" applyAlignment="1">
      <alignment horizontal="center" vertical="center"/>
    </xf>
    <xf numFmtId="186" fontId="29" fillId="0" borderId="3" xfId="0" applyNumberFormat="1" applyFont="1" applyFill="1" applyBorder="1" applyAlignment="1">
      <alignment horizontal="center" vertical="center" wrapText="1"/>
    </xf>
    <xf numFmtId="186" fontId="19" fillId="0" borderId="1" xfId="0" applyNumberFormat="1" applyFont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0" fontId="45" fillId="0" borderId="3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180" fontId="29" fillId="3" borderId="1" xfId="0" applyNumberFormat="1" applyFont="1" applyFill="1" applyBorder="1" applyAlignment="1">
      <alignment horizontal="center" vertical="center"/>
    </xf>
    <xf numFmtId="179" fontId="29" fillId="3" borderId="1" xfId="0" applyNumberFormat="1" applyFont="1" applyFill="1" applyBorder="1" applyAlignment="1">
      <alignment horizontal="center" vertical="center"/>
    </xf>
    <xf numFmtId="7" fontId="29" fillId="3" borderId="1" xfId="0" applyNumberFormat="1" applyFont="1" applyFill="1" applyBorder="1" applyAlignment="1">
      <alignment horizontal="center" vertical="center"/>
    </xf>
    <xf numFmtId="179" fontId="22" fillId="0" borderId="0" xfId="0" applyNumberFormat="1" applyFont="1" applyFill="1" applyAlignment="1">
      <alignment horizontal="center" vertical="center"/>
    </xf>
    <xf numFmtId="186" fontId="29" fillId="3" borderId="1" xfId="0" applyNumberFormat="1" applyFont="1" applyFill="1" applyBorder="1" applyAlignment="1">
      <alignment horizontal="center" vertical="center"/>
    </xf>
    <xf numFmtId="186" fontId="29" fillId="3" borderId="5" xfId="0" applyNumberFormat="1" applyFont="1" applyFill="1" applyBorder="1" applyAlignment="1">
      <alignment horizontal="center" vertical="center"/>
    </xf>
    <xf numFmtId="179" fontId="29" fillId="3" borderId="5" xfId="0" applyNumberFormat="1" applyFont="1" applyFill="1" applyBorder="1" applyAlignment="1">
      <alignment horizontal="left" vertical="center"/>
    </xf>
    <xf numFmtId="179" fontId="29" fillId="0" borderId="0" xfId="0" applyNumberFormat="1" applyFont="1" applyFill="1" applyAlignment="1">
      <alignment horizontal="center" vertical="center"/>
    </xf>
    <xf numFmtId="179" fontId="29" fillId="5" borderId="7" xfId="0" applyNumberFormat="1" applyFont="1" applyFill="1" applyBorder="1" applyAlignment="1">
      <alignment horizontal="center" vertical="center"/>
    </xf>
    <xf numFmtId="179" fontId="29" fillId="5" borderId="17" xfId="0" applyNumberFormat="1" applyFont="1" applyFill="1" applyBorder="1" applyAlignment="1">
      <alignment horizontal="center" vertical="center"/>
    </xf>
    <xf numFmtId="182" fontId="29" fillId="5" borderId="1" xfId="0" applyNumberFormat="1" applyFont="1" applyFill="1" applyBorder="1" applyAlignment="1">
      <alignment horizontal="center" vertical="center"/>
    </xf>
    <xf numFmtId="179" fontId="29" fillId="5" borderId="8" xfId="0" applyNumberFormat="1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183" fontId="19" fillId="5" borderId="3" xfId="0" applyNumberFormat="1" applyFont="1" applyFill="1" applyBorder="1" applyAlignment="1">
      <alignment horizontal="center" vertical="center"/>
    </xf>
    <xf numFmtId="186" fontId="19" fillId="0" borderId="9" xfId="0" applyNumberFormat="1" applyFont="1" applyFill="1" applyBorder="1" applyAlignment="1">
      <alignment horizontal="center" vertical="center"/>
    </xf>
    <xf numFmtId="186" fontId="29" fillId="0" borderId="0" xfId="0" applyNumberFormat="1" applyFont="1" applyFill="1" applyAlignment="1">
      <alignment horizontal="center" vertical="center"/>
    </xf>
    <xf numFmtId="3" fontId="19" fillId="0" borderId="13" xfId="0" applyNumberFormat="1" applyFont="1" applyBorder="1">
      <alignment vertical="center"/>
    </xf>
    <xf numFmtId="0" fontId="19" fillId="0" borderId="3" xfId="0" applyFont="1" applyFill="1" applyBorder="1" applyAlignment="1">
      <alignment horizontal="left" vertical="center"/>
    </xf>
    <xf numFmtId="5" fontId="19" fillId="0" borderId="3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49" fontId="19" fillId="5" borderId="4" xfId="0" applyNumberFormat="1" applyFont="1" applyFill="1" applyBorder="1" applyAlignment="1">
      <alignment horizontal="center" vertical="center"/>
    </xf>
    <xf numFmtId="182" fontId="33" fillId="0" borderId="5" xfId="0" applyNumberFormat="1" applyFont="1" applyFill="1" applyBorder="1" applyAlignment="1">
      <alignment horizontal="center" vertical="center"/>
    </xf>
    <xf numFmtId="180" fontId="19" fillId="0" borderId="17" xfId="0" applyNumberFormat="1" applyFont="1" applyFill="1" applyBorder="1" applyAlignment="1">
      <alignment horizontal="center" vertical="center"/>
    </xf>
    <xf numFmtId="185" fontId="33" fillId="0" borderId="1" xfId="0" applyNumberFormat="1" applyFont="1" applyFill="1" applyBorder="1" applyAlignment="1">
      <alignment horizontal="center" vertical="center"/>
    </xf>
    <xf numFmtId="58" fontId="19" fillId="0" borderId="1" xfId="0" applyNumberFormat="1" applyFont="1" applyBorder="1">
      <alignment vertical="center"/>
    </xf>
    <xf numFmtId="186" fontId="19" fillId="5" borderId="0" xfId="0" applyNumberFormat="1" applyFont="1" applyFill="1" applyAlignment="1">
      <alignment horizontal="center" vertical="center"/>
    </xf>
    <xf numFmtId="186" fontId="29" fillId="0" borderId="4" xfId="0" applyNumberFormat="1" applyFont="1" applyFill="1" applyBorder="1" applyAlignment="1">
      <alignment horizontal="center" vertical="center" wrapText="1"/>
    </xf>
    <xf numFmtId="179" fontId="19" fillId="0" borderId="14" xfId="0" applyNumberFormat="1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9" fillId="0" borderId="1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 wrapText="1"/>
    </xf>
    <xf numFmtId="0" fontId="29" fillId="5" borderId="17" xfId="0" applyFont="1" applyFill="1" applyBorder="1" applyAlignment="1">
      <alignment horizontal="center" vertical="center" wrapText="1"/>
    </xf>
    <xf numFmtId="0" fontId="29" fillId="5" borderId="8" xfId="0" applyFont="1" applyFill="1" applyBorder="1" applyAlignment="1">
      <alignment horizontal="center" vertical="center" wrapText="1"/>
    </xf>
    <xf numFmtId="58" fontId="19" fillId="5" borderId="4" xfId="0" applyNumberFormat="1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179" fontId="19" fillId="3" borderId="6" xfId="0" applyNumberFormat="1" applyFont="1" applyFill="1" applyBorder="1" applyAlignment="1">
      <alignment horizontal="center" vertical="center"/>
    </xf>
    <xf numFmtId="182" fontId="5" fillId="3" borderId="4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80" fontId="19" fillId="0" borderId="8" xfId="0" applyNumberFormat="1" applyFont="1" applyFill="1" applyBorder="1" applyAlignment="1">
      <alignment horizontal="center" vertical="center"/>
    </xf>
    <xf numFmtId="5" fontId="5" fillId="3" borderId="4" xfId="0" applyNumberFormat="1" applyFont="1" applyFill="1" applyBorder="1" applyAlignment="1">
      <alignment horizontal="center" vertical="center"/>
    </xf>
    <xf numFmtId="186" fontId="19" fillId="3" borderId="4" xfId="0" applyNumberFormat="1" applyFont="1" applyFill="1" applyBorder="1" applyAlignment="1">
      <alignment horizontal="center" vertical="center"/>
    </xf>
    <xf numFmtId="196" fontId="19" fillId="0" borderId="1" xfId="0" applyNumberFormat="1" applyFont="1" applyFill="1" applyBorder="1" applyAlignment="1">
      <alignment horizontal="center" vertical="center"/>
    </xf>
    <xf numFmtId="186" fontId="19" fillId="0" borderId="15" xfId="0" applyNumberFormat="1" applyFont="1" applyFill="1" applyBorder="1" applyAlignment="1">
      <alignment horizontal="center" vertical="center" wrapText="1"/>
    </xf>
    <xf numFmtId="186" fontId="29" fillId="3" borderId="4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5" fontId="35" fillId="3" borderId="1" xfId="0" applyNumberFormat="1" applyFont="1" applyFill="1" applyBorder="1" applyAlignment="1">
      <alignment horizontal="center" vertical="center"/>
    </xf>
    <xf numFmtId="186" fontId="29" fillId="5" borderId="4" xfId="0" applyNumberFormat="1" applyFont="1" applyFill="1" applyBorder="1" applyAlignment="1">
      <alignment horizontal="center" vertical="center"/>
    </xf>
    <xf numFmtId="186" fontId="29" fillId="11" borderId="1" xfId="0" applyNumberFormat="1" applyFont="1" applyFill="1" applyBorder="1" applyAlignment="1">
      <alignment horizontal="center" vertical="center"/>
    </xf>
    <xf numFmtId="186" fontId="29" fillId="11" borderId="4" xfId="0" applyNumberFormat="1" applyFont="1" applyFill="1" applyBorder="1" applyAlignment="1">
      <alignment horizontal="center" vertical="center"/>
    </xf>
    <xf numFmtId="0" fontId="19" fillId="0" borderId="4" xfId="0" applyNumberFormat="1" applyFont="1" applyBorder="1" applyAlignment="1">
      <alignment horizontal="left" vertical="center" wrapText="1"/>
    </xf>
    <xf numFmtId="186" fontId="19" fillId="0" borderId="4" xfId="0" applyNumberFormat="1" applyFont="1" applyBorder="1" applyAlignment="1">
      <alignment horizontal="center" vertical="center" wrapText="1"/>
    </xf>
    <xf numFmtId="186" fontId="29" fillId="0" borderId="4" xfId="0" applyNumberFormat="1" applyFont="1" applyBorder="1" applyAlignment="1">
      <alignment horizontal="center" vertical="center" wrapText="1"/>
    </xf>
    <xf numFmtId="179" fontId="19" fillId="3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7" fontId="0" fillId="0" borderId="0" xfId="0" applyNumberFormat="1">
      <alignment vertical="center"/>
    </xf>
    <xf numFmtId="179" fontId="29" fillId="7" borderId="1" xfId="0" applyNumberFormat="1" applyFont="1" applyFill="1" applyBorder="1" applyAlignment="1">
      <alignment horizontal="center" vertical="center"/>
    </xf>
    <xf numFmtId="180" fontId="29" fillId="7" borderId="1" xfId="0" applyNumberFormat="1" applyFont="1" applyFill="1" applyBorder="1" applyAlignment="1">
      <alignment horizontal="center" vertical="center" wrapText="1"/>
    </xf>
    <xf numFmtId="179" fontId="19" fillId="0" borderId="6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180" fontId="29" fillId="7" borderId="1" xfId="0" applyNumberFormat="1" applyFont="1" applyFill="1" applyBorder="1" applyAlignment="1">
      <alignment horizontal="center" vertical="center"/>
    </xf>
    <xf numFmtId="180" fontId="29" fillId="7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29" fillId="7" borderId="1" xfId="0" applyNumberFormat="1" applyFont="1" applyFill="1" applyBorder="1" applyAlignment="1">
      <alignment horizontal="center" vertical="center"/>
    </xf>
    <xf numFmtId="181" fontId="46" fillId="7" borderId="1" xfId="0" applyNumberFormat="1" applyFont="1" applyFill="1" applyBorder="1" applyAlignment="1">
      <alignment horizontal="center" vertical="center"/>
    </xf>
    <xf numFmtId="7" fontId="46" fillId="7" borderId="1" xfId="0" applyNumberFormat="1" applyFont="1" applyFill="1" applyBorder="1" applyAlignment="1">
      <alignment horizontal="center" vertical="center"/>
    </xf>
    <xf numFmtId="0" fontId="19" fillId="15" borderId="1" xfId="0" applyNumberFormat="1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182" fontId="29" fillId="7" borderId="4" xfId="0" applyNumberFormat="1" applyFont="1" applyFill="1" applyBorder="1" applyAlignment="1">
      <alignment horizontal="center" vertical="center"/>
    </xf>
    <xf numFmtId="5" fontId="29" fillId="7" borderId="4" xfId="0" applyNumberFormat="1" applyFont="1" applyFill="1" applyBorder="1" applyAlignment="1">
      <alignment horizontal="center" vertical="center"/>
    </xf>
    <xf numFmtId="182" fontId="29" fillId="7" borderId="1" xfId="0" applyNumberFormat="1" applyFont="1" applyFill="1" applyBorder="1" applyAlignment="1">
      <alignment horizontal="center" vertical="center"/>
    </xf>
    <xf numFmtId="10" fontId="29" fillId="7" borderId="1" xfId="0" applyNumberFormat="1" applyFont="1" applyFill="1" applyBorder="1" applyAlignment="1">
      <alignment horizontal="center" vertical="center"/>
    </xf>
    <xf numFmtId="0" fontId="34" fillId="15" borderId="1" xfId="0" applyNumberFormat="1" applyFont="1" applyFill="1" applyBorder="1" applyAlignment="1">
      <alignment horizontal="center" vertical="center"/>
    </xf>
    <xf numFmtId="0" fontId="34" fillId="15" borderId="5" xfId="0" applyNumberFormat="1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183" fontId="29" fillId="7" borderId="1" xfId="0" applyNumberFormat="1" applyFont="1" applyFill="1" applyBorder="1" applyAlignment="1">
      <alignment horizontal="center" vertical="center"/>
    </xf>
    <xf numFmtId="5" fontId="29" fillId="7" borderId="1" xfId="0" applyNumberFormat="1" applyFont="1" applyFill="1" applyBorder="1" applyAlignment="1">
      <alignment horizontal="center" vertical="center"/>
    </xf>
    <xf numFmtId="186" fontId="29" fillId="7" borderId="1" xfId="0" applyNumberFormat="1" applyFont="1" applyFill="1" applyBorder="1" applyAlignment="1">
      <alignment horizontal="center" vertical="center"/>
    </xf>
    <xf numFmtId="186" fontId="19" fillId="0" borderId="7" xfId="0" applyNumberFormat="1" applyFont="1" applyFill="1" applyBorder="1" applyAlignment="1">
      <alignment horizontal="center" vertical="center" wrapText="1"/>
    </xf>
    <xf numFmtId="183" fontId="19" fillId="5" borderId="4" xfId="0" applyNumberFormat="1" applyFont="1" applyFill="1" applyBorder="1" applyAlignment="1">
      <alignment horizontal="center" vertical="center"/>
    </xf>
    <xf numFmtId="186" fontId="7" fillId="5" borderId="4" xfId="0" applyNumberFormat="1" applyFont="1" applyFill="1" applyBorder="1" applyAlignment="1">
      <alignment horizontal="center" vertical="center"/>
    </xf>
    <xf numFmtId="197" fontId="29" fillId="0" borderId="16" xfId="0" applyNumberFormat="1" applyFont="1" applyFill="1" applyBorder="1" applyAlignment="1">
      <alignment horizontal="center" vertical="center"/>
    </xf>
    <xf numFmtId="197" fontId="19" fillId="5" borderId="1" xfId="0" applyNumberFormat="1" applyFont="1" applyFill="1" applyBorder="1" applyAlignment="1">
      <alignment horizontal="center" vertical="center"/>
    </xf>
    <xf numFmtId="197" fontId="19" fillId="0" borderId="1" xfId="0" applyNumberFormat="1" applyFont="1" applyFill="1" applyBorder="1" applyAlignment="1">
      <alignment horizontal="center" vertical="center"/>
    </xf>
    <xf numFmtId="198" fontId="19" fillId="0" borderId="4" xfId="0" applyNumberFormat="1" applyFont="1" applyFill="1" applyBorder="1" applyAlignment="1">
      <alignment horizontal="center" vertical="center"/>
    </xf>
    <xf numFmtId="197" fontId="19" fillId="0" borderId="4" xfId="0" applyNumberFormat="1" applyFont="1" applyFill="1" applyBorder="1" applyAlignment="1">
      <alignment horizontal="center" vertical="center"/>
    </xf>
    <xf numFmtId="199" fontId="5" fillId="5" borderId="1" xfId="0" applyNumberFormat="1" applyFont="1" applyFill="1" applyBorder="1" applyAlignment="1">
      <alignment horizontal="center" vertical="center"/>
    </xf>
    <xf numFmtId="181" fontId="33" fillId="5" borderId="1" xfId="0" applyNumberFormat="1" applyFont="1" applyFill="1" applyBorder="1" applyAlignment="1">
      <alignment horizontal="center" vertical="center"/>
    </xf>
    <xf numFmtId="200" fontId="19" fillId="0" borderId="0" xfId="0" applyNumberFormat="1" applyFont="1" applyFill="1" applyAlignment="1">
      <alignment horizontal="center" vertical="center"/>
    </xf>
    <xf numFmtId="58" fontId="29" fillId="0" borderId="16" xfId="0" applyNumberFormat="1" applyFont="1" applyFill="1" applyBorder="1" applyAlignment="1">
      <alignment horizontal="center" vertical="center"/>
    </xf>
    <xf numFmtId="179" fontId="29" fillId="0" borderId="18" xfId="0" applyNumberFormat="1" applyFont="1" applyFill="1" applyBorder="1" applyAlignment="1">
      <alignment horizontal="center" vertical="center"/>
    </xf>
    <xf numFmtId="200" fontId="29" fillId="0" borderId="18" xfId="0" applyNumberFormat="1" applyFont="1" applyFill="1" applyBorder="1" applyAlignment="1">
      <alignment horizontal="center" vertical="center"/>
    </xf>
    <xf numFmtId="200" fontId="19" fillId="5" borderId="1" xfId="0" applyNumberFormat="1" applyFont="1" applyFill="1" applyBorder="1" applyAlignment="1">
      <alignment horizontal="center" vertical="center"/>
    </xf>
    <xf numFmtId="200" fontId="19" fillId="0" borderId="1" xfId="0" applyNumberFormat="1" applyFont="1" applyFill="1" applyBorder="1" applyAlignment="1">
      <alignment horizontal="center" vertical="center"/>
    </xf>
    <xf numFmtId="200" fontId="19" fillId="0" borderId="4" xfId="0" applyNumberFormat="1" applyFont="1" applyFill="1" applyBorder="1" applyAlignment="1">
      <alignment horizontal="center" vertical="center"/>
    </xf>
    <xf numFmtId="58" fontId="29" fillId="0" borderId="1" xfId="0" applyNumberFormat="1" applyFont="1" applyFill="1" applyBorder="1" applyAlignment="1">
      <alignment horizontal="center" vertical="center"/>
    </xf>
    <xf numFmtId="200" fontId="29" fillId="0" borderId="1" xfId="0" applyNumberFormat="1" applyFont="1" applyFill="1" applyBorder="1" applyAlignment="1">
      <alignment horizontal="center" vertical="center"/>
    </xf>
    <xf numFmtId="201" fontId="19" fillId="5" borderId="1" xfId="0" applyNumberFormat="1" applyFont="1" applyFill="1" applyBorder="1" applyAlignment="1">
      <alignment horizontal="center" vertical="center"/>
    </xf>
    <xf numFmtId="202" fontId="19" fillId="5" borderId="1" xfId="0" applyNumberFormat="1" applyFont="1" applyFill="1" applyBorder="1" applyAlignment="1">
      <alignment horizontal="center" vertical="center"/>
    </xf>
    <xf numFmtId="179" fontId="30" fillId="5" borderId="1" xfId="0" applyNumberFormat="1" applyFont="1" applyFill="1" applyBorder="1" applyAlignment="1">
      <alignment horizontal="center" vertical="center"/>
    </xf>
    <xf numFmtId="200" fontId="19" fillId="5" borderId="1" xfId="0" applyNumberFormat="1" applyFont="1" applyFill="1" applyBorder="1" applyAlignment="1">
      <alignment horizontal="left" vertical="center"/>
    </xf>
    <xf numFmtId="179" fontId="29" fillId="7" borderId="6" xfId="0" applyNumberFormat="1" applyFont="1" applyFill="1" applyBorder="1" applyAlignment="1">
      <alignment horizontal="center" vertical="center"/>
    </xf>
    <xf numFmtId="180" fontId="29" fillId="7" borderId="3" xfId="0" applyNumberFormat="1" applyFont="1" applyFill="1" applyBorder="1" applyAlignment="1">
      <alignment horizontal="center" vertical="center"/>
    </xf>
    <xf numFmtId="179" fontId="29" fillId="7" borderId="13" xfId="0" applyNumberFormat="1" applyFont="1" applyFill="1" applyBorder="1" applyAlignment="1">
      <alignment horizontal="center" vertical="center"/>
    </xf>
    <xf numFmtId="179" fontId="19" fillId="5" borderId="11" xfId="0" applyNumberFormat="1" applyFont="1" applyFill="1" applyBorder="1" applyAlignment="1">
      <alignment horizontal="center" vertical="center"/>
    </xf>
    <xf numFmtId="179" fontId="19" fillId="5" borderId="0" xfId="0" applyNumberFormat="1" applyFont="1" applyFill="1" applyAlignment="1">
      <alignment horizontal="center" vertical="center"/>
    </xf>
    <xf numFmtId="0" fontId="19" fillId="15" borderId="4" xfId="0" applyFont="1" applyFill="1" applyBorder="1" applyAlignment="1">
      <alignment horizontal="center" vertical="center" wrapText="1"/>
    </xf>
    <xf numFmtId="182" fontId="33" fillId="0" borderId="4" xfId="0" applyNumberFormat="1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10" fontId="29" fillId="7" borderId="4" xfId="0" applyNumberFormat="1" applyFont="1" applyFill="1" applyBorder="1" applyAlignment="1">
      <alignment horizontal="center" vertical="center"/>
    </xf>
    <xf numFmtId="0" fontId="19" fillId="5" borderId="6" xfId="0" applyFont="1" applyFill="1" applyBorder="1">
      <alignment vertical="center"/>
    </xf>
    <xf numFmtId="179" fontId="19" fillId="0" borderId="5" xfId="0" applyNumberFormat="1" applyFont="1" applyFill="1" applyBorder="1" applyAlignment="1">
      <alignment horizontal="left" vertical="center" wrapText="1"/>
    </xf>
    <xf numFmtId="179" fontId="19" fillId="5" borderId="1" xfId="0" applyNumberFormat="1" applyFont="1" applyFill="1" applyBorder="1" applyAlignment="1">
      <alignment horizontal="center" wrapText="1"/>
    </xf>
    <xf numFmtId="199" fontId="19" fillId="0" borderId="1" xfId="0" applyNumberFormat="1" applyFont="1" applyFill="1" applyBorder="1" applyAlignment="1">
      <alignment horizontal="center" vertical="center"/>
    </xf>
    <xf numFmtId="181" fontId="33" fillId="0" borderId="1" xfId="0" applyNumberFormat="1" applyFont="1" applyFill="1" applyBorder="1" applyAlignment="1">
      <alignment horizontal="center" vertical="center"/>
    </xf>
    <xf numFmtId="198" fontId="19" fillId="5" borderId="1" xfId="0" applyNumberFormat="1" applyFont="1" applyFill="1" applyBorder="1" applyAlignment="1">
      <alignment horizontal="center" vertical="center"/>
    </xf>
    <xf numFmtId="180" fontId="19" fillId="5" borderId="1" xfId="0" applyNumberFormat="1" applyFont="1" applyFill="1" applyBorder="1" applyAlignment="1">
      <alignment horizontal="center" vertical="center" wrapText="1"/>
    </xf>
    <xf numFmtId="5" fontId="19" fillId="5" borderId="1" xfId="0" applyNumberFormat="1" applyFont="1" applyFill="1" applyBorder="1" applyAlignment="1">
      <alignment horizontal="center" vertical="center" wrapText="1"/>
    </xf>
    <xf numFmtId="198" fontId="19" fillId="5" borderId="1" xfId="0" applyNumberFormat="1" applyFont="1" applyFill="1" applyBorder="1" applyAlignment="1">
      <alignment horizontal="center" vertical="center" wrapText="1"/>
    </xf>
    <xf numFmtId="179" fontId="30" fillId="0" borderId="1" xfId="0" applyNumberFormat="1" applyFont="1" applyFill="1" applyBorder="1" applyAlignment="1">
      <alignment horizontal="center" vertical="center"/>
    </xf>
    <xf numFmtId="200" fontId="19" fillId="0" borderId="1" xfId="0" applyNumberFormat="1" applyFont="1" applyFill="1" applyBorder="1" applyAlignment="1">
      <alignment horizontal="left" vertical="center"/>
    </xf>
    <xf numFmtId="202" fontId="19" fillId="0" borderId="1" xfId="0" applyNumberFormat="1" applyFont="1" applyFill="1" applyBorder="1" applyAlignment="1">
      <alignment horizontal="center" vertical="center"/>
    </xf>
    <xf numFmtId="200" fontId="5" fillId="0" borderId="1" xfId="0" applyNumberFormat="1" applyFont="1" applyFill="1" applyBorder="1">
      <alignment vertical="center"/>
    </xf>
    <xf numFmtId="197" fontId="19" fillId="5" borderId="1" xfId="0" applyNumberFormat="1" applyFont="1" applyFill="1" applyBorder="1" applyAlignment="1">
      <alignment horizontal="center" vertical="center" wrapText="1"/>
    </xf>
    <xf numFmtId="179" fontId="19" fillId="0" borderId="1" xfId="0" applyNumberFormat="1" applyFont="1" applyFill="1" applyBorder="1" applyAlignment="1">
      <alignment horizontal="center" vertical="center" wrapText="1"/>
    </xf>
    <xf numFmtId="179" fontId="19" fillId="5" borderId="8" xfId="0" applyNumberFormat="1" applyFont="1" applyFill="1" applyBorder="1" applyAlignment="1">
      <alignment horizontal="center" vertical="center" wrapText="1"/>
    </xf>
    <xf numFmtId="180" fontId="19" fillId="5" borderId="5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179" fontId="19" fillId="0" borderId="8" xfId="0" applyNumberFormat="1" applyFont="1" applyFill="1" applyBorder="1" applyAlignment="1">
      <alignment horizontal="center" vertical="center"/>
    </xf>
    <xf numFmtId="180" fontId="29" fillId="7" borderId="5" xfId="0" applyNumberFormat="1" applyFont="1" applyFill="1" applyBorder="1" applyAlignment="1">
      <alignment horizontal="center" vertical="center"/>
    </xf>
    <xf numFmtId="0" fontId="20" fillId="3" borderId="0" xfId="0" applyFont="1" applyFill="1">
      <alignment vertical="center"/>
    </xf>
    <xf numFmtId="0" fontId="22" fillId="3" borderId="0" xfId="0" applyNumberFormat="1" applyFont="1" applyFill="1" applyAlignment="1">
      <alignment horizontal="center" vertical="center"/>
    </xf>
    <xf numFmtId="180" fontId="22" fillId="3" borderId="0" xfId="0" applyNumberFormat="1" applyFont="1" applyFill="1" applyAlignment="1">
      <alignment horizontal="center" vertical="center"/>
    </xf>
    <xf numFmtId="0" fontId="20" fillId="12" borderId="0" xfId="0" applyFont="1" applyFill="1">
      <alignment vertical="center"/>
    </xf>
    <xf numFmtId="0" fontId="0" fillId="12" borderId="0" xfId="0" applyFill="1">
      <alignment vertical="center"/>
    </xf>
    <xf numFmtId="180" fontId="0" fillId="12" borderId="0" xfId="0" applyNumberFormat="1" applyFill="1">
      <alignment vertical="center"/>
    </xf>
    <xf numFmtId="0" fontId="20" fillId="10" borderId="0" xfId="0" applyFont="1" applyFill="1">
      <alignment vertical="center"/>
    </xf>
    <xf numFmtId="188" fontId="5" fillId="0" borderId="1" xfId="0" applyNumberFormat="1" applyFont="1" applyBorder="1" applyAlignment="1">
      <alignment horizontal="center" vertical="center"/>
    </xf>
    <xf numFmtId="0" fontId="19" fillId="15" borderId="8" xfId="0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7" fontId="29" fillId="7" borderId="1" xfId="0" applyNumberFormat="1" applyFont="1" applyFill="1" applyBorder="1" applyAlignment="1">
      <alignment horizontal="center" vertical="center"/>
    </xf>
    <xf numFmtId="7" fontId="19" fillId="0" borderId="0" xfId="0" applyNumberFormat="1" applyFont="1" applyFill="1">
      <alignment vertical="center"/>
    </xf>
    <xf numFmtId="183" fontId="19" fillId="5" borderId="1" xfId="0" applyNumberFormat="1" applyFont="1" applyFill="1" applyBorder="1" applyAlignment="1">
      <alignment horizontal="center" vertical="center" wrapText="1"/>
    </xf>
    <xf numFmtId="183" fontId="19" fillId="0" borderId="4" xfId="0" applyNumberFormat="1" applyFont="1" applyFill="1" applyBorder="1" applyAlignment="1">
      <alignment horizontal="center" vertical="center" wrapText="1"/>
    </xf>
    <xf numFmtId="183" fontId="19" fillId="0" borderId="1" xfId="0" applyNumberFormat="1" applyFont="1" applyFill="1" applyBorder="1" applyAlignment="1">
      <alignment horizontal="center" vertical="center" wrapText="1"/>
    </xf>
    <xf numFmtId="179" fontId="19" fillId="5" borderId="1" xfId="0" applyNumberFormat="1" applyFont="1" applyFill="1" applyBorder="1" applyAlignment="1">
      <alignment horizontal="left" vertical="center"/>
    </xf>
    <xf numFmtId="182" fontId="30" fillId="5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188" fontId="35" fillId="5" borderId="1" xfId="0" applyNumberFormat="1" applyFont="1" applyFill="1" applyBorder="1" applyAlignment="1">
      <alignment horizontal="center" vertical="center" wrapText="1"/>
    </xf>
    <xf numFmtId="199" fontId="19" fillId="5" borderId="1" xfId="0" applyNumberFormat="1" applyFont="1" applyFill="1" applyBorder="1" applyAlignment="1">
      <alignment horizontal="center" vertical="center"/>
    </xf>
    <xf numFmtId="188" fontId="19" fillId="0" borderId="1" xfId="0" applyNumberFormat="1" applyFont="1" applyFill="1" applyBorder="1" applyAlignment="1">
      <alignment horizontal="center" vertical="center" wrapText="1"/>
    </xf>
    <xf numFmtId="198" fontId="19" fillId="0" borderId="0" xfId="0" applyNumberFormat="1" applyFont="1" applyFill="1" applyAlignment="1">
      <alignment horizontal="center" vertical="center"/>
    </xf>
    <xf numFmtId="200" fontId="22" fillId="0" borderId="0" xfId="0" applyNumberFormat="1" applyFont="1" applyFill="1" applyAlignment="1">
      <alignment horizontal="center" vertical="center"/>
    </xf>
    <xf numFmtId="200" fontId="0" fillId="0" borderId="0" xfId="0" applyNumberFormat="1" applyFill="1">
      <alignment vertical="center"/>
    </xf>
    <xf numFmtId="0" fontId="29" fillId="7" borderId="0" xfId="0" applyFont="1" applyFill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179" fontId="19" fillId="5" borderId="13" xfId="0" applyNumberFormat="1" applyFont="1" applyFill="1" applyBorder="1" applyAlignment="1">
      <alignment horizontal="center" vertical="center"/>
    </xf>
    <xf numFmtId="179" fontId="19" fillId="5" borderId="17" xfId="0" applyNumberFormat="1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203" fontId="19" fillId="0" borderId="1" xfId="0" applyNumberFormat="1" applyFont="1" applyFill="1" applyBorder="1" applyAlignment="1">
      <alignment horizontal="center" vertical="center" wrapText="1"/>
    </xf>
    <xf numFmtId="179" fontId="19" fillId="5" borderId="12" xfId="0" applyNumberFormat="1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 wrapText="1"/>
    </xf>
    <xf numFmtId="0" fontId="19" fillId="10" borderId="8" xfId="0" applyNumberFormat="1" applyFont="1" applyFill="1" applyBorder="1" applyAlignment="1">
      <alignment horizontal="center" vertical="center"/>
    </xf>
    <xf numFmtId="0" fontId="19" fillId="10" borderId="1" xfId="0" applyNumberFormat="1" applyFont="1" applyFill="1" applyBorder="1" applyAlignment="1">
      <alignment horizontal="center" vertical="center"/>
    </xf>
    <xf numFmtId="182" fontId="19" fillId="0" borderId="1" xfId="0" applyNumberFormat="1" applyFont="1" applyFill="1" applyBorder="1" applyAlignment="1">
      <alignment horizontal="center" vertical="center" wrapText="1"/>
    </xf>
    <xf numFmtId="182" fontId="33" fillId="5" borderId="4" xfId="0" applyNumberFormat="1" applyFont="1" applyFill="1" applyBorder="1" applyAlignment="1">
      <alignment horizontal="center" vertical="center"/>
    </xf>
    <xf numFmtId="179" fontId="19" fillId="5" borderId="1" xfId="0" applyNumberFormat="1" applyFont="1" applyFill="1" applyBorder="1" applyAlignment="1">
      <alignment horizontal="center"/>
    </xf>
    <xf numFmtId="188" fontId="19" fillId="5" borderId="1" xfId="0" applyNumberFormat="1" applyFont="1" applyFill="1" applyBorder="1" applyAlignment="1">
      <alignment horizontal="center" vertical="center" wrapText="1"/>
    </xf>
    <xf numFmtId="182" fontId="47" fillId="5" borderId="1" xfId="6" applyNumberFormat="1" applyFont="1" applyFill="1" applyBorder="1" applyAlignment="1">
      <alignment horizontal="center" vertical="center"/>
    </xf>
    <xf numFmtId="0" fontId="34" fillId="10" borderId="1" xfId="0" applyNumberFormat="1" applyFont="1" applyFill="1" applyBorder="1" applyAlignment="1">
      <alignment horizontal="center" vertical="center"/>
    </xf>
    <xf numFmtId="6" fontId="5" fillId="5" borderId="1" xfId="0" applyNumberFormat="1" applyFont="1" applyFill="1" applyBorder="1" applyAlignment="1">
      <alignment horizontal="center" vertical="center"/>
    </xf>
    <xf numFmtId="186" fontId="19" fillId="0" borderId="4" xfId="0" applyNumberFormat="1" applyFont="1" applyBorder="1" applyAlignment="1">
      <alignment horizontal="center" vertical="center"/>
    </xf>
    <xf numFmtId="186" fontId="19" fillId="5" borderId="4" xfId="0" applyNumberFormat="1" applyFont="1" applyFill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/>
    </xf>
    <xf numFmtId="179" fontId="19" fillId="5" borderId="0" xfId="0" applyNumberFormat="1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9" fillId="10" borderId="1" xfId="0" applyNumberFormat="1" applyFont="1" applyFill="1" applyBorder="1" applyAlignment="1">
      <alignment horizontal="center" vertical="center" wrapText="1"/>
    </xf>
    <xf numFmtId="5" fontId="5" fillId="3" borderId="1" xfId="0" applyNumberFormat="1" applyFont="1" applyFill="1" applyBorder="1" applyAlignment="1">
      <alignment horizontal="center" vertical="center"/>
    </xf>
    <xf numFmtId="179" fontId="19" fillId="3" borderId="5" xfId="0" applyNumberFormat="1" applyFont="1" applyFill="1" applyBorder="1" applyAlignment="1">
      <alignment horizontal="center" vertical="center" wrapText="1"/>
    </xf>
    <xf numFmtId="179" fontId="19" fillId="5" borderId="14" xfId="0" applyNumberFormat="1" applyFont="1" applyFill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/>
    </xf>
    <xf numFmtId="5" fontId="19" fillId="0" borderId="7" xfId="0" applyNumberFormat="1" applyFont="1" applyFill="1" applyBorder="1" applyAlignment="1">
      <alignment horizontal="center" vertical="center"/>
    </xf>
    <xf numFmtId="5" fontId="5" fillId="5" borderId="7" xfId="0" applyNumberFormat="1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186" fontId="19" fillId="5" borderId="4" xfId="0" applyNumberFormat="1" applyFont="1" applyFill="1" applyBorder="1" applyAlignment="1">
      <alignment horizontal="center" vertical="center" wrapText="1"/>
    </xf>
    <xf numFmtId="179" fontId="19" fillId="0" borderId="1" xfId="0" applyNumberFormat="1" applyFont="1" applyFill="1" applyBorder="1" applyAlignment="1"/>
    <xf numFmtId="0" fontId="19" fillId="12" borderId="1" xfId="0" applyFont="1" applyFill="1" applyBorder="1" applyAlignment="1">
      <alignment horizontal="left" vertical="center" wrapText="1"/>
    </xf>
    <xf numFmtId="49" fontId="19" fillId="5" borderId="1" xfId="0" applyNumberFormat="1" applyFont="1" applyFill="1" applyBorder="1" applyAlignment="1"/>
    <xf numFmtId="186" fontId="30" fillId="5" borderId="4" xfId="0" applyNumberFormat="1" applyFont="1" applyFill="1" applyBorder="1" applyAlignment="1">
      <alignment horizontal="center" vertical="center" wrapText="1"/>
    </xf>
    <xf numFmtId="22" fontId="30" fillId="5" borderId="1" xfId="0" applyNumberFormat="1" applyFont="1" applyFill="1" applyBorder="1" applyAlignment="1">
      <alignment horizontal="left" vertical="center"/>
    </xf>
    <xf numFmtId="181" fontId="30" fillId="5" borderId="1" xfId="0" applyNumberFormat="1" applyFont="1" applyFill="1" applyBorder="1" applyAlignment="1">
      <alignment horizontal="left" vertical="center"/>
    </xf>
    <xf numFmtId="180" fontId="19" fillId="0" borderId="1" xfId="0" applyNumberFormat="1" applyFont="1" applyFill="1" applyBorder="1" applyAlignment="1">
      <alignment horizontal="left" vertical="center"/>
    </xf>
    <xf numFmtId="186" fontId="30" fillId="0" borderId="1" xfId="0" applyNumberFormat="1" applyFont="1" applyFill="1" applyBorder="1" applyAlignment="1">
      <alignment horizontal="center" vertical="center" wrapText="1"/>
    </xf>
    <xf numFmtId="186" fontId="30" fillId="5" borderId="1" xfId="0" applyNumberFormat="1" applyFont="1" applyFill="1" applyBorder="1" applyAlignment="1">
      <alignment horizontal="center" vertical="center" wrapText="1"/>
    </xf>
    <xf numFmtId="186" fontId="19" fillId="0" borderId="1" xfId="0" applyNumberFormat="1" applyFont="1" applyFill="1" applyBorder="1" applyAlignment="1">
      <alignment horizontal="left" vertical="center"/>
    </xf>
    <xf numFmtId="186" fontId="19" fillId="0" borderId="5" xfId="0" applyNumberFormat="1" applyFont="1" applyFill="1" applyBorder="1" applyAlignment="1">
      <alignment horizontal="left" vertical="center" wrapText="1"/>
    </xf>
    <xf numFmtId="186" fontId="19" fillId="0" borderId="1" xfId="0" applyNumberFormat="1" applyFont="1" applyFill="1" applyBorder="1" applyAlignment="1">
      <alignment horizontal="left" vertical="center" wrapText="1"/>
    </xf>
    <xf numFmtId="186" fontId="30" fillId="0" borderId="5" xfId="0" applyNumberFormat="1" applyFont="1" applyFill="1" applyBorder="1" applyAlignment="1">
      <alignment horizontal="center" vertical="center"/>
    </xf>
    <xf numFmtId="186" fontId="19" fillId="10" borderId="1" xfId="0" applyNumberFormat="1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left" vertical="center" wrapText="1"/>
    </xf>
    <xf numFmtId="186" fontId="30" fillId="0" borderId="5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186" fontId="30" fillId="0" borderId="4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left" vertical="center" wrapText="1"/>
    </xf>
    <xf numFmtId="182" fontId="5" fillId="0" borderId="5" xfId="0" applyNumberFormat="1" applyFont="1" applyBorder="1" applyAlignment="1">
      <alignment horizontal="center" vertical="center"/>
    </xf>
    <xf numFmtId="5" fontId="5" fillId="0" borderId="8" xfId="0" applyNumberFormat="1" applyFont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 wrapText="1"/>
    </xf>
    <xf numFmtId="179" fontId="41" fillId="12" borderId="1" xfId="0" applyNumberFormat="1" applyFont="1" applyFill="1" applyBorder="1" applyAlignment="1">
      <alignment horizontal="left" vertical="center" wrapText="1"/>
    </xf>
    <xf numFmtId="179" fontId="30" fillId="0" borderId="2" xfId="0" applyNumberFormat="1" applyFont="1" applyFill="1" applyBorder="1" applyAlignment="1">
      <alignment horizontal="left" vertical="center" wrapText="1"/>
    </xf>
    <xf numFmtId="0" fontId="41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34" fillId="5" borderId="1" xfId="0" applyNumberFormat="1" applyFont="1" applyFill="1" applyBorder="1" applyAlignment="1">
      <alignment horizontal="center" vertical="center"/>
    </xf>
    <xf numFmtId="0" fontId="5" fillId="0" borderId="12" xfId="0" applyFont="1" applyBorder="1">
      <alignment vertical="center"/>
    </xf>
    <xf numFmtId="181" fontId="29" fillId="5" borderId="1" xfId="0" applyNumberFormat="1" applyFont="1" applyFill="1" applyBorder="1" applyAlignment="1">
      <alignment horizontal="center" vertical="center"/>
    </xf>
    <xf numFmtId="58" fontId="29" fillId="5" borderId="1" xfId="0" applyNumberFormat="1" applyFont="1" applyFill="1" applyBorder="1" applyAlignment="1">
      <alignment horizontal="center" vertical="center"/>
    </xf>
    <xf numFmtId="200" fontId="29" fillId="5" borderId="1" xfId="0" applyNumberFormat="1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 wrapText="1"/>
    </xf>
    <xf numFmtId="179" fontId="29" fillId="5" borderId="3" xfId="0" applyNumberFormat="1" applyFont="1" applyFill="1" applyBorder="1" applyAlignment="1">
      <alignment horizontal="center" vertical="center"/>
    </xf>
    <xf numFmtId="49" fontId="19" fillId="15" borderId="1" xfId="0" applyNumberFormat="1" applyFont="1" applyFill="1" applyBorder="1" applyAlignment="1">
      <alignment horizontal="center" vertical="center"/>
    </xf>
    <xf numFmtId="0" fontId="19" fillId="15" borderId="1" xfId="0" applyNumberFormat="1" applyFont="1" applyFill="1" applyBorder="1" applyAlignment="1">
      <alignment horizontal="center" vertical="center" wrapText="1"/>
    </xf>
    <xf numFmtId="180" fontId="7" fillId="0" borderId="1" xfId="0" applyNumberFormat="1" applyFont="1" applyFill="1" applyBorder="1" applyAlignment="1">
      <alignment horizontal="center" vertical="center"/>
    </xf>
    <xf numFmtId="186" fontId="5" fillId="3" borderId="1" xfId="0" applyNumberFormat="1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left" vertical="center"/>
    </xf>
    <xf numFmtId="188" fontId="29" fillId="0" borderId="1" xfId="0" applyNumberFormat="1" applyFont="1" applyFill="1" applyBorder="1" applyAlignment="1">
      <alignment horizontal="center" vertical="center"/>
    </xf>
    <xf numFmtId="189" fontId="29" fillId="0" borderId="1" xfId="0" applyNumberFormat="1" applyFont="1" applyFill="1" applyBorder="1" applyAlignment="1">
      <alignment horizontal="center" vertical="center"/>
    </xf>
    <xf numFmtId="199" fontId="29" fillId="0" borderId="1" xfId="0" applyNumberFormat="1" applyFont="1" applyFill="1" applyBorder="1" applyAlignment="1">
      <alignment horizontal="center" vertical="center"/>
    </xf>
    <xf numFmtId="181" fontId="32" fillId="0" borderId="1" xfId="0" applyNumberFormat="1" applyFont="1" applyFill="1" applyBorder="1" applyAlignment="1">
      <alignment horizontal="center" vertical="center"/>
    </xf>
    <xf numFmtId="202" fontId="29" fillId="0" borderId="1" xfId="0" applyNumberFormat="1" applyFont="1" applyFill="1" applyBorder="1" applyAlignment="1">
      <alignment horizontal="center" vertical="center"/>
    </xf>
    <xf numFmtId="5" fontId="5" fillId="0" borderId="0" xfId="0" applyNumberFormat="1" applyFont="1" applyFill="1" applyAlignment="1">
      <alignment horizontal="center" vertical="center"/>
    </xf>
    <xf numFmtId="5" fontId="41" fillId="0" borderId="0" xfId="0" applyNumberFormat="1" applyFont="1" applyFill="1" applyAlignment="1">
      <alignment horizontal="center" vertical="center"/>
    </xf>
    <xf numFmtId="1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179" fontId="19" fillId="0" borderId="1" xfId="0" applyNumberFormat="1" applyFont="1" applyBorder="1" applyAlignment="1">
      <alignment horizontal="center" vertical="center" wrapText="1"/>
    </xf>
    <xf numFmtId="188" fontId="35" fillId="0" borderId="1" xfId="0" applyNumberFormat="1" applyFont="1" applyFill="1" applyBorder="1" applyAlignment="1">
      <alignment horizontal="center" vertical="center" wrapText="1"/>
    </xf>
    <xf numFmtId="187" fontId="33" fillId="5" borderId="1" xfId="0" applyNumberFormat="1" applyFont="1" applyFill="1" applyBorder="1" applyAlignment="1">
      <alignment horizontal="center" vertical="center"/>
    </xf>
    <xf numFmtId="10" fontId="19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179" fontId="29" fillId="0" borderId="0" xfId="0" applyNumberFormat="1" applyFont="1" applyFill="1" applyAlignment="1">
      <alignment horizontal="center" vertical="center" wrapText="1"/>
    </xf>
    <xf numFmtId="49" fontId="29" fillId="7" borderId="1" xfId="0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179" fontId="29" fillId="7" borderId="1" xfId="0" applyNumberFormat="1" applyFont="1" applyFill="1" applyBorder="1" applyAlignment="1">
      <alignment horizontal="center" vertical="center" wrapText="1"/>
    </xf>
    <xf numFmtId="0" fontId="34" fillId="15" borderId="1" xfId="0" applyNumberFormat="1" applyFont="1" applyFill="1" applyBorder="1" applyAlignment="1">
      <alignment horizontal="center" vertical="center" wrapText="1"/>
    </xf>
    <xf numFmtId="0" fontId="19" fillId="5" borderId="13" xfId="0" applyNumberFormat="1" applyFont="1" applyFill="1" applyBorder="1" applyAlignment="1">
      <alignment horizontal="center" vertical="center"/>
    </xf>
    <xf numFmtId="0" fontId="19" fillId="5" borderId="0" xfId="0" applyFont="1" applyFill="1">
      <alignment vertical="center"/>
    </xf>
    <xf numFmtId="179" fontId="19" fillId="0" borderId="5" xfId="0" applyNumberFormat="1" applyFont="1" applyBorder="1" applyAlignment="1">
      <alignment horizontal="center" vertical="center" wrapText="1"/>
    </xf>
    <xf numFmtId="179" fontId="19" fillId="0" borderId="4" xfId="0" applyNumberFormat="1" applyFont="1" applyBorder="1" applyAlignment="1">
      <alignment horizontal="center" vertical="center" wrapText="1"/>
    </xf>
    <xf numFmtId="198" fontId="19" fillId="0" borderId="1" xfId="0" applyNumberFormat="1" applyFont="1" applyFill="1" applyBorder="1" applyAlignment="1">
      <alignment horizontal="center" vertical="center"/>
    </xf>
    <xf numFmtId="199" fontId="5" fillId="0" borderId="1" xfId="0" applyNumberFormat="1" applyFont="1" applyFill="1" applyBorder="1" applyAlignment="1">
      <alignment horizontal="center" vertical="center"/>
    </xf>
    <xf numFmtId="199" fontId="30" fillId="0" borderId="1" xfId="0" applyNumberFormat="1" applyFont="1" applyFill="1" applyBorder="1" applyAlignment="1">
      <alignment horizontal="center" vertical="center"/>
    </xf>
    <xf numFmtId="183" fontId="19" fillId="0" borderId="1" xfId="0" applyNumberFormat="1" applyFont="1" applyFill="1" applyBorder="1" applyAlignment="1">
      <alignment horizontal="center" vertical="center"/>
    </xf>
    <xf numFmtId="201" fontId="19" fillId="0" borderId="1" xfId="0" applyNumberFormat="1" applyFont="1" applyFill="1" applyBorder="1" applyAlignment="1">
      <alignment horizontal="center" vertical="center"/>
    </xf>
    <xf numFmtId="179" fontId="19" fillId="0" borderId="17" xfId="0" applyNumberFormat="1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 wrapText="1"/>
    </xf>
    <xf numFmtId="49" fontId="19" fillId="1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79" fontId="19" fillId="0" borderId="0" xfId="0" applyNumberFormat="1" applyFont="1" applyFill="1" applyAlignment="1">
      <alignment horizontal="center" vertical="center" wrapText="1"/>
    </xf>
    <xf numFmtId="0" fontId="36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186" fontId="19" fillId="0" borderId="8" xfId="0" applyNumberFormat="1" applyFont="1" applyBorder="1" applyAlignment="1">
      <alignment horizontal="center" vertical="center"/>
    </xf>
    <xf numFmtId="186" fontId="19" fillId="0" borderId="13" xfId="0" applyNumberFormat="1" applyFont="1" applyBorder="1" applyAlignment="1">
      <alignment horizontal="center" vertical="center"/>
    </xf>
    <xf numFmtId="186" fontId="44" fillId="0" borderId="1" xfId="0" applyNumberFormat="1" applyFont="1" applyFill="1" applyBorder="1" applyAlignment="1">
      <alignment horizontal="center" vertical="center"/>
    </xf>
    <xf numFmtId="186" fontId="19" fillId="0" borderId="5" xfId="0" applyNumberFormat="1" applyFont="1" applyBorder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82" fontId="5" fillId="3" borderId="1" xfId="0" applyNumberFormat="1" applyFont="1" applyFill="1" applyBorder="1" applyAlignment="1">
      <alignment horizontal="center" vertical="center"/>
    </xf>
    <xf numFmtId="179" fontId="19" fillId="0" borderId="3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37" fillId="0" borderId="0" xfId="0" applyFont="1" applyFill="1">
      <alignment vertical="center"/>
    </xf>
    <xf numFmtId="0" fontId="48" fillId="0" borderId="0" xfId="0" applyFont="1" applyFill="1">
      <alignment vertical="center"/>
    </xf>
    <xf numFmtId="179" fontId="49" fillId="0" borderId="0" xfId="0" applyNumberFormat="1" applyFont="1" applyFill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179" fontId="46" fillId="7" borderId="1" xfId="0" applyNumberFormat="1" applyFont="1" applyFill="1" applyBorder="1" applyAlignment="1">
      <alignment horizontal="center" vertical="center"/>
    </xf>
    <xf numFmtId="180" fontId="46" fillId="7" borderId="1" xfId="0" applyNumberFormat="1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 wrapText="1"/>
    </xf>
    <xf numFmtId="49" fontId="46" fillId="7" borderId="1" xfId="0" applyNumberFormat="1" applyFont="1" applyFill="1" applyBorder="1" applyAlignment="1">
      <alignment horizontal="center" vertical="center"/>
    </xf>
    <xf numFmtId="182" fontId="44" fillId="0" borderId="1" xfId="0" applyNumberFormat="1" applyFont="1" applyFill="1" applyBorder="1" applyAlignment="1">
      <alignment horizontal="center" vertical="center"/>
    </xf>
    <xf numFmtId="186" fontId="49" fillId="0" borderId="0" xfId="0" applyNumberFormat="1" applyFont="1" applyFill="1" applyAlignment="1">
      <alignment horizontal="center" vertical="center"/>
    </xf>
    <xf numFmtId="183" fontId="46" fillId="7" borderId="1" xfId="0" applyNumberFormat="1" applyFont="1" applyFill="1" applyBorder="1" applyAlignment="1">
      <alignment horizontal="center" vertical="center"/>
    </xf>
    <xf numFmtId="5" fontId="46" fillId="7" borderId="1" xfId="0" applyNumberFormat="1" applyFont="1" applyFill="1" applyBorder="1" applyAlignment="1">
      <alignment horizontal="center" vertical="center"/>
    </xf>
    <xf numFmtId="186" fontId="46" fillId="7" borderId="1" xfId="0" applyNumberFormat="1" applyFont="1" applyFill="1" applyBorder="1" applyAlignment="1">
      <alignment horizontal="center" vertical="center"/>
    </xf>
    <xf numFmtId="179" fontId="46" fillId="0" borderId="1" xfId="0" applyNumberFormat="1" applyFont="1" applyFill="1" applyBorder="1" applyAlignment="1">
      <alignment horizontal="center" vertical="center"/>
    </xf>
    <xf numFmtId="49" fontId="46" fillId="0" borderId="1" xfId="0" applyNumberFormat="1" applyFont="1" applyFill="1" applyBorder="1" applyAlignment="1">
      <alignment horizontal="center" vertical="center"/>
    </xf>
    <xf numFmtId="180" fontId="46" fillId="0" borderId="1" xfId="0" applyNumberFormat="1" applyFont="1" applyFill="1" applyBorder="1" applyAlignment="1">
      <alignment horizontal="center" vertical="center"/>
    </xf>
    <xf numFmtId="0" fontId="20" fillId="5" borderId="4" xfId="0" applyNumberFormat="1" applyFont="1" applyFill="1" applyBorder="1" applyAlignment="1">
      <alignment horizontal="center" vertical="center"/>
    </xf>
    <xf numFmtId="180" fontId="22" fillId="5" borderId="0" xfId="0" applyNumberFormat="1" applyFont="1" applyFill="1" applyAlignment="1">
      <alignment horizontal="center" vertical="center"/>
    </xf>
    <xf numFmtId="179" fontId="20" fillId="0" borderId="1" xfId="0" applyNumberFormat="1" applyFont="1" applyFill="1" applyBorder="1" applyAlignment="1"/>
    <xf numFmtId="180" fontId="22" fillId="0" borderId="1" xfId="0" applyNumberFormat="1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180" fontId="22" fillId="5" borderId="1" xfId="0" applyNumberFormat="1" applyFont="1" applyFill="1" applyBorder="1" applyAlignment="1">
      <alignment horizontal="center" vertical="center"/>
    </xf>
    <xf numFmtId="179" fontId="20" fillId="5" borderId="1" xfId="0" applyNumberFormat="1" applyFont="1" applyFill="1" applyBorder="1" applyAlignment="1"/>
    <xf numFmtId="179" fontId="22" fillId="5" borderId="1" xfId="0" applyNumberFormat="1" applyFont="1" applyFill="1" applyBorder="1" applyAlignment="1"/>
    <xf numFmtId="179" fontId="19" fillId="0" borderId="1" xfId="0" applyNumberFormat="1" applyFont="1" applyBorder="1" applyAlignment="1">
      <alignment horizontal="center" vertical="center"/>
    </xf>
    <xf numFmtId="0" fontId="20" fillId="5" borderId="1" xfId="0" applyFont="1" applyFill="1" applyBorder="1">
      <alignment vertical="center"/>
    </xf>
    <xf numFmtId="179" fontId="50" fillId="0" borderId="15" xfId="0" applyNumberFormat="1" applyFont="1" applyFill="1" applyBorder="1" applyAlignment="1">
      <alignment horizontal="center" vertical="center"/>
    </xf>
    <xf numFmtId="181" fontId="46" fillId="0" borderId="1" xfId="0" applyNumberFormat="1" applyFont="1" applyFill="1" applyBorder="1" applyAlignment="1">
      <alignment horizontal="center" vertical="center"/>
    </xf>
    <xf numFmtId="5" fontId="46" fillId="0" borderId="16" xfId="0" applyNumberFormat="1" applyFont="1" applyFill="1" applyBorder="1" applyAlignment="1">
      <alignment horizontal="center" vertical="center"/>
    </xf>
    <xf numFmtId="197" fontId="46" fillId="0" borderId="16" xfId="0" applyNumberFormat="1" applyFont="1" applyFill="1" applyBorder="1" applyAlignment="1">
      <alignment horizontal="center" vertical="center"/>
    </xf>
    <xf numFmtId="179" fontId="22" fillId="5" borderId="4" xfId="0" applyNumberFormat="1" applyFont="1" applyFill="1" applyBorder="1" applyAlignment="1">
      <alignment horizontal="center" vertical="center"/>
    </xf>
    <xf numFmtId="5" fontId="22" fillId="0" borderId="1" xfId="0" applyNumberFormat="1" applyFont="1" applyFill="1" applyBorder="1" applyAlignment="1">
      <alignment horizontal="center" vertical="center"/>
    </xf>
    <xf numFmtId="179" fontId="22" fillId="0" borderId="1" xfId="0" applyNumberFormat="1" applyFont="1" applyFill="1" applyBorder="1" applyAlignment="1">
      <alignment horizontal="center" vertical="center"/>
    </xf>
    <xf numFmtId="179" fontId="22" fillId="0" borderId="4" xfId="0" applyNumberFormat="1" applyFont="1" applyFill="1" applyBorder="1" applyAlignment="1">
      <alignment horizontal="center" vertical="center"/>
    </xf>
    <xf numFmtId="179" fontId="22" fillId="5" borderId="1" xfId="0" applyNumberFormat="1" applyFont="1" applyFill="1" applyBorder="1" applyAlignment="1">
      <alignment horizontal="center" vertical="center"/>
    </xf>
    <xf numFmtId="183" fontId="19" fillId="0" borderId="4" xfId="0" applyNumberFormat="1" applyFont="1" applyFill="1" applyBorder="1" applyAlignment="1">
      <alignment horizontal="center" vertical="center"/>
    </xf>
    <xf numFmtId="191" fontId="19" fillId="0" borderId="4" xfId="0" applyNumberFormat="1" applyFont="1" applyFill="1" applyBorder="1" applyAlignment="1">
      <alignment horizontal="center" vertical="center"/>
    </xf>
    <xf numFmtId="58" fontId="46" fillId="0" borderId="16" xfId="0" applyNumberFormat="1" applyFont="1" applyFill="1" applyBorder="1" applyAlignment="1">
      <alignment horizontal="center" vertical="center"/>
    </xf>
    <xf numFmtId="179" fontId="46" fillId="0" borderId="18" xfId="0" applyNumberFormat="1" applyFont="1" applyFill="1" applyBorder="1" applyAlignment="1">
      <alignment horizontal="center" vertical="center"/>
    </xf>
    <xf numFmtId="200" fontId="46" fillId="0" borderId="18" xfId="0" applyNumberFormat="1" applyFont="1" applyFill="1" applyBorder="1" applyAlignment="1">
      <alignment horizontal="center" vertical="center"/>
    </xf>
    <xf numFmtId="200" fontId="22" fillId="0" borderId="7" xfId="0" applyNumberFormat="1" applyFont="1" applyFill="1" applyBorder="1" applyAlignment="1">
      <alignment horizontal="center" vertical="center"/>
    </xf>
    <xf numFmtId="200" fontId="0" fillId="0" borderId="0" xfId="0" applyNumberFormat="1" applyFont="1" applyFill="1">
      <alignment vertical="center"/>
    </xf>
    <xf numFmtId="200" fontId="22" fillId="0" borderId="10" xfId="0" applyNumberFormat="1" applyFont="1" applyFill="1" applyBorder="1" applyAlignment="1">
      <alignment horizontal="center" vertical="center"/>
    </xf>
    <xf numFmtId="58" fontId="29" fillId="0" borderId="4" xfId="0" applyNumberFormat="1" applyFont="1" applyFill="1" applyBorder="1" applyAlignment="1">
      <alignment horizontal="center" vertical="center"/>
    </xf>
    <xf numFmtId="200" fontId="29" fillId="0" borderId="10" xfId="0" applyNumberFormat="1" applyFont="1" applyFill="1" applyBorder="1" applyAlignment="1">
      <alignment horizontal="center" vertical="center"/>
    </xf>
    <xf numFmtId="58" fontId="19" fillId="0" borderId="4" xfId="0" applyNumberFormat="1" applyFont="1" applyFill="1" applyBorder="1" applyAlignment="1">
      <alignment horizontal="center" vertical="center"/>
    </xf>
    <xf numFmtId="179" fontId="19" fillId="0" borderId="10" xfId="0" applyNumberFormat="1" applyFont="1" applyFill="1" applyBorder="1" applyAlignment="1">
      <alignment horizontal="center" vertical="center"/>
    </xf>
    <xf numFmtId="49" fontId="46" fillId="0" borderId="16" xfId="0" applyNumberFormat="1" applyFont="1" applyFill="1" applyBorder="1" applyAlignment="1">
      <alignment horizontal="center" vertical="center"/>
    </xf>
    <xf numFmtId="179" fontId="51" fillId="0" borderId="18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179" fontId="46" fillId="0" borderId="19" xfId="0" applyNumberFormat="1" applyFont="1" applyFill="1" applyBorder="1" applyAlignment="1">
      <alignment horizontal="center" vertical="center"/>
    </xf>
    <xf numFmtId="179" fontId="46" fillId="0" borderId="20" xfId="0" applyNumberFormat="1" applyFont="1" applyFill="1" applyBorder="1" applyAlignment="1">
      <alignment horizontal="center" vertical="center"/>
    </xf>
    <xf numFmtId="179" fontId="46" fillId="0" borderId="16" xfId="0" applyNumberFormat="1" applyFont="1" applyFill="1" applyBorder="1" applyAlignment="1">
      <alignment horizontal="center" vertical="center"/>
    </xf>
    <xf numFmtId="179" fontId="19" fillId="7" borderId="4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179" fontId="19" fillId="7" borderId="1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179" fontId="19" fillId="12" borderId="1" xfId="0" applyNumberFormat="1" applyFont="1" applyFill="1" applyBorder="1" applyAlignment="1">
      <alignment horizontal="center" vertical="center"/>
    </xf>
    <xf numFmtId="180" fontId="19" fillId="12" borderId="1" xfId="0" applyNumberFormat="1" applyFont="1" applyFill="1" applyBorder="1" applyAlignment="1">
      <alignment horizontal="center" vertical="center"/>
    </xf>
    <xf numFmtId="0" fontId="19" fillId="12" borderId="8" xfId="0" applyNumberFormat="1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/>
    </xf>
    <xf numFmtId="0" fontId="19" fillId="12" borderId="1" xfId="0" applyNumberFormat="1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 wrapText="1"/>
    </xf>
    <xf numFmtId="180" fontId="19" fillId="5" borderId="14" xfId="0" applyNumberFormat="1" applyFont="1" applyFill="1" applyBorder="1" applyAlignment="1">
      <alignment horizontal="center" vertical="center"/>
    </xf>
    <xf numFmtId="180" fontId="19" fillId="5" borderId="6" xfId="0" applyNumberFormat="1" applyFont="1" applyFill="1" applyBorder="1" applyAlignment="1">
      <alignment horizontal="center" vertical="center"/>
    </xf>
    <xf numFmtId="49" fontId="19" fillId="10" borderId="1" xfId="0" applyNumberFormat="1" applyFont="1" applyFill="1" applyBorder="1" applyAlignment="1">
      <alignment horizontal="center" vertical="center"/>
    </xf>
    <xf numFmtId="182" fontId="44" fillId="0" borderId="1" xfId="0" applyNumberFormat="1" applyFont="1" applyBorder="1" applyAlignment="1">
      <alignment horizontal="center" vertical="center"/>
    </xf>
    <xf numFmtId="5" fontId="44" fillId="5" borderId="1" xfId="0" applyNumberFormat="1" applyFont="1" applyFill="1" applyBorder="1" applyAlignment="1">
      <alignment horizontal="center" vertical="center"/>
    </xf>
    <xf numFmtId="0" fontId="34" fillId="12" borderId="1" xfId="0" applyNumberFormat="1" applyFont="1" applyFill="1" applyBorder="1" applyAlignment="1">
      <alignment horizontal="center" vertical="center"/>
    </xf>
    <xf numFmtId="182" fontId="29" fillId="12" borderId="4" xfId="0" applyNumberFormat="1" applyFont="1" applyFill="1" applyBorder="1" applyAlignment="1">
      <alignment horizontal="center" vertical="center"/>
    </xf>
    <xf numFmtId="5" fontId="29" fillId="12" borderId="4" xfId="0" applyNumberFormat="1" applyFont="1" applyFill="1" applyBorder="1" applyAlignment="1">
      <alignment horizontal="center" vertical="center"/>
    </xf>
    <xf numFmtId="10" fontId="29" fillId="12" borderId="4" xfId="0" applyNumberFormat="1" applyFont="1" applyFill="1" applyBorder="1" applyAlignment="1">
      <alignment horizontal="center" vertical="center"/>
    </xf>
    <xf numFmtId="182" fontId="29" fillId="12" borderId="1" xfId="0" applyNumberFormat="1" applyFont="1" applyFill="1" applyBorder="1" applyAlignment="1">
      <alignment horizontal="center" vertical="center"/>
    </xf>
    <xf numFmtId="5" fontId="29" fillId="12" borderId="1" xfId="0" applyNumberFormat="1" applyFont="1" applyFill="1" applyBorder="1" applyAlignment="1">
      <alignment horizontal="center" vertical="center"/>
    </xf>
    <xf numFmtId="10" fontId="29" fillId="12" borderId="1" xfId="0" applyNumberFormat="1" applyFont="1" applyFill="1" applyBorder="1" applyAlignment="1">
      <alignment horizontal="center" vertical="center"/>
    </xf>
    <xf numFmtId="186" fontId="43" fillId="5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179" fontId="44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>
      <alignment vertical="center"/>
    </xf>
    <xf numFmtId="179" fontId="19" fillId="0" borderId="4" xfId="0" applyNumberFormat="1" applyFont="1" applyFill="1" applyBorder="1" applyAlignment="1">
      <alignment horizontal="left" vertical="center"/>
    </xf>
    <xf numFmtId="0" fontId="20" fillId="5" borderId="6" xfId="0" applyFont="1" applyFill="1" applyBorder="1">
      <alignment vertical="center"/>
    </xf>
    <xf numFmtId="199" fontId="5" fillId="0" borderId="4" xfId="0" applyNumberFormat="1" applyFont="1" applyFill="1" applyBorder="1" applyAlignment="1">
      <alignment horizontal="left" vertical="center"/>
    </xf>
    <xf numFmtId="179" fontId="22" fillId="0" borderId="1" xfId="0" applyNumberFormat="1" applyFont="1" applyFill="1" applyBorder="1" applyAlignment="1">
      <alignment horizontal="left" vertical="center"/>
    </xf>
    <xf numFmtId="0" fontId="44" fillId="0" borderId="1" xfId="0" applyFont="1" applyFill="1" applyBorder="1" applyAlignment="1">
      <alignment horizontal="center" vertical="center"/>
    </xf>
    <xf numFmtId="199" fontId="5" fillId="0" borderId="4" xfId="0" applyNumberFormat="1" applyFont="1" applyFill="1" applyBorder="1" applyAlignment="1">
      <alignment horizontal="center" vertical="center"/>
    </xf>
    <xf numFmtId="181" fontId="33" fillId="0" borderId="4" xfId="0" applyNumberFormat="1" applyFont="1" applyFill="1" applyBorder="1" applyAlignment="1">
      <alignment horizontal="center" vertical="center"/>
    </xf>
    <xf numFmtId="189" fontId="19" fillId="0" borderId="21" xfId="0" applyNumberFormat="1" applyFont="1" applyFill="1" applyBorder="1" applyAlignment="1">
      <alignment horizontal="center" vertical="center"/>
    </xf>
    <xf numFmtId="199" fontId="30" fillId="0" borderId="4" xfId="0" applyNumberFormat="1" applyFont="1" applyFill="1" applyBorder="1" applyAlignment="1">
      <alignment horizontal="center" vertical="center"/>
    </xf>
    <xf numFmtId="188" fontId="19" fillId="0" borderId="7" xfId="0" applyNumberFormat="1" applyFont="1" applyFill="1" applyBorder="1" applyAlignment="1">
      <alignment horizontal="center" vertical="center"/>
    </xf>
    <xf numFmtId="199" fontId="19" fillId="0" borderId="14" xfId="0" applyNumberFormat="1" applyFont="1" applyFill="1" applyBorder="1" applyAlignment="1">
      <alignment horizontal="center" vertical="center"/>
    </xf>
    <xf numFmtId="181" fontId="33" fillId="0" borderId="5" xfId="0" applyNumberFormat="1" applyFont="1" applyFill="1" applyBorder="1" applyAlignment="1">
      <alignment horizontal="center" vertical="center"/>
    </xf>
    <xf numFmtId="188" fontId="35" fillId="0" borderId="7" xfId="0" applyNumberFormat="1" applyFont="1" applyFill="1" applyBorder="1" applyAlignment="1">
      <alignment horizontal="center" vertical="center" wrapText="1"/>
    </xf>
    <xf numFmtId="199" fontId="19" fillId="0" borderId="16" xfId="0" applyNumberFormat="1" applyFont="1" applyFill="1" applyBorder="1" applyAlignment="1">
      <alignment horizontal="center" vertical="center"/>
    </xf>
    <xf numFmtId="181" fontId="33" fillId="0" borderId="0" xfId="0" applyNumberFormat="1" applyFont="1" applyFill="1" applyBorder="1" applyAlignment="1">
      <alignment horizontal="center" vertical="center"/>
    </xf>
    <xf numFmtId="199" fontId="19" fillId="0" borderId="21" xfId="0" applyNumberFormat="1" applyFont="1" applyFill="1" applyBorder="1" applyAlignment="1">
      <alignment horizontal="center" vertical="center"/>
    </xf>
    <xf numFmtId="181" fontId="33" fillId="0" borderId="15" xfId="0" applyNumberFormat="1" applyFont="1" applyFill="1" applyBorder="1" applyAlignment="1">
      <alignment horizontal="center" vertical="center"/>
    </xf>
    <xf numFmtId="188" fontId="19" fillId="0" borderId="7" xfId="0" applyNumberFormat="1" applyFont="1" applyFill="1" applyBorder="1" applyAlignment="1">
      <alignment horizontal="center" vertical="center" wrapText="1"/>
    </xf>
    <xf numFmtId="183" fontId="19" fillId="0" borderId="21" xfId="0" applyNumberFormat="1" applyFont="1" applyFill="1" applyBorder="1" applyAlignment="1">
      <alignment horizontal="center" vertical="center"/>
    </xf>
    <xf numFmtId="186" fontId="52" fillId="0" borderId="4" xfId="0" applyNumberFormat="1" applyFont="1" applyFill="1" applyBorder="1" applyAlignment="1">
      <alignment horizontal="center" vertical="center"/>
    </xf>
    <xf numFmtId="202" fontId="53" fillId="0" borderId="1" xfId="0" applyNumberFormat="1" applyFont="1" applyFill="1" applyBorder="1" applyAlignment="1">
      <alignment horizontal="center" vertical="center"/>
    </xf>
    <xf numFmtId="200" fontId="22" fillId="0" borderId="1" xfId="0" applyNumberFormat="1" applyFont="1" applyFill="1" applyBorder="1" applyAlignment="1">
      <alignment horizontal="center" vertical="center"/>
    </xf>
    <xf numFmtId="202" fontId="19" fillId="0" borderId="5" xfId="0" applyNumberFormat="1" applyFont="1" applyFill="1" applyBorder="1" applyAlignment="1">
      <alignment horizontal="center" vertical="center"/>
    </xf>
    <xf numFmtId="200" fontId="19" fillId="0" borderId="5" xfId="0" applyNumberFormat="1" applyFont="1" applyFill="1" applyBorder="1" applyAlignment="1">
      <alignment horizontal="center" vertical="center"/>
    </xf>
    <xf numFmtId="179" fontId="22" fillId="0" borderId="5" xfId="0" applyNumberFormat="1" applyFont="1" applyFill="1" applyBorder="1" applyAlignment="1">
      <alignment horizontal="center" vertical="center"/>
    </xf>
    <xf numFmtId="202" fontId="53" fillId="0" borderId="5" xfId="0" applyNumberFormat="1" applyFont="1" applyFill="1" applyBorder="1" applyAlignment="1">
      <alignment horizontal="center" vertical="center"/>
    </xf>
    <xf numFmtId="200" fontId="22" fillId="0" borderId="5" xfId="0" applyNumberFormat="1" applyFont="1" applyFill="1" applyBorder="1" applyAlignment="1">
      <alignment horizontal="center" vertical="center"/>
    </xf>
    <xf numFmtId="179" fontId="54" fillId="0" borderId="1" xfId="0" applyNumberFormat="1" applyFont="1" applyFill="1" applyBorder="1" applyAlignment="1">
      <alignment horizontal="center" vertical="center" wrapText="1"/>
    </xf>
    <xf numFmtId="49" fontId="19" fillId="0" borderId="6" xfId="0" applyNumberFormat="1" applyFont="1" applyFill="1" applyBorder="1" applyAlignment="1">
      <alignment horizontal="center" vertical="center"/>
    </xf>
    <xf numFmtId="0" fontId="55" fillId="0" borderId="1" xfId="0" applyNumberFormat="1" applyFont="1" applyFill="1" applyBorder="1" applyAlignment="1">
      <alignment horizontal="center" vertical="center"/>
    </xf>
    <xf numFmtId="179" fontId="29" fillId="0" borderId="21" xfId="0" applyNumberFormat="1" applyFont="1" applyFill="1" applyBorder="1" applyAlignment="1">
      <alignment horizontal="center" vertical="center"/>
    </xf>
    <xf numFmtId="179" fontId="19" fillId="0" borderId="21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/>
    </xf>
    <xf numFmtId="7" fontId="46" fillId="0" borderId="1" xfId="0" applyNumberFormat="1" applyFont="1" applyFill="1" applyBorder="1" applyAlignment="1">
      <alignment horizontal="center" vertical="center"/>
    </xf>
    <xf numFmtId="10" fontId="46" fillId="0" borderId="1" xfId="0" applyNumberFormat="1" applyFont="1" applyFill="1" applyBorder="1" applyAlignment="1">
      <alignment horizontal="center" vertical="center"/>
    </xf>
    <xf numFmtId="186" fontId="46" fillId="0" borderId="1" xfId="0" applyNumberFormat="1" applyFont="1" applyFill="1" applyBorder="1" applyAlignment="1">
      <alignment horizontal="center" vertical="center"/>
    </xf>
    <xf numFmtId="5" fontId="22" fillId="0" borderId="0" xfId="0" applyNumberFormat="1" applyFont="1" applyFill="1" applyAlignment="1">
      <alignment horizontal="center" vertical="center"/>
    </xf>
    <xf numFmtId="179" fontId="46" fillId="0" borderId="1" xfId="0" applyNumberFormat="1" applyFont="1" applyFill="1" applyBorder="1" applyAlignment="1">
      <alignment horizontal="left" vertical="center"/>
    </xf>
    <xf numFmtId="191" fontId="19" fillId="0" borderId="21" xfId="0" applyNumberFormat="1" applyFont="1" applyFill="1" applyBorder="1" applyAlignment="1">
      <alignment horizontal="center" vertical="center"/>
    </xf>
    <xf numFmtId="191" fontId="19" fillId="0" borderId="15" xfId="0" applyNumberFormat="1" applyFont="1" applyFill="1" applyBorder="1" applyAlignment="1">
      <alignment horizontal="center" vertical="center"/>
    </xf>
    <xf numFmtId="198" fontId="22" fillId="0" borderId="0" xfId="0" applyNumberFormat="1" applyFont="1" applyFill="1" applyAlignment="1">
      <alignment horizontal="center" vertical="center"/>
    </xf>
    <xf numFmtId="179" fontId="22" fillId="0" borderId="8" xfId="0" applyNumberFormat="1" applyFont="1" applyFill="1" applyBorder="1" applyAlignment="1">
      <alignment horizontal="center" vertical="center"/>
    </xf>
    <xf numFmtId="179" fontId="29" fillId="0" borderId="8" xfId="0" applyNumberFormat="1" applyFont="1" applyFill="1" applyBorder="1" applyAlignment="1">
      <alignment horizontal="center" vertical="center"/>
    </xf>
    <xf numFmtId="200" fontId="46" fillId="0" borderId="1" xfId="0" applyNumberFormat="1" applyFont="1" applyFill="1" applyBorder="1" applyAlignment="1">
      <alignment horizontal="center" vertical="center"/>
    </xf>
    <xf numFmtId="179" fontId="46" fillId="0" borderId="0" xfId="0" applyNumberFormat="1" applyFont="1" applyFill="1" applyAlignment="1">
      <alignment horizontal="center" vertical="center"/>
    </xf>
    <xf numFmtId="0" fontId="55" fillId="0" borderId="22" xfId="0" applyNumberFormat="1" applyFont="1" applyFill="1" applyBorder="1" applyAlignment="1">
      <alignment horizontal="center" vertical="center"/>
    </xf>
    <xf numFmtId="179" fontId="19" fillId="0" borderId="22" xfId="0" applyNumberFormat="1" applyFont="1" applyFill="1" applyBorder="1" applyAlignment="1">
      <alignment horizontal="center" vertical="center"/>
    </xf>
    <xf numFmtId="179" fontId="29" fillId="0" borderId="22" xfId="0" applyNumberFormat="1" applyFont="1" applyFill="1" applyBorder="1" applyAlignment="1">
      <alignment horizontal="center" vertical="center"/>
    </xf>
    <xf numFmtId="179" fontId="19" fillId="0" borderId="23" xfId="0" applyNumberFormat="1" applyFont="1" applyFill="1" applyBorder="1" applyAlignment="1">
      <alignment horizontal="center" vertical="center"/>
    </xf>
    <xf numFmtId="179" fontId="29" fillId="0" borderId="23" xfId="0" applyNumberFormat="1" applyFont="1" applyFill="1" applyBorder="1" applyAlignment="1">
      <alignment horizontal="center" vertical="center"/>
    </xf>
    <xf numFmtId="0" fontId="19" fillId="0" borderId="24" xfId="0" applyNumberFormat="1" applyFont="1" applyFill="1" applyBorder="1" applyAlignment="1">
      <alignment horizontal="center" vertical="center"/>
    </xf>
    <xf numFmtId="179" fontId="22" fillId="0" borderId="24" xfId="0" applyNumberFormat="1" applyFont="1" applyFill="1" applyBorder="1" applyAlignment="1">
      <alignment horizontal="center" vertical="center"/>
    </xf>
    <xf numFmtId="179" fontId="19" fillId="0" borderId="24" xfId="0" applyNumberFormat="1" applyFont="1" applyFill="1" applyBorder="1" applyAlignment="1">
      <alignment horizontal="center" vertical="center"/>
    </xf>
    <xf numFmtId="179" fontId="29" fillId="0" borderId="24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7" fillId="0" borderId="4" xfId="0" applyFont="1" applyFill="1" applyBorder="1" applyAlignment="1">
      <alignment horizontal="center" vertical="center"/>
    </xf>
    <xf numFmtId="7" fontId="0" fillId="0" borderId="1" xfId="0" applyNumberFormat="1" applyFont="1" applyFill="1" applyBorder="1">
      <alignment vertical="center"/>
    </xf>
    <xf numFmtId="7" fontId="29" fillId="7" borderId="4" xfId="0" applyNumberFormat="1" applyFont="1" applyFill="1" applyBorder="1" applyAlignment="1">
      <alignment horizontal="center" vertical="center"/>
    </xf>
    <xf numFmtId="7" fontId="19" fillId="5" borderId="4" xfId="0" applyNumberFormat="1" applyFont="1" applyFill="1" applyBorder="1" applyAlignment="1">
      <alignment horizontal="center" vertical="center"/>
    </xf>
    <xf numFmtId="7" fontId="19" fillId="5" borderId="1" xfId="0" applyNumberFormat="1" applyFont="1" applyFill="1" applyBorder="1" applyAlignment="1">
      <alignment horizontal="center" vertical="center"/>
    </xf>
    <xf numFmtId="203" fontId="19" fillId="0" borderId="1" xfId="0" applyNumberFormat="1" applyFont="1" applyBorder="1" applyAlignment="1">
      <alignment horizontal="center" vertical="center"/>
    </xf>
    <xf numFmtId="7" fontId="30" fillId="0" borderId="1" xfId="0" applyNumberFormat="1" applyFont="1" applyBorder="1" applyAlignment="1">
      <alignment horizontal="center" vertical="center"/>
    </xf>
    <xf numFmtId="7" fontId="44" fillId="0" borderId="4" xfId="0" applyNumberFormat="1" applyFont="1" applyFill="1" applyBorder="1" applyAlignment="1">
      <alignment horizontal="center" vertical="center"/>
    </xf>
    <xf numFmtId="186" fontId="43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9" fontId="22" fillId="0" borderId="1" xfId="0" applyNumberFormat="1" applyFont="1" applyFill="1" applyBorder="1" applyAlignment="1"/>
    <xf numFmtId="0" fontId="0" fillId="5" borderId="1" xfId="0" applyFont="1" applyFill="1" applyBorder="1">
      <alignment vertical="center"/>
    </xf>
    <xf numFmtId="0" fontId="20" fillId="0" borderId="5" xfId="0" applyFont="1" applyFill="1" applyBorder="1" applyAlignment="1">
      <alignment horizontal="center" vertical="center"/>
    </xf>
    <xf numFmtId="0" fontId="56" fillId="5" borderId="1" xfId="0" applyNumberFormat="1" applyFont="1" applyFill="1" applyBorder="1" applyAlignment="1">
      <alignment horizontal="center" vertical="center"/>
    </xf>
    <xf numFmtId="179" fontId="30" fillId="5" borderId="5" xfId="0" applyNumberFormat="1" applyFont="1" applyFill="1" applyBorder="1" applyAlignment="1">
      <alignment horizontal="center" vertical="center"/>
    </xf>
    <xf numFmtId="179" fontId="30" fillId="5" borderId="3" xfId="0" applyNumberFormat="1" applyFont="1" applyFill="1" applyBorder="1" applyAlignment="1">
      <alignment horizontal="center" vertical="center"/>
    </xf>
    <xf numFmtId="179" fontId="30" fillId="5" borderId="4" xfId="0" applyNumberFormat="1" applyFont="1" applyFill="1" applyBorder="1" applyAlignment="1">
      <alignment horizontal="center" vertical="center"/>
    </xf>
    <xf numFmtId="0" fontId="44" fillId="15" borderId="1" xfId="0" applyFont="1" applyFill="1" applyBorder="1" applyAlignment="1">
      <alignment horizontal="center" vertical="center"/>
    </xf>
    <xf numFmtId="182" fontId="57" fillId="0" borderId="1" xfId="0" applyNumberFormat="1" applyFont="1" applyFill="1" applyBorder="1" applyAlignment="1">
      <alignment horizontal="center" vertical="center"/>
    </xf>
    <xf numFmtId="7" fontId="44" fillId="0" borderId="1" xfId="0" applyNumberFormat="1" applyFont="1" applyBorder="1" applyAlignment="1">
      <alignment horizontal="center" vertical="center"/>
    </xf>
    <xf numFmtId="7" fontId="19" fillId="5" borderId="5" xfId="0" applyNumberFormat="1" applyFont="1" applyFill="1" applyBorder="1" applyAlignment="1">
      <alignment horizontal="center" vertical="center"/>
    </xf>
    <xf numFmtId="0" fontId="44" fillId="15" borderId="1" xfId="0" applyNumberFormat="1" applyFont="1" applyFill="1" applyBorder="1" applyAlignment="1">
      <alignment horizontal="center" vertical="center"/>
    </xf>
    <xf numFmtId="0" fontId="19" fillId="15" borderId="8" xfId="0" applyNumberFormat="1" applyFont="1" applyFill="1" applyBorder="1" applyAlignment="1">
      <alignment horizontal="center" vertical="center"/>
    </xf>
    <xf numFmtId="0" fontId="19" fillId="5" borderId="6" xfId="0" applyNumberFormat="1" applyFont="1" applyFill="1" applyBorder="1" applyAlignment="1">
      <alignment horizontal="center" vertical="center"/>
    </xf>
    <xf numFmtId="182" fontId="19" fillId="0" borderId="16" xfId="0" applyNumberFormat="1" applyFont="1" applyFill="1" applyBorder="1" applyAlignment="1">
      <alignment horizontal="center" vertical="center"/>
    </xf>
    <xf numFmtId="179" fontId="19" fillId="16" borderId="1" xfId="0" applyNumberFormat="1" applyFont="1" applyFill="1" applyBorder="1" applyAlignment="1">
      <alignment horizontal="center" vertical="center"/>
    </xf>
    <xf numFmtId="7" fontId="44" fillId="5" borderId="1" xfId="0" applyNumberFormat="1" applyFont="1" applyFill="1" applyBorder="1" applyAlignment="1">
      <alignment horizontal="center" vertical="center"/>
    </xf>
    <xf numFmtId="186" fontId="44" fillId="0" borderId="4" xfId="0" applyNumberFormat="1" applyFont="1" applyBorder="1" applyAlignment="1">
      <alignment horizontal="center" vertical="center"/>
    </xf>
    <xf numFmtId="186" fontId="19" fillId="0" borderId="16" xfId="0" applyNumberFormat="1" applyFont="1" applyFill="1" applyBorder="1" applyAlignment="1">
      <alignment horizontal="center" vertical="center"/>
    </xf>
    <xf numFmtId="183" fontId="19" fillId="5" borderId="5" xfId="0" applyNumberFormat="1" applyFont="1" applyFill="1" applyBorder="1" applyAlignment="1">
      <alignment horizontal="center" vertical="center"/>
    </xf>
    <xf numFmtId="183" fontId="30" fillId="0" borderId="5" xfId="0" applyNumberFormat="1" applyFont="1" applyFill="1" applyBorder="1" applyAlignment="1">
      <alignment horizontal="center" vertical="center"/>
    </xf>
    <xf numFmtId="186" fontId="19" fillId="0" borderId="16" xfId="0" applyNumberFormat="1" applyFont="1" applyBorder="1" applyAlignment="1">
      <alignment horizontal="center" vertical="center"/>
    </xf>
    <xf numFmtId="183" fontId="19" fillId="0" borderId="15" xfId="0" applyNumberFormat="1" applyFont="1" applyFill="1" applyBorder="1" applyAlignment="1">
      <alignment horizontal="center" vertical="center" wrapText="1"/>
    </xf>
    <xf numFmtId="186" fontId="19" fillId="0" borderId="15" xfId="0" applyNumberFormat="1" applyFont="1" applyFill="1" applyBorder="1" applyAlignment="1">
      <alignment horizontal="center" vertical="center"/>
    </xf>
    <xf numFmtId="179" fontId="58" fillId="0" borderId="1" xfId="0" applyNumberFormat="1" applyFont="1" applyFill="1" applyBorder="1" applyAlignment="1">
      <alignment horizontal="center" vertical="center" wrapText="1"/>
    </xf>
    <xf numFmtId="180" fontId="43" fillId="5" borderId="1" xfId="0" applyNumberFormat="1" applyFont="1" applyFill="1" applyBorder="1" applyAlignment="1">
      <alignment horizontal="center" vertical="center"/>
    </xf>
    <xf numFmtId="180" fontId="43" fillId="0" borderId="1" xfId="0" applyNumberFormat="1" applyFont="1" applyBorder="1" applyAlignment="1">
      <alignment horizontal="center" vertical="center"/>
    </xf>
    <xf numFmtId="199" fontId="19" fillId="0" borderId="1" xfId="0" applyNumberFormat="1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/>
    </xf>
    <xf numFmtId="180" fontId="5" fillId="0" borderId="16" xfId="0" applyNumberFormat="1" applyFont="1" applyFill="1" applyBorder="1" applyAlignment="1">
      <alignment horizontal="center" vertical="center"/>
    </xf>
    <xf numFmtId="187" fontId="57" fillId="5" borderId="1" xfId="0" applyNumberFormat="1" applyFont="1" applyFill="1" applyBorder="1" applyAlignment="1">
      <alignment horizontal="center" vertical="center"/>
    </xf>
    <xf numFmtId="199" fontId="30" fillId="0" borderId="14" xfId="0" applyNumberFormat="1" applyFont="1" applyFill="1" applyBorder="1" applyAlignment="1">
      <alignment horizontal="center" vertical="center"/>
    </xf>
    <xf numFmtId="188" fontId="19" fillId="0" borderId="0" xfId="0" applyNumberFormat="1" applyFont="1" applyFill="1" applyBorder="1" applyAlignment="1">
      <alignment horizontal="center" vertical="center"/>
    </xf>
    <xf numFmtId="191" fontId="29" fillId="0" borderId="21" xfId="0" applyNumberFormat="1" applyFont="1" applyFill="1" applyBorder="1" applyAlignment="1">
      <alignment horizontal="center" vertical="center"/>
    </xf>
    <xf numFmtId="191" fontId="29" fillId="0" borderId="15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0" fillId="5" borderId="0" xfId="0" applyFont="1" applyFill="1">
      <alignment vertical="center"/>
    </xf>
    <xf numFmtId="179" fontId="44" fillId="0" borderId="1" xfId="0" applyNumberFormat="1" applyFont="1" applyFill="1" applyBorder="1" applyAlignment="1">
      <alignment horizontal="center" vertical="center"/>
    </xf>
    <xf numFmtId="179" fontId="19" fillId="10" borderId="4" xfId="0" applyNumberFormat="1" applyFont="1" applyFill="1" applyBorder="1" applyAlignment="1">
      <alignment horizontal="center" vertical="center"/>
    </xf>
    <xf numFmtId="180" fontId="19" fillId="5" borderId="16" xfId="0" applyNumberFormat="1" applyFont="1" applyFill="1" applyBorder="1" applyAlignment="1">
      <alignment horizontal="center" vertical="center"/>
    </xf>
    <xf numFmtId="182" fontId="44" fillId="0" borderId="4" xfId="0" applyNumberFormat="1" applyFont="1" applyFill="1" applyBorder="1" applyAlignment="1">
      <alignment horizontal="center" vertical="center"/>
    </xf>
    <xf numFmtId="186" fontId="44" fillId="0" borderId="4" xfId="0" applyNumberFormat="1" applyFont="1" applyFill="1" applyBorder="1" applyAlignment="1">
      <alignment horizontal="center" vertical="center"/>
    </xf>
    <xf numFmtId="186" fontId="43" fillId="0" borderId="4" xfId="0" applyNumberFormat="1" applyFont="1" applyFill="1" applyBorder="1" applyAlignment="1">
      <alignment horizontal="center" vertical="center"/>
    </xf>
    <xf numFmtId="180" fontId="22" fillId="5" borderId="4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179" fontId="19" fillId="0" borderId="14" xfId="0" applyNumberFormat="1" applyFont="1" applyFill="1" applyBorder="1" applyAlignment="1">
      <alignment horizontal="center" vertical="center"/>
    </xf>
    <xf numFmtId="180" fontId="19" fillId="5" borderId="11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Border="1" applyAlignment="1">
      <alignment horizontal="center" vertical="center"/>
    </xf>
    <xf numFmtId="179" fontId="30" fillId="5" borderId="8" xfId="0" applyNumberFormat="1" applyFont="1" applyFill="1" applyBorder="1" applyAlignment="1">
      <alignment horizontal="center" vertical="center"/>
    </xf>
    <xf numFmtId="179" fontId="30" fillId="5" borderId="14" xfId="0" applyNumberFormat="1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10" fontId="5" fillId="0" borderId="0" xfId="0" applyNumberFormat="1" applyFont="1" applyFill="1">
      <alignment vertical="center"/>
    </xf>
    <xf numFmtId="186" fontId="19" fillId="0" borderId="21" xfId="0" applyNumberFormat="1" applyFont="1" applyFill="1" applyBorder="1" applyAlignment="1">
      <alignment horizontal="center" vertical="center"/>
    </xf>
    <xf numFmtId="191" fontId="19" fillId="5" borderId="21" xfId="0" applyNumberFormat="1" applyFont="1" applyFill="1" applyBorder="1" applyAlignment="1">
      <alignment horizontal="center" vertical="center"/>
    </xf>
    <xf numFmtId="179" fontId="19" fillId="5" borderId="5" xfId="0" applyNumberFormat="1" applyFont="1" applyFill="1" applyBorder="1" applyAlignment="1">
      <alignment horizontal="left" vertical="center"/>
    </xf>
    <xf numFmtId="191" fontId="19" fillId="5" borderId="15" xfId="0" applyNumberFormat="1" applyFont="1" applyFill="1" applyBorder="1" applyAlignment="1">
      <alignment horizontal="center" vertical="center"/>
    </xf>
    <xf numFmtId="0" fontId="5" fillId="0" borderId="22" xfId="0" applyFont="1" applyFill="1" applyBorder="1">
      <alignment vertical="center"/>
    </xf>
    <xf numFmtId="179" fontId="19" fillId="5" borderId="22" xfId="0" applyNumberFormat="1" applyFont="1" applyFill="1" applyBorder="1" applyAlignment="1">
      <alignment horizontal="center" vertical="center"/>
    </xf>
    <xf numFmtId="179" fontId="19" fillId="5" borderId="23" xfId="0" applyNumberFormat="1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 wrapText="1"/>
    </xf>
    <xf numFmtId="179" fontId="19" fillId="5" borderId="24" xfId="0" applyNumberFormat="1" applyFont="1" applyFill="1" applyBorder="1" applyAlignment="1">
      <alignment horizontal="center" vertical="center"/>
    </xf>
    <xf numFmtId="179" fontId="44" fillId="10" borderId="1" xfId="0" applyNumberFormat="1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horizontal="center" vertical="center"/>
    </xf>
    <xf numFmtId="179" fontId="19" fillId="5" borderId="9" xfId="0" applyNumberFormat="1" applyFont="1" applyFill="1" applyBorder="1" applyAlignment="1">
      <alignment horizontal="center" vertical="center"/>
    </xf>
    <xf numFmtId="179" fontId="44" fillId="5" borderId="1" xfId="0" applyNumberFormat="1" applyFont="1" applyFill="1" applyBorder="1" applyAlignment="1">
      <alignment horizontal="center" vertical="center"/>
    </xf>
    <xf numFmtId="182" fontId="44" fillId="5" borderId="4" xfId="0" applyNumberFormat="1" applyFont="1" applyFill="1" applyBorder="1" applyAlignment="1">
      <alignment horizontal="center" vertical="center"/>
    </xf>
    <xf numFmtId="7" fontId="44" fillId="5" borderId="4" xfId="0" applyNumberFormat="1" applyFont="1" applyFill="1" applyBorder="1" applyAlignment="1">
      <alignment horizontal="center" vertical="center"/>
    </xf>
    <xf numFmtId="186" fontId="43" fillId="5" borderId="4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200" fontId="0" fillId="0" borderId="1" xfId="0" applyNumberFormat="1" applyFont="1" applyFill="1" applyBorder="1">
      <alignment vertical="center"/>
    </xf>
    <xf numFmtId="49" fontId="44" fillId="15" borderId="1" xfId="0" applyNumberFormat="1" applyFont="1" applyFill="1" applyBorder="1" applyAlignment="1">
      <alignment horizontal="center" vertical="center" wrapText="1"/>
    </xf>
    <xf numFmtId="183" fontId="19" fillId="0" borderId="21" xfId="0" applyNumberFormat="1" applyFont="1" applyFill="1" applyBorder="1" applyAlignment="1">
      <alignment horizontal="center" vertical="center" wrapText="1"/>
    </xf>
    <xf numFmtId="199" fontId="19" fillId="0" borderId="4" xfId="0" applyNumberFormat="1" applyFont="1" applyFill="1" applyBorder="1" applyAlignment="1">
      <alignment horizontal="center" vertical="center"/>
    </xf>
    <xf numFmtId="186" fontId="19" fillId="0" borderId="3" xfId="0" applyNumberFormat="1" applyFont="1" applyBorder="1" applyAlignment="1">
      <alignment horizontal="center" vertical="center"/>
    </xf>
    <xf numFmtId="0" fontId="59" fillId="0" borderId="0" xfId="0" applyFont="1" applyFill="1">
      <alignment vertical="center"/>
    </xf>
    <xf numFmtId="0" fontId="44" fillId="15" borderId="5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/>
    </xf>
    <xf numFmtId="179" fontId="44" fillId="5" borderId="6" xfId="0" applyNumberFormat="1" applyFont="1" applyFill="1" applyBorder="1" applyAlignment="1">
      <alignment horizontal="center" vertical="center"/>
    </xf>
    <xf numFmtId="180" fontId="44" fillId="5" borderId="3" xfId="0" applyNumberFormat="1" applyFont="1" applyFill="1" applyBorder="1" applyAlignment="1">
      <alignment horizontal="center" vertical="center"/>
    </xf>
    <xf numFmtId="0" fontId="60" fillId="0" borderId="3" xfId="0" applyFont="1" applyFill="1" applyBorder="1" applyAlignment="1">
      <alignment horizontal="center" vertical="center"/>
    </xf>
    <xf numFmtId="179" fontId="44" fillId="0" borderId="1" xfId="0" applyNumberFormat="1" applyFont="1" applyBorder="1" applyAlignment="1">
      <alignment horizontal="center"/>
    </xf>
    <xf numFmtId="179" fontId="44" fillId="0" borderId="5" xfId="0" applyNumberFormat="1" applyFont="1" applyFill="1" applyBorder="1" applyAlignment="1">
      <alignment horizontal="center"/>
    </xf>
    <xf numFmtId="179" fontId="19" fillId="0" borderId="1" xfId="0" applyNumberFormat="1" applyFont="1" applyFill="1" applyBorder="1" applyAlignment="1">
      <alignment horizontal="center"/>
    </xf>
    <xf numFmtId="179" fontId="44" fillId="0" borderId="1" xfId="0" applyNumberFormat="1" applyFont="1" applyFill="1" applyBorder="1" applyAlignment="1">
      <alignment horizontal="center"/>
    </xf>
    <xf numFmtId="179" fontId="19" fillId="15" borderId="1" xfId="0" applyNumberFormat="1" applyFont="1" applyFill="1" applyBorder="1" applyAlignment="1">
      <alignment horizontal="center" vertical="center"/>
    </xf>
    <xf numFmtId="0" fontId="44" fillId="5" borderId="5" xfId="0" applyFont="1" applyFill="1" applyBorder="1" applyAlignment="1">
      <alignment horizontal="center" vertical="center"/>
    </xf>
    <xf numFmtId="182" fontId="44" fillId="5" borderId="1" xfId="0" applyNumberFormat="1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5" fontId="44" fillId="0" borderId="4" xfId="0" applyNumberFormat="1" applyFont="1" applyFill="1" applyBorder="1" applyAlignment="1">
      <alignment horizontal="center" vertical="center"/>
    </xf>
    <xf numFmtId="5" fontId="44" fillId="5" borderId="4" xfId="0" applyNumberFormat="1" applyFont="1" applyFill="1" applyBorder="1" applyAlignment="1">
      <alignment horizontal="center" vertical="center"/>
    </xf>
    <xf numFmtId="5" fontId="44" fillId="0" borderId="1" xfId="0" applyNumberFormat="1" applyFont="1" applyFill="1" applyBorder="1" applyAlignment="1">
      <alignment horizontal="center" vertical="center"/>
    </xf>
    <xf numFmtId="179" fontId="22" fillId="0" borderId="0" xfId="0" applyNumberFormat="1" applyFont="1" applyFill="1" applyAlignment="1">
      <alignment horizontal="center" vertical="center" wrapText="1"/>
    </xf>
    <xf numFmtId="179" fontId="46" fillId="0" borderId="1" xfId="0" applyNumberFormat="1" applyFont="1" applyFill="1" applyBorder="1" applyAlignment="1">
      <alignment horizontal="center" vertical="center" wrapText="1"/>
    </xf>
    <xf numFmtId="179" fontId="60" fillId="5" borderId="1" xfId="0" applyNumberFormat="1" applyFont="1" applyFill="1" applyBorder="1" applyAlignment="1"/>
    <xf numFmtId="180" fontId="58" fillId="5" borderId="1" xfId="0" applyNumberFormat="1" applyFont="1" applyFill="1" applyBorder="1" applyAlignment="1">
      <alignment horizontal="center" vertical="center"/>
    </xf>
    <xf numFmtId="0" fontId="60" fillId="5" borderId="4" xfId="0" applyNumberFormat="1" applyFont="1" applyFill="1" applyBorder="1" applyAlignment="1">
      <alignment horizontal="center" vertical="center"/>
    </xf>
    <xf numFmtId="180" fontId="58" fillId="5" borderId="4" xfId="0" applyNumberFormat="1" applyFont="1" applyFill="1" applyBorder="1" applyAlignment="1">
      <alignment horizontal="center" vertical="center"/>
    </xf>
    <xf numFmtId="179" fontId="58" fillId="5" borderId="1" xfId="0" applyNumberFormat="1" applyFont="1" applyFill="1" applyBorder="1" applyAlignment="1">
      <alignment horizontal="center" vertical="center"/>
    </xf>
    <xf numFmtId="5" fontId="58" fillId="0" borderId="1" xfId="0" applyNumberFormat="1" applyFont="1" applyFill="1" applyBorder="1" applyAlignment="1">
      <alignment horizontal="center" vertical="center"/>
    </xf>
    <xf numFmtId="197" fontId="44" fillId="0" borderId="1" xfId="0" applyNumberFormat="1" applyFont="1" applyFill="1" applyBorder="1" applyAlignment="1">
      <alignment horizontal="center" vertical="center"/>
    </xf>
    <xf numFmtId="179" fontId="58" fillId="5" borderId="4" xfId="0" applyNumberFormat="1" applyFont="1" applyFill="1" applyBorder="1" applyAlignment="1">
      <alignment horizontal="center" vertical="center"/>
    </xf>
    <xf numFmtId="179" fontId="58" fillId="0" borderId="1" xfId="0" applyNumberFormat="1" applyFont="1" applyFill="1" applyBorder="1" applyAlignment="1">
      <alignment horizontal="center" vertical="center"/>
    </xf>
    <xf numFmtId="200" fontId="58" fillId="0" borderId="7" xfId="0" applyNumberFormat="1" applyFont="1" applyFill="1" applyBorder="1" applyAlignment="1">
      <alignment horizontal="center" vertical="center"/>
    </xf>
    <xf numFmtId="179" fontId="44" fillId="0" borderId="8" xfId="0" applyNumberFormat="1" applyFont="1" applyFill="1" applyBorder="1" applyAlignment="1">
      <alignment horizontal="center" vertical="center"/>
    </xf>
    <xf numFmtId="200" fontId="44" fillId="0" borderId="1" xfId="0" applyNumberFormat="1" applyFont="1" applyFill="1" applyBorder="1" applyAlignment="1">
      <alignment horizontal="center" vertical="center"/>
    </xf>
    <xf numFmtId="179" fontId="19" fillId="15" borderId="5" xfId="0" applyNumberFormat="1" applyFont="1" applyFill="1" applyBorder="1" applyAlignment="1">
      <alignment horizontal="center" vertical="center"/>
    </xf>
    <xf numFmtId="179" fontId="19" fillId="15" borderId="3" xfId="0" applyNumberFormat="1" applyFont="1" applyFill="1" applyBorder="1" applyAlignment="1">
      <alignment horizontal="center" vertical="center"/>
    </xf>
    <xf numFmtId="179" fontId="44" fillId="15" borderId="5" xfId="0" applyNumberFormat="1" applyFont="1" applyFill="1" applyBorder="1" applyAlignment="1">
      <alignment horizontal="center" vertical="center"/>
    </xf>
    <xf numFmtId="179" fontId="44" fillId="15" borderId="4" xfId="0" applyNumberFormat="1" applyFont="1" applyFill="1" applyBorder="1" applyAlignment="1">
      <alignment horizontal="center" vertical="center"/>
    </xf>
    <xf numFmtId="179" fontId="30" fillId="5" borderId="6" xfId="0" applyNumberFormat="1" applyFont="1" applyFill="1" applyBorder="1" applyAlignment="1">
      <alignment horizontal="center" vertical="center"/>
    </xf>
    <xf numFmtId="179" fontId="44" fillId="15" borderId="1" xfId="0" applyNumberFormat="1" applyFont="1" applyFill="1" applyBorder="1" applyAlignment="1">
      <alignment horizontal="center" vertical="center"/>
    </xf>
    <xf numFmtId="0" fontId="19" fillId="5" borderId="8" xfId="0" applyNumberFormat="1" applyFont="1" applyFill="1" applyBorder="1" applyAlignment="1">
      <alignment horizontal="center" vertical="center"/>
    </xf>
    <xf numFmtId="179" fontId="29" fillId="7" borderId="4" xfId="0" applyNumberFormat="1" applyFont="1" applyFill="1" applyBorder="1" applyAlignment="1">
      <alignment horizontal="center" vertical="center"/>
    </xf>
    <xf numFmtId="49" fontId="44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182" fontId="19" fillId="0" borderId="7" xfId="0" applyNumberFormat="1" applyFont="1" applyFill="1" applyBorder="1" applyAlignment="1">
      <alignment horizontal="center" vertical="center"/>
    </xf>
    <xf numFmtId="183" fontId="29" fillId="0" borderId="4" xfId="0" applyNumberFormat="1" applyFont="1" applyFill="1" applyBorder="1" applyAlignment="1">
      <alignment horizontal="center" vertical="center"/>
    </xf>
    <xf numFmtId="199" fontId="5" fillId="0" borderId="1" xfId="0" applyNumberFormat="1" applyFont="1" applyFill="1" applyBorder="1" applyAlignment="1">
      <alignment horizontal="center" vertical="center" wrapText="1"/>
    </xf>
    <xf numFmtId="179" fontId="22" fillId="0" borderId="1" xfId="0" applyNumberFormat="1" applyFont="1" applyFill="1" applyBorder="1" applyAlignment="1">
      <alignment horizontal="center" vertical="center" wrapText="1"/>
    </xf>
    <xf numFmtId="179" fontId="35" fillId="0" borderId="1" xfId="0" applyNumberFormat="1" applyFont="1" applyFill="1" applyBorder="1" applyAlignment="1">
      <alignment horizontal="center" vertical="center" wrapText="1"/>
    </xf>
    <xf numFmtId="186" fontId="29" fillId="5" borderId="3" xfId="0" applyNumberFormat="1" applyFont="1" applyFill="1" applyBorder="1" applyAlignment="1">
      <alignment horizontal="center" vertical="center"/>
    </xf>
    <xf numFmtId="179" fontId="29" fillId="0" borderId="3" xfId="0" applyNumberFormat="1" applyFont="1" applyFill="1" applyBorder="1" applyAlignment="1">
      <alignment horizontal="center" vertical="center" wrapText="1"/>
    </xf>
    <xf numFmtId="199" fontId="5" fillId="0" borderId="13" xfId="0" applyNumberFormat="1" applyFont="1" applyFill="1" applyBorder="1" applyAlignment="1">
      <alignment horizontal="center" vertical="center"/>
    </xf>
    <xf numFmtId="199" fontId="30" fillId="0" borderId="8" xfId="0" applyNumberFormat="1" applyFont="1" applyFill="1" applyBorder="1" applyAlignment="1">
      <alignment horizontal="center" vertical="center"/>
    </xf>
    <xf numFmtId="199" fontId="19" fillId="0" borderId="8" xfId="0" applyNumberFormat="1" applyFont="1" applyFill="1" applyBorder="1" applyAlignment="1">
      <alignment horizontal="center" vertical="center"/>
    </xf>
    <xf numFmtId="179" fontId="29" fillId="0" borderId="5" xfId="0" applyNumberFormat="1" applyFont="1" applyFill="1" applyBorder="1" applyAlignment="1">
      <alignment horizontal="center" vertical="center" wrapText="1"/>
    </xf>
    <xf numFmtId="179" fontId="44" fillId="0" borderId="5" xfId="0" applyNumberFormat="1" applyFont="1" applyBorder="1" applyAlignment="1">
      <alignment horizontal="center"/>
    </xf>
    <xf numFmtId="179" fontId="19" fillId="0" borderId="5" xfId="0" applyNumberFormat="1" applyFont="1" applyBorder="1" applyAlignment="1">
      <alignment horizontal="center"/>
    </xf>
    <xf numFmtId="179" fontId="19" fillId="0" borderId="1" xfId="0" applyNumberFormat="1" applyFont="1" applyBorder="1" applyAlignment="1">
      <alignment horizontal="center"/>
    </xf>
    <xf numFmtId="0" fontId="44" fillId="5" borderId="1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179" fontId="44" fillId="5" borderId="5" xfId="0" applyNumberFormat="1" applyFont="1" applyFill="1" applyBorder="1" applyAlignment="1">
      <alignment horizontal="center" vertical="center"/>
    </xf>
    <xf numFmtId="179" fontId="44" fillId="5" borderId="4" xfId="0" applyNumberFormat="1" applyFont="1" applyFill="1" applyBorder="1" applyAlignment="1">
      <alignment horizontal="center" vertical="center"/>
    </xf>
    <xf numFmtId="0" fontId="44" fillId="15" borderId="4" xfId="0" applyFont="1" applyFill="1" applyBorder="1" applyAlignment="1">
      <alignment horizontal="center" vertical="center"/>
    </xf>
    <xf numFmtId="182" fontId="43" fillId="0" borderId="1" xfId="0" applyNumberFormat="1" applyFont="1" applyFill="1" applyBorder="1" applyAlignment="1">
      <alignment horizontal="center" vertical="center"/>
    </xf>
    <xf numFmtId="5" fontId="43" fillId="0" borderId="1" xfId="0" applyNumberFormat="1" applyFont="1" applyFill="1" applyBorder="1" applyAlignment="1">
      <alignment horizontal="center" vertical="center"/>
    </xf>
    <xf numFmtId="182" fontId="44" fillId="5" borderId="5" xfId="0" applyNumberFormat="1" applyFont="1" applyFill="1" applyBorder="1" applyAlignment="1">
      <alignment horizontal="center" vertical="center"/>
    </xf>
    <xf numFmtId="182" fontId="44" fillId="15" borderId="1" xfId="0" applyNumberFormat="1" applyFont="1" applyFill="1" applyBorder="1" applyAlignment="1">
      <alignment horizontal="center" vertical="center"/>
    </xf>
    <xf numFmtId="183" fontId="44" fillId="5" borderId="4" xfId="0" applyNumberFormat="1" applyFont="1" applyFill="1" applyBorder="1" applyAlignment="1">
      <alignment horizontal="center" vertical="center"/>
    </xf>
    <xf numFmtId="186" fontId="48" fillId="5" borderId="4" xfId="0" applyNumberFormat="1" applyFont="1" applyFill="1" applyBorder="1" applyAlignment="1">
      <alignment horizontal="center" vertical="center"/>
    </xf>
    <xf numFmtId="186" fontId="46" fillId="5" borderId="1" xfId="0" applyNumberFormat="1" applyFont="1" applyFill="1" applyBorder="1" applyAlignment="1">
      <alignment horizontal="center" vertical="center"/>
    </xf>
    <xf numFmtId="186" fontId="7" fillId="5" borderId="1" xfId="0" applyNumberFormat="1" applyFont="1" applyFill="1" applyBorder="1" applyAlignment="1">
      <alignment horizontal="center" vertical="center"/>
    </xf>
    <xf numFmtId="186" fontId="44" fillId="5" borderId="1" xfId="0" applyNumberFormat="1" applyFont="1" applyFill="1" applyBorder="1" applyAlignment="1">
      <alignment horizontal="center" vertical="center"/>
    </xf>
    <xf numFmtId="186" fontId="44" fillId="5" borderId="4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44" fillId="5" borderId="5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44" fillId="5" borderId="14" xfId="0" applyFont="1" applyFill="1" applyBorder="1" applyAlignment="1">
      <alignment horizontal="center" vertical="center" wrapText="1"/>
    </xf>
    <xf numFmtId="0" fontId="44" fillId="5" borderId="8" xfId="0" applyNumberFormat="1" applyFont="1" applyFill="1" applyBorder="1" applyAlignment="1">
      <alignment horizontal="center" vertical="center"/>
    </xf>
    <xf numFmtId="182" fontId="44" fillId="0" borderId="4" xfId="0" applyNumberFormat="1" applyFont="1" applyBorder="1" applyAlignment="1">
      <alignment horizontal="center" vertical="center"/>
    </xf>
    <xf numFmtId="182" fontId="44" fillId="0" borderId="7" xfId="0" applyNumberFormat="1" applyFont="1" applyFill="1" applyBorder="1" applyAlignment="1">
      <alignment horizontal="center" vertical="center"/>
    </xf>
    <xf numFmtId="183" fontId="44" fillId="5" borderId="1" xfId="0" applyNumberFormat="1" applyFont="1" applyFill="1" applyBorder="1" applyAlignment="1">
      <alignment horizontal="center" vertical="center"/>
    </xf>
    <xf numFmtId="186" fontId="44" fillId="0" borderId="21" xfId="0" applyNumberFormat="1" applyFont="1" applyFill="1" applyBorder="1" applyAlignment="1">
      <alignment horizontal="center" vertical="center"/>
    </xf>
    <xf numFmtId="199" fontId="5" fillId="0" borderId="4" xfId="0" applyNumberFormat="1" applyFont="1" applyFill="1" applyBorder="1" applyAlignment="1">
      <alignment horizontal="center" vertical="center" wrapText="1"/>
    </xf>
    <xf numFmtId="199" fontId="35" fillId="0" borderId="4" xfId="0" applyNumberFormat="1" applyFont="1" applyFill="1" applyBorder="1" applyAlignment="1">
      <alignment horizontal="center" vertical="center" wrapText="1"/>
    </xf>
    <xf numFmtId="199" fontId="35" fillId="0" borderId="1" xfId="0" applyNumberFormat="1" applyFont="1" applyFill="1" applyBorder="1" applyAlignment="1">
      <alignment horizontal="center" vertical="center" wrapText="1"/>
    </xf>
    <xf numFmtId="186" fontId="44" fillId="0" borderId="3" xfId="0" applyNumberFormat="1" applyFont="1" applyBorder="1" applyAlignment="1">
      <alignment horizontal="center" vertical="center"/>
    </xf>
    <xf numFmtId="199" fontId="35" fillId="0" borderId="3" xfId="0" applyNumberFormat="1" applyFont="1" applyFill="1" applyBorder="1" applyAlignment="1">
      <alignment horizontal="center" vertical="center" wrapText="1"/>
    </xf>
    <xf numFmtId="199" fontId="19" fillId="0" borderId="5" xfId="0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vertical="center" wrapText="1"/>
    </xf>
    <xf numFmtId="0" fontId="61" fillId="0" borderId="0" xfId="0" applyFont="1" applyFill="1" applyAlignment="1">
      <alignment horizontal="center" vertical="center"/>
    </xf>
    <xf numFmtId="0" fontId="61" fillId="0" borderId="0" xfId="0" applyFont="1" applyFill="1">
      <alignment vertical="center"/>
    </xf>
    <xf numFmtId="180" fontId="59" fillId="0" borderId="0" xfId="0" applyNumberFormat="1" applyFont="1" applyFill="1">
      <alignment vertical="center"/>
    </xf>
    <xf numFmtId="186" fontId="59" fillId="0" borderId="0" xfId="0" applyNumberFormat="1" applyFont="1" applyFill="1">
      <alignment vertical="center"/>
    </xf>
    <xf numFmtId="0" fontId="59" fillId="0" borderId="0" xfId="0" applyFont="1" applyFill="1" applyAlignment="1">
      <alignment vertical="center" wrapText="1"/>
    </xf>
    <xf numFmtId="200" fontId="59" fillId="0" borderId="0" xfId="0" applyNumberFormat="1" applyFont="1" applyFill="1">
      <alignment vertical="center"/>
    </xf>
    <xf numFmtId="179" fontId="62" fillId="0" borderId="0" xfId="0" applyNumberFormat="1" applyFont="1" applyFill="1" applyAlignment="1">
      <alignment horizontal="center" vertical="center"/>
    </xf>
    <xf numFmtId="0" fontId="46" fillId="0" borderId="1" xfId="0" applyFont="1" applyFill="1" applyBorder="1" applyAlignment="1">
      <alignment horizontal="center" vertical="center" wrapText="1"/>
    </xf>
    <xf numFmtId="179" fontId="46" fillId="7" borderId="1" xfId="0" applyNumberFormat="1" applyFont="1" applyFill="1" applyBorder="1" applyAlignment="1">
      <alignment horizontal="center" vertical="center" wrapText="1"/>
    </xf>
    <xf numFmtId="179" fontId="44" fillId="5" borderId="17" xfId="0" applyNumberFormat="1" applyFont="1" applyFill="1" applyBorder="1" applyAlignment="1">
      <alignment horizontal="center" vertical="center"/>
    </xf>
    <xf numFmtId="180" fontId="44" fillId="5" borderId="1" xfId="0" applyNumberFormat="1" applyFont="1" applyFill="1" applyBorder="1" applyAlignment="1">
      <alignment horizontal="center" vertical="center"/>
    </xf>
    <xf numFmtId="179" fontId="63" fillId="5" borderId="1" xfId="0" applyNumberFormat="1" applyFont="1" applyFill="1" applyBorder="1" applyAlignment="1">
      <alignment horizontal="center" vertical="center"/>
    </xf>
    <xf numFmtId="180" fontId="44" fillId="5" borderId="16" xfId="0" applyNumberFormat="1" applyFont="1" applyFill="1" applyBorder="1" applyAlignment="1">
      <alignment horizontal="center" vertical="center"/>
    </xf>
    <xf numFmtId="179" fontId="63" fillId="0" borderId="1" xfId="0" applyNumberFormat="1" applyFont="1" applyFill="1" applyBorder="1" applyAlignment="1">
      <alignment horizontal="center" vertical="center"/>
    </xf>
    <xf numFmtId="180" fontId="44" fillId="0" borderId="16" xfId="0" applyNumberFormat="1" applyFont="1" applyFill="1" applyBorder="1" applyAlignment="1">
      <alignment horizontal="center" vertical="center"/>
    </xf>
    <xf numFmtId="0" fontId="46" fillId="7" borderId="0" xfId="0" applyFont="1" applyFill="1" applyAlignment="1">
      <alignment horizontal="center" vertical="center"/>
    </xf>
    <xf numFmtId="180" fontId="46" fillId="7" borderId="1" xfId="0" applyNumberFormat="1" applyFont="1" applyFill="1" applyBorder="1" applyAlignment="1">
      <alignment horizontal="center" vertical="center"/>
    </xf>
    <xf numFmtId="0" fontId="44" fillId="7" borderId="1" xfId="0" applyFont="1" applyFill="1" applyBorder="1" applyAlignment="1">
      <alignment horizontal="center" vertical="center"/>
    </xf>
    <xf numFmtId="0" fontId="61" fillId="0" borderId="4" xfId="0" applyFont="1" applyFill="1" applyBorder="1" applyAlignment="1">
      <alignment horizontal="center" vertical="center"/>
    </xf>
    <xf numFmtId="0" fontId="60" fillId="0" borderId="5" xfId="0" applyFont="1" applyFill="1" applyBorder="1" applyAlignment="1">
      <alignment horizontal="center" vertical="center" wrapText="1"/>
    </xf>
    <xf numFmtId="180" fontId="44" fillId="5" borderId="5" xfId="0" applyNumberFormat="1" applyFont="1" applyFill="1" applyBorder="1" applyAlignment="1">
      <alignment horizontal="center" vertical="center"/>
    </xf>
    <xf numFmtId="0" fontId="60" fillId="0" borderId="3" xfId="0" applyFont="1" applyFill="1" applyBorder="1" applyAlignment="1">
      <alignment horizontal="center" vertical="center" wrapText="1"/>
    </xf>
    <xf numFmtId="179" fontId="44" fillId="5" borderId="3" xfId="0" applyNumberFormat="1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179" fontId="46" fillId="7" borderId="6" xfId="0" applyNumberFormat="1" applyFont="1" applyFill="1" applyBorder="1" applyAlignment="1">
      <alignment horizontal="center" vertical="center"/>
    </xf>
    <xf numFmtId="180" fontId="46" fillId="7" borderId="3" xfId="0" applyNumberFormat="1" applyFont="1" applyFill="1" applyBorder="1" applyAlignment="1">
      <alignment horizontal="center" vertical="center"/>
    </xf>
    <xf numFmtId="179" fontId="44" fillId="7" borderId="4" xfId="0" applyNumberFormat="1" applyFont="1" applyFill="1" applyBorder="1" applyAlignment="1">
      <alignment horizontal="center" vertical="center"/>
    </xf>
    <xf numFmtId="0" fontId="61" fillId="0" borderId="4" xfId="0" applyFont="1" applyFill="1" applyBorder="1" applyAlignment="1">
      <alignment horizontal="center" vertical="center" wrapText="1"/>
    </xf>
    <xf numFmtId="179" fontId="46" fillId="7" borderId="13" xfId="0" applyNumberFormat="1" applyFont="1" applyFill="1" applyBorder="1" applyAlignment="1">
      <alignment horizontal="center" vertical="center"/>
    </xf>
    <xf numFmtId="180" fontId="46" fillId="7" borderId="4" xfId="0" applyNumberFormat="1" applyFont="1" applyFill="1" applyBorder="1" applyAlignment="1">
      <alignment horizontal="center" vertical="center"/>
    </xf>
    <xf numFmtId="179" fontId="44" fillId="7" borderId="1" xfId="0" applyNumberFormat="1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44" fillId="5" borderId="1" xfId="0" applyNumberFormat="1" applyFont="1" applyFill="1" applyBorder="1" applyAlignment="1">
      <alignment horizontal="center" vertical="center"/>
    </xf>
    <xf numFmtId="49" fontId="46" fillId="7" borderId="1" xfId="0" applyNumberFormat="1" applyFont="1" applyFill="1" applyBorder="1" applyAlignment="1">
      <alignment horizontal="center" vertical="center" wrapText="1"/>
    </xf>
    <xf numFmtId="181" fontId="46" fillId="7" borderId="1" xfId="0" applyNumberFormat="1" applyFont="1" applyFill="1" applyBorder="1" applyAlignment="1">
      <alignment horizontal="center" vertical="center" wrapText="1"/>
    </xf>
    <xf numFmtId="7" fontId="46" fillId="7" borderId="1" xfId="0" applyNumberFormat="1" applyFont="1" applyFill="1" applyBorder="1" applyAlignment="1">
      <alignment horizontal="center" vertical="center" wrapText="1"/>
    </xf>
    <xf numFmtId="182" fontId="43" fillId="0" borderId="5" xfId="0" applyNumberFormat="1" applyFont="1" applyFill="1" applyBorder="1" applyAlignment="1">
      <alignment horizontal="center" vertical="center"/>
    </xf>
    <xf numFmtId="182" fontId="46" fillId="7" borderId="1" xfId="0" applyNumberFormat="1" applyFont="1" applyFill="1" applyBorder="1" applyAlignment="1">
      <alignment horizontal="center" vertical="center"/>
    </xf>
    <xf numFmtId="5" fontId="46" fillId="7" borderId="4" xfId="0" applyNumberFormat="1" applyFont="1" applyFill="1" applyBorder="1" applyAlignment="1">
      <alignment horizontal="center" vertical="center"/>
    </xf>
    <xf numFmtId="10" fontId="46" fillId="7" borderId="1" xfId="0" applyNumberFormat="1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/>
    </xf>
    <xf numFmtId="182" fontId="46" fillId="7" borderId="4" xfId="0" applyNumberFormat="1" applyFont="1" applyFill="1" applyBorder="1" applyAlignment="1">
      <alignment horizontal="center" vertical="center"/>
    </xf>
    <xf numFmtId="10" fontId="46" fillId="7" borderId="4" xfId="0" applyNumberFormat="1" applyFont="1" applyFill="1" applyBorder="1" applyAlignment="1">
      <alignment horizontal="center" vertical="center"/>
    </xf>
    <xf numFmtId="0" fontId="56" fillId="15" borderId="1" xfId="0" applyNumberFormat="1" applyFont="1" applyFill="1" applyBorder="1" applyAlignment="1">
      <alignment horizontal="center" vertical="center"/>
    </xf>
    <xf numFmtId="186" fontId="62" fillId="0" borderId="0" xfId="0" applyNumberFormat="1" applyFont="1" applyFill="1" applyAlignment="1">
      <alignment horizontal="center" vertical="center"/>
    </xf>
    <xf numFmtId="183" fontId="46" fillId="7" borderId="1" xfId="0" applyNumberFormat="1" applyFont="1" applyFill="1" applyBorder="1" applyAlignment="1">
      <alignment horizontal="center" vertical="center" wrapText="1"/>
    </xf>
    <xf numFmtId="5" fontId="46" fillId="7" borderId="1" xfId="0" applyNumberFormat="1" applyFont="1" applyFill="1" applyBorder="1" applyAlignment="1">
      <alignment horizontal="center" vertical="center" wrapText="1"/>
    </xf>
    <xf numFmtId="186" fontId="46" fillId="7" borderId="1" xfId="0" applyNumberFormat="1" applyFont="1" applyFill="1" applyBorder="1" applyAlignment="1">
      <alignment horizontal="center" vertical="center" wrapText="1"/>
    </xf>
    <xf numFmtId="186" fontId="43" fillId="5" borderId="1" xfId="0" applyNumberFormat="1" applyFont="1" applyFill="1" applyBorder="1" applyAlignment="1">
      <alignment horizontal="center" vertical="center" wrapText="1"/>
    </xf>
    <xf numFmtId="186" fontId="46" fillId="0" borderId="4" xfId="0" applyNumberFormat="1" applyFont="1" applyFill="1" applyBorder="1" applyAlignment="1">
      <alignment horizontal="center" vertical="center"/>
    </xf>
    <xf numFmtId="186" fontId="46" fillId="5" borderId="1" xfId="0" applyNumberFormat="1" applyFont="1" applyFill="1" applyBorder="1" applyAlignment="1">
      <alignment horizontal="center" vertical="center" wrapText="1"/>
    </xf>
    <xf numFmtId="186" fontId="43" fillId="5" borderId="4" xfId="0" applyNumberFormat="1" applyFont="1" applyFill="1" applyBorder="1" applyAlignment="1">
      <alignment horizontal="center" vertical="center" wrapText="1"/>
    </xf>
    <xf numFmtId="181" fontId="46" fillId="0" borderId="4" xfId="0" applyNumberFormat="1" applyFont="1" applyFill="1" applyBorder="1" applyAlignment="1">
      <alignment horizontal="center" vertical="center"/>
    </xf>
    <xf numFmtId="186" fontId="46" fillId="5" borderId="4" xfId="0" applyNumberFormat="1" applyFont="1" applyFill="1" applyBorder="1" applyAlignment="1">
      <alignment horizontal="center" vertical="center"/>
    </xf>
    <xf numFmtId="179" fontId="58" fillId="0" borderId="0" xfId="0" applyNumberFormat="1" applyFont="1" applyFill="1" applyAlignment="1">
      <alignment horizontal="center" vertical="center" wrapText="1"/>
    </xf>
    <xf numFmtId="49" fontId="46" fillId="0" borderId="1" xfId="0" applyNumberFormat="1" applyFont="1" applyFill="1" applyBorder="1" applyAlignment="1">
      <alignment horizontal="center" vertical="center" wrapText="1"/>
    </xf>
    <xf numFmtId="180" fontId="46" fillId="0" borderId="1" xfId="0" applyNumberFormat="1" applyFont="1" applyFill="1" applyBorder="1" applyAlignment="1">
      <alignment horizontal="center" vertical="center" wrapText="1"/>
    </xf>
    <xf numFmtId="0" fontId="44" fillId="5" borderId="1" xfId="0" applyFont="1" applyFill="1" applyBorder="1" applyAlignment="1">
      <alignment horizontal="center" vertical="center" wrapText="1"/>
    </xf>
    <xf numFmtId="180" fontId="58" fillId="5" borderId="0" xfId="0" applyNumberFormat="1" applyFont="1" applyFill="1" applyAlignment="1">
      <alignment horizontal="center" vertical="center"/>
    </xf>
    <xf numFmtId="179" fontId="58" fillId="5" borderId="1" xfId="0" applyNumberFormat="1" applyFont="1" applyFill="1" applyBorder="1" applyAlignment="1"/>
    <xf numFmtId="179" fontId="58" fillId="0" borderId="1" xfId="0" applyNumberFormat="1" applyFont="1" applyFill="1" applyBorder="1" applyAlignment="1"/>
    <xf numFmtId="180" fontId="58" fillId="0" borderId="1" xfId="0" applyNumberFormat="1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60" fillId="5" borderId="1" xfId="0" applyFont="1" applyFill="1" applyBorder="1">
      <alignment vertical="center"/>
    </xf>
    <xf numFmtId="0" fontId="60" fillId="5" borderId="1" xfId="0" applyFont="1" applyFill="1" applyBorder="1" applyAlignment="1">
      <alignment horizontal="center" vertical="center"/>
    </xf>
    <xf numFmtId="0" fontId="43" fillId="5" borderId="1" xfId="0" applyFont="1" applyFill="1" applyBorder="1">
      <alignment vertical="center"/>
    </xf>
    <xf numFmtId="0" fontId="43" fillId="5" borderId="4" xfId="0" applyFont="1" applyFill="1" applyBorder="1">
      <alignment vertical="center"/>
    </xf>
    <xf numFmtId="0" fontId="60" fillId="5" borderId="6" xfId="0" applyFont="1" applyFill="1" applyBorder="1">
      <alignment vertical="center"/>
    </xf>
    <xf numFmtId="180" fontId="44" fillId="5" borderId="4" xfId="0" applyNumberFormat="1" applyFont="1" applyFill="1" applyBorder="1" applyAlignment="1">
      <alignment horizontal="center" vertical="center"/>
    </xf>
    <xf numFmtId="180" fontId="46" fillId="0" borderId="4" xfId="0" applyNumberFormat="1" applyFont="1" applyFill="1" applyBorder="1" applyAlignment="1">
      <alignment horizontal="center" vertical="center"/>
    </xf>
    <xf numFmtId="199" fontId="43" fillId="0" borderId="4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180" fontId="43" fillId="0" borderId="1" xfId="0" applyNumberFormat="1" applyFont="1" applyFill="1" applyBorder="1" applyAlignment="1">
      <alignment horizontal="center" vertical="center"/>
    </xf>
    <xf numFmtId="179" fontId="58" fillId="0" borderId="15" xfId="0" applyNumberFormat="1" applyFont="1" applyFill="1" applyBorder="1" applyAlignment="1">
      <alignment horizontal="center" vertical="center"/>
    </xf>
    <xf numFmtId="181" fontId="46" fillId="0" borderId="1" xfId="0" applyNumberFormat="1" applyFont="1" applyFill="1" applyBorder="1" applyAlignment="1">
      <alignment horizontal="center" vertical="center" wrapText="1"/>
    </xf>
    <xf numFmtId="5" fontId="46" fillId="0" borderId="16" xfId="0" applyNumberFormat="1" applyFont="1" applyFill="1" applyBorder="1" applyAlignment="1">
      <alignment horizontal="center" vertical="center" wrapText="1"/>
    </xf>
    <xf numFmtId="197" fontId="46" fillId="0" borderId="16" xfId="0" applyNumberFormat="1" applyFont="1" applyFill="1" applyBorder="1" applyAlignment="1">
      <alignment horizontal="center" vertical="center" wrapText="1"/>
    </xf>
    <xf numFmtId="198" fontId="44" fillId="0" borderId="1" xfId="0" applyNumberFormat="1" applyFont="1" applyFill="1" applyBorder="1" applyAlignment="1">
      <alignment horizontal="center" vertical="center"/>
    </xf>
    <xf numFmtId="198" fontId="44" fillId="0" borderId="4" xfId="0" applyNumberFormat="1" applyFont="1" applyFill="1" applyBorder="1" applyAlignment="1">
      <alignment horizontal="center" vertical="center"/>
    </xf>
    <xf numFmtId="197" fontId="44" fillId="0" borderId="4" xfId="0" applyNumberFormat="1" applyFont="1" applyFill="1" applyBorder="1" applyAlignment="1">
      <alignment horizontal="center" vertical="center"/>
    </xf>
    <xf numFmtId="191" fontId="46" fillId="0" borderId="4" xfId="0" applyNumberFormat="1" applyFont="1" applyFill="1" applyBorder="1" applyAlignment="1">
      <alignment horizontal="center" vertical="center"/>
    </xf>
    <xf numFmtId="181" fontId="44" fillId="5" borderId="1" xfId="0" applyNumberFormat="1" applyFont="1" applyFill="1" applyBorder="1" applyAlignment="1">
      <alignment horizontal="center" vertical="center"/>
    </xf>
    <xf numFmtId="183" fontId="44" fillId="0" borderId="4" xfId="0" applyNumberFormat="1" applyFont="1" applyFill="1" applyBorder="1" applyAlignment="1">
      <alignment horizontal="center" vertical="center"/>
    </xf>
    <xf numFmtId="191" fontId="44" fillId="0" borderId="4" xfId="0" applyNumberFormat="1" applyFont="1" applyFill="1" applyBorder="1" applyAlignment="1">
      <alignment horizontal="center" vertical="center"/>
    </xf>
    <xf numFmtId="191" fontId="44" fillId="0" borderId="1" xfId="0" applyNumberFormat="1" applyFont="1" applyFill="1" applyBorder="1" applyAlignment="1">
      <alignment horizontal="center" vertical="center"/>
    </xf>
    <xf numFmtId="58" fontId="44" fillId="0" borderId="1" xfId="0" applyNumberFormat="1" applyFont="1" applyFill="1" applyBorder="1" applyAlignment="1">
      <alignment horizontal="center" vertical="center"/>
    </xf>
    <xf numFmtId="181" fontId="44" fillId="5" borderId="4" xfId="0" applyNumberFormat="1" applyFont="1" applyFill="1" applyBorder="1" applyAlignment="1">
      <alignment horizontal="center" vertical="center"/>
    </xf>
    <xf numFmtId="187" fontId="57" fillId="0" borderId="1" xfId="0" applyNumberFormat="1" applyFont="1" applyFill="1" applyBorder="1" applyAlignment="1">
      <alignment horizontal="center" vertical="center"/>
    </xf>
    <xf numFmtId="58" fontId="44" fillId="0" borderId="4" xfId="0" applyNumberFormat="1" applyFont="1" applyFill="1" applyBorder="1" applyAlignment="1">
      <alignment horizontal="center" vertical="center"/>
    </xf>
    <xf numFmtId="199" fontId="43" fillId="0" borderId="4" xfId="0" applyNumberFormat="1" applyFont="1" applyFill="1" applyBorder="1" applyAlignment="1">
      <alignment horizontal="center" vertical="center"/>
    </xf>
    <xf numFmtId="181" fontId="57" fillId="0" borderId="4" xfId="0" applyNumberFormat="1" applyFont="1" applyFill="1" applyBorder="1" applyAlignment="1">
      <alignment horizontal="center" vertical="center"/>
    </xf>
    <xf numFmtId="179" fontId="58" fillId="0" borderId="0" xfId="0" applyNumberFormat="1" applyFont="1" applyFill="1" applyAlignment="1">
      <alignment horizontal="center" vertical="center"/>
    </xf>
    <xf numFmtId="200" fontId="58" fillId="0" borderId="0" xfId="0" applyNumberFormat="1" applyFont="1" applyFill="1" applyAlignment="1">
      <alignment horizontal="center" vertical="center"/>
    </xf>
    <xf numFmtId="58" fontId="46" fillId="0" borderId="16" xfId="0" applyNumberFormat="1" applyFont="1" applyFill="1" applyBorder="1" applyAlignment="1">
      <alignment horizontal="center" vertical="center" wrapText="1"/>
    </xf>
    <xf numFmtId="179" fontId="46" fillId="0" borderId="18" xfId="0" applyNumberFormat="1" applyFont="1" applyFill="1" applyBorder="1" applyAlignment="1">
      <alignment horizontal="center" vertical="center" wrapText="1"/>
    </xf>
    <xf numFmtId="200" fontId="46" fillId="0" borderId="18" xfId="0" applyNumberFormat="1" applyFont="1" applyFill="1" applyBorder="1" applyAlignment="1">
      <alignment horizontal="center" vertical="center" wrapText="1"/>
    </xf>
    <xf numFmtId="179" fontId="58" fillId="0" borderId="4" xfId="0" applyNumberFormat="1" applyFont="1" applyFill="1" applyBorder="1" applyAlignment="1">
      <alignment horizontal="center" vertical="center"/>
    </xf>
    <xf numFmtId="200" fontId="58" fillId="0" borderId="10" xfId="0" applyNumberFormat="1" applyFont="1" applyFill="1" applyBorder="1" applyAlignment="1">
      <alignment horizontal="center" vertical="center"/>
    </xf>
    <xf numFmtId="58" fontId="46" fillId="0" borderId="4" xfId="0" applyNumberFormat="1" applyFont="1" applyFill="1" applyBorder="1" applyAlignment="1">
      <alignment horizontal="center" vertical="center"/>
    </xf>
    <xf numFmtId="200" fontId="46" fillId="0" borderId="10" xfId="0" applyNumberFormat="1" applyFont="1" applyFill="1" applyBorder="1" applyAlignment="1">
      <alignment horizontal="center" vertical="center"/>
    </xf>
    <xf numFmtId="200" fontId="44" fillId="0" borderId="4" xfId="0" applyNumberFormat="1" applyFont="1" applyFill="1" applyBorder="1" applyAlignment="1">
      <alignment horizontal="center" vertical="center"/>
    </xf>
    <xf numFmtId="179" fontId="44" fillId="0" borderId="10" xfId="0" applyNumberFormat="1" applyFont="1" applyFill="1" applyBorder="1" applyAlignment="1">
      <alignment horizontal="center" vertical="center"/>
    </xf>
    <xf numFmtId="186" fontId="64" fillId="0" borderId="4" xfId="0" applyNumberFormat="1" applyFont="1" applyFill="1" applyBorder="1" applyAlignment="1">
      <alignment horizontal="center" vertical="center"/>
    </xf>
    <xf numFmtId="200" fontId="44" fillId="0" borderId="1" xfId="0" applyNumberFormat="1" applyFont="1" applyFill="1" applyBorder="1" applyAlignment="1">
      <alignment horizontal="left" vertical="center"/>
    </xf>
    <xf numFmtId="58" fontId="46" fillId="0" borderId="1" xfId="0" applyNumberFormat="1" applyFont="1" applyFill="1" applyBorder="1" applyAlignment="1">
      <alignment horizontal="center" vertical="center"/>
    </xf>
    <xf numFmtId="201" fontId="44" fillId="0" borderId="1" xfId="0" applyNumberFormat="1" applyFont="1" applyFill="1" applyBorder="1" applyAlignment="1">
      <alignment horizontal="center" vertical="center"/>
    </xf>
    <xf numFmtId="202" fontId="65" fillId="0" borderId="1" xfId="0" applyNumberFormat="1" applyFont="1" applyFill="1" applyBorder="1" applyAlignment="1">
      <alignment horizontal="center" vertical="center"/>
    </xf>
    <xf numFmtId="200" fontId="58" fillId="0" borderId="1" xfId="0" applyNumberFormat="1" applyFont="1" applyFill="1" applyBorder="1" applyAlignment="1">
      <alignment horizontal="center" vertical="center"/>
    </xf>
    <xf numFmtId="49" fontId="46" fillId="0" borderId="16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179" fontId="44" fillId="0" borderId="4" xfId="0" applyNumberFormat="1" applyFont="1" applyFill="1" applyBorder="1" applyAlignment="1">
      <alignment horizontal="center" vertical="center"/>
    </xf>
    <xf numFmtId="49" fontId="44" fillId="0" borderId="6" xfId="0" applyNumberFormat="1" applyFont="1" applyFill="1" applyBorder="1" applyAlignment="1">
      <alignment horizontal="center" vertical="center"/>
    </xf>
    <xf numFmtId="179" fontId="66" fillId="0" borderId="1" xfId="0" applyNumberFormat="1" applyFont="1" applyFill="1" applyBorder="1" applyAlignment="1">
      <alignment horizontal="center" vertical="center" wrapText="1"/>
    </xf>
    <xf numFmtId="49" fontId="44" fillId="0" borderId="1" xfId="0" applyNumberFormat="1" applyFont="1" applyFill="1" applyBorder="1" applyAlignment="1">
      <alignment horizontal="center" vertical="center"/>
    </xf>
    <xf numFmtId="179" fontId="46" fillId="0" borderId="6" xfId="0" applyNumberFormat="1" applyFont="1" applyFill="1" applyBorder="1" applyAlignment="1">
      <alignment horizontal="center" vertical="center"/>
    </xf>
    <xf numFmtId="0" fontId="67" fillId="0" borderId="1" xfId="0" applyNumberFormat="1" applyFont="1" applyFill="1" applyBorder="1" applyAlignment="1">
      <alignment horizontal="center" vertical="center"/>
    </xf>
    <xf numFmtId="179" fontId="46" fillId="0" borderId="19" xfId="0" applyNumberFormat="1" applyFont="1" applyFill="1" applyBorder="1" applyAlignment="1">
      <alignment horizontal="center" vertical="center" wrapText="1"/>
    </xf>
    <xf numFmtId="179" fontId="46" fillId="0" borderId="20" xfId="0" applyNumberFormat="1" applyFont="1" applyFill="1" applyBorder="1" applyAlignment="1">
      <alignment horizontal="center" vertical="center" wrapText="1"/>
    </xf>
    <xf numFmtId="179" fontId="46" fillId="0" borderId="16" xfId="0" applyNumberFormat="1" applyFont="1" applyFill="1" applyBorder="1" applyAlignment="1">
      <alignment horizontal="center" vertical="center" wrapText="1"/>
    </xf>
    <xf numFmtId="179" fontId="44" fillId="0" borderId="21" xfId="0" applyNumberFormat="1" applyFont="1" applyFill="1" applyBorder="1" applyAlignment="1">
      <alignment horizontal="center" vertical="center"/>
    </xf>
    <xf numFmtId="0" fontId="44" fillId="0" borderId="13" xfId="0" applyNumberFormat="1" applyFont="1" applyFill="1" applyBorder="1" applyAlignment="1">
      <alignment horizontal="center" vertical="center"/>
    </xf>
    <xf numFmtId="179" fontId="63" fillId="5" borderId="8" xfId="0" applyNumberFormat="1" applyFont="1" applyFill="1" applyBorder="1" applyAlignment="1">
      <alignment horizontal="center" vertical="center"/>
    </xf>
    <xf numFmtId="180" fontId="44" fillId="5" borderId="14" xfId="0" applyNumberFormat="1" applyFont="1" applyFill="1" applyBorder="1" applyAlignment="1">
      <alignment horizontal="center" vertical="center"/>
    </xf>
    <xf numFmtId="180" fontId="44" fillId="5" borderId="6" xfId="0" applyNumberFormat="1" applyFont="1" applyFill="1" applyBorder="1" applyAlignment="1">
      <alignment horizontal="center" vertical="center"/>
    </xf>
    <xf numFmtId="179" fontId="63" fillId="5" borderId="14" xfId="0" applyNumberFormat="1" applyFont="1" applyFill="1" applyBorder="1" applyAlignment="1">
      <alignment horizontal="center" vertical="center"/>
    </xf>
    <xf numFmtId="179" fontId="44" fillId="5" borderId="8" xfId="0" applyNumberFormat="1" applyFont="1" applyFill="1" applyBorder="1" applyAlignment="1">
      <alignment horizontal="center" vertical="center"/>
    </xf>
    <xf numFmtId="180" fontId="44" fillId="5" borderId="26" xfId="0" applyNumberFormat="1" applyFont="1" applyFill="1" applyBorder="1" applyAlignment="1">
      <alignment horizontal="center" vertical="center"/>
    </xf>
    <xf numFmtId="0" fontId="44" fillId="0" borderId="8" xfId="0" applyNumberFormat="1" applyFont="1" applyFill="1" applyBorder="1" applyAlignment="1">
      <alignment horizontal="center" vertical="center"/>
    </xf>
    <xf numFmtId="0" fontId="44" fillId="0" borderId="16" xfId="0" applyNumberFormat="1" applyFont="1" applyFill="1" applyBorder="1" applyAlignment="1">
      <alignment horizontal="center" vertical="center"/>
    </xf>
    <xf numFmtId="180" fontId="46" fillId="7" borderId="5" xfId="0" applyNumberFormat="1" applyFont="1" applyFill="1" applyBorder="1" applyAlignment="1">
      <alignment horizontal="center" vertical="center"/>
    </xf>
    <xf numFmtId="180" fontId="58" fillId="0" borderId="0" xfId="0" applyNumberFormat="1" applyFont="1" applyFill="1" applyAlignment="1">
      <alignment horizontal="center" vertical="center"/>
    </xf>
    <xf numFmtId="0" fontId="62" fillId="0" borderId="0" xfId="0" applyFont="1" applyFill="1" applyAlignment="1">
      <alignment horizontal="left" vertical="center"/>
    </xf>
    <xf numFmtId="5" fontId="44" fillId="0" borderId="1" xfId="0" applyNumberFormat="1" applyFont="1" applyBorder="1" applyAlignment="1">
      <alignment horizontal="center" vertical="center"/>
    </xf>
    <xf numFmtId="0" fontId="56" fillId="0" borderId="1" xfId="0" applyNumberFormat="1" applyFont="1" applyFill="1" applyBorder="1" applyAlignment="1">
      <alignment horizontal="center" vertical="center"/>
    </xf>
    <xf numFmtId="0" fontId="43" fillId="15" borderId="1" xfId="0" applyFont="1" applyFill="1" applyBorder="1" applyAlignment="1">
      <alignment horizontal="center" vertical="center"/>
    </xf>
    <xf numFmtId="0" fontId="44" fillId="0" borderId="25" xfId="0" applyNumberFormat="1" applyFont="1" applyFill="1" applyBorder="1" applyAlignment="1">
      <alignment horizontal="center" vertical="center"/>
    </xf>
    <xf numFmtId="182" fontId="44" fillId="0" borderId="16" xfId="0" applyNumberFormat="1" applyFont="1" applyFill="1" applyBorder="1" applyAlignment="1">
      <alignment horizontal="center" vertical="center"/>
    </xf>
    <xf numFmtId="7" fontId="44" fillId="0" borderId="0" xfId="0" applyNumberFormat="1" applyFont="1" applyFill="1" applyAlignment="1">
      <alignment horizontal="center" vertical="center"/>
    </xf>
    <xf numFmtId="183" fontId="44" fillId="0" borderId="1" xfId="0" applyNumberFormat="1" applyFont="1" applyBorder="1" applyAlignment="1">
      <alignment horizontal="center" vertical="center"/>
    </xf>
    <xf numFmtId="186" fontId="19" fillId="5" borderId="21" xfId="0" applyNumberFormat="1" applyFont="1" applyFill="1" applyBorder="1" applyAlignment="1">
      <alignment horizontal="center" vertical="center"/>
    </xf>
    <xf numFmtId="186" fontId="44" fillId="5" borderId="21" xfId="0" applyNumberFormat="1" applyFont="1" applyFill="1" applyBorder="1" applyAlignment="1">
      <alignment horizontal="center" vertical="center"/>
    </xf>
    <xf numFmtId="186" fontId="44" fillId="0" borderId="16" xfId="0" applyNumberFormat="1" applyFont="1" applyFill="1" applyBorder="1" applyAlignment="1">
      <alignment horizontal="center" vertical="center"/>
    </xf>
    <xf numFmtId="186" fontId="44" fillId="5" borderId="16" xfId="0" applyNumberFormat="1" applyFont="1" applyFill="1" applyBorder="1" applyAlignment="1">
      <alignment horizontal="center" vertical="center"/>
    </xf>
    <xf numFmtId="183" fontId="46" fillId="0" borderId="1" xfId="0" applyNumberFormat="1" applyFont="1" applyFill="1" applyBorder="1" applyAlignment="1">
      <alignment horizontal="center" vertical="center"/>
    </xf>
    <xf numFmtId="191" fontId="46" fillId="0" borderId="1" xfId="0" applyNumberFormat="1" applyFont="1" applyFill="1" applyBorder="1" applyAlignment="1">
      <alignment horizontal="center" vertical="center"/>
    </xf>
    <xf numFmtId="186" fontId="58" fillId="0" borderId="0" xfId="0" applyNumberFormat="1" applyFont="1" applyFill="1" applyAlignment="1">
      <alignment horizontal="center" vertical="center"/>
    </xf>
    <xf numFmtId="5" fontId="58" fillId="0" borderId="0" xfId="0" applyNumberFormat="1" applyFont="1" applyFill="1" applyAlignment="1">
      <alignment horizontal="center" vertical="center"/>
    </xf>
    <xf numFmtId="199" fontId="44" fillId="0" borderId="4" xfId="0" applyNumberFormat="1" applyFont="1" applyFill="1" applyBorder="1" applyAlignment="1">
      <alignment horizontal="center" vertical="center" wrapText="1"/>
    </xf>
    <xf numFmtId="199" fontId="44" fillId="0" borderId="3" xfId="0" applyNumberFormat="1" applyFont="1" applyFill="1" applyBorder="1" applyAlignment="1">
      <alignment horizontal="center" vertical="center" wrapText="1"/>
    </xf>
    <xf numFmtId="179" fontId="60" fillId="0" borderId="1" xfId="0" applyNumberFormat="1" applyFont="1" applyFill="1" applyBorder="1" applyAlignment="1">
      <alignment horizontal="center" vertical="center" wrapText="1"/>
    </xf>
    <xf numFmtId="186" fontId="44" fillId="0" borderId="21" xfId="0" applyNumberFormat="1" applyFont="1" applyBorder="1" applyAlignment="1">
      <alignment horizontal="center" vertical="center"/>
    </xf>
    <xf numFmtId="189" fontId="44" fillId="0" borderId="21" xfId="0" applyNumberFormat="1" applyFont="1" applyFill="1" applyBorder="1" applyAlignment="1">
      <alignment horizontal="center" vertical="center" wrapText="1"/>
    </xf>
    <xf numFmtId="179" fontId="44" fillId="0" borderId="5" xfId="0" applyNumberFormat="1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/>
    </xf>
    <xf numFmtId="180" fontId="43" fillId="0" borderId="16" xfId="0" applyNumberFormat="1" applyFont="1" applyFill="1" applyBorder="1" applyAlignment="1">
      <alignment horizontal="center" vertical="center"/>
    </xf>
    <xf numFmtId="186" fontId="46" fillId="5" borderId="5" xfId="0" applyNumberFormat="1" applyFont="1" applyFill="1" applyBorder="1" applyAlignment="1">
      <alignment horizontal="center" vertical="center"/>
    </xf>
    <xf numFmtId="179" fontId="46" fillId="0" borderId="5" xfId="0" applyNumberFormat="1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left" vertical="center"/>
    </xf>
    <xf numFmtId="188" fontId="44" fillId="0" borderId="1" xfId="0" applyNumberFormat="1" applyFont="1" applyFill="1" applyBorder="1" applyAlignment="1">
      <alignment horizontal="center" vertical="center" wrapText="1"/>
    </xf>
    <xf numFmtId="189" fontId="44" fillId="0" borderId="21" xfId="0" applyNumberFormat="1" applyFont="1" applyFill="1" applyBorder="1" applyAlignment="1">
      <alignment horizontal="center" vertical="center"/>
    </xf>
    <xf numFmtId="199" fontId="44" fillId="0" borderId="21" xfId="0" applyNumberFormat="1" applyFont="1" applyFill="1" applyBorder="1" applyAlignment="1">
      <alignment horizontal="center" vertical="center"/>
    </xf>
    <xf numFmtId="181" fontId="57" fillId="0" borderId="15" xfId="0" applyNumberFormat="1" applyFont="1" applyFill="1" applyBorder="1" applyAlignment="1">
      <alignment horizontal="center" vertical="center"/>
    </xf>
    <xf numFmtId="199" fontId="44" fillId="0" borderId="4" xfId="0" applyNumberFormat="1" applyFont="1" applyFill="1" applyBorder="1" applyAlignment="1">
      <alignment horizontal="center" vertical="center"/>
    </xf>
    <xf numFmtId="183" fontId="44" fillId="0" borderId="21" xfId="0" applyNumberFormat="1" applyFont="1" applyFill="1" applyBorder="1" applyAlignment="1">
      <alignment horizontal="center" vertical="center"/>
    </xf>
    <xf numFmtId="204" fontId="44" fillId="0" borderId="1" xfId="0" applyNumberFormat="1" applyFont="1" applyFill="1" applyBorder="1" applyAlignment="1">
      <alignment horizontal="center" vertical="center"/>
    </xf>
    <xf numFmtId="199" fontId="63" fillId="0" borderId="1" xfId="0" applyNumberFormat="1" applyFont="1" applyFill="1" applyBorder="1" applyAlignment="1">
      <alignment horizontal="center" vertical="center"/>
    </xf>
    <xf numFmtId="181" fontId="57" fillId="0" borderId="1" xfId="0" applyNumberFormat="1" applyFont="1" applyFill="1" applyBorder="1" applyAlignment="1">
      <alignment horizontal="center" vertical="center"/>
    </xf>
    <xf numFmtId="199" fontId="44" fillId="0" borderId="1" xfId="0" applyNumberFormat="1" applyFont="1" applyFill="1" applyBorder="1" applyAlignment="1">
      <alignment horizontal="center" vertical="center"/>
    </xf>
    <xf numFmtId="188" fontId="44" fillId="0" borderId="1" xfId="0" applyNumberFormat="1" applyFont="1" applyFill="1" applyBorder="1" applyAlignment="1">
      <alignment horizontal="center" vertical="center"/>
    </xf>
    <xf numFmtId="189" fontId="44" fillId="0" borderId="16" xfId="0" applyNumberFormat="1" applyFont="1" applyFill="1" applyBorder="1" applyAlignment="1">
      <alignment horizontal="center" vertical="center"/>
    </xf>
    <xf numFmtId="199" fontId="44" fillId="0" borderId="5" xfId="0" applyNumberFormat="1" applyFont="1" applyFill="1" applyBorder="1" applyAlignment="1">
      <alignment horizontal="center" vertical="center"/>
    </xf>
    <xf numFmtId="181" fontId="57" fillId="0" borderId="5" xfId="0" applyNumberFormat="1" applyFont="1" applyFill="1" applyBorder="1" applyAlignment="1">
      <alignment horizontal="center" vertical="center"/>
    </xf>
    <xf numFmtId="188" fontId="44" fillId="0" borderId="16" xfId="0" applyNumberFormat="1" applyFont="1" applyFill="1" applyBorder="1" applyAlignment="1">
      <alignment horizontal="center" vertical="center"/>
    </xf>
    <xf numFmtId="198" fontId="58" fillId="0" borderId="0" xfId="0" applyNumberFormat="1" applyFont="1" applyFill="1" applyAlignment="1">
      <alignment horizontal="center" vertical="center"/>
    </xf>
    <xf numFmtId="202" fontId="44" fillId="0" borderId="1" xfId="0" applyNumberFormat="1" applyFont="1" applyFill="1" applyBorder="1" applyAlignment="1">
      <alignment horizontal="center" vertical="center"/>
    </xf>
    <xf numFmtId="179" fontId="44" fillId="0" borderId="5" xfId="0" applyNumberFormat="1" applyFont="1" applyFill="1" applyBorder="1" applyAlignment="1">
      <alignment horizontal="center" vertical="center"/>
    </xf>
    <xf numFmtId="202" fontId="44" fillId="0" borderId="5" xfId="0" applyNumberFormat="1" applyFont="1" applyFill="1" applyBorder="1" applyAlignment="1">
      <alignment horizontal="center" vertical="center"/>
    </xf>
    <xf numFmtId="200" fontId="44" fillId="0" borderId="5" xfId="0" applyNumberFormat="1" applyFont="1" applyFill="1" applyBorder="1" applyAlignment="1">
      <alignment horizontal="center" vertical="center"/>
    </xf>
    <xf numFmtId="179" fontId="46" fillId="0" borderId="8" xfId="0" applyNumberFormat="1" applyFont="1" applyFill="1" applyBorder="1" applyAlignment="1">
      <alignment horizontal="center" vertical="center"/>
    </xf>
    <xf numFmtId="0" fontId="43" fillId="0" borderId="1" xfId="0" applyFont="1" applyFill="1" applyBorder="1">
      <alignment vertical="center"/>
    </xf>
    <xf numFmtId="0" fontId="43" fillId="0" borderId="22" xfId="0" applyFont="1" applyFill="1" applyBorder="1">
      <alignment vertical="center"/>
    </xf>
    <xf numFmtId="179" fontId="46" fillId="0" borderId="22" xfId="0" applyNumberFormat="1" applyFont="1" applyFill="1" applyBorder="1" applyAlignment="1">
      <alignment horizontal="center" vertical="center"/>
    </xf>
    <xf numFmtId="179" fontId="44" fillId="0" borderId="23" xfId="0" applyNumberFormat="1" applyFont="1" applyFill="1" applyBorder="1" applyAlignment="1">
      <alignment horizontal="center" vertical="center"/>
    </xf>
    <xf numFmtId="179" fontId="46" fillId="0" borderId="23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vertical="center" wrapText="1"/>
    </xf>
    <xf numFmtId="0" fontId="44" fillId="0" borderId="24" xfId="0" applyFont="1" applyFill="1" applyBorder="1" applyAlignment="1">
      <alignment horizontal="center" vertical="center" wrapText="1"/>
    </xf>
    <xf numFmtId="179" fontId="44" fillId="0" borderId="24" xfId="0" applyNumberFormat="1" applyFont="1" applyFill="1" applyBorder="1" applyAlignment="1">
      <alignment horizontal="center" vertical="center"/>
    </xf>
    <xf numFmtId="179" fontId="46" fillId="0" borderId="24" xfId="0" applyNumberFormat="1" applyFont="1" applyFill="1" applyBorder="1" applyAlignment="1">
      <alignment horizontal="center" vertical="center"/>
    </xf>
    <xf numFmtId="0" fontId="58" fillId="0" borderId="0" xfId="0" applyNumberFormat="1" applyFont="1" applyFill="1" applyAlignment="1">
      <alignment horizontal="center" vertical="center"/>
    </xf>
    <xf numFmtId="0" fontId="58" fillId="0" borderId="0" xfId="0" applyNumberFormat="1" applyFont="1" applyFill="1" applyAlignment="1">
      <alignment horizontal="center" vertical="center" wrapText="1"/>
    </xf>
    <xf numFmtId="179" fontId="46" fillId="3" borderId="1" xfId="0" applyNumberFormat="1" applyFont="1" applyFill="1" applyBorder="1" applyAlignment="1">
      <alignment horizontal="center" vertical="center"/>
    </xf>
    <xf numFmtId="180" fontId="46" fillId="3" borderId="1" xfId="0" applyNumberFormat="1" applyFont="1" applyFill="1" applyBorder="1" applyAlignment="1">
      <alignment horizontal="center" vertical="center" wrapText="1"/>
    </xf>
    <xf numFmtId="0" fontId="29" fillId="3" borderId="0" xfId="0" applyFont="1" applyFill="1" applyAlignment="1">
      <alignment horizontal="center" vertical="center"/>
    </xf>
    <xf numFmtId="179" fontId="29" fillId="3" borderId="16" xfId="0" applyNumberFormat="1" applyFont="1" applyFill="1" applyBorder="1" applyAlignment="1">
      <alignment horizontal="center" vertical="center"/>
    </xf>
    <xf numFmtId="179" fontId="29" fillId="3" borderId="8" xfId="0" applyNumberFormat="1" applyFont="1" applyFill="1" applyBorder="1" applyAlignment="1">
      <alignment horizontal="center" vertical="center"/>
    </xf>
    <xf numFmtId="49" fontId="46" fillId="3" borderId="1" xfId="0" applyNumberFormat="1" applyFont="1" applyFill="1" applyBorder="1" applyAlignment="1">
      <alignment horizontal="center" vertical="center"/>
    </xf>
    <xf numFmtId="0" fontId="20" fillId="5" borderId="1" xfId="0" applyNumberFormat="1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80" fontId="22" fillId="5" borderId="16" xfId="0" applyNumberFormat="1" applyFont="1" applyFill="1" applyBorder="1" applyAlignment="1">
      <alignment horizontal="center" vertical="center"/>
    </xf>
    <xf numFmtId="179" fontId="22" fillId="5" borderId="16" xfId="0" applyNumberFormat="1" applyFont="1" applyFill="1" applyBorder="1" applyAlignment="1">
      <alignment horizontal="center" vertical="center"/>
    </xf>
    <xf numFmtId="179" fontId="29" fillId="3" borderId="6" xfId="0" applyNumberFormat="1" applyFont="1" applyFill="1" applyBorder="1" applyAlignment="1">
      <alignment horizontal="center" vertical="center"/>
    </xf>
    <xf numFmtId="180" fontId="29" fillId="0" borderId="16" xfId="0" applyNumberFormat="1" applyFont="1" applyFill="1" applyBorder="1" applyAlignment="1">
      <alignment horizontal="center" vertical="center"/>
    </xf>
    <xf numFmtId="181" fontId="29" fillId="0" borderId="16" xfId="0" applyNumberFormat="1" applyFont="1" applyFill="1" applyBorder="1" applyAlignment="1">
      <alignment horizontal="center" vertical="center"/>
    </xf>
    <xf numFmtId="0" fontId="34" fillId="11" borderId="1" xfId="0" applyNumberFormat="1" applyFont="1" applyFill="1" applyBorder="1" applyAlignment="1">
      <alignment horizontal="center" vertical="center"/>
    </xf>
    <xf numFmtId="7" fontId="46" fillId="3" borderId="1" xfId="0" applyNumberFormat="1" applyFont="1" applyFill="1" applyBorder="1" applyAlignment="1">
      <alignment horizontal="center" vertical="center"/>
    </xf>
    <xf numFmtId="186" fontId="46" fillId="3" borderId="1" xfId="0" applyNumberFormat="1" applyFont="1" applyFill="1" applyBorder="1" applyAlignment="1">
      <alignment horizontal="center" vertical="center"/>
    </xf>
    <xf numFmtId="179" fontId="22" fillId="5" borderId="0" xfId="0" applyNumberFormat="1" applyFont="1" applyFill="1" applyBorder="1" applyAlignment="1">
      <alignment horizontal="center" vertical="center"/>
    </xf>
    <xf numFmtId="181" fontId="29" fillId="0" borderId="0" xfId="0" applyNumberFormat="1" applyFont="1" applyFill="1" applyBorder="1" applyAlignment="1">
      <alignment horizontal="center" vertical="center"/>
    </xf>
    <xf numFmtId="7" fontId="29" fillId="3" borderId="3" xfId="0" applyNumberFormat="1" applyFont="1" applyFill="1" applyBorder="1" applyAlignment="1">
      <alignment horizontal="center" vertical="center"/>
    </xf>
    <xf numFmtId="183" fontId="29" fillId="0" borderId="3" xfId="0" applyNumberFormat="1" applyFont="1" applyFill="1" applyBorder="1" applyAlignment="1">
      <alignment horizontal="center" vertical="center"/>
    </xf>
    <xf numFmtId="186" fontId="29" fillId="3" borderId="3" xfId="0" applyNumberFormat="1" applyFont="1" applyFill="1" applyBorder="1" applyAlignment="1">
      <alignment horizontal="center" vertical="center"/>
    </xf>
    <xf numFmtId="191" fontId="19" fillId="5" borderId="4" xfId="0" applyNumberFormat="1" applyFont="1" applyFill="1" applyBorder="1" applyAlignment="1">
      <alignment horizontal="center" vertical="center"/>
    </xf>
    <xf numFmtId="7" fontId="29" fillId="3" borderId="4" xfId="0" applyNumberFormat="1" applyFont="1" applyFill="1" applyBorder="1" applyAlignment="1">
      <alignment horizontal="center" vertical="center"/>
    </xf>
    <xf numFmtId="7" fontId="35" fillId="5" borderId="1" xfId="0" applyNumberFormat="1" applyFont="1" applyFill="1" applyBorder="1" applyAlignment="1">
      <alignment horizontal="center" vertical="center"/>
    </xf>
    <xf numFmtId="5" fontId="46" fillId="0" borderId="1" xfId="0" applyNumberFormat="1" applyFont="1" applyFill="1" applyBorder="1" applyAlignment="1">
      <alignment horizontal="center" vertical="center"/>
    </xf>
    <xf numFmtId="185" fontId="19" fillId="0" borderId="21" xfId="0" applyNumberFormat="1" applyFont="1" applyFill="1" applyBorder="1" applyAlignment="1">
      <alignment horizontal="center" vertical="center"/>
    </xf>
    <xf numFmtId="183" fontId="30" fillId="0" borderId="21" xfId="0" applyNumberFormat="1" applyFont="1" applyFill="1" applyBorder="1" applyAlignment="1">
      <alignment horizontal="center" vertical="center"/>
    </xf>
    <xf numFmtId="180" fontId="19" fillId="5" borderId="26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179" fontId="29" fillId="3" borderId="4" xfId="0" applyNumberFormat="1" applyFont="1" applyFill="1" applyBorder="1" applyAlignment="1">
      <alignment horizontal="center" vertical="center"/>
    </xf>
    <xf numFmtId="0" fontId="46" fillId="0" borderId="7" xfId="0" applyFont="1" applyFill="1" applyBorder="1" applyAlignment="1">
      <alignment horizontal="center" vertical="center"/>
    </xf>
    <xf numFmtId="0" fontId="48" fillId="0" borderId="8" xfId="0" applyFont="1" applyFill="1" applyBorder="1" applyAlignment="1">
      <alignment horizontal="center" vertical="center"/>
    </xf>
    <xf numFmtId="0" fontId="19" fillId="11" borderId="1" xfId="0" applyNumberFormat="1" applyFont="1" applyFill="1" applyBorder="1" applyAlignment="1">
      <alignment horizontal="center" vertical="center"/>
    </xf>
    <xf numFmtId="204" fontId="19" fillId="0" borderId="1" xfId="0" applyNumberFormat="1" applyFont="1" applyFill="1" applyBorder="1" applyAlignment="1">
      <alignment horizontal="center" vertical="center"/>
    </xf>
    <xf numFmtId="0" fontId="19" fillId="0" borderId="25" xfId="0" applyNumberFormat="1" applyFont="1" applyFill="1" applyBorder="1" applyAlignment="1">
      <alignment horizontal="center" vertical="center"/>
    </xf>
    <xf numFmtId="188" fontId="19" fillId="0" borderId="16" xfId="0" applyNumberFormat="1" applyFont="1" applyFill="1" applyBorder="1" applyAlignment="1">
      <alignment horizontal="center" vertical="center"/>
    </xf>
    <xf numFmtId="204" fontId="19" fillId="0" borderId="7" xfId="0" applyNumberFormat="1" applyFont="1" applyFill="1" applyBorder="1" applyAlignment="1">
      <alignment horizontal="center" vertical="center"/>
    </xf>
    <xf numFmtId="181" fontId="33" fillId="0" borderId="7" xfId="0" applyNumberFormat="1" applyFont="1" applyFill="1" applyBorder="1" applyAlignment="1">
      <alignment horizontal="center" vertical="center"/>
    </xf>
    <xf numFmtId="204" fontId="19" fillId="0" borderId="16" xfId="0" applyNumberFormat="1" applyFont="1" applyFill="1" applyBorder="1" applyAlignment="1">
      <alignment horizontal="center" vertical="center"/>
    </xf>
    <xf numFmtId="186" fontId="19" fillId="5" borderId="16" xfId="0" applyNumberFormat="1" applyFont="1" applyFill="1" applyBorder="1" applyAlignment="1">
      <alignment horizontal="center" vertical="center"/>
    </xf>
    <xf numFmtId="179" fontId="20" fillId="0" borderId="1" xfId="0" applyNumberFormat="1" applyFont="1" applyFill="1" applyBorder="1" applyAlignment="1">
      <alignment horizontal="center" vertical="center"/>
    </xf>
    <xf numFmtId="189" fontId="19" fillId="0" borderId="16" xfId="0" applyNumberFormat="1" applyFont="1" applyFill="1" applyBorder="1" applyAlignment="1">
      <alignment horizontal="center" vertical="center"/>
    </xf>
    <xf numFmtId="205" fontId="0" fillId="0" borderId="0" xfId="0" applyNumberFormat="1" applyFill="1">
      <alignment vertical="center"/>
    </xf>
    <xf numFmtId="0" fontId="0" fillId="5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205" fontId="49" fillId="0" borderId="0" xfId="0" applyNumberFormat="1" applyFont="1" applyFill="1" applyAlignment="1">
      <alignment horizontal="center" vertical="center"/>
    </xf>
    <xf numFmtId="205" fontId="46" fillId="3" borderId="1" xfId="0" applyNumberFormat="1" applyFont="1" applyFill="1" applyBorder="1" applyAlignment="1">
      <alignment horizontal="center" vertical="center"/>
    </xf>
    <xf numFmtId="205" fontId="5" fillId="5" borderId="4" xfId="0" applyNumberFormat="1" applyFont="1" applyFill="1" applyBorder="1" applyAlignment="1">
      <alignment horizontal="center" vertical="center"/>
    </xf>
    <xf numFmtId="205" fontId="5" fillId="5" borderId="1" xfId="0" applyNumberFormat="1" applyFont="1" applyFill="1" applyBorder="1" applyAlignment="1">
      <alignment horizontal="center" vertical="center"/>
    </xf>
    <xf numFmtId="205" fontId="29" fillId="3" borderId="3" xfId="0" applyNumberFormat="1" applyFont="1" applyFill="1" applyBorder="1" applyAlignment="1">
      <alignment horizontal="center" vertical="center"/>
    </xf>
    <xf numFmtId="205" fontId="29" fillId="3" borderId="4" xfId="0" applyNumberFormat="1" applyFont="1" applyFill="1" applyBorder="1" applyAlignment="1">
      <alignment horizontal="center" vertical="center"/>
    </xf>
    <xf numFmtId="205" fontId="19" fillId="5" borderId="4" xfId="0" applyNumberFormat="1" applyFont="1" applyFill="1" applyBorder="1" applyAlignment="1">
      <alignment horizontal="center" vertical="center"/>
    </xf>
    <xf numFmtId="205" fontId="19" fillId="5" borderId="1" xfId="0" applyNumberFormat="1" applyFont="1" applyFill="1" applyBorder="1" applyAlignment="1">
      <alignment horizontal="center" vertical="center"/>
    </xf>
    <xf numFmtId="205" fontId="19" fillId="5" borderId="21" xfId="0" applyNumberFormat="1" applyFont="1" applyFill="1" applyBorder="1" applyAlignment="1">
      <alignment horizontal="center" vertical="center"/>
    </xf>
    <xf numFmtId="0" fontId="19" fillId="5" borderId="16" xfId="0" applyNumberFormat="1" applyFont="1" applyFill="1" applyBorder="1" applyAlignment="1">
      <alignment horizontal="center" vertical="center"/>
    </xf>
    <xf numFmtId="0" fontId="19" fillId="5" borderId="25" xfId="0" applyNumberFormat="1" applyFont="1" applyFill="1" applyBorder="1" applyAlignment="1">
      <alignment horizontal="center" vertical="center"/>
    </xf>
    <xf numFmtId="7" fontId="19" fillId="5" borderId="16" xfId="0" applyNumberFormat="1" applyFont="1" applyFill="1" applyBorder="1" applyAlignment="1">
      <alignment horizontal="center" vertical="center"/>
    </xf>
    <xf numFmtId="183" fontId="19" fillId="5" borderId="16" xfId="0" applyNumberFormat="1" applyFont="1" applyFill="1" applyBorder="1" applyAlignment="1">
      <alignment horizontal="center" vertical="center"/>
    </xf>
    <xf numFmtId="205" fontId="19" fillId="5" borderId="16" xfId="0" applyNumberFormat="1" applyFont="1" applyFill="1" applyBorder="1" applyAlignment="1">
      <alignment horizontal="center" vertical="center"/>
    </xf>
    <xf numFmtId="0" fontId="29" fillId="3" borderId="1" xfId="0" applyNumberFormat="1" applyFont="1" applyFill="1" applyBorder="1" applyAlignment="1">
      <alignment horizontal="center" vertical="center"/>
    </xf>
    <xf numFmtId="205" fontId="46" fillId="0" borderId="1" xfId="0" applyNumberFormat="1" applyFont="1" applyFill="1" applyBorder="1" applyAlignment="1">
      <alignment horizontal="center" vertical="center"/>
    </xf>
    <xf numFmtId="205" fontId="22" fillId="0" borderId="0" xfId="0" applyNumberFormat="1" applyFont="1" applyFill="1" applyAlignment="1">
      <alignment horizontal="center" vertical="center"/>
    </xf>
    <xf numFmtId="0" fontId="3" fillId="5" borderId="0" xfId="0" applyFont="1" applyFill="1">
      <alignment vertical="center"/>
    </xf>
    <xf numFmtId="180" fontId="0" fillId="0" borderId="0" xfId="0" applyNumberFormat="1">
      <alignment vertical="center"/>
    </xf>
    <xf numFmtId="200" fontId="0" fillId="0" borderId="0" xfId="0" applyNumberFormat="1">
      <alignment vertical="center"/>
    </xf>
    <xf numFmtId="179" fontId="68" fillId="0" borderId="15" xfId="0" applyNumberFormat="1" applyFont="1" applyBorder="1" applyAlignment="1">
      <alignment horizontal="center" vertical="center"/>
    </xf>
    <xf numFmtId="179" fontId="50" fillId="0" borderId="15" xfId="0" applyNumberFormat="1" applyFont="1" applyBorder="1" applyAlignment="1">
      <alignment horizontal="center" vertical="center"/>
    </xf>
    <xf numFmtId="179" fontId="69" fillId="17" borderId="27" xfId="0" applyNumberFormat="1" applyFont="1" applyFill="1" applyBorder="1" applyAlignment="1">
      <alignment horizontal="center" vertical="center"/>
    </xf>
    <xf numFmtId="179" fontId="69" fillId="17" borderId="16" xfId="0" applyNumberFormat="1" applyFont="1" applyFill="1" applyBorder="1" applyAlignment="1">
      <alignment horizontal="center" vertical="center"/>
    </xf>
    <xf numFmtId="49" fontId="69" fillId="17" borderId="16" xfId="0" applyNumberFormat="1" applyFont="1" applyFill="1" applyBorder="1" applyAlignment="1">
      <alignment horizontal="center" vertical="center"/>
    </xf>
    <xf numFmtId="179" fontId="19" fillId="18" borderId="3" xfId="0" applyNumberFormat="1" applyFont="1" applyFill="1" applyBorder="1" applyAlignment="1">
      <alignment horizontal="center" vertical="center"/>
    </xf>
    <xf numFmtId="179" fontId="22" fillId="0" borderId="0" xfId="0" applyNumberFormat="1" applyFont="1" applyAlignment="1"/>
    <xf numFmtId="0" fontId="20" fillId="0" borderId="1" xfId="0" applyNumberFormat="1" applyFont="1" applyFill="1" applyBorder="1" applyAlignment="1">
      <alignment horizontal="center" vertical="center"/>
    </xf>
    <xf numFmtId="179" fontId="20" fillId="5" borderId="1" xfId="0" applyNumberFormat="1" applyFont="1" applyFill="1" applyBorder="1" applyAlignment="1">
      <alignment horizontal="center"/>
    </xf>
    <xf numFmtId="179" fontId="19" fillId="3" borderId="28" xfId="0" applyNumberFormat="1" applyFont="1" applyFill="1" applyBorder="1" applyAlignment="1">
      <alignment horizontal="center" vertical="center"/>
    </xf>
    <xf numFmtId="179" fontId="22" fillId="3" borderId="1" xfId="0" applyNumberFormat="1" applyFont="1" applyFill="1" applyBorder="1" applyAlignment="1">
      <alignment horizontal="center" vertical="center"/>
    </xf>
    <xf numFmtId="0" fontId="34" fillId="3" borderId="1" xfId="0" applyNumberFormat="1" applyFont="1" applyFill="1" applyBorder="1" applyAlignment="1">
      <alignment horizontal="center" vertical="center"/>
    </xf>
    <xf numFmtId="179" fontId="19" fillId="3" borderId="29" xfId="0" applyNumberFormat="1" applyFont="1" applyFill="1" applyBorder="1" applyAlignment="1">
      <alignment horizontal="center" vertical="center"/>
    </xf>
    <xf numFmtId="179" fontId="22" fillId="3" borderId="1" xfId="0" applyNumberFormat="1" applyFont="1" applyFill="1" applyBorder="1" applyAlignment="1"/>
    <xf numFmtId="179" fontId="19" fillId="19" borderId="30" xfId="0" applyNumberFormat="1" applyFont="1" applyFill="1" applyBorder="1" applyAlignment="1">
      <alignment horizontal="center" vertical="center"/>
    </xf>
    <xf numFmtId="179" fontId="6" fillId="19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179" fontId="6" fillId="19" borderId="1" xfId="0" applyNumberFormat="1" applyFont="1" applyFill="1" applyBorder="1" applyAlignment="1">
      <alignment horizontal="center" vertical="center"/>
    </xf>
    <xf numFmtId="179" fontId="6" fillId="19" borderId="4" xfId="0" applyNumberFormat="1" applyFont="1" applyFill="1" applyBorder="1" applyAlignment="1">
      <alignment horizontal="center" vertical="center"/>
    </xf>
    <xf numFmtId="179" fontId="6" fillId="0" borderId="3" xfId="0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180" fontId="50" fillId="0" borderId="15" xfId="0" applyNumberFormat="1" applyFont="1" applyBorder="1" applyAlignment="1">
      <alignment horizontal="center" vertical="center"/>
    </xf>
    <xf numFmtId="179" fontId="70" fillId="0" borderId="15" xfId="0" applyNumberFormat="1" applyFont="1" applyBorder="1" applyAlignment="1">
      <alignment horizontal="center" vertical="center"/>
    </xf>
    <xf numFmtId="180" fontId="69" fillId="17" borderId="16" xfId="0" applyNumberFormat="1" applyFont="1" applyFill="1" applyBorder="1" applyAlignment="1">
      <alignment horizontal="center" vertical="center"/>
    </xf>
    <xf numFmtId="181" fontId="69" fillId="17" borderId="16" xfId="0" applyNumberFormat="1" applyFont="1" applyFill="1" applyBorder="1" applyAlignment="1">
      <alignment horizontal="center" vertical="center"/>
    </xf>
    <xf numFmtId="191" fontId="29" fillId="17" borderId="16" xfId="0" applyNumberFormat="1" applyFont="1" applyFill="1" applyBorder="1" applyAlignment="1">
      <alignment horizontal="center" vertical="center"/>
    </xf>
    <xf numFmtId="7" fontId="22" fillId="0" borderId="0" xfId="0" applyNumberFormat="1" applyFont="1" applyAlignment="1"/>
    <xf numFmtId="198" fontId="19" fillId="3" borderId="1" xfId="0" applyNumberFormat="1" applyFont="1" applyFill="1" applyBorder="1" applyAlignment="1">
      <alignment horizontal="center" vertical="center"/>
    </xf>
    <xf numFmtId="180" fontId="22" fillId="3" borderId="1" xfId="0" applyNumberFormat="1" applyFont="1" applyFill="1" applyBorder="1" applyAlignment="1">
      <alignment horizontal="center" vertical="center"/>
    </xf>
    <xf numFmtId="180" fontId="6" fillId="19" borderId="16" xfId="0" applyNumberFormat="1" applyFont="1" applyFill="1" applyBorder="1" applyAlignment="1">
      <alignment horizontal="center" vertical="center"/>
    </xf>
    <xf numFmtId="181" fontId="6" fillId="19" borderId="16" xfId="0" applyNumberFormat="1" applyFont="1" applyFill="1" applyBorder="1" applyAlignment="1">
      <alignment horizontal="center" vertical="center"/>
    </xf>
    <xf numFmtId="181" fontId="6" fillId="19" borderId="0" xfId="0" applyNumberFormat="1" applyFont="1" applyFill="1" applyBorder="1" applyAlignment="1">
      <alignment horizontal="center" vertical="center"/>
    </xf>
    <xf numFmtId="191" fontId="6" fillId="20" borderId="3" xfId="0" applyNumberFormat="1" applyFont="1" applyFill="1" applyBorder="1" applyAlignment="1">
      <alignment horizontal="center" vertical="center"/>
    </xf>
    <xf numFmtId="191" fontId="6" fillId="5" borderId="1" xfId="0" applyNumberFormat="1" applyFont="1" applyFill="1" applyBorder="1" applyAlignment="1">
      <alignment horizontal="center" vertical="center"/>
    </xf>
    <xf numFmtId="180" fontId="6" fillId="19" borderId="4" xfId="0" applyNumberFormat="1" applyFont="1" applyFill="1" applyBorder="1" applyAlignment="1">
      <alignment horizontal="center" vertical="center"/>
    </xf>
    <xf numFmtId="181" fontId="6" fillId="19" borderId="4" xfId="0" applyNumberFormat="1" applyFont="1" applyFill="1" applyBorder="1" applyAlignment="1">
      <alignment horizontal="center" vertical="center"/>
    </xf>
    <xf numFmtId="7" fontId="6" fillId="3" borderId="4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7" fontId="19" fillId="0" borderId="1" xfId="0" applyNumberFormat="1" applyFont="1" applyBorder="1" applyAlignment="1">
      <alignment horizontal="center" vertical="center"/>
    </xf>
    <xf numFmtId="183" fontId="69" fillId="17" borderId="16" xfId="0" applyNumberFormat="1" applyFont="1" applyFill="1" applyBorder="1" applyAlignment="1">
      <alignment horizontal="center" vertical="center"/>
    </xf>
    <xf numFmtId="5" fontId="69" fillId="17" borderId="16" xfId="0" applyNumberFormat="1" applyFont="1" applyFill="1" applyBorder="1" applyAlignment="1">
      <alignment horizontal="center" vertical="center"/>
    </xf>
    <xf numFmtId="197" fontId="69" fillId="17" borderId="16" xfId="0" applyNumberFormat="1" applyFont="1" applyFill="1" applyBorder="1" applyAlignment="1">
      <alignment horizontal="center" vertical="center"/>
    </xf>
    <xf numFmtId="183" fontId="6" fillId="5" borderId="1" xfId="0" applyNumberFormat="1" applyFont="1" applyFill="1" applyBorder="1" applyAlignment="1">
      <alignment horizontal="center" vertical="center"/>
    </xf>
    <xf numFmtId="5" fontId="22" fillId="5" borderId="1" xfId="0" applyNumberFormat="1" applyFont="1" applyFill="1" applyBorder="1" applyAlignment="1">
      <alignment horizontal="center" vertical="center"/>
    </xf>
    <xf numFmtId="197" fontId="6" fillId="5" borderId="1" xfId="0" applyNumberFormat="1" applyFont="1" applyFill="1" applyBorder="1" applyAlignment="1">
      <alignment horizontal="center" vertical="center"/>
    </xf>
    <xf numFmtId="5" fontId="6" fillId="3" borderId="1" xfId="0" applyNumberFormat="1" applyFont="1" applyFill="1" applyBorder="1" applyAlignment="1">
      <alignment horizontal="center" vertical="center"/>
    </xf>
    <xf numFmtId="197" fontId="6" fillId="3" borderId="1" xfId="0" applyNumberFormat="1" applyFont="1" applyFill="1" applyBorder="1" applyAlignment="1">
      <alignment horizontal="center" vertical="center"/>
    </xf>
    <xf numFmtId="5" fontId="6" fillId="3" borderId="4" xfId="0" applyNumberFormat="1" applyFont="1" applyFill="1" applyBorder="1" applyAlignment="1">
      <alignment horizontal="center" vertical="center"/>
    </xf>
    <xf numFmtId="198" fontId="19" fillId="3" borderId="4" xfId="0" applyNumberFormat="1" applyFont="1" applyFill="1" applyBorder="1" applyAlignment="1">
      <alignment horizontal="center" vertical="center"/>
    </xf>
    <xf numFmtId="197" fontId="6" fillId="3" borderId="4" xfId="0" applyNumberFormat="1" applyFont="1" applyFill="1" applyBorder="1" applyAlignment="1">
      <alignment horizontal="center" vertical="center"/>
    </xf>
    <xf numFmtId="183" fontId="6" fillId="19" borderId="3" xfId="0" applyNumberFormat="1" applyFont="1" applyFill="1" applyBorder="1" applyAlignment="1">
      <alignment horizontal="center" vertical="center"/>
    </xf>
    <xf numFmtId="191" fontId="6" fillId="20" borderId="4" xfId="0" applyNumberFormat="1" applyFont="1" applyFill="1" applyBorder="1" applyAlignment="1">
      <alignment horizontal="center" vertical="center"/>
    </xf>
    <xf numFmtId="191" fontId="6" fillId="19" borderId="4" xfId="0" applyNumberFormat="1" applyFont="1" applyFill="1" applyBorder="1" applyAlignment="1">
      <alignment horizontal="center" vertical="center"/>
    </xf>
    <xf numFmtId="183" fontId="19" fillId="0" borderId="1" xfId="0" applyNumberFormat="1" applyFont="1" applyBorder="1" applyAlignment="1">
      <alignment horizontal="center" vertical="center"/>
    </xf>
    <xf numFmtId="183" fontId="6" fillId="0" borderId="1" xfId="0" applyNumberFormat="1" applyFont="1" applyFill="1" applyBorder="1" applyAlignment="1">
      <alignment horizontal="center" vertical="center"/>
    </xf>
    <xf numFmtId="191" fontId="6" fillId="5" borderId="4" xfId="0" applyNumberFormat="1" applyFont="1" applyFill="1" applyBorder="1" applyAlignment="1">
      <alignment horizontal="center" vertical="center"/>
    </xf>
    <xf numFmtId="183" fontId="19" fillId="0" borderId="4" xfId="0" applyNumberFormat="1" applyFont="1" applyBorder="1" applyAlignment="1">
      <alignment horizontal="center" vertical="center"/>
    </xf>
    <xf numFmtId="197" fontId="6" fillId="0" borderId="1" xfId="0" applyNumberFormat="1" applyFont="1" applyFill="1" applyBorder="1" applyAlignment="1">
      <alignment horizontal="center" vertical="center"/>
    </xf>
    <xf numFmtId="183" fontId="6" fillId="0" borderId="4" xfId="0" applyNumberFormat="1" applyFont="1" applyFill="1" applyBorder="1" applyAlignment="1">
      <alignment horizontal="center" vertical="center"/>
    </xf>
    <xf numFmtId="181" fontId="6" fillId="3" borderId="4" xfId="0" applyNumberFormat="1" applyFont="1" applyFill="1" applyBorder="1" applyAlignment="1">
      <alignment horizontal="center" vertical="center"/>
    </xf>
    <xf numFmtId="199" fontId="5" fillId="0" borderId="4" xfId="0" applyNumberFormat="1" applyFont="1" applyBorder="1" applyAlignment="1">
      <alignment horizontal="center" vertical="center"/>
    </xf>
    <xf numFmtId="181" fontId="33" fillId="0" borderId="4" xfId="0" applyNumberFormat="1" applyFont="1" applyBorder="1" applyAlignment="1">
      <alignment horizontal="center" vertical="center"/>
    </xf>
    <xf numFmtId="179" fontId="22" fillId="0" borderId="0" xfId="0" applyNumberFormat="1" applyFont="1" applyAlignment="1">
      <alignment horizontal="center" vertical="center"/>
    </xf>
    <xf numFmtId="200" fontId="22" fillId="0" borderId="0" xfId="0" applyNumberFormat="1" applyFont="1" applyAlignment="1">
      <alignment horizontal="center" vertical="center"/>
    </xf>
    <xf numFmtId="58" fontId="69" fillId="17" borderId="16" xfId="0" applyNumberFormat="1" applyFont="1" applyFill="1" applyBorder="1" applyAlignment="1">
      <alignment horizontal="center" vertical="center"/>
    </xf>
    <xf numFmtId="179" fontId="69" fillId="17" borderId="18" xfId="0" applyNumberFormat="1" applyFont="1" applyFill="1" applyBorder="1" applyAlignment="1">
      <alignment horizontal="center" vertical="center"/>
    </xf>
    <xf numFmtId="200" fontId="69" fillId="17" borderId="18" xfId="0" applyNumberFormat="1" applyFont="1" applyFill="1" applyBorder="1" applyAlignment="1">
      <alignment horizontal="center" vertical="center"/>
    </xf>
    <xf numFmtId="200" fontId="22" fillId="5" borderId="7" xfId="0" applyNumberFormat="1" applyFont="1" applyFill="1" applyBorder="1" applyAlignment="1">
      <alignment horizontal="center" vertical="center"/>
    </xf>
    <xf numFmtId="200" fontId="0" fillId="3" borderId="0" xfId="0" applyNumberFormat="1" applyFill="1">
      <alignment vertical="center"/>
    </xf>
    <xf numFmtId="179" fontId="22" fillId="3" borderId="4" xfId="0" applyNumberFormat="1" applyFont="1" applyFill="1" applyBorder="1" applyAlignment="1">
      <alignment horizontal="center" vertical="center"/>
    </xf>
    <xf numFmtId="58" fontId="6" fillId="0" borderId="4" xfId="0" applyNumberFormat="1" applyFont="1" applyBorder="1" applyAlignment="1">
      <alignment horizontal="center" vertical="center"/>
    </xf>
    <xf numFmtId="200" fontId="6" fillId="0" borderId="10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58" fontId="6" fillId="5" borderId="4" xfId="0" applyNumberFormat="1" applyFont="1" applyFill="1" applyBorder="1" applyAlignment="1">
      <alignment horizontal="center" vertical="center"/>
    </xf>
    <xf numFmtId="200" fontId="6" fillId="5" borderId="4" xfId="0" applyNumberFormat="1" applyFont="1" applyFill="1" applyBorder="1" applyAlignment="1">
      <alignment horizontal="center" vertical="center"/>
    </xf>
    <xf numFmtId="179" fontId="16" fillId="0" borderId="1" xfId="0" applyNumberFormat="1" applyFont="1" applyFill="1" applyBorder="1" applyAlignment="1">
      <alignment horizontal="center" vertical="center"/>
    </xf>
    <xf numFmtId="200" fontId="6" fillId="5" borderId="1" xfId="0" applyNumberFormat="1" applyFont="1" applyFill="1" applyBorder="1" applyAlignment="1">
      <alignment horizontal="left" vertical="center"/>
    </xf>
    <xf numFmtId="200" fontId="6" fillId="5" borderId="1" xfId="0" applyNumberFormat="1" applyFont="1" applyFill="1" applyBorder="1" applyAlignment="1">
      <alignment horizontal="center" vertical="center"/>
    </xf>
    <xf numFmtId="201" fontId="6" fillId="18" borderId="1" xfId="0" applyNumberFormat="1" applyFont="1" applyFill="1" applyBorder="1" applyAlignment="1">
      <alignment horizontal="center" vertical="center"/>
    </xf>
    <xf numFmtId="202" fontId="53" fillId="5" borderId="1" xfId="0" applyNumberFormat="1" applyFont="1" applyFill="1" applyBorder="1" applyAlignment="1">
      <alignment horizontal="center" vertical="center"/>
    </xf>
    <xf numFmtId="200" fontId="22" fillId="0" borderId="1" xfId="0" applyNumberFormat="1" applyFont="1" applyBorder="1" applyAlignment="1">
      <alignment horizontal="center" vertical="center"/>
    </xf>
    <xf numFmtId="179" fontId="22" fillId="0" borderId="1" xfId="0" applyNumberFormat="1" applyFont="1" applyBorder="1" applyAlignment="1">
      <alignment horizontal="center" vertical="center"/>
    </xf>
    <xf numFmtId="179" fontId="71" fillId="17" borderId="18" xfId="0" applyNumberFormat="1" applyFont="1" applyFill="1" applyBorder="1" applyAlignment="1">
      <alignment horizontal="center" vertical="center" wrapText="1"/>
    </xf>
    <xf numFmtId="0" fontId="58" fillId="3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179" fontId="72" fillId="5" borderId="1" xfId="0" applyNumberFormat="1" applyFont="1" applyFill="1" applyBorder="1" applyAlignment="1">
      <alignment horizontal="center" vertical="center" wrapText="1"/>
    </xf>
    <xf numFmtId="0" fontId="55" fillId="5" borderId="1" xfId="0" applyNumberFormat="1" applyFont="1" applyFill="1" applyBorder="1" applyAlignment="1">
      <alignment horizontal="center" vertical="center"/>
    </xf>
    <xf numFmtId="179" fontId="69" fillId="17" borderId="19" xfId="0" applyNumberFormat="1" applyFont="1" applyFill="1" applyBorder="1" applyAlignment="1">
      <alignment horizontal="center" vertical="center"/>
    </xf>
    <xf numFmtId="179" fontId="69" fillId="17" borderId="20" xfId="0" applyNumberFormat="1" applyFont="1" applyFill="1" applyBorder="1" applyAlignment="1">
      <alignment horizontal="center" vertical="center"/>
    </xf>
    <xf numFmtId="179" fontId="19" fillId="3" borderId="8" xfId="0" applyNumberFormat="1" applyFont="1" applyFill="1" applyBorder="1" applyAlignment="1">
      <alignment horizontal="center" vertical="center"/>
    </xf>
    <xf numFmtId="200" fontId="6" fillId="3" borderId="1" xfId="0" applyNumberFormat="1" applyFont="1" applyFill="1" applyBorder="1" applyAlignment="1">
      <alignment horizontal="center" vertical="center"/>
    </xf>
    <xf numFmtId="179" fontId="19" fillId="19" borderId="1" xfId="0" applyNumberFormat="1" applyFont="1" applyFill="1" applyBorder="1" applyAlignment="1">
      <alignment horizontal="center" vertical="center"/>
    </xf>
    <xf numFmtId="179" fontId="6" fillId="18" borderId="21" xfId="0" applyNumberFormat="1" applyFont="1" applyFill="1" applyBorder="1" applyAlignment="1">
      <alignment horizontal="center" vertical="center"/>
    </xf>
    <xf numFmtId="0" fontId="19" fillId="0" borderId="13" xfId="0" applyNumberFormat="1" applyFont="1" applyBorder="1" applyAlignment="1">
      <alignment horizontal="center" vertical="center"/>
    </xf>
    <xf numFmtId="179" fontId="22" fillId="0" borderId="4" xfId="0" applyNumberFormat="1" applyFont="1" applyBorder="1" applyAlignment="1">
      <alignment horizontal="center" vertical="center"/>
    </xf>
    <xf numFmtId="0" fontId="19" fillId="0" borderId="8" xfId="0" applyNumberFormat="1" applyFont="1" applyBorder="1" applyAlignment="1">
      <alignment horizontal="center" vertical="center"/>
    </xf>
    <xf numFmtId="179" fontId="6" fillId="0" borderId="23" xfId="0" applyNumberFormat="1" applyFont="1" applyBorder="1" applyAlignment="1">
      <alignment horizontal="center" vertical="center"/>
    </xf>
    <xf numFmtId="179" fontId="19" fillId="0" borderId="23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vertical="center" wrapText="1"/>
    </xf>
    <xf numFmtId="0" fontId="19" fillId="0" borderId="22" xfId="0" applyFont="1" applyBorder="1" applyAlignment="1">
      <alignment horizontal="center" vertical="center" wrapText="1"/>
    </xf>
    <xf numFmtId="179" fontId="6" fillId="19" borderId="23" xfId="0" applyNumberFormat="1" applyFont="1" applyFill="1" applyBorder="1" applyAlignment="1">
      <alignment horizontal="center" vertical="center"/>
    </xf>
    <xf numFmtId="179" fontId="6" fillId="19" borderId="22" xfId="0" applyNumberFormat="1" applyFont="1" applyFill="1" applyBorder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204" fontId="19" fillId="0" borderId="1" xfId="0" applyNumberFormat="1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188" fontId="19" fillId="0" borderId="21" xfId="0" applyNumberFormat="1" applyFont="1" applyBorder="1" applyAlignment="1">
      <alignment horizontal="center" vertical="center" wrapText="1"/>
    </xf>
    <xf numFmtId="185" fontId="33" fillId="5" borderId="15" xfId="0" applyNumberFormat="1" applyFont="1" applyFill="1" applyBorder="1" applyAlignment="1">
      <alignment horizontal="center" vertical="center"/>
    </xf>
    <xf numFmtId="187" fontId="33" fillId="5" borderId="21" xfId="0" applyNumberFormat="1" applyFont="1" applyFill="1" applyBorder="1" applyAlignment="1">
      <alignment horizontal="center" vertical="center"/>
    </xf>
    <xf numFmtId="7" fontId="19" fillId="0" borderId="21" xfId="0" applyNumberFormat="1" applyFont="1" applyBorder="1" applyAlignment="1">
      <alignment horizontal="center" vertical="center"/>
    </xf>
    <xf numFmtId="180" fontId="6" fillId="19" borderId="21" xfId="0" applyNumberFormat="1" applyFont="1" applyFill="1" applyBorder="1" applyAlignment="1">
      <alignment horizontal="center" vertical="center"/>
    </xf>
    <xf numFmtId="181" fontId="6" fillId="19" borderId="21" xfId="0" applyNumberFormat="1" applyFont="1" applyFill="1" applyBorder="1" applyAlignment="1">
      <alignment horizontal="center" vertical="center"/>
    </xf>
    <xf numFmtId="191" fontId="6" fillId="20" borderId="21" xfId="0" applyNumberFormat="1" applyFont="1" applyFill="1" applyBorder="1" applyAlignment="1">
      <alignment horizontal="center" vertical="center"/>
    </xf>
    <xf numFmtId="180" fontId="22" fillId="0" borderId="0" xfId="0" applyNumberFormat="1" applyFont="1" applyAlignment="1">
      <alignment horizontal="center" vertical="center"/>
    </xf>
    <xf numFmtId="191" fontId="19" fillId="0" borderId="0" xfId="0" applyNumberFormat="1" applyFont="1" applyAlignment="1">
      <alignment horizontal="center" vertical="center"/>
    </xf>
    <xf numFmtId="199" fontId="19" fillId="18" borderId="21" xfId="0" applyNumberFormat="1" applyFont="1" applyFill="1" applyBorder="1" applyAlignment="1">
      <alignment horizontal="center" vertical="center"/>
    </xf>
    <xf numFmtId="181" fontId="33" fillId="0" borderId="15" xfId="0" applyNumberFormat="1" applyFont="1" applyBorder="1" applyAlignment="1">
      <alignment horizontal="center" vertical="center"/>
    </xf>
    <xf numFmtId="183" fontId="19" fillId="0" borderId="21" xfId="0" applyNumberFormat="1" applyFont="1" applyBorder="1" applyAlignment="1">
      <alignment horizontal="center" vertical="center"/>
    </xf>
    <xf numFmtId="185" fontId="19" fillId="5" borderId="21" xfId="0" applyNumberFormat="1" applyFont="1" applyFill="1" applyBorder="1" applyAlignment="1">
      <alignment horizontal="center" vertical="center"/>
    </xf>
    <xf numFmtId="199" fontId="19" fillId="5" borderId="21" xfId="0" applyNumberFormat="1" applyFont="1" applyFill="1" applyBorder="1" applyAlignment="1">
      <alignment horizontal="center" vertical="center"/>
    </xf>
    <xf numFmtId="181" fontId="33" fillId="5" borderId="15" xfId="0" applyNumberFormat="1" applyFont="1" applyFill="1" applyBorder="1" applyAlignment="1">
      <alignment horizontal="center" vertical="center"/>
    </xf>
    <xf numFmtId="183" fontId="19" fillId="0" borderId="31" xfId="0" applyNumberFormat="1" applyFont="1" applyBorder="1" applyAlignment="1">
      <alignment horizontal="center" vertical="center"/>
    </xf>
    <xf numFmtId="185" fontId="19" fillId="0" borderId="32" xfId="0" applyNumberFormat="1" applyFont="1" applyBorder="1" applyAlignment="1">
      <alignment horizontal="center" vertical="center"/>
    </xf>
    <xf numFmtId="199" fontId="19" fillId="18" borderId="33" xfId="0" applyNumberFormat="1" applyFont="1" applyFill="1" applyBorder="1" applyAlignment="1">
      <alignment horizontal="center" vertical="center"/>
    </xf>
    <xf numFmtId="185" fontId="19" fillId="0" borderId="21" xfId="0" applyNumberFormat="1" applyFont="1" applyBorder="1" applyAlignment="1">
      <alignment horizontal="center" vertical="center"/>
    </xf>
    <xf numFmtId="191" fontId="19" fillId="18" borderId="21" xfId="0" applyNumberFormat="1" applyFont="1" applyFill="1" applyBorder="1" applyAlignment="1">
      <alignment horizontal="center" vertical="center"/>
    </xf>
    <xf numFmtId="191" fontId="6" fillId="18" borderId="21" xfId="0" applyNumberFormat="1" applyFont="1" applyFill="1" applyBorder="1" applyAlignment="1">
      <alignment horizontal="center" vertical="center"/>
    </xf>
    <xf numFmtId="181" fontId="73" fillId="0" borderId="15" xfId="0" applyNumberFormat="1" applyFont="1" applyBorder="1" applyAlignment="1">
      <alignment horizontal="center" vertical="center"/>
    </xf>
    <xf numFmtId="183" fontId="6" fillId="19" borderId="21" xfId="0" applyNumberFormat="1" applyFont="1" applyFill="1" applyBorder="1" applyAlignment="1">
      <alignment horizontal="center" vertical="center"/>
    </xf>
    <xf numFmtId="191" fontId="6" fillId="19" borderId="21" xfId="0" applyNumberFormat="1" applyFont="1" applyFill="1" applyBorder="1" applyAlignment="1">
      <alignment horizontal="center" vertical="center"/>
    </xf>
    <xf numFmtId="191" fontId="6" fillId="19" borderId="15" xfId="0" applyNumberFormat="1" applyFont="1" applyFill="1" applyBorder="1" applyAlignment="1">
      <alignment horizontal="center" vertical="center"/>
    </xf>
    <xf numFmtId="198" fontId="22" fillId="0" borderId="0" xfId="0" applyNumberFormat="1" applyFont="1" applyAlignment="1">
      <alignment horizontal="center" vertical="center"/>
    </xf>
    <xf numFmtId="200" fontId="19" fillId="0" borderId="1" xfId="0" applyNumberFormat="1" applyFont="1" applyBorder="1" applyAlignment="1">
      <alignment horizontal="center" vertical="center"/>
    </xf>
    <xf numFmtId="0" fontId="74" fillId="0" borderId="1" xfId="0" applyFont="1" applyBorder="1" applyAlignment="1">
      <alignment horizontal="left" vertical="center" wrapText="1"/>
    </xf>
    <xf numFmtId="200" fontId="6" fillId="0" borderId="1" xfId="0" applyNumberFormat="1" applyFont="1" applyBorder="1" applyAlignment="1">
      <alignment horizontal="center" vertical="center"/>
    </xf>
    <xf numFmtId="0" fontId="55" fillId="5" borderId="22" xfId="0" applyNumberFormat="1" applyFont="1" applyFill="1" applyBorder="1" applyAlignment="1">
      <alignment horizontal="center" vertical="center"/>
    </xf>
    <xf numFmtId="179" fontId="6" fillId="5" borderId="22" xfId="0" applyNumberFormat="1" applyFont="1" applyFill="1" applyBorder="1" applyAlignment="1">
      <alignment horizontal="center" vertical="center"/>
    </xf>
    <xf numFmtId="179" fontId="6" fillId="18" borderId="1" xfId="0" applyNumberFormat="1" applyFont="1" applyFill="1" applyBorder="1" applyAlignment="1">
      <alignment horizontal="center" vertical="center"/>
    </xf>
    <xf numFmtId="179" fontId="19" fillId="18" borderId="1" xfId="0" applyNumberFormat="1" applyFont="1" applyFill="1" applyBorder="1" applyAlignment="1">
      <alignment horizontal="center" vertical="center"/>
    </xf>
    <xf numFmtId="179" fontId="6" fillId="19" borderId="24" xfId="0" applyNumberFormat="1" applyFont="1" applyFill="1" applyBorder="1" applyAlignment="1">
      <alignment horizontal="center" vertical="center"/>
    </xf>
    <xf numFmtId="179" fontId="20" fillId="5" borderId="8" xfId="0" applyNumberFormat="1" applyFont="1" applyFill="1" applyBorder="1" applyAlignment="1">
      <alignment horizontal="center"/>
    </xf>
    <xf numFmtId="179" fontId="20" fillId="0" borderId="8" xfId="0" applyNumberFormat="1" applyFont="1" applyBorder="1" applyAlignment="1">
      <alignment horizontal="center" vertical="center"/>
    </xf>
    <xf numFmtId="179" fontId="22" fillId="0" borderId="1" xfId="0" applyNumberFormat="1" applyFont="1" applyBorder="1">
      <alignment vertical="center"/>
    </xf>
    <xf numFmtId="179" fontId="20" fillId="0" borderId="1" xfId="0" applyNumberFormat="1" applyFont="1" applyBorder="1" applyAlignment="1">
      <alignment horizontal="center"/>
    </xf>
    <xf numFmtId="179" fontId="20" fillId="0" borderId="8" xfId="0" applyNumberFormat="1" applyFont="1" applyBorder="1" applyAlignment="1">
      <alignment horizontal="center"/>
    </xf>
    <xf numFmtId="179" fontId="22" fillId="0" borderId="1" xfId="0" applyNumberFormat="1" applyFont="1" applyBorder="1" applyAlignment="1"/>
    <xf numFmtId="0" fontId="19" fillId="3" borderId="16" xfId="0" applyNumberFormat="1" applyFont="1" applyFill="1" applyBorder="1" applyAlignment="1">
      <alignment horizontal="center" vertical="center"/>
    </xf>
    <xf numFmtId="179" fontId="22" fillId="3" borderId="6" xfId="0" applyNumberFormat="1" applyFont="1" applyFill="1" applyBorder="1" applyAlignment="1">
      <alignment horizontal="center" vertical="center"/>
    </xf>
    <xf numFmtId="179" fontId="22" fillId="3" borderId="1" xfId="0" applyNumberFormat="1" applyFont="1" applyFill="1" applyBorder="1" applyAlignment="1">
      <alignment horizontal="center"/>
    </xf>
    <xf numFmtId="0" fontId="19" fillId="3" borderId="8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179" fontId="20" fillId="0" borderId="6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0" fillId="0" borderId="1" xfId="0" applyNumberFormat="1" applyFont="1" applyBorder="1">
      <alignment vertical="center"/>
    </xf>
    <xf numFmtId="0" fontId="3" fillId="5" borderId="0" xfId="0" applyFont="1" applyFill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179" fontId="19" fillId="0" borderId="5" xfId="0" applyNumberFormat="1" applyFont="1" applyBorder="1" applyAlignment="1">
      <alignment horizontal="center" vertical="center"/>
    </xf>
    <xf numFmtId="179" fontId="19" fillId="0" borderId="3" xfId="0" applyNumberFormat="1" applyFont="1" applyBorder="1" applyAlignment="1">
      <alignment horizontal="center" vertical="center"/>
    </xf>
    <xf numFmtId="179" fontId="19" fillId="0" borderId="21" xfId="0" applyNumberFormat="1" applyFont="1" applyBorder="1" applyAlignment="1">
      <alignment horizontal="center" vertical="center"/>
    </xf>
    <xf numFmtId="5" fontId="22" fillId="0" borderId="1" xfId="0" applyNumberFormat="1" applyFont="1" applyBorder="1" applyAlignment="1">
      <alignment horizontal="center" vertical="center"/>
    </xf>
    <xf numFmtId="180" fontId="22" fillId="3" borderId="16" xfId="0" applyNumberFormat="1" applyFont="1" applyFill="1" applyBorder="1" applyAlignment="1">
      <alignment horizontal="center" vertical="center"/>
    </xf>
    <xf numFmtId="179" fontId="22" fillId="3" borderId="16" xfId="0" applyNumberFormat="1" applyFont="1" applyFill="1" applyBorder="1" applyAlignment="1">
      <alignment horizontal="center" vertical="center"/>
    </xf>
    <xf numFmtId="179" fontId="22" fillId="3" borderId="0" xfId="0" applyNumberFormat="1" applyFont="1" applyFill="1" applyBorder="1" applyAlignment="1">
      <alignment horizontal="center" vertical="center"/>
    </xf>
    <xf numFmtId="180" fontId="22" fillId="0" borderId="16" xfId="0" applyNumberFormat="1" applyFont="1" applyFill="1" applyBorder="1" applyAlignment="1">
      <alignment horizontal="center" vertical="center"/>
    </xf>
    <xf numFmtId="179" fontId="22" fillId="0" borderId="16" xfId="0" applyNumberFormat="1" applyFont="1" applyFill="1" applyBorder="1" applyAlignment="1">
      <alignment horizontal="center" vertical="center"/>
    </xf>
    <xf numFmtId="179" fontId="22" fillId="0" borderId="0" xfId="0" applyNumberFormat="1" applyFont="1" applyFill="1" applyBorder="1" applyAlignment="1">
      <alignment horizontal="center" vertical="center"/>
    </xf>
    <xf numFmtId="183" fontId="6" fillId="3" borderId="1" xfId="0" applyNumberFormat="1" applyFont="1" applyFill="1" applyBorder="1" applyAlignment="1">
      <alignment horizontal="center" vertical="center"/>
    </xf>
    <xf numFmtId="183" fontId="6" fillId="0" borderId="3" xfId="0" applyNumberFormat="1" applyFont="1" applyFill="1" applyBorder="1" applyAlignment="1">
      <alignment horizontal="center" vertical="center"/>
    </xf>
    <xf numFmtId="197" fontId="6" fillId="0" borderId="4" xfId="0" applyNumberFormat="1" applyFont="1" applyFill="1" applyBorder="1" applyAlignment="1">
      <alignment horizontal="center" vertical="center"/>
    </xf>
    <xf numFmtId="202" fontId="19" fillId="0" borderId="1" xfId="0" applyNumberFormat="1" applyFont="1" applyBorder="1" applyAlignment="1">
      <alignment horizontal="center" vertical="center"/>
    </xf>
    <xf numFmtId="202" fontId="19" fillId="5" borderId="21" xfId="0" applyNumberFormat="1" applyFont="1" applyFill="1" applyBorder="1" applyAlignment="1">
      <alignment horizontal="center" vertical="center"/>
    </xf>
    <xf numFmtId="199" fontId="30" fillId="18" borderId="1" xfId="0" applyNumberFormat="1" applyFont="1" applyFill="1" applyBorder="1" applyAlignment="1">
      <alignment horizontal="center" vertical="center"/>
    </xf>
    <xf numFmtId="200" fontId="22" fillId="3" borderId="7" xfId="0" applyNumberFormat="1" applyFont="1" applyFill="1" applyBorder="1" applyAlignment="1">
      <alignment horizontal="center" vertical="center"/>
    </xf>
    <xf numFmtId="58" fontId="6" fillId="0" borderId="4" xfId="0" applyNumberFormat="1" applyFont="1" applyFill="1" applyBorder="1" applyAlignment="1">
      <alignment horizontal="center" vertical="center"/>
    </xf>
    <xf numFmtId="186" fontId="75" fillId="0" borderId="4" xfId="0" applyNumberFormat="1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200" fontId="6" fillId="0" borderId="1" xfId="0" applyNumberFormat="1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79" fontId="20" fillId="0" borderId="1" xfId="0" applyNumberFormat="1" applyFont="1" applyBorder="1" applyAlignment="1">
      <alignment horizontal="center" vertical="center"/>
    </xf>
    <xf numFmtId="179" fontId="20" fillId="0" borderId="1" xfId="0" applyNumberFormat="1" applyFont="1" applyBorder="1" applyAlignment="1"/>
    <xf numFmtId="179" fontId="19" fillId="0" borderId="30" xfId="0" applyNumberFormat="1" applyFont="1" applyFill="1" applyBorder="1" applyAlignment="1">
      <alignment horizontal="center" vertical="center"/>
    </xf>
    <xf numFmtId="0" fontId="19" fillId="0" borderId="30" xfId="0" applyNumberFormat="1" applyFont="1" applyFill="1" applyBorder="1" applyAlignment="1">
      <alignment horizontal="center" vertical="center"/>
    </xf>
    <xf numFmtId="179" fontId="22" fillId="0" borderId="6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9" fontId="19" fillId="3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91" fontId="6" fillId="3" borderId="1" xfId="0" applyNumberFormat="1" applyFont="1" applyFill="1" applyBorder="1" applyAlignment="1">
      <alignment horizontal="center" vertical="center"/>
    </xf>
    <xf numFmtId="58" fontId="6" fillId="3" borderId="1" xfId="0" applyNumberFormat="1" applyFont="1" applyFill="1" applyBorder="1" applyAlignment="1">
      <alignment horizontal="center" vertical="center"/>
    </xf>
    <xf numFmtId="185" fontId="19" fillId="5" borderId="1" xfId="0" applyNumberFormat="1" applyFont="1" applyFill="1" applyBorder="1" applyAlignment="1">
      <alignment horizontal="center" vertical="center"/>
    </xf>
    <xf numFmtId="186" fontId="75" fillId="3" borderId="4" xfId="0" applyNumberFormat="1" applyFont="1" applyFill="1" applyBorder="1" applyAlignment="1">
      <alignment horizontal="center" vertical="center"/>
    </xf>
    <xf numFmtId="179" fontId="16" fillId="3" borderId="1" xfId="0" applyNumberFormat="1" applyFont="1" applyFill="1" applyBorder="1" applyAlignment="1">
      <alignment horizontal="center" vertical="center"/>
    </xf>
    <xf numFmtId="200" fontId="6" fillId="3" borderId="1" xfId="0" applyNumberFormat="1" applyFont="1" applyFill="1" applyBorder="1" applyAlignment="1">
      <alignment horizontal="left" vertical="center"/>
    </xf>
    <xf numFmtId="179" fontId="6" fillId="3" borderId="1" xfId="0" applyNumberFormat="1" applyFont="1" applyFill="1" applyBorder="1" applyAlignment="1">
      <alignment horizontal="center" vertical="center"/>
    </xf>
    <xf numFmtId="179" fontId="72" fillId="3" borderId="1" xfId="0" applyNumberFormat="1" applyFont="1" applyFill="1" applyBorder="1" applyAlignment="1">
      <alignment horizontal="center" vertical="center" wrapText="1"/>
    </xf>
    <xf numFmtId="179" fontId="22" fillId="0" borderId="1" xfId="0" applyNumberFormat="1" applyFont="1" applyBorder="1" applyAlignment="1">
      <alignment horizontal="center"/>
    </xf>
    <xf numFmtId="179" fontId="19" fillId="3" borderId="34" xfId="0" applyNumberFormat="1" applyFont="1" applyFill="1" applyBorder="1" applyAlignment="1">
      <alignment horizontal="center" vertical="center"/>
    </xf>
    <xf numFmtId="179" fontId="19" fillId="3" borderId="30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34" fillId="21" borderId="1" xfId="0" applyNumberFormat="1" applyFon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181" fontId="6" fillId="0" borderId="4" xfId="0" applyNumberFormat="1" applyFont="1" applyFill="1" applyBorder="1" applyAlignment="1">
      <alignment horizontal="center" vertical="center"/>
    </xf>
    <xf numFmtId="181" fontId="6" fillId="0" borderId="10" xfId="0" applyNumberFormat="1" applyFont="1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3" fillId="5" borderId="5" xfId="0" applyFont="1" applyFill="1" applyBorder="1">
      <alignment vertical="center"/>
    </xf>
    <xf numFmtId="183" fontId="6" fillId="5" borderId="4" xfId="0" applyNumberFormat="1" applyFont="1" applyFill="1" applyBorder="1" applyAlignment="1">
      <alignment horizontal="center" vertical="center"/>
    </xf>
    <xf numFmtId="10" fontId="33" fillId="0" borderId="4" xfId="0" applyNumberFormat="1" applyFont="1" applyBorder="1" applyAlignment="1">
      <alignment horizontal="center" vertical="center"/>
    </xf>
    <xf numFmtId="199" fontId="19" fillId="0" borderId="4" xfId="0" applyNumberFormat="1" applyFont="1" applyBorder="1" applyAlignment="1">
      <alignment horizontal="center" vertical="center"/>
    </xf>
    <xf numFmtId="0" fontId="19" fillId="5" borderId="21" xfId="0" applyNumberFormat="1" applyFont="1" applyFill="1" applyBorder="1" applyAlignment="1">
      <alignment horizontal="center" vertical="center"/>
    </xf>
    <xf numFmtId="179" fontId="6" fillId="0" borderId="30" xfId="0" applyNumberFormat="1" applyFont="1" applyBorder="1" applyAlignment="1">
      <alignment horizontal="center" vertical="center"/>
    </xf>
    <xf numFmtId="179" fontId="6" fillId="0" borderId="35" xfId="0" applyNumberFormat="1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89" fontId="19" fillId="5" borderId="21" xfId="0" applyNumberFormat="1" applyFont="1" applyFill="1" applyBorder="1" applyAlignment="1">
      <alignment horizontal="center" vertical="center"/>
    </xf>
    <xf numFmtId="0" fontId="74" fillId="0" borderId="1" xfId="0" applyFont="1" applyBorder="1" applyAlignment="1">
      <alignment vertical="center" wrapText="1"/>
    </xf>
    <xf numFmtId="179" fontId="22" fillId="5" borderId="1" xfId="0" applyNumberFormat="1" applyFont="1" applyFill="1" applyBorder="1" applyAlignment="1">
      <alignment horizontal="center"/>
    </xf>
    <xf numFmtId="0" fontId="22" fillId="5" borderId="1" xfId="0" applyNumberFormat="1" applyFont="1" applyFill="1" applyBorder="1" applyAlignment="1">
      <alignment horizontal="center" vertical="center"/>
    </xf>
    <xf numFmtId="179" fontId="19" fillId="0" borderId="34" xfId="0" applyNumberFormat="1" applyFont="1" applyFill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179" fontId="19" fillId="0" borderId="4" xfId="0" applyNumberFormat="1" applyFont="1" applyBorder="1" applyAlignment="1">
      <alignment horizontal="center" vertical="center"/>
    </xf>
    <xf numFmtId="181" fontId="33" fillId="0" borderId="1" xfId="0" applyNumberFormat="1" applyFont="1" applyBorder="1" applyAlignment="1">
      <alignment horizontal="center" vertical="center"/>
    </xf>
    <xf numFmtId="181" fontId="33" fillId="5" borderId="7" xfId="0" applyNumberFormat="1" applyFont="1" applyFill="1" applyBorder="1" applyAlignment="1">
      <alignment horizontal="center" vertical="center"/>
    </xf>
    <xf numFmtId="183" fontId="19" fillId="0" borderId="8" xfId="0" applyNumberFormat="1" applyFont="1" applyBorder="1" applyAlignment="1">
      <alignment horizontal="center" vertical="center"/>
    </xf>
    <xf numFmtId="183" fontId="19" fillId="5" borderId="8" xfId="0" applyNumberFormat="1" applyFont="1" applyFill="1" applyBorder="1" applyAlignment="1">
      <alignment horizontal="center" vertical="center"/>
    </xf>
    <xf numFmtId="199" fontId="19" fillId="18" borderId="1" xfId="0" applyNumberFormat="1" applyFont="1" applyFill="1" applyBorder="1" applyAlignment="1">
      <alignment horizontal="center" vertical="center"/>
    </xf>
    <xf numFmtId="179" fontId="19" fillId="3" borderId="5" xfId="0" applyNumberFormat="1" applyFont="1" applyFill="1" applyBorder="1" applyAlignment="1">
      <alignment horizontal="center" vertical="center"/>
    </xf>
    <xf numFmtId="179" fontId="19" fillId="18" borderId="30" xfId="0" applyNumberFormat="1" applyFont="1" applyFill="1" applyBorder="1" applyAlignment="1">
      <alignment horizontal="center" vertical="center"/>
    </xf>
    <xf numFmtId="179" fontId="22" fillId="0" borderId="6" xfId="0" applyNumberFormat="1" applyFont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9" fontId="4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9" fontId="22" fillId="0" borderId="0" xfId="0" applyNumberFormat="1" applyFont="1" applyBorder="1" applyAlignment="1">
      <alignment horizontal="center" vertical="center"/>
    </xf>
    <xf numFmtId="198" fontId="19" fillId="0" borderId="3" xfId="0" applyNumberFormat="1" applyFont="1" applyFill="1" applyBorder="1" applyAlignment="1">
      <alignment horizontal="center" vertical="center"/>
    </xf>
    <xf numFmtId="181" fontId="6" fillId="3" borderId="1" xfId="0" applyNumberFormat="1" applyFont="1" applyFill="1" applyBorder="1" applyAlignment="1">
      <alignment horizontal="center" vertical="center"/>
    </xf>
    <xf numFmtId="198" fontId="19" fillId="0" borderId="4" xfId="0" applyNumberFormat="1" applyFont="1" applyBorder="1" applyAlignment="1">
      <alignment horizontal="center" vertical="center"/>
    </xf>
    <xf numFmtId="197" fontId="6" fillId="0" borderId="4" xfId="0" applyNumberFormat="1" applyFont="1" applyBorder="1" applyAlignment="1">
      <alignment horizontal="center" vertical="center"/>
    </xf>
    <xf numFmtId="199" fontId="19" fillId="0" borderId="1" xfId="0" applyNumberFormat="1" applyFont="1" applyBorder="1" applyAlignment="1">
      <alignment horizontal="center" vertical="center"/>
    </xf>
    <xf numFmtId="200" fontId="22" fillId="0" borderId="10" xfId="0" applyNumberFormat="1" applyFont="1" applyBorder="1" applyAlignment="1">
      <alignment horizontal="center" vertical="center"/>
    </xf>
    <xf numFmtId="0" fontId="58" fillId="5" borderId="1" xfId="0" applyNumberFormat="1" applyFont="1" applyFill="1" applyBorder="1" applyAlignment="1">
      <alignment horizontal="center" vertical="center" wrapText="1"/>
    </xf>
    <xf numFmtId="179" fontId="19" fillId="18" borderId="8" xfId="0" applyNumberFormat="1" applyFont="1" applyFill="1" applyBorder="1" applyAlignment="1">
      <alignment horizontal="center" vertical="center"/>
    </xf>
    <xf numFmtId="200" fontId="6" fillId="18" borderId="1" xfId="0" applyNumberFormat="1" applyFont="1" applyFill="1" applyBorder="1" applyAlignment="1">
      <alignment horizontal="center" vertical="center"/>
    </xf>
    <xf numFmtId="179" fontId="19" fillId="0" borderId="34" xfId="0" applyNumberFormat="1" applyFont="1" applyBorder="1" applyAlignment="1">
      <alignment horizontal="center" vertical="center"/>
    </xf>
    <xf numFmtId="179" fontId="19" fillId="0" borderId="30" xfId="0" applyNumberFormat="1" applyFont="1" applyBorder="1" applyAlignment="1">
      <alignment horizontal="center" vertical="center"/>
    </xf>
    <xf numFmtId="179" fontId="19" fillId="0" borderId="27" xfId="0" applyNumberFormat="1" applyFont="1" applyBorder="1" applyAlignment="1">
      <alignment horizontal="center" vertical="center"/>
    </xf>
    <xf numFmtId="7" fontId="19" fillId="3" borderId="1" xfId="0" applyNumberFormat="1" applyFont="1" applyFill="1" applyBorder="1" applyAlignment="1">
      <alignment horizontal="center" vertical="center"/>
    </xf>
    <xf numFmtId="181" fontId="19" fillId="5" borderId="7" xfId="0" applyNumberFormat="1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179" fontId="22" fillId="0" borderId="1" xfId="0" applyNumberFormat="1" applyFont="1" applyFill="1" applyBorder="1" applyAlignment="1">
      <alignment horizontal="center"/>
    </xf>
    <xf numFmtId="179" fontId="19" fillId="18" borderId="5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180" fontId="22" fillId="0" borderId="1" xfId="0" applyNumberFormat="1" applyFont="1" applyBorder="1" applyAlignment="1">
      <alignment horizontal="center" vertical="center"/>
    </xf>
    <xf numFmtId="0" fontId="0" fillId="3" borderId="10" xfId="0" applyFill="1" applyBorder="1">
      <alignment vertical="center"/>
    </xf>
    <xf numFmtId="191" fontId="6" fillId="3" borderId="4" xfId="0" applyNumberFormat="1" applyFont="1" applyFill="1" applyBorder="1" applyAlignment="1">
      <alignment horizontal="center" vertical="center"/>
    </xf>
    <xf numFmtId="183" fontId="6" fillId="0" borderId="1" xfId="0" applyNumberFormat="1" applyFont="1" applyBorder="1" applyAlignment="1">
      <alignment horizontal="center" vertical="center"/>
    </xf>
    <xf numFmtId="197" fontId="6" fillId="0" borderId="1" xfId="0" applyNumberFormat="1" applyFont="1" applyBorder="1" applyAlignment="1">
      <alignment horizontal="center" vertical="center"/>
    </xf>
    <xf numFmtId="198" fontId="19" fillId="0" borderId="1" xfId="0" applyNumberFormat="1" applyFont="1" applyBorder="1" applyAlignment="1">
      <alignment horizontal="center" vertical="center"/>
    </xf>
    <xf numFmtId="183" fontId="6" fillId="3" borderId="4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0" fontId="22" fillId="0" borderId="7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79" fontId="22" fillId="0" borderId="8" xfId="0" applyNumberFormat="1" applyFont="1" applyBorder="1" applyAlignment="1">
      <alignment horizontal="center"/>
    </xf>
    <xf numFmtId="179" fontId="19" fillId="18" borderId="34" xfId="0" applyNumberFormat="1" applyFont="1" applyFill="1" applyBorder="1" applyAlignment="1">
      <alignment horizontal="center" vertical="center"/>
    </xf>
    <xf numFmtId="179" fontId="19" fillId="18" borderId="29" xfId="0" applyNumberFormat="1" applyFont="1" applyFill="1" applyBorder="1" applyAlignment="1">
      <alignment horizontal="center" vertical="center"/>
    </xf>
    <xf numFmtId="179" fontId="44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19" fillId="3" borderId="4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191" fontId="76" fillId="5" borderId="4" xfId="0" applyNumberFormat="1" applyFont="1" applyFill="1" applyBorder="1" applyAlignment="1">
      <alignment horizontal="center" vertical="center"/>
    </xf>
    <xf numFmtId="191" fontId="16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183" fontId="19" fillId="3" borderId="1" xfId="0" applyNumberFormat="1" applyFont="1" applyFill="1" applyBorder="1" applyAlignment="1">
      <alignment horizontal="center" vertical="center"/>
    </xf>
    <xf numFmtId="187" fontId="57" fillId="3" borderId="1" xfId="0" applyNumberFormat="1" applyFont="1" applyFill="1" applyBorder="1" applyAlignment="1">
      <alignment horizontal="center" vertical="center"/>
    </xf>
    <xf numFmtId="58" fontId="58" fillId="0" borderId="1" xfId="0" applyNumberFormat="1" applyFont="1" applyBorder="1" applyAlignment="1">
      <alignment horizontal="center" vertical="center"/>
    </xf>
    <xf numFmtId="58" fontId="58" fillId="0" borderId="4" xfId="0" applyNumberFormat="1" applyFont="1" applyBorder="1" applyAlignment="1">
      <alignment horizontal="center" vertical="center"/>
    </xf>
    <xf numFmtId="179" fontId="19" fillId="18" borderId="16" xfId="0" applyNumberFormat="1" applyFont="1" applyFill="1" applyBorder="1" applyAlignment="1">
      <alignment horizontal="center" vertical="center"/>
    </xf>
    <xf numFmtId="200" fontId="6" fillId="18" borderId="6" xfId="0" applyNumberFormat="1" applyFont="1" applyFill="1" applyBorder="1" applyAlignment="1">
      <alignment horizontal="center" vertical="center"/>
    </xf>
    <xf numFmtId="179" fontId="19" fillId="3" borderId="4" xfId="0" applyNumberFormat="1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49" fontId="6" fillId="22" borderId="1" xfId="0" applyNumberFormat="1" applyFont="1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34" fillId="0" borderId="1" xfId="0" applyNumberFormat="1" applyFont="1" applyBorder="1" applyAlignment="1">
      <alignment horizontal="center" vertical="center"/>
    </xf>
    <xf numFmtId="179" fontId="6" fillId="0" borderId="4" xfId="0" applyNumberFormat="1" applyFont="1" applyBorder="1" applyAlignment="1">
      <alignment horizontal="center" vertical="center"/>
    </xf>
    <xf numFmtId="0" fontId="19" fillId="0" borderId="5" xfId="0" applyNumberFormat="1" applyFont="1" applyBorder="1" applyAlignment="1">
      <alignment horizontal="center" vertical="center"/>
    </xf>
    <xf numFmtId="0" fontId="74" fillId="0" borderId="5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180" fontId="6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191" fontId="76" fillId="3" borderId="4" xfId="0" applyNumberFormat="1" applyFont="1" applyFill="1" applyBorder="1" applyAlignment="1">
      <alignment horizontal="center" vertical="center"/>
    </xf>
    <xf numFmtId="0" fontId="3" fillId="22" borderId="1" xfId="0" applyFont="1" applyFill="1" applyBorder="1">
      <alignment vertical="center"/>
    </xf>
    <xf numFmtId="181" fontId="57" fillId="0" borderId="1" xfId="0" applyNumberFormat="1" applyFont="1" applyBorder="1" applyAlignment="1">
      <alignment horizontal="center" vertical="center"/>
    </xf>
    <xf numFmtId="188" fontId="19" fillId="0" borderId="1" xfId="0" applyNumberFormat="1" applyFont="1" applyBorder="1" applyAlignment="1">
      <alignment horizontal="center" vertical="center" wrapText="1"/>
    </xf>
    <xf numFmtId="188" fontId="74" fillId="0" borderId="1" xfId="0" applyNumberFormat="1" applyFont="1" applyBorder="1" applyAlignment="1">
      <alignment horizontal="center" vertical="center" wrapText="1"/>
    </xf>
    <xf numFmtId="181" fontId="73" fillId="0" borderId="4" xfId="0" applyNumberFormat="1" applyFont="1" applyBorder="1" applyAlignment="1">
      <alignment horizontal="center" vertical="center"/>
    </xf>
    <xf numFmtId="199" fontId="0" fillId="0" borderId="4" xfId="0" applyNumberFormat="1" applyBorder="1" applyAlignment="1">
      <alignment horizontal="center" vertical="center"/>
    </xf>
    <xf numFmtId="199" fontId="33" fillId="0" borderId="4" xfId="0" applyNumberFormat="1" applyFont="1" applyBorder="1" applyAlignment="1">
      <alignment horizontal="center" vertical="center"/>
    </xf>
    <xf numFmtId="199" fontId="20" fillId="0" borderId="1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199" fontId="77" fillId="0" borderId="4" xfId="0" applyNumberFormat="1" applyFont="1" applyBorder="1" applyAlignment="1">
      <alignment horizontal="center" vertical="center"/>
    </xf>
    <xf numFmtId="181" fontId="73" fillId="0" borderId="1" xfId="0" applyNumberFormat="1" applyFont="1" applyBorder="1" applyAlignment="1">
      <alignment horizontal="center" vertical="center"/>
    </xf>
    <xf numFmtId="199" fontId="6" fillId="18" borderId="1" xfId="0" applyNumberFormat="1" applyFont="1" applyFill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199" fontId="6" fillId="18" borderId="21" xfId="0" applyNumberFormat="1" applyFont="1" applyFill="1" applyBorder="1" applyAlignment="1">
      <alignment horizontal="center" vertical="center"/>
    </xf>
    <xf numFmtId="199" fontId="6" fillId="5" borderId="21" xfId="0" applyNumberFormat="1" applyFont="1" applyFill="1" applyBorder="1" applyAlignment="1">
      <alignment horizontal="center" vertical="center"/>
    </xf>
    <xf numFmtId="181" fontId="73" fillId="5" borderId="15" xfId="0" applyNumberFormat="1" applyFont="1" applyFill="1" applyBorder="1" applyAlignment="1">
      <alignment horizontal="center" vertical="center"/>
    </xf>
    <xf numFmtId="199" fontId="6" fillId="5" borderId="1" xfId="0" applyNumberFormat="1" applyFont="1" applyFill="1" applyBorder="1" applyAlignment="1">
      <alignment horizontal="center" vertical="center"/>
    </xf>
    <xf numFmtId="181" fontId="73" fillId="5" borderId="1" xfId="0" applyNumberFormat="1" applyFont="1" applyFill="1" applyBorder="1" applyAlignment="1">
      <alignment horizontal="center" vertical="center"/>
    </xf>
    <xf numFmtId="179" fontId="6" fillId="18" borderId="16" xfId="0" applyNumberFormat="1" applyFont="1" applyFill="1" applyBorder="1" applyAlignment="1">
      <alignment horizontal="center" vertical="center"/>
    </xf>
    <xf numFmtId="0" fontId="19" fillId="0" borderId="14" xfId="0" applyNumberFormat="1" applyFont="1" applyBorder="1" applyAlignment="1">
      <alignment horizontal="center" vertical="center"/>
    </xf>
    <xf numFmtId="179" fontId="22" fillId="0" borderId="5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179" fontId="22" fillId="0" borderId="8" xfId="0" applyNumberFormat="1" applyFont="1" applyBorder="1" applyAlignment="1"/>
    <xf numFmtId="179" fontId="22" fillId="5" borderId="8" xfId="0" applyNumberFormat="1" applyFont="1" applyFill="1" applyBorder="1" applyAlignment="1"/>
    <xf numFmtId="179" fontId="19" fillId="18" borderId="28" xfId="0" applyNumberFormat="1" applyFont="1" applyFill="1" applyBorder="1" applyAlignment="1">
      <alignment horizontal="center" vertical="center"/>
    </xf>
    <xf numFmtId="179" fontId="22" fillId="0" borderId="5" xfId="0" applyNumberFormat="1" applyFont="1" applyFill="1" applyBorder="1" applyAlignment="1">
      <alignment horizontal="center"/>
    </xf>
    <xf numFmtId="179" fontId="22" fillId="0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78" fillId="3" borderId="4" xfId="0" applyNumberFormat="1" applyFont="1" applyFill="1" applyBorder="1" applyAlignment="1">
      <alignment horizontal="center" vertical="center"/>
    </xf>
    <xf numFmtId="7" fontId="22" fillId="0" borderId="1" xfId="0" applyNumberFormat="1" applyFont="1" applyBorder="1" applyAlignment="1">
      <alignment horizontal="center" vertical="center"/>
    </xf>
    <xf numFmtId="7" fontId="22" fillId="5" borderId="1" xfId="0" applyNumberFormat="1" applyFont="1" applyFill="1" applyBorder="1" applyAlignment="1">
      <alignment horizontal="center" vertical="center"/>
    </xf>
    <xf numFmtId="191" fontId="6" fillId="0" borderId="1" xfId="0" applyNumberFormat="1" applyFont="1" applyBorder="1" applyAlignment="1">
      <alignment horizontal="center" vertical="center"/>
    </xf>
    <xf numFmtId="0" fontId="22" fillId="3" borderId="4" xfId="0" applyFont="1" applyFill="1" applyBorder="1">
      <alignment vertical="center"/>
    </xf>
    <xf numFmtId="0" fontId="22" fillId="3" borderId="1" xfId="0" applyFont="1" applyFill="1" applyBorder="1">
      <alignment vertical="center"/>
    </xf>
    <xf numFmtId="0" fontId="79" fillId="3" borderId="4" xfId="0" applyNumberFormat="1" applyFont="1" applyFill="1" applyBorder="1" applyAlignment="1">
      <alignment horizontal="center" vertical="center"/>
    </xf>
    <xf numFmtId="188" fontId="79" fillId="3" borderId="4" xfId="0" applyNumberFormat="1" applyFont="1" applyFill="1" applyBorder="1" applyAlignment="1">
      <alignment horizontal="center" vertical="center"/>
    </xf>
    <xf numFmtId="188" fontId="79" fillId="3" borderId="10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>
      <alignment vertical="center"/>
    </xf>
    <xf numFmtId="5" fontId="6" fillId="22" borderId="1" xfId="0" applyNumberFormat="1" applyFont="1" applyFill="1" applyBorder="1" applyAlignment="1">
      <alignment horizontal="center" vertical="center"/>
    </xf>
    <xf numFmtId="5" fontId="22" fillId="3" borderId="1" xfId="0" applyNumberFormat="1" applyFont="1" applyFill="1" applyBorder="1" applyAlignment="1">
      <alignment horizontal="center" vertical="center"/>
    </xf>
    <xf numFmtId="185" fontId="19" fillId="0" borderId="1" xfId="0" applyNumberFormat="1" applyFont="1" applyBorder="1" applyAlignment="1">
      <alignment horizontal="center" vertical="center"/>
    </xf>
    <xf numFmtId="200" fontId="6" fillId="0" borderId="10" xfId="0" applyNumberFormat="1" applyFont="1" applyFill="1" applyBorder="1" applyAlignment="1">
      <alignment horizontal="center" vertical="center"/>
    </xf>
    <xf numFmtId="179" fontId="16" fillId="0" borderId="4" xfId="0" applyNumberFormat="1" applyFont="1" applyFill="1" applyBorder="1" applyAlignment="1">
      <alignment horizontal="center" vertical="center"/>
    </xf>
    <xf numFmtId="179" fontId="72" fillId="0" borderId="1" xfId="0" applyNumberFormat="1" applyFont="1" applyFill="1" applyBorder="1" applyAlignment="1">
      <alignment horizontal="center" vertical="center" wrapText="1"/>
    </xf>
    <xf numFmtId="179" fontId="6" fillId="18" borderId="15" xfId="0" applyNumberFormat="1" applyFont="1" applyFill="1" applyBorder="1" applyAlignment="1">
      <alignment horizontal="center" vertical="center"/>
    </xf>
    <xf numFmtId="179" fontId="6" fillId="0" borderId="34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179" fontId="6" fillId="0" borderId="27" xfId="0" applyNumberFormat="1" applyFont="1" applyBorder="1" applyAlignment="1">
      <alignment horizontal="center" vertical="center"/>
    </xf>
    <xf numFmtId="0" fontId="19" fillId="11" borderId="22" xfId="0" applyNumberFormat="1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188" fontId="19" fillId="5" borderId="5" xfId="0" applyNumberFormat="1" applyFont="1" applyFill="1" applyBorder="1" applyAlignment="1">
      <alignment horizontal="center" vertical="center" wrapText="1"/>
    </xf>
    <xf numFmtId="180" fontId="5" fillId="0" borderId="21" xfId="0" applyNumberFormat="1" applyFont="1" applyBorder="1" applyAlignment="1">
      <alignment horizontal="center" vertical="center"/>
    </xf>
    <xf numFmtId="181" fontId="33" fillId="0" borderId="21" xfId="0" applyNumberFormat="1" applyFont="1" applyBorder="1" applyAlignment="1">
      <alignment horizontal="center" vertical="center"/>
    </xf>
    <xf numFmtId="185" fontId="33" fillId="5" borderId="21" xfId="0" applyNumberFormat="1" applyFont="1" applyFill="1" applyBorder="1" applyAlignment="1">
      <alignment horizontal="center" vertical="center"/>
    </xf>
    <xf numFmtId="181" fontId="80" fillId="0" borderId="1" xfId="0" applyNumberFormat="1" applyFont="1" applyBorder="1" applyAlignment="1">
      <alignment horizontal="center" vertical="center"/>
    </xf>
    <xf numFmtId="199" fontId="19" fillId="18" borderId="36" xfId="0" applyNumberFormat="1" applyFont="1" applyFill="1" applyBorder="1" applyAlignment="1">
      <alignment horizontal="center" vertical="center"/>
    </xf>
    <xf numFmtId="199" fontId="6" fillId="18" borderId="33" xfId="0" applyNumberFormat="1" applyFont="1" applyFill="1" applyBorder="1" applyAlignment="1">
      <alignment horizontal="center" vertical="center"/>
    </xf>
    <xf numFmtId="179" fontId="30" fillId="0" borderId="1" xfId="0" applyNumberFormat="1" applyFont="1" applyBorder="1" applyAlignment="1">
      <alignment horizontal="center" vertical="center"/>
    </xf>
    <xf numFmtId="0" fontId="5" fillId="5" borderId="22" xfId="0" applyFont="1" applyFill="1" applyBorder="1">
      <alignment vertical="center"/>
    </xf>
    <xf numFmtId="179" fontId="6" fillId="18" borderId="7" xfId="0" applyNumberFormat="1" applyFont="1" applyFill="1" applyBorder="1" applyAlignment="1">
      <alignment horizontal="center" vertical="center"/>
    </xf>
    <xf numFmtId="179" fontId="6" fillId="18" borderId="37" xfId="0" applyNumberFormat="1" applyFont="1" applyFill="1" applyBorder="1" applyAlignment="1">
      <alignment horizontal="center" vertical="center"/>
    </xf>
    <xf numFmtId="179" fontId="19" fillId="18" borderId="37" xfId="0" applyNumberFormat="1" applyFont="1" applyFill="1" applyBorder="1" applyAlignment="1">
      <alignment horizontal="center" vertical="center"/>
    </xf>
    <xf numFmtId="179" fontId="6" fillId="19" borderId="38" xfId="0" applyNumberFormat="1" applyFont="1" applyFill="1" applyBorder="1" applyAlignment="1">
      <alignment horizontal="center" vertical="center"/>
    </xf>
    <xf numFmtId="179" fontId="30" fillId="3" borderId="1" xfId="0" applyNumberFormat="1" applyFont="1" applyFill="1" applyBorder="1" applyAlignment="1">
      <alignment horizontal="center" vertical="center"/>
    </xf>
    <xf numFmtId="179" fontId="63" fillId="3" borderId="1" xfId="0" applyNumberFormat="1" applyFont="1" applyFill="1" applyBorder="1" applyAlignment="1">
      <alignment horizontal="center" vertical="center"/>
    </xf>
    <xf numFmtId="0" fontId="52" fillId="3" borderId="1" xfId="0" applyFont="1" applyFill="1" applyBorder="1">
      <alignment vertical="center"/>
    </xf>
    <xf numFmtId="49" fontId="16" fillId="3" borderId="1" xfId="0" applyNumberFormat="1" applyFont="1" applyFill="1" applyBorder="1" applyAlignment="1">
      <alignment horizontal="center" vertical="center"/>
    </xf>
    <xf numFmtId="0" fontId="52" fillId="3" borderId="1" xfId="0" applyFont="1" applyFill="1" applyBorder="1" applyAlignment="1">
      <alignment horizontal="center" vertical="center"/>
    </xf>
    <xf numFmtId="180" fontId="16" fillId="3" borderId="1" xfId="0" applyNumberFormat="1" applyFont="1" applyFill="1" applyBorder="1" applyAlignment="1">
      <alignment horizontal="center" vertical="center"/>
    </xf>
    <xf numFmtId="49" fontId="81" fillId="3" borderId="1" xfId="0" applyNumberFormat="1" applyFont="1" applyFill="1" applyBorder="1" applyAlignment="1">
      <alignment horizontal="center" vertical="center"/>
    </xf>
    <xf numFmtId="49" fontId="82" fillId="3" borderId="1" xfId="0" applyNumberFormat="1" applyFont="1" applyFill="1" applyBorder="1" applyAlignment="1">
      <alignment horizontal="center" vertical="center"/>
    </xf>
    <xf numFmtId="181" fontId="16" fillId="3" borderId="1" xfId="0" applyNumberFormat="1" applyFont="1" applyFill="1" applyBorder="1" applyAlignment="1">
      <alignment horizontal="center" vertical="center"/>
    </xf>
    <xf numFmtId="181" fontId="6" fillId="0" borderId="7" xfId="0" applyNumberFormat="1" applyFont="1" applyFill="1" applyBorder="1" applyAlignment="1">
      <alignment horizontal="center" vertical="center"/>
    </xf>
    <xf numFmtId="0" fontId="52" fillId="3" borderId="7" xfId="0" applyFont="1" applyFill="1" applyBorder="1">
      <alignment vertical="center"/>
    </xf>
    <xf numFmtId="181" fontId="16" fillId="3" borderId="7" xfId="0" applyNumberFormat="1" applyFont="1" applyFill="1" applyBorder="1" applyAlignment="1">
      <alignment horizontal="center" vertical="center"/>
    </xf>
    <xf numFmtId="181" fontId="6" fillId="3" borderId="7" xfId="0" applyNumberFormat="1" applyFont="1" applyFill="1" applyBorder="1" applyAlignment="1">
      <alignment horizontal="center" vertical="center"/>
    </xf>
    <xf numFmtId="183" fontId="16" fillId="3" borderId="1" xfId="0" applyNumberFormat="1" applyFont="1" applyFill="1" applyBorder="1" applyAlignment="1">
      <alignment horizontal="center" vertical="center"/>
    </xf>
    <xf numFmtId="179" fontId="22" fillId="0" borderId="16" xfId="0" applyNumberFormat="1" applyFont="1" applyBorder="1" applyAlignment="1">
      <alignment horizontal="center" vertical="center"/>
    </xf>
    <xf numFmtId="179" fontId="22" fillId="0" borderId="18" xfId="0" applyNumberFormat="1" applyFont="1" applyBorder="1" applyAlignment="1">
      <alignment horizontal="center" vertical="center"/>
    </xf>
    <xf numFmtId="200" fontId="22" fillId="3" borderId="1" xfId="0" applyNumberFormat="1" applyFont="1" applyFill="1" applyBorder="1" applyAlignment="1">
      <alignment horizontal="center" vertical="center"/>
    </xf>
    <xf numFmtId="200" fontId="6" fillId="0" borderId="4" xfId="0" applyNumberFormat="1" applyFont="1" applyBorder="1" applyAlignment="1">
      <alignment horizontal="center" vertical="center"/>
    </xf>
    <xf numFmtId="58" fontId="6" fillId="3" borderId="4" xfId="0" applyNumberFormat="1" applyFont="1" applyFill="1" applyBorder="1" applyAlignment="1">
      <alignment horizontal="center" vertical="center"/>
    </xf>
    <xf numFmtId="200" fontId="6" fillId="3" borderId="4" xfId="0" applyNumberFormat="1" applyFont="1" applyFill="1" applyBorder="1" applyAlignment="1">
      <alignment horizontal="center" vertical="center"/>
    </xf>
    <xf numFmtId="200" fontId="6" fillId="0" borderId="4" xfId="0" applyNumberFormat="1" applyFont="1" applyFill="1" applyBorder="1" applyAlignment="1">
      <alignment horizontal="center" vertical="center"/>
    </xf>
    <xf numFmtId="58" fontId="83" fillId="0" borderId="1" xfId="0" applyNumberFormat="1" applyFont="1" applyFill="1" applyBorder="1" applyAlignment="1">
      <alignment horizontal="center" vertical="center"/>
    </xf>
    <xf numFmtId="179" fontId="22" fillId="5" borderId="6" xfId="0" applyNumberFormat="1" applyFont="1" applyFill="1" applyBorder="1" applyAlignment="1">
      <alignment horizontal="center" vertical="center"/>
    </xf>
    <xf numFmtId="179" fontId="6" fillId="0" borderId="6" xfId="0" applyNumberFormat="1" applyFont="1" applyFill="1" applyBorder="1" applyAlignment="1">
      <alignment horizontal="center" vertical="center"/>
    </xf>
    <xf numFmtId="179" fontId="19" fillId="5" borderId="30" xfId="0" applyNumberFormat="1" applyFont="1" applyFill="1" applyBorder="1" applyAlignment="1">
      <alignment horizontal="center" vertical="center"/>
    </xf>
    <xf numFmtId="0" fontId="78" fillId="3" borderId="1" xfId="0" applyNumberFormat="1" applyFont="1" applyFill="1" applyBorder="1" applyAlignment="1">
      <alignment horizontal="center" vertical="center"/>
    </xf>
    <xf numFmtId="0" fontId="79" fillId="3" borderId="1" xfId="0" applyNumberFormat="1" applyFont="1" applyFill="1" applyBorder="1" applyAlignment="1">
      <alignment horizontal="center" vertical="center"/>
    </xf>
    <xf numFmtId="188" fontId="79" fillId="3" borderId="1" xfId="0" applyNumberFormat="1" applyFont="1" applyFill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91" fontId="6" fillId="18" borderId="1" xfId="0" applyNumberFormat="1" applyFont="1" applyFill="1" applyBorder="1" applyAlignment="1">
      <alignment horizontal="center" vertical="center"/>
    </xf>
    <xf numFmtId="201" fontId="19" fillId="18" borderId="1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58" fontId="6" fillId="5" borderId="6" xfId="0" applyNumberFormat="1" applyFont="1" applyFill="1" applyBorder="1" applyAlignment="1">
      <alignment horizontal="center" vertical="center"/>
    </xf>
    <xf numFmtId="179" fontId="6" fillId="19" borderId="21" xfId="0" applyNumberFormat="1" applyFont="1" applyFill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/>
    </xf>
    <xf numFmtId="179" fontId="6" fillId="18" borderId="38" xfId="0" applyNumberFormat="1" applyFont="1" applyFill="1" applyBorder="1" applyAlignment="1">
      <alignment horizontal="center" vertical="center"/>
    </xf>
    <xf numFmtId="0" fontId="19" fillId="0" borderId="15" xfId="0" applyNumberFormat="1" applyFont="1" applyBorder="1" applyAlignment="1">
      <alignment horizontal="center" vertical="center"/>
    </xf>
    <xf numFmtId="179" fontId="22" fillId="0" borderId="24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182" fontId="19" fillId="5" borderId="1" xfId="0" applyNumberFormat="1" applyFont="1" applyFill="1" applyBorder="1" applyAlignment="1">
      <alignment horizontal="center" vertical="center" wrapText="1"/>
    </xf>
    <xf numFmtId="191" fontId="19" fillId="18" borderId="1" xfId="0" applyNumberFormat="1" applyFont="1" applyFill="1" applyBorder="1" applyAlignment="1">
      <alignment horizontal="center" vertical="center"/>
    </xf>
    <xf numFmtId="191" fontId="19" fillId="18" borderId="36" xfId="0" applyNumberFormat="1" applyFont="1" applyFill="1" applyBorder="1" applyAlignment="1">
      <alignment horizontal="center" vertical="center"/>
    </xf>
    <xf numFmtId="191" fontId="6" fillId="18" borderId="33" xfId="0" applyNumberFormat="1" applyFont="1" applyFill="1" applyBorder="1" applyAlignment="1">
      <alignment horizontal="center" vertical="center"/>
    </xf>
    <xf numFmtId="0" fontId="34" fillId="5" borderId="22" xfId="0" applyNumberFormat="1" applyFont="1" applyFill="1" applyBorder="1" applyAlignment="1">
      <alignment horizontal="center" vertical="center"/>
    </xf>
    <xf numFmtId="179" fontId="19" fillId="18" borderId="38" xfId="0" applyNumberFormat="1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179" fontId="19" fillId="0" borderId="24" xfId="0" applyNumberFormat="1" applyFont="1" applyBorder="1" applyAlignment="1">
      <alignment horizontal="center" vertical="center"/>
    </xf>
    <xf numFmtId="179" fontId="19" fillId="18" borderId="4" xfId="0" applyNumberFormat="1" applyFont="1" applyFill="1" applyBorder="1" applyAlignment="1">
      <alignment horizontal="center" vertical="center"/>
    </xf>
    <xf numFmtId="179" fontId="22" fillId="0" borderId="8" xfId="0" applyNumberFormat="1" applyFont="1" applyFill="1" applyBorder="1" applyAlignment="1">
      <alignment horizontal="center"/>
    </xf>
    <xf numFmtId="49" fontId="26" fillId="3" borderId="1" xfId="0" applyNumberFormat="1" applyFont="1" applyFill="1" applyBorder="1" applyAlignment="1">
      <alignment horizontal="center" vertical="center"/>
    </xf>
    <xf numFmtId="179" fontId="84" fillId="19" borderId="1" xfId="0" applyNumberFormat="1" applyFont="1" applyFill="1" applyBorder="1" applyAlignment="1">
      <alignment horizontal="center" vertical="center"/>
    </xf>
    <xf numFmtId="179" fontId="84" fillId="19" borderId="4" xfId="0" applyNumberFormat="1" applyFont="1" applyFill="1" applyBorder="1" applyAlignment="1">
      <alignment horizontal="center" vertical="center"/>
    </xf>
    <xf numFmtId="188" fontId="79" fillId="3" borderId="7" xfId="0" applyNumberFormat="1" applyFont="1" applyFill="1" applyBorder="1" applyAlignment="1">
      <alignment horizontal="center" vertical="center"/>
    </xf>
    <xf numFmtId="7" fontId="6" fillId="5" borderId="4" xfId="0" applyNumberFormat="1" applyFont="1" applyFill="1" applyBorder="1" applyAlignment="1">
      <alignment horizontal="center" vertical="center"/>
    </xf>
    <xf numFmtId="5" fontId="22" fillId="0" borderId="4" xfId="0" applyNumberFormat="1" applyFont="1" applyBorder="1" applyAlignment="1">
      <alignment horizontal="center" vertical="center"/>
    </xf>
    <xf numFmtId="183" fontId="6" fillId="19" borderId="4" xfId="0" applyNumberFormat="1" applyFont="1" applyFill="1" applyBorder="1" applyAlignment="1">
      <alignment horizontal="center" vertical="center"/>
    </xf>
    <xf numFmtId="58" fontId="58" fillId="3" borderId="1" xfId="0" applyNumberFormat="1" applyFont="1" applyFill="1" applyBorder="1" applyAlignment="1">
      <alignment horizontal="center" vertical="center"/>
    </xf>
    <xf numFmtId="58" fontId="58" fillId="3" borderId="8" xfId="0" applyNumberFormat="1" applyFont="1" applyFill="1" applyBorder="1" applyAlignment="1">
      <alignment horizontal="center" vertical="center"/>
    </xf>
    <xf numFmtId="181" fontId="6" fillId="5" borderId="4" xfId="0" applyNumberFormat="1" applyFont="1" applyFill="1" applyBorder="1" applyAlignment="1">
      <alignment horizontal="center" vertical="center"/>
    </xf>
    <xf numFmtId="186" fontId="75" fillId="3" borderId="1" xfId="0" applyNumberFormat="1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5" borderId="8" xfId="0" applyFont="1" applyFill="1" applyBorder="1" applyAlignment="1">
      <alignment horizontal="center" vertical="center" wrapText="1"/>
    </xf>
    <xf numFmtId="0" fontId="19" fillId="0" borderId="21" xfId="0" applyNumberFormat="1" applyFont="1" applyBorder="1" applyAlignment="1">
      <alignment horizontal="center" vertical="center"/>
    </xf>
    <xf numFmtId="0" fontId="19" fillId="0" borderId="22" xfId="0" applyNumberFormat="1" applyFont="1" applyFill="1" applyBorder="1" applyAlignment="1">
      <alignment horizontal="center" vertical="center"/>
    </xf>
    <xf numFmtId="179" fontId="6" fillId="0" borderId="21" xfId="0" applyNumberFormat="1" applyFont="1" applyBorder="1" applyAlignment="1">
      <alignment horizontal="center" vertical="center"/>
    </xf>
    <xf numFmtId="0" fontId="74" fillId="0" borderId="22" xfId="0" applyFont="1" applyBorder="1" applyAlignment="1">
      <alignment vertical="center" wrapText="1"/>
    </xf>
    <xf numFmtId="0" fontId="74" fillId="0" borderId="22" xfId="0" applyFont="1" applyBorder="1" applyAlignment="1">
      <alignment horizontal="center" vertical="center" wrapText="1"/>
    </xf>
    <xf numFmtId="188" fontId="44" fillId="0" borderId="1" xfId="0" applyNumberFormat="1" applyFont="1" applyBorder="1" applyAlignment="1">
      <alignment horizontal="center" vertical="center" wrapText="1"/>
    </xf>
    <xf numFmtId="188" fontId="44" fillId="5" borderId="1" xfId="0" applyNumberFormat="1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188" fontId="74" fillId="0" borderId="21" xfId="0" applyNumberFormat="1" applyFont="1" applyBorder="1" applyAlignment="1">
      <alignment horizontal="center" vertical="center" wrapText="1"/>
    </xf>
    <xf numFmtId="187" fontId="57" fillId="5" borderId="21" xfId="0" applyNumberFormat="1" applyFont="1" applyFill="1" applyBorder="1" applyAlignment="1">
      <alignment horizontal="center" vertical="center"/>
    </xf>
    <xf numFmtId="185" fontId="6" fillId="0" borderId="1" xfId="0" applyNumberFormat="1" applyFont="1" applyBorder="1" applyAlignment="1">
      <alignment horizontal="center" vertical="center"/>
    </xf>
    <xf numFmtId="189" fontId="5" fillId="0" borderId="12" xfId="0" applyNumberFormat="1" applyFont="1" applyBorder="1" applyAlignment="1">
      <alignment horizontal="center" vertical="center"/>
    </xf>
    <xf numFmtId="189" fontId="5" fillId="0" borderId="17" xfId="0" applyNumberFormat="1" applyFont="1" applyBorder="1" applyAlignment="1">
      <alignment horizontal="center" vertical="center"/>
    </xf>
    <xf numFmtId="58" fontId="19" fillId="0" borderId="21" xfId="0" applyNumberFormat="1" applyFont="1" applyBorder="1" applyAlignment="1">
      <alignment horizontal="center" vertical="center"/>
    </xf>
    <xf numFmtId="185" fontId="6" fillId="0" borderId="21" xfId="0" applyNumberFormat="1" applyFont="1" applyBorder="1" applyAlignment="1">
      <alignment horizontal="center" vertical="center"/>
    </xf>
    <xf numFmtId="179" fontId="22" fillId="0" borderId="30" xfId="0" applyNumberFormat="1" applyFont="1" applyFill="1" applyBorder="1" applyAlignment="1">
      <alignment horizontal="center"/>
    </xf>
    <xf numFmtId="0" fontId="22" fillId="0" borderId="6" xfId="0" applyNumberFormat="1" applyFont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180" fontId="22" fillId="0" borderId="16" xfId="0" applyNumberFormat="1" applyFont="1" applyBorder="1" applyAlignment="1">
      <alignment horizontal="center" vertical="center"/>
    </xf>
    <xf numFmtId="191" fontId="6" fillId="20" borderId="1" xfId="0" applyNumberFormat="1" applyFont="1" applyFill="1" applyBorder="1" applyAlignment="1">
      <alignment horizontal="center" vertical="center"/>
    </xf>
    <xf numFmtId="183" fontId="6" fillId="19" borderId="1" xfId="0" applyNumberFormat="1" applyFont="1" applyFill="1" applyBorder="1" applyAlignment="1">
      <alignment horizontal="center" vertical="center"/>
    </xf>
    <xf numFmtId="191" fontId="6" fillId="19" borderId="1" xfId="0" applyNumberFormat="1" applyFont="1" applyFill="1" applyBorder="1" applyAlignment="1">
      <alignment horizontal="center" vertical="center"/>
    </xf>
    <xf numFmtId="183" fontId="6" fillId="3" borderId="8" xfId="0" applyNumberFormat="1" applyFont="1" applyFill="1" applyBorder="1" applyAlignment="1">
      <alignment horizontal="center" vertical="center"/>
    </xf>
    <xf numFmtId="183" fontId="6" fillId="3" borderId="13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179" fontId="6" fillId="0" borderId="5" xfId="0" applyNumberFormat="1" applyFont="1" applyBorder="1" applyAlignment="1">
      <alignment horizontal="center" vertical="center"/>
    </xf>
    <xf numFmtId="188" fontId="44" fillId="0" borderId="5" xfId="0" applyNumberFormat="1" applyFont="1" applyBorder="1" applyAlignment="1">
      <alignment horizontal="center" vertical="center" wrapText="1"/>
    </xf>
    <xf numFmtId="206" fontId="44" fillId="0" borderId="1" xfId="0" applyNumberFormat="1" applyFont="1" applyBorder="1" applyAlignment="1">
      <alignment horizontal="center" vertical="center" wrapText="1"/>
    </xf>
    <xf numFmtId="58" fontId="85" fillId="0" borderId="1" xfId="0" applyNumberFormat="1" applyFont="1" applyBorder="1" applyAlignment="1">
      <alignment horizontal="left" vertical="center" wrapText="1"/>
    </xf>
    <xf numFmtId="58" fontId="55" fillId="5" borderId="25" xfId="0" applyNumberFormat="1" applyFont="1" applyFill="1" applyBorder="1" applyAlignment="1">
      <alignment horizontal="center" vertical="center"/>
    </xf>
    <xf numFmtId="0" fontId="55" fillId="5" borderId="6" xfId="0" applyNumberFormat="1" applyFont="1" applyFill="1" applyBorder="1" applyAlignment="1">
      <alignment horizontal="center" vertical="center"/>
    </xf>
    <xf numFmtId="0" fontId="55" fillId="5" borderId="24" xfId="0" applyNumberFormat="1" applyFont="1" applyFill="1" applyBorder="1" applyAlignment="1">
      <alignment horizontal="center" vertical="center"/>
    </xf>
    <xf numFmtId="58" fontId="55" fillId="5" borderId="22" xfId="0" applyNumberFormat="1" applyFont="1" applyFill="1" applyBorder="1" applyAlignment="1">
      <alignment horizontal="center" vertical="center"/>
    </xf>
    <xf numFmtId="179" fontId="22" fillId="0" borderId="7" xfId="0" applyNumberFormat="1" applyFont="1" applyBorder="1" applyAlignment="1">
      <alignment horizontal="center" vertical="center"/>
    </xf>
    <xf numFmtId="58" fontId="55" fillId="5" borderId="14" xfId="0" applyNumberFormat="1" applyFont="1" applyFill="1" applyBorder="1" applyAlignment="1">
      <alignment horizontal="center" vertical="center"/>
    </xf>
    <xf numFmtId="179" fontId="22" fillId="3" borderId="1" xfId="0" applyNumberFormat="1" applyFont="1" applyFill="1" applyBorder="1" applyAlignment="1">
      <alignment horizontal="center" vertical="center" wrapText="1"/>
    </xf>
    <xf numFmtId="179" fontId="22" fillId="3" borderId="30" xfId="0" applyNumberFormat="1" applyFont="1" applyFill="1" applyBorder="1" applyAlignment="1">
      <alignment horizontal="center" vertical="center"/>
    </xf>
    <xf numFmtId="0" fontId="22" fillId="3" borderId="6" xfId="0" applyNumberFormat="1" applyFont="1" applyFill="1" applyBorder="1" applyAlignment="1">
      <alignment horizontal="center" vertical="center"/>
    </xf>
    <xf numFmtId="179" fontId="44" fillId="3" borderId="8" xfId="0" applyNumberFormat="1" applyFont="1" applyFill="1" applyBorder="1" applyAlignment="1">
      <alignment horizontal="center" vertical="center"/>
    </xf>
    <xf numFmtId="0" fontId="58" fillId="3" borderId="8" xfId="0" applyNumberFormat="1" applyFont="1" applyFill="1" applyBorder="1" applyAlignment="1">
      <alignment horizontal="center" vertical="center"/>
    </xf>
    <xf numFmtId="180" fontId="72" fillId="3" borderId="1" xfId="0" applyNumberFormat="1" applyFont="1" applyFill="1" applyBorder="1" applyAlignment="1">
      <alignment horizontal="center" vertical="center"/>
    </xf>
    <xf numFmtId="179" fontId="58" fillId="3" borderId="8" xfId="0" applyNumberFormat="1" applyFont="1" applyFill="1" applyBorder="1" applyAlignment="1">
      <alignment horizontal="center" vertical="center"/>
    </xf>
    <xf numFmtId="180" fontId="86" fillId="3" borderId="1" xfId="0" applyNumberFormat="1" applyFont="1" applyFill="1" applyBorder="1" applyAlignment="1">
      <alignment horizontal="center" vertical="center" wrapText="1"/>
    </xf>
    <xf numFmtId="179" fontId="29" fillId="3" borderId="5" xfId="0" applyNumberFormat="1" applyFont="1" applyFill="1" applyBorder="1" applyAlignment="1">
      <alignment horizontal="center" vertical="center"/>
    </xf>
    <xf numFmtId="0" fontId="87" fillId="3" borderId="17" xfId="0" applyNumberFormat="1" applyFont="1" applyFill="1" applyBorder="1" applyAlignment="1">
      <alignment horizontal="center" vertical="center" wrapText="1"/>
    </xf>
    <xf numFmtId="179" fontId="29" fillId="3" borderId="3" xfId="0" applyNumberFormat="1" applyFont="1" applyFill="1" applyBorder="1" applyAlignment="1">
      <alignment horizontal="center" vertical="center"/>
    </xf>
    <xf numFmtId="0" fontId="78" fillId="3" borderId="17" xfId="0" applyNumberFormat="1" applyFont="1" applyFill="1" applyBorder="1" applyAlignment="1">
      <alignment horizontal="center" vertical="center" wrapText="1"/>
    </xf>
    <xf numFmtId="191" fontId="6" fillId="3" borderId="7" xfId="0" applyNumberFormat="1" applyFont="1" applyFill="1" applyBorder="1" applyAlignment="1">
      <alignment horizontal="center" vertical="center"/>
    </xf>
    <xf numFmtId="191" fontId="6" fillId="20" borderId="0" xfId="0" applyNumberFormat="1" applyFont="1" applyFill="1" applyBorder="1" applyAlignment="1">
      <alignment horizontal="center" vertical="center"/>
    </xf>
    <xf numFmtId="191" fontId="6" fillId="3" borderId="10" xfId="0" applyNumberFormat="1" applyFont="1" applyFill="1" applyBorder="1" applyAlignment="1">
      <alignment horizontal="center" vertical="center"/>
    </xf>
    <xf numFmtId="191" fontId="6" fillId="3" borderId="13" xfId="0" applyNumberFormat="1" applyFont="1" applyFill="1" applyBorder="1" applyAlignment="1">
      <alignment horizontal="center" vertical="center"/>
    </xf>
    <xf numFmtId="5" fontId="16" fillId="3" borderId="1" xfId="0" applyNumberFormat="1" applyFont="1" applyFill="1" applyBorder="1" applyAlignment="1">
      <alignment horizontal="center" vertical="center"/>
    </xf>
    <xf numFmtId="191" fontId="22" fillId="3" borderId="13" xfId="0" applyNumberFormat="1" applyFont="1" applyFill="1" applyBorder="1" applyAlignment="1">
      <alignment horizontal="center" vertical="center"/>
    </xf>
    <xf numFmtId="197" fontId="6" fillId="3" borderId="15" xfId="0" applyNumberFormat="1" applyFont="1" applyFill="1" applyBorder="1" applyAlignment="1">
      <alignment horizontal="center" vertical="center"/>
    </xf>
    <xf numFmtId="183" fontId="22" fillId="3" borderId="1" xfId="0" applyNumberFormat="1" applyFont="1" applyFill="1" applyBorder="1" applyAlignment="1">
      <alignment horizontal="center" vertical="center"/>
    </xf>
    <xf numFmtId="187" fontId="22" fillId="3" borderId="15" xfId="0" applyNumberFormat="1" applyFont="1" applyFill="1" applyBorder="1" applyAlignment="1">
      <alignment horizontal="center" vertical="center"/>
    </xf>
    <xf numFmtId="0" fontId="88" fillId="0" borderId="7" xfId="0" applyNumberFormat="1" applyFont="1" applyBorder="1" applyAlignment="1">
      <alignment horizontal="center" vertical="center" wrapText="1"/>
    </xf>
    <xf numFmtId="0" fontId="89" fillId="0" borderId="2" xfId="0" applyNumberFormat="1" applyFont="1" applyBorder="1" applyAlignment="1">
      <alignment horizontal="left" vertical="center" wrapText="1"/>
    </xf>
    <xf numFmtId="0" fontId="89" fillId="23" borderId="1" xfId="0" applyNumberFormat="1" applyFont="1" applyFill="1" applyBorder="1" applyAlignment="1">
      <alignment horizontal="center" vertical="center" wrapText="1"/>
    </xf>
    <xf numFmtId="0" fontId="89" fillId="23" borderId="1" xfId="0" applyNumberFormat="1" applyFont="1" applyFill="1" applyBorder="1" applyAlignment="1">
      <alignment horizontal="left" vertical="center" wrapText="1"/>
    </xf>
    <xf numFmtId="0" fontId="89" fillId="23" borderId="7" xfId="0" applyNumberFormat="1" applyFont="1" applyFill="1" applyBorder="1" applyAlignment="1">
      <alignment horizontal="center" vertical="center" wrapText="1"/>
    </xf>
    <xf numFmtId="0" fontId="89" fillId="23" borderId="2" xfId="0" applyNumberFormat="1" applyFont="1" applyFill="1" applyBorder="1" applyAlignment="1">
      <alignment horizontal="left" vertical="center" wrapText="1"/>
    </xf>
    <xf numFmtId="0" fontId="87" fillId="0" borderId="7" xfId="0" applyNumberFormat="1" applyFont="1" applyBorder="1" applyAlignment="1">
      <alignment horizontal="center" vertical="center" wrapText="1"/>
    </xf>
    <xf numFmtId="0" fontId="73" fillId="0" borderId="2" xfId="0" applyNumberFormat="1" applyFont="1" applyBorder="1" applyAlignment="1">
      <alignment horizontal="left" vertical="center" wrapText="1"/>
    </xf>
    <xf numFmtId="58" fontId="64" fillId="3" borderId="1" xfId="0" applyNumberFormat="1" applyFont="1" applyFill="1" applyBorder="1" applyAlignment="1">
      <alignment horizontal="center" vertical="center"/>
    </xf>
    <xf numFmtId="0" fontId="73" fillId="0" borderId="7" xfId="0" applyNumberFormat="1" applyFont="1" applyBorder="1" applyAlignment="1">
      <alignment horizontal="center" vertical="center" wrapText="1"/>
    </xf>
    <xf numFmtId="0" fontId="89" fillId="0" borderId="1" xfId="0" applyNumberFormat="1" applyFont="1" applyBorder="1" applyAlignment="1">
      <alignment horizontal="center" vertical="center"/>
    </xf>
    <xf numFmtId="188" fontId="89" fillId="0" borderId="1" xfId="0" applyNumberFormat="1" applyFont="1" applyBorder="1" applyAlignment="1">
      <alignment horizontal="center" vertical="center"/>
    </xf>
    <xf numFmtId="188" fontId="89" fillId="0" borderId="7" xfId="0" applyNumberFormat="1" applyFont="1" applyBorder="1" applyAlignment="1">
      <alignment horizontal="center" vertical="center"/>
    </xf>
    <xf numFmtId="0" fontId="89" fillId="23" borderId="1" xfId="0" applyNumberFormat="1" applyFont="1" applyFill="1" applyBorder="1" applyAlignment="1">
      <alignment horizontal="center" vertical="center"/>
    </xf>
    <xf numFmtId="188" fontId="89" fillId="23" borderId="1" xfId="0" applyNumberFormat="1" applyFont="1" applyFill="1" applyBorder="1" applyAlignment="1">
      <alignment horizontal="center" vertical="center"/>
    </xf>
    <xf numFmtId="188" fontId="89" fillId="23" borderId="7" xfId="0" applyNumberFormat="1" applyFont="1" applyFill="1" applyBorder="1" applyAlignment="1">
      <alignment horizontal="center" vertical="center"/>
    </xf>
    <xf numFmtId="0" fontId="79" fillId="0" borderId="1" xfId="0" applyNumberFormat="1" applyFont="1" applyBorder="1" applyAlignment="1">
      <alignment horizontal="center" vertical="center"/>
    </xf>
    <xf numFmtId="188" fontId="79" fillId="0" borderId="1" xfId="0" applyNumberFormat="1" applyFont="1" applyBorder="1" applyAlignment="1">
      <alignment horizontal="center" vertical="center"/>
    </xf>
    <xf numFmtId="188" fontId="79" fillId="0" borderId="7" xfId="0" applyNumberFormat="1" applyFont="1" applyBorder="1" applyAlignment="1">
      <alignment horizontal="center" vertical="center"/>
    </xf>
    <xf numFmtId="200" fontId="6" fillId="3" borderId="6" xfId="0" applyNumberFormat="1" applyFont="1" applyFill="1" applyBorder="1" applyAlignment="1">
      <alignment horizontal="center" vertical="center"/>
    </xf>
    <xf numFmtId="179" fontId="19" fillId="5" borderId="21" xfId="0" applyNumberFormat="1" applyFont="1" applyFill="1" applyBorder="1" applyAlignment="1">
      <alignment horizontal="center" vertical="center"/>
    </xf>
    <xf numFmtId="179" fontId="19" fillId="18" borderId="21" xfId="0" applyNumberFormat="1" applyFont="1" applyFill="1" applyBorder="1" applyAlignment="1">
      <alignment horizontal="center" vertical="center"/>
    </xf>
    <xf numFmtId="49" fontId="90" fillId="0" borderId="1" xfId="0" applyNumberFormat="1" applyFont="1" applyBorder="1" applyAlignment="1">
      <alignment horizontal="center" vertical="center"/>
    </xf>
    <xf numFmtId="0" fontId="73" fillId="3" borderId="17" xfId="0" applyNumberFormat="1" applyFont="1" applyFill="1" applyBorder="1" applyAlignment="1">
      <alignment horizontal="center" vertical="center" wrapText="1"/>
    </xf>
    <xf numFmtId="0" fontId="87" fillId="3" borderId="7" xfId="0" applyNumberFormat="1" applyFont="1" applyFill="1" applyBorder="1" applyAlignment="1">
      <alignment horizontal="center" vertical="center" wrapText="1"/>
    </xf>
    <xf numFmtId="0" fontId="73" fillId="3" borderId="7" xfId="0" applyNumberFormat="1" applyFont="1" applyFill="1" applyBorder="1" applyAlignment="1">
      <alignment horizontal="center" vertical="center" wrapText="1"/>
    </xf>
    <xf numFmtId="0" fontId="91" fillId="3" borderId="1" xfId="0" applyNumberFormat="1" applyFont="1" applyFill="1" applyBorder="1" applyAlignment="1">
      <alignment horizontal="center" vertical="center" wrapText="1"/>
    </xf>
    <xf numFmtId="179" fontId="6" fillId="0" borderId="8" xfId="0" applyNumberFormat="1" applyFont="1" applyBorder="1" applyAlignment="1">
      <alignment horizontal="center" vertical="center"/>
    </xf>
    <xf numFmtId="0" fontId="91" fillId="3" borderId="1" xfId="0" applyNumberFormat="1" applyFont="1" applyFill="1" applyBorder="1" applyAlignment="1">
      <alignment horizontal="center" vertical="center"/>
    </xf>
    <xf numFmtId="188" fontId="91" fillId="3" borderId="1" xfId="0" applyNumberFormat="1" applyFont="1" applyFill="1" applyBorder="1" applyAlignment="1">
      <alignment horizontal="center" vertical="center"/>
    </xf>
    <xf numFmtId="0" fontId="92" fillId="3" borderId="1" xfId="0" applyNumberFormat="1" applyFont="1" applyFill="1" applyBorder="1" applyAlignment="1">
      <alignment horizontal="center" vertical="center"/>
    </xf>
    <xf numFmtId="0" fontId="93" fillId="3" borderId="1" xfId="0" applyNumberFormat="1" applyFont="1" applyFill="1" applyBorder="1" applyAlignment="1">
      <alignment horizontal="center" vertical="center"/>
    </xf>
    <xf numFmtId="0" fontId="91" fillId="23" borderId="1" xfId="0" applyNumberFormat="1" applyFont="1" applyFill="1" applyBorder="1" applyAlignment="1">
      <alignment horizontal="center" vertical="center" wrapText="1"/>
    </xf>
    <xf numFmtId="0" fontId="91" fillId="23" borderId="1" xfId="0" applyNumberFormat="1" applyFont="1" applyFill="1" applyBorder="1" applyAlignment="1">
      <alignment horizontal="left" vertical="center" wrapText="1"/>
    </xf>
    <xf numFmtId="0" fontId="91" fillId="23" borderId="1" xfId="0" applyNumberFormat="1" applyFont="1" applyFill="1" applyBorder="1" applyAlignment="1">
      <alignment horizontal="center" vertical="center"/>
    </xf>
    <xf numFmtId="188" fontId="91" fillId="23" borderId="1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179" fontId="22" fillId="0" borderId="8" xfId="0" applyNumberFormat="1" applyFont="1" applyBorder="1" applyAlignment="1">
      <alignment horizontal="center" vertical="center"/>
    </xf>
    <xf numFmtId="58" fontId="22" fillId="0" borderId="8" xfId="0" applyNumberFormat="1" applyFont="1" applyBorder="1" applyAlignment="1">
      <alignment horizontal="center" vertical="center"/>
    </xf>
    <xf numFmtId="179" fontId="22" fillId="0" borderId="13" xfId="0" applyNumberFormat="1" applyFont="1" applyBorder="1" applyAlignment="1">
      <alignment horizontal="center" vertical="center"/>
    </xf>
    <xf numFmtId="58" fontId="22" fillId="0" borderId="13" xfId="0" applyNumberFormat="1" applyFont="1" applyBorder="1" applyAlignment="1">
      <alignment horizontal="center" vertical="center"/>
    </xf>
    <xf numFmtId="179" fontId="6" fillId="3" borderId="30" xfId="0" applyNumberFormat="1" applyFont="1" applyFill="1" applyBorder="1" applyAlignment="1">
      <alignment horizontal="center" vertical="center"/>
    </xf>
    <xf numFmtId="179" fontId="6" fillId="3" borderId="23" xfId="0" applyNumberFormat="1" applyFont="1" applyFill="1" applyBorder="1" applyAlignment="1">
      <alignment horizontal="center" vertical="center"/>
    </xf>
    <xf numFmtId="179" fontId="6" fillId="3" borderId="21" xfId="0" applyNumberFormat="1" applyFont="1" applyFill="1" applyBorder="1" applyAlignment="1">
      <alignment horizontal="center" vertical="center"/>
    </xf>
    <xf numFmtId="200" fontId="6" fillId="3" borderId="21" xfId="0" applyNumberFormat="1" applyFont="1" applyFill="1" applyBorder="1" applyAlignment="1">
      <alignment horizontal="center" vertical="center"/>
    </xf>
    <xf numFmtId="179" fontId="6" fillId="3" borderId="16" xfId="0" applyNumberFormat="1" applyFont="1" applyFill="1" applyBorder="1" applyAlignment="1">
      <alignment horizontal="center" vertical="center"/>
    </xf>
    <xf numFmtId="200" fontId="6" fillId="3" borderId="16" xfId="0" applyNumberFormat="1" applyFont="1" applyFill="1" applyBorder="1" applyAlignment="1">
      <alignment horizontal="center" vertical="center"/>
    </xf>
    <xf numFmtId="179" fontId="6" fillId="19" borderId="30" xfId="0" applyNumberFormat="1" applyFont="1" applyFill="1" applyBorder="1" applyAlignment="1">
      <alignment horizontal="center" vertical="center"/>
    </xf>
    <xf numFmtId="0" fontId="22" fillId="3" borderId="8" xfId="0" applyNumberFormat="1" applyFont="1" applyFill="1" applyBorder="1" applyAlignment="1">
      <alignment horizontal="center" vertical="center"/>
    </xf>
    <xf numFmtId="179" fontId="6" fillId="3" borderId="14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 wrapText="1"/>
    </xf>
    <xf numFmtId="180" fontId="6" fillId="0" borderId="8" xfId="0" applyNumberFormat="1" applyFont="1" applyBorder="1" applyAlignment="1">
      <alignment horizontal="center" vertical="center"/>
    </xf>
    <xf numFmtId="180" fontId="6" fillId="0" borderId="13" xfId="0" applyNumberFormat="1" applyFont="1" applyBorder="1" applyAlignment="1">
      <alignment horizontal="center" vertical="center"/>
    </xf>
    <xf numFmtId="179" fontId="22" fillId="3" borderId="21" xfId="0" applyNumberFormat="1" applyFont="1" applyFill="1" applyBorder="1" applyAlignment="1">
      <alignment horizontal="center" vertical="center"/>
    </xf>
    <xf numFmtId="179" fontId="22" fillId="3" borderId="15" xfId="0" applyNumberFormat="1" applyFont="1" applyFill="1" applyBorder="1" applyAlignment="1">
      <alignment horizontal="center" vertical="center"/>
    </xf>
    <xf numFmtId="180" fontId="22" fillId="3" borderId="4" xfId="0" applyNumberFormat="1" applyFont="1" applyFill="1" applyBorder="1" applyAlignment="1">
      <alignment horizontal="center" vertical="center"/>
    </xf>
    <xf numFmtId="180" fontId="22" fillId="3" borderId="21" xfId="0" applyNumberFormat="1" applyFont="1" applyFill="1" applyBorder="1" applyAlignment="1">
      <alignment horizontal="center" vertical="center"/>
    </xf>
    <xf numFmtId="180" fontId="72" fillId="0" borderId="1" xfId="0" applyNumberFormat="1" applyFont="1" applyBorder="1" applyAlignment="1">
      <alignment horizontal="center" vertical="center"/>
    </xf>
    <xf numFmtId="180" fontId="86" fillId="0" borderId="1" xfId="0" applyNumberFormat="1" applyFont="1" applyBorder="1" applyAlignment="1">
      <alignment horizontal="center" vertical="center" wrapText="1"/>
    </xf>
    <xf numFmtId="179" fontId="16" fillId="3" borderId="5" xfId="0" applyNumberFormat="1" applyFont="1" applyFill="1" applyBorder="1" applyAlignment="1">
      <alignment horizontal="center" vertical="center"/>
    </xf>
    <xf numFmtId="179" fontId="72" fillId="3" borderId="5" xfId="0" applyNumberFormat="1" applyFont="1" applyFill="1" applyBorder="1" applyAlignment="1">
      <alignment horizontal="center" vertical="center"/>
    </xf>
    <xf numFmtId="180" fontId="72" fillId="3" borderId="5" xfId="0" applyNumberFormat="1" applyFont="1" applyFill="1" applyBorder="1" applyAlignment="1">
      <alignment horizontal="center" vertical="center"/>
    </xf>
    <xf numFmtId="180" fontId="6" fillId="19" borderId="1" xfId="0" applyNumberFormat="1" applyFont="1" applyFill="1" applyBorder="1" applyAlignment="1">
      <alignment horizontal="center" vertical="center"/>
    </xf>
    <xf numFmtId="0" fontId="73" fillId="0" borderId="1" xfId="0" applyNumberFormat="1" applyFont="1" applyBorder="1" applyAlignment="1">
      <alignment horizontal="center" vertical="center"/>
    </xf>
    <xf numFmtId="179" fontId="60" fillId="5" borderId="1" xfId="0" applyNumberFormat="1" applyFont="1" applyFill="1" applyBorder="1" applyAlignment="1">
      <alignment horizontal="center" vertical="center"/>
    </xf>
    <xf numFmtId="180" fontId="72" fillId="18" borderId="1" xfId="0" applyNumberFormat="1" applyFont="1" applyFill="1" applyBorder="1" applyAlignment="1">
      <alignment horizontal="center" vertical="center"/>
    </xf>
    <xf numFmtId="179" fontId="22" fillId="0" borderId="4" xfId="0" applyNumberFormat="1" applyFont="1" applyBorder="1" applyAlignment="1">
      <alignment horizontal="center"/>
    </xf>
    <xf numFmtId="0" fontId="73" fillId="0" borderId="4" xfId="0" applyNumberFormat="1" applyFont="1" applyBorder="1" applyAlignment="1">
      <alignment horizontal="center" vertical="center"/>
    </xf>
    <xf numFmtId="180" fontId="6" fillId="0" borderId="21" xfId="0" applyNumberFormat="1" applyFont="1" applyBorder="1" applyAlignment="1">
      <alignment horizontal="center" vertical="center"/>
    </xf>
    <xf numFmtId="179" fontId="6" fillId="0" borderId="15" xfId="0" applyNumberFormat="1" applyFont="1" applyBorder="1" applyAlignment="1">
      <alignment horizontal="center" vertical="center"/>
    </xf>
    <xf numFmtId="191" fontId="11" fillId="17" borderId="16" xfId="0" applyNumberFormat="1" applyFont="1" applyFill="1" applyBorder="1" applyAlignment="1">
      <alignment horizontal="center" vertical="center"/>
    </xf>
    <xf numFmtId="191" fontId="6" fillId="0" borderId="8" xfId="0" applyNumberFormat="1" applyFont="1" applyBorder="1" applyAlignment="1">
      <alignment horizontal="center" vertical="center"/>
    </xf>
    <xf numFmtId="183" fontId="6" fillId="0" borderId="8" xfId="0" applyNumberFormat="1" applyFont="1" applyBorder="1" applyAlignment="1">
      <alignment horizontal="center" vertical="center"/>
    </xf>
    <xf numFmtId="5" fontId="6" fillId="0" borderId="8" xfId="0" applyNumberFormat="1" applyFont="1" applyBorder="1" applyAlignment="1">
      <alignment horizontal="center" vertical="center"/>
    </xf>
    <xf numFmtId="191" fontId="6" fillId="0" borderId="13" xfId="0" applyNumberFormat="1" applyFont="1" applyBorder="1" applyAlignment="1">
      <alignment horizontal="center" vertical="center"/>
    </xf>
    <xf numFmtId="183" fontId="6" fillId="0" borderId="13" xfId="0" applyNumberFormat="1" applyFont="1" applyBorder="1" applyAlignment="1">
      <alignment horizontal="center" vertical="center"/>
    </xf>
    <xf numFmtId="5" fontId="6" fillId="0" borderId="13" xfId="0" applyNumberFormat="1" applyFont="1" applyBorder="1" applyAlignment="1">
      <alignment horizontal="center" vertical="center"/>
    </xf>
    <xf numFmtId="191" fontId="6" fillId="3" borderId="21" xfId="0" applyNumberFormat="1" applyFont="1" applyFill="1" applyBorder="1" applyAlignment="1">
      <alignment horizontal="center" vertical="center"/>
    </xf>
    <xf numFmtId="183" fontId="6" fillId="3" borderId="21" xfId="0" applyNumberFormat="1" applyFont="1" applyFill="1" applyBorder="1" applyAlignment="1">
      <alignment horizontal="center" vertical="center"/>
    </xf>
    <xf numFmtId="5" fontId="6" fillId="3" borderId="21" xfId="0" applyNumberFormat="1" applyFont="1" applyFill="1" applyBorder="1" applyAlignment="1">
      <alignment horizontal="center" vertical="center"/>
    </xf>
    <xf numFmtId="191" fontId="6" fillId="3" borderId="16" xfId="0" applyNumberFormat="1" applyFont="1" applyFill="1" applyBorder="1" applyAlignment="1">
      <alignment horizontal="center" vertical="center"/>
    </xf>
    <xf numFmtId="183" fontId="6" fillId="3" borderId="16" xfId="0" applyNumberFormat="1" applyFont="1" applyFill="1" applyBorder="1" applyAlignment="1">
      <alignment horizontal="center" vertical="center"/>
    </xf>
    <xf numFmtId="5" fontId="6" fillId="3" borderId="16" xfId="0" applyNumberFormat="1" applyFont="1" applyFill="1" applyBorder="1" applyAlignment="1">
      <alignment horizontal="center" vertical="center"/>
    </xf>
    <xf numFmtId="191" fontId="6" fillId="20" borderId="16" xfId="0" applyNumberFormat="1" applyFont="1" applyFill="1" applyBorder="1" applyAlignment="1">
      <alignment horizontal="center" vertical="center"/>
    </xf>
    <xf numFmtId="183" fontId="6" fillId="19" borderId="16" xfId="0" applyNumberFormat="1" applyFont="1" applyFill="1" applyBorder="1" applyAlignment="1">
      <alignment horizontal="center" vertical="center"/>
    </xf>
    <xf numFmtId="188" fontId="22" fillId="0" borderId="1" xfId="0" applyNumberFormat="1" applyFont="1" applyBorder="1" applyAlignment="1">
      <alignment horizontal="center" vertical="center"/>
    </xf>
    <xf numFmtId="183" fontId="22" fillId="0" borderId="1" xfId="0" applyNumberFormat="1" applyFont="1" applyBorder="1" applyAlignment="1">
      <alignment horizontal="center" vertical="center"/>
    </xf>
    <xf numFmtId="5" fontId="16" fillId="3" borderId="5" xfId="0" applyNumberFormat="1" applyFont="1" applyFill="1" applyBorder="1" applyAlignment="1">
      <alignment horizontal="center" vertical="center"/>
    </xf>
    <xf numFmtId="191" fontId="6" fillId="3" borderId="5" xfId="0" applyNumberFormat="1" applyFont="1" applyFill="1" applyBorder="1" applyAlignment="1">
      <alignment horizontal="center" vertical="center"/>
    </xf>
    <xf numFmtId="191" fontId="22" fillId="3" borderId="6" xfId="0" applyNumberFormat="1" applyFont="1" applyFill="1" applyBorder="1" applyAlignment="1">
      <alignment horizontal="center" vertical="center"/>
    </xf>
    <xf numFmtId="191" fontId="6" fillId="3" borderId="0" xfId="0" applyNumberFormat="1" applyFont="1" applyFill="1" applyBorder="1" applyAlignment="1">
      <alignment horizontal="center" vertical="center"/>
    </xf>
    <xf numFmtId="5" fontId="6" fillId="3" borderId="2" xfId="0" applyNumberFormat="1" applyFont="1" applyFill="1" applyBorder="1" applyAlignment="1">
      <alignment horizontal="center" vertical="center"/>
    </xf>
    <xf numFmtId="5" fontId="6" fillId="3" borderId="7" xfId="0" applyNumberFormat="1" applyFont="1" applyFill="1" applyBorder="1" applyAlignment="1">
      <alignment horizontal="center" vertical="center"/>
    </xf>
    <xf numFmtId="181" fontId="6" fillId="19" borderId="1" xfId="0" applyNumberFormat="1" applyFont="1" applyFill="1" applyBorder="1" applyAlignment="1">
      <alignment horizontal="center" vertical="center"/>
    </xf>
    <xf numFmtId="187" fontId="73" fillId="5" borderId="1" xfId="0" applyNumberFormat="1" applyFont="1" applyFill="1" applyBorder="1" applyAlignment="1">
      <alignment horizontal="center" vertical="center"/>
    </xf>
    <xf numFmtId="7" fontId="6" fillId="0" borderId="1" xfId="0" applyNumberFormat="1" applyFont="1" applyBorder="1" applyAlignment="1">
      <alignment horizontal="center" vertical="center"/>
    </xf>
    <xf numFmtId="4" fontId="20" fillId="0" borderId="1" xfId="0" applyNumberFormat="1" applyFont="1" applyBorder="1" applyAlignment="1">
      <alignment horizontal="center" vertical="center"/>
    </xf>
    <xf numFmtId="7" fontId="17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87" fontId="73" fillId="5" borderId="4" xfId="0" applyNumberFormat="1" applyFont="1" applyFill="1" applyBorder="1" applyAlignment="1">
      <alignment horizontal="center" vertical="center"/>
    </xf>
    <xf numFmtId="4" fontId="2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87" fontId="22" fillId="0" borderId="1" xfId="0" applyNumberFormat="1" applyFont="1" applyBorder="1" applyAlignment="1">
      <alignment horizontal="center" vertical="center"/>
    </xf>
    <xf numFmtId="0" fontId="22" fillId="0" borderId="21" xfId="0" applyNumberFormat="1" applyFont="1" applyBorder="1" applyAlignment="1">
      <alignment horizontal="center" vertical="center"/>
    </xf>
    <xf numFmtId="183" fontId="6" fillId="18" borderId="21" xfId="0" applyNumberFormat="1" applyFont="1" applyFill="1" applyBorder="1" applyAlignment="1">
      <alignment horizontal="center" vertical="center"/>
    </xf>
    <xf numFmtId="191" fontId="6" fillId="0" borderId="0" xfId="0" applyNumberFormat="1" applyFont="1" applyAlignment="1">
      <alignment horizontal="center" vertical="center"/>
    </xf>
    <xf numFmtId="58" fontId="69" fillId="17" borderId="0" xfId="0" applyNumberFormat="1" applyFont="1" applyFill="1" applyAlignment="1">
      <alignment horizontal="center" vertical="center"/>
    </xf>
    <xf numFmtId="179" fontId="69" fillId="17" borderId="0" xfId="0" applyNumberFormat="1" applyFont="1" applyFill="1" applyAlignment="1">
      <alignment horizontal="center" vertical="center"/>
    </xf>
    <xf numFmtId="197" fontId="6" fillId="0" borderId="8" xfId="0" applyNumberFormat="1" applyFont="1" applyBorder="1" applyAlignment="1">
      <alignment horizontal="center" vertical="center"/>
    </xf>
    <xf numFmtId="197" fontId="6" fillId="0" borderId="13" xfId="0" applyNumberFormat="1" applyFont="1" applyBorder="1" applyAlignment="1">
      <alignment horizontal="center" vertical="center"/>
    </xf>
    <xf numFmtId="5" fontId="22" fillId="3" borderId="21" xfId="0" applyNumberFormat="1" applyFont="1" applyFill="1" applyBorder="1" applyAlignment="1">
      <alignment horizontal="center" vertical="center"/>
    </xf>
    <xf numFmtId="197" fontId="6" fillId="3" borderId="21" xfId="0" applyNumberFormat="1" applyFont="1" applyFill="1" applyBorder="1" applyAlignment="1">
      <alignment horizontal="center" vertical="center"/>
    </xf>
    <xf numFmtId="179" fontId="22" fillId="3" borderId="18" xfId="0" applyNumberFormat="1" applyFont="1" applyFill="1" applyBorder="1" applyAlignment="1">
      <alignment horizontal="center" vertical="center"/>
    </xf>
    <xf numFmtId="5" fontId="22" fillId="3" borderId="16" xfId="0" applyNumberFormat="1" applyFont="1" applyFill="1" applyBorder="1" applyAlignment="1">
      <alignment horizontal="center" vertical="center"/>
    </xf>
    <xf numFmtId="197" fontId="6" fillId="3" borderId="0" xfId="0" applyNumberFormat="1" applyFont="1" applyFill="1" applyBorder="1" applyAlignment="1">
      <alignment horizontal="center" vertical="center"/>
    </xf>
    <xf numFmtId="191" fontId="6" fillId="19" borderId="16" xfId="0" applyNumberFormat="1" applyFont="1" applyFill="1" applyBorder="1" applyAlignment="1">
      <alignment horizontal="center" vertical="center"/>
    </xf>
    <xf numFmtId="191" fontId="6" fillId="19" borderId="0" xfId="0" applyNumberFormat="1" applyFont="1" applyFill="1" applyBorder="1" applyAlignment="1">
      <alignment horizontal="center" vertical="center"/>
    </xf>
    <xf numFmtId="187" fontId="22" fillId="0" borderId="15" xfId="0" applyNumberFormat="1" applyFont="1" applyBorder="1" applyAlignment="1">
      <alignment horizontal="center" vertical="center"/>
    </xf>
    <xf numFmtId="186" fontId="75" fillId="0" borderId="1" xfId="0" applyNumberFormat="1" applyFont="1" applyBorder="1" applyAlignment="1">
      <alignment horizontal="center" vertical="center"/>
    </xf>
    <xf numFmtId="5" fontId="16" fillId="0" borderId="1" xfId="0" applyNumberFormat="1" applyFont="1" applyBorder="1" applyAlignment="1">
      <alignment horizontal="center" vertical="center"/>
    </xf>
    <xf numFmtId="5" fontId="16" fillId="0" borderId="15" xfId="0" applyNumberFormat="1" applyFont="1" applyBorder="1" applyAlignment="1">
      <alignment horizontal="center" vertical="center"/>
    </xf>
    <xf numFmtId="191" fontId="22" fillId="0" borderId="1" xfId="0" applyNumberFormat="1" applyFont="1" applyBorder="1" applyAlignment="1">
      <alignment horizontal="center" vertical="center"/>
    </xf>
    <xf numFmtId="58" fontId="6" fillId="18" borderId="1" xfId="0" applyNumberFormat="1" applyFont="1" applyFill="1" applyBorder="1" applyAlignment="1">
      <alignment horizontal="center" vertical="center"/>
    </xf>
    <xf numFmtId="186" fontId="75" fillId="0" borderId="0" xfId="0" applyNumberFormat="1" applyFont="1" applyAlignment="1">
      <alignment horizontal="center" vertical="center"/>
    </xf>
    <xf numFmtId="207" fontId="6" fillId="0" borderId="21" xfId="0" applyNumberFormat="1" applyFont="1" applyBorder="1" applyAlignment="1">
      <alignment horizontal="center" vertical="center"/>
    </xf>
    <xf numFmtId="179" fontId="71" fillId="17" borderId="0" xfId="0" applyNumberFormat="1" applyFont="1" applyFill="1" applyAlignment="1">
      <alignment horizontal="center" vertical="center" wrapText="1"/>
    </xf>
    <xf numFmtId="186" fontId="52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79" fontId="22" fillId="3" borderId="8" xfId="0" applyNumberFormat="1" applyFont="1" applyFill="1" applyBorder="1" applyAlignment="1">
      <alignment horizontal="center" vertical="center"/>
    </xf>
    <xf numFmtId="58" fontId="22" fillId="3" borderId="8" xfId="0" applyNumberFormat="1" applyFont="1" applyFill="1" applyBorder="1" applyAlignment="1">
      <alignment horizontal="center" vertical="center"/>
    </xf>
    <xf numFmtId="58" fontId="22" fillId="3" borderId="21" xfId="0" applyNumberFormat="1" applyFont="1" applyFill="1" applyBorder="1" applyAlignment="1">
      <alignment horizontal="center" vertical="center"/>
    </xf>
    <xf numFmtId="179" fontId="22" fillId="3" borderId="23" xfId="0" applyNumberFormat="1" applyFont="1" applyFill="1" applyBorder="1" applyAlignment="1">
      <alignment horizontal="center" vertical="center"/>
    </xf>
    <xf numFmtId="179" fontId="6" fillId="18" borderId="30" xfId="0" applyNumberFormat="1" applyFont="1" applyFill="1" applyBorder="1" applyAlignment="1">
      <alignment horizontal="center" vertical="center"/>
    </xf>
    <xf numFmtId="179" fontId="72" fillId="0" borderId="1" xfId="0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179" fontId="22" fillId="0" borderId="21" xfId="0" applyNumberFormat="1" applyFont="1" applyBorder="1" applyAlignment="1">
      <alignment horizontal="center" vertical="center"/>
    </xf>
    <xf numFmtId="179" fontId="6" fillId="3" borderId="30" xfId="0" applyNumberFormat="1" applyFont="1" applyFill="1" applyBorder="1" applyAlignment="1">
      <alignment horizontal="center" vertical="center" wrapText="1"/>
    </xf>
    <xf numFmtId="179" fontId="6" fillId="3" borderId="13" xfId="0" applyNumberFormat="1" applyFont="1" applyFill="1" applyBorder="1" applyAlignment="1">
      <alignment horizontal="center" vertical="center"/>
    </xf>
    <xf numFmtId="179" fontId="6" fillId="3" borderId="4" xfId="0" applyNumberFormat="1" applyFont="1" applyFill="1" applyBorder="1" applyAlignment="1">
      <alignment horizontal="center" vertical="center"/>
    </xf>
    <xf numFmtId="179" fontId="6" fillId="3" borderId="6" xfId="0" applyNumberFormat="1" applyFont="1" applyFill="1" applyBorder="1" applyAlignment="1">
      <alignment horizontal="center" vertical="center"/>
    </xf>
    <xf numFmtId="179" fontId="6" fillId="0" borderId="29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/>
    </xf>
    <xf numFmtId="180" fontId="6" fillId="3" borderId="8" xfId="0" applyNumberFormat="1" applyFont="1" applyFill="1" applyBorder="1" applyAlignment="1">
      <alignment horizontal="center" vertical="center"/>
    </xf>
    <xf numFmtId="180" fontId="6" fillId="3" borderId="13" xfId="0" applyNumberFormat="1" applyFont="1" applyFill="1" applyBorder="1" applyAlignment="1">
      <alignment horizontal="center" vertical="center"/>
    </xf>
    <xf numFmtId="49" fontId="22" fillId="3" borderId="21" xfId="0" applyNumberFormat="1" applyFont="1" applyFill="1" applyBorder="1" applyAlignment="1">
      <alignment horizontal="center" vertical="center"/>
    </xf>
    <xf numFmtId="49" fontId="22" fillId="3" borderId="15" xfId="0" applyNumberFormat="1" applyFont="1" applyFill="1" applyBorder="1" applyAlignment="1">
      <alignment horizontal="center" vertical="center"/>
    </xf>
    <xf numFmtId="179" fontId="16" fillId="0" borderId="1" xfId="0" applyNumberFormat="1" applyFont="1" applyBorder="1" applyAlignment="1">
      <alignment horizontal="center" vertical="center"/>
    </xf>
    <xf numFmtId="179" fontId="86" fillId="0" borderId="1" xfId="0" applyNumberFormat="1" applyFont="1" applyBorder="1" applyAlignment="1">
      <alignment horizontal="center" vertical="center" wrapText="1"/>
    </xf>
    <xf numFmtId="179" fontId="6" fillId="3" borderId="25" xfId="0" applyNumberFormat="1" applyFont="1" applyFill="1" applyBorder="1" applyAlignment="1">
      <alignment horizontal="center" vertical="center"/>
    </xf>
    <xf numFmtId="180" fontId="6" fillId="3" borderId="5" xfId="0" applyNumberFormat="1" applyFont="1" applyFill="1" applyBorder="1" applyAlignment="1">
      <alignment horizontal="center" vertical="center"/>
    </xf>
    <xf numFmtId="179" fontId="6" fillId="19" borderId="25" xfId="0" applyNumberFormat="1" applyFont="1" applyFill="1" applyBorder="1" applyAlignment="1">
      <alignment horizontal="center" vertical="center"/>
    </xf>
    <xf numFmtId="180" fontId="0" fillId="0" borderId="1" xfId="0" applyNumberFormat="1" applyBorder="1">
      <alignment vertical="center"/>
    </xf>
    <xf numFmtId="191" fontId="69" fillId="17" borderId="16" xfId="0" applyNumberFormat="1" applyFont="1" applyFill="1" applyBorder="1" applyAlignment="1">
      <alignment horizontal="center" vertical="center"/>
    </xf>
    <xf numFmtId="191" fontId="22" fillId="3" borderId="8" xfId="0" applyNumberFormat="1" applyFont="1" applyFill="1" applyBorder="1" applyAlignment="1">
      <alignment horizontal="center" vertical="center"/>
    </xf>
    <xf numFmtId="5" fontId="6" fillId="3" borderId="8" xfId="0" applyNumberFormat="1" applyFont="1" applyFill="1" applyBorder="1" applyAlignment="1">
      <alignment horizontal="center" vertical="center"/>
    </xf>
    <xf numFmtId="191" fontId="22" fillId="3" borderId="21" xfId="0" applyNumberFormat="1" applyFont="1" applyFill="1" applyBorder="1" applyAlignment="1">
      <alignment horizontal="center" vertical="center"/>
    </xf>
    <xf numFmtId="183" fontId="6" fillId="0" borderId="21" xfId="0" applyNumberFormat="1" applyFont="1" applyBorder="1" applyAlignment="1">
      <alignment horizontal="center" vertical="center"/>
    </xf>
    <xf numFmtId="5" fontId="6" fillId="0" borderId="21" xfId="0" applyNumberFormat="1" applyFont="1" applyBorder="1" applyAlignment="1">
      <alignment horizontal="center" vertical="center"/>
    </xf>
    <xf numFmtId="181" fontId="22" fillId="3" borderId="21" xfId="0" applyNumberFormat="1" applyFont="1" applyFill="1" applyBorder="1" applyAlignment="1">
      <alignment horizontal="center" vertical="center"/>
    </xf>
    <xf numFmtId="183" fontId="16" fillId="0" borderId="1" xfId="0" applyNumberFormat="1" applyFont="1" applyBorder="1" applyAlignment="1">
      <alignment horizontal="center" vertical="center"/>
    </xf>
    <xf numFmtId="191" fontId="6" fillId="0" borderId="21" xfId="0" applyNumberFormat="1" applyFon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181" fontId="6" fillId="3" borderId="5" xfId="0" applyNumberFormat="1" applyFont="1" applyFill="1" applyBorder="1" applyAlignment="1">
      <alignment horizontal="center" vertical="center"/>
    </xf>
    <xf numFmtId="7" fontId="6" fillId="3" borderId="5" xfId="0" applyNumberFormat="1" applyFont="1" applyFill="1" applyBorder="1" applyAlignment="1">
      <alignment horizontal="center" vertical="center"/>
    </xf>
    <xf numFmtId="197" fontId="6" fillId="3" borderId="8" xfId="0" applyNumberFormat="1" applyFont="1" applyFill="1" applyBorder="1" applyAlignment="1">
      <alignment horizontal="center" vertical="center"/>
    </xf>
    <xf numFmtId="197" fontId="6" fillId="0" borderId="21" xfId="0" applyNumberFormat="1" applyFont="1" applyBorder="1" applyAlignment="1">
      <alignment horizontal="center" vertical="center"/>
    </xf>
    <xf numFmtId="197" fontId="22" fillId="0" borderId="21" xfId="0" applyNumberFormat="1" applyFont="1" applyBorder="1" applyAlignment="1">
      <alignment horizontal="center" vertical="center"/>
    </xf>
    <xf numFmtId="58" fontId="22" fillId="0" borderId="16" xfId="0" applyNumberFormat="1" applyFont="1" applyBorder="1" applyAlignment="1">
      <alignment horizontal="center" vertical="center"/>
    </xf>
    <xf numFmtId="197" fontId="22" fillId="3" borderId="21" xfId="0" applyNumberFormat="1" applyFont="1" applyFill="1" applyBorder="1" applyAlignment="1">
      <alignment horizontal="center" vertical="center"/>
    </xf>
    <xf numFmtId="58" fontId="22" fillId="3" borderId="16" xfId="0" applyNumberFormat="1" applyFont="1" applyFill="1" applyBorder="1" applyAlignment="1">
      <alignment horizontal="center" vertical="center"/>
    </xf>
    <xf numFmtId="179" fontId="90" fillId="0" borderId="16" xfId="0" applyNumberFormat="1" applyFont="1" applyBorder="1" applyAlignment="1">
      <alignment horizontal="center" vertical="center" wrapText="1"/>
    </xf>
    <xf numFmtId="179" fontId="90" fillId="3" borderId="16" xfId="0" applyNumberFormat="1" applyFont="1" applyFill="1" applyBorder="1" applyAlignment="1">
      <alignment horizontal="center" vertical="center" wrapText="1"/>
    </xf>
    <xf numFmtId="186" fontId="75" fillId="0" borderId="4" xfId="0" applyNumberFormat="1" applyFont="1" applyBorder="1" applyAlignment="1">
      <alignment horizontal="center" vertical="center"/>
    </xf>
    <xf numFmtId="179" fontId="22" fillId="3" borderId="0" xfId="0" applyNumberFormat="1" applyFont="1" applyFill="1" applyAlignment="1">
      <alignment horizontal="center" vertical="center"/>
    </xf>
    <xf numFmtId="179" fontId="6" fillId="0" borderId="39" xfId="0" applyNumberFormat="1" applyFont="1" applyBorder="1" applyAlignment="1">
      <alignment horizontal="center" vertical="center"/>
    </xf>
    <xf numFmtId="58" fontId="94" fillId="5" borderId="4" xfId="0" applyNumberFormat="1" applyFont="1" applyFill="1" applyBorder="1" applyAlignment="1">
      <alignment horizontal="center" vertical="center"/>
    </xf>
    <xf numFmtId="4" fontId="95" fillId="0" borderId="1" xfId="0" applyNumberFormat="1" applyFont="1" applyBorder="1" applyAlignment="1">
      <alignment horizontal="center" vertical="center"/>
    </xf>
    <xf numFmtId="183" fontId="22" fillId="0" borderId="21" xfId="0" applyNumberFormat="1" applyFont="1" applyBorder="1" applyAlignment="1">
      <alignment horizontal="center" vertical="center"/>
    </xf>
    <xf numFmtId="191" fontId="22" fillId="0" borderId="0" xfId="0" applyNumberFormat="1" applyFont="1" applyAlignment="1">
      <alignment horizontal="center" vertical="center"/>
    </xf>
    <xf numFmtId="207" fontId="6" fillId="0" borderId="15" xfId="0" applyNumberFormat="1" applyFont="1" applyBorder="1" applyAlignment="1">
      <alignment horizontal="center" vertical="center"/>
    </xf>
    <xf numFmtId="0" fontId="0" fillId="3" borderId="17" xfId="0" applyFill="1" applyBorder="1">
      <alignment vertical="center"/>
    </xf>
    <xf numFmtId="179" fontId="22" fillId="0" borderId="21" xfId="0" applyNumberFormat="1" applyFont="1" applyFill="1" applyBorder="1" applyAlignment="1">
      <alignment horizontal="center" vertical="center"/>
    </xf>
    <xf numFmtId="179" fontId="22" fillId="3" borderId="13" xfId="0" applyNumberFormat="1" applyFont="1" applyFill="1" applyBorder="1" applyAlignment="1">
      <alignment horizontal="center" vertical="center"/>
    </xf>
    <xf numFmtId="179" fontId="22" fillId="0" borderId="13" xfId="0" applyNumberFormat="1" applyFont="1" applyFill="1" applyBorder="1" applyAlignment="1">
      <alignment horizontal="center" vertical="center"/>
    </xf>
    <xf numFmtId="58" fontId="22" fillId="0" borderId="21" xfId="0" applyNumberFormat="1" applyFont="1" applyFill="1" applyBorder="1" applyAlignment="1">
      <alignment horizontal="center" vertical="center"/>
    </xf>
    <xf numFmtId="58" fontId="22" fillId="0" borderId="21" xfId="0" applyNumberFormat="1" applyFont="1" applyBorder="1" applyAlignment="1">
      <alignment horizontal="center" vertical="center"/>
    </xf>
    <xf numFmtId="179" fontId="22" fillId="18" borderId="21" xfId="0" applyNumberFormat="1" applyFont="1" applyFill="1" applyBorder="1" applyAlignment="1">
      <alignment horizontal="center" vertical="center"/>
    </xf>
    <xf numFmtId="58" fontId="22" fillId="18" borderId="21" xfId="0" applyNumberFormat="1" applyFont="1" applyFill="1" applyBorder="1" applyAlignment="1">
      <alignment horizontal="center" vertical="center"/>
    </xf>
    <xf numFmtId="179" fontId="6" fillId="18" borderId="23" xfId="0" applyNumberFormat="1" applyFont="1" applyFill="1" applyBorder="1" applyAlignment="1">
      <alignment horizontal="center" vertical="center"/>
    </xf>
    <xf numFmtId="179" fontId="72" fillId="0" borderId="21" xfId="0" applyNumberFormat="1" applyFont="1" applyBorder="1" applyAlignment="1">
      <alignment horizontal="center" vertical="center"/>
    </xf>
    <xf numFmtId="179" fontId="6" fillId="3" borderId="36" xfId="0" applyNumberFormat="1" applyFont="1" applyFill="1" applyBorder="1" applyAlignment="1">
      <alignment horizontal="center" vertical="center"/>
    </xf>
    <xf numFmtId="179" fontId="6" fillId="3" borderId="35" xfId="0" applyNumberFormat="1" applyFont="1" applyFill="1" applyBorder="1" applyAlignment="1">
      <alignment horizontal="center" vertical="center"/>
    </xf>
    <xf numFmtId="179" fontId="6" fillId="3" borderId="40" xfId="0" applyNumberFormat="1" applyFont="1" applyFill="1" applyBorder="1" applyAlignment="1">
      <alignment horizontal="center" vertical="center"/>
    </xf>
    <xf numFmtId="179" fontId="6" fillId="24" borderId="6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58" fillId="3" borderId="1" xfId="0" applyNumberFormat="1" applyFont="1" applyFill="1" applyBorder="1" applyAlignment="1">
      <alignment horizontal="center" vertical="center"/>
    </xf>
    <xf numFmtId="0" fontId="60" fillId="3" borderId="8" xfId="0" applyNumberFormat="1" applyFont="1" applyFill="1" applyBorder="1" applyAlignment="1">
      <alignment horizontal="center" vertical="center"/>
    </xf>
    <xf numFmtId="0" fontId="58" fillId="0" borderId="8" xfId="0" applyNumberFormat="1" applyFont="1" applyFill="1" applyBorder="1" applyAlignment="1">
      <alignment horizontal="center" vertical="center"/>
    </xf>
    <xf numFmtId="0" fontId="58" fillId="0" borderId="1" xfId="0" applyNumberFormat="1" applyFont="1" applyFill="1" applyBorder="1" applyAlignment="1">
      <alignment horizontal="center" vertical="center"/>
    </xf>
    <xf numFmtId="49" fontId="90" fillId="3" borderId="1" xfId="0" applyNumberFormat="1" applyFont="1" applyFill="1" applyBorder="1" applyAlignment="1">
      <alignment horizontal="center" vertical="center"/>
    </xf>
    <xf numFmtId="179" fontId="22" fillId="18" borderId="15" xfId="0" applyNumberFormat="1" applyFont="1" applyFill="1" applyBorder="1" applyAlignment="1">
      <alignment horizontal="center" vertical="center"/>
    </xf>
    <xf numFmtId="180" fontId="22" fillId="0" borderId="4" xfId="0" applyNumberFormat="1" applyFont="1" applyBorder="1" applyAlignment="1">
      <alignment horizontal="center" vertical="center"/>
    </xf>
    <xf numFmtId="179" fontId="22" fillId="0" borderId="15" xfId="0" applyNumberFormat="1" applyFont="1" applyFill="1" applyBorder="1" applyAlignment="1">
      <alignment horizontal="center" vertical="center"/>
    </xf>
    <xf numFmtId="180" fontId="22" fillId="0" borderId="4" xfId="0" applyNumberFormat="1" applyFont="1" applyFill="1" applyBorder="1" applyAlignment="1">
      <alignment horizontal="center" vertical="center"/>
    </xf>
    <xf numFmtId="180" fontId="22" fillId="0" borderId="21" xfId="0" applyNumberFormat="1" applyFont="1" applyBorder="1" applyAlignment="1">
      <alignment horizontal="center" vertical="center"/>
    </xf>
    <xf numFmtId="179" fontId="16" fillId="0" borderId="21" xfId="0" applyNumberFormat="1" applyFont="1" applyBorder="1" applyAlignment="1">
      <alignment horizontal="center" vertical="center"/>
    </xf>
    <xf numFmtId="179" fontId="72" fillId="0" borderId="16" xfId="0" applyNumberFormat="1" applyFont="1" applyBorder="1" applyAlignment="1">
      <alignment horizontal="center" vertical="center"/>
    </xf>
    <xf numFmtId="180" fontId="72" fillId="0" borderId="21" xfId="0" applyNumberFormat="1" applyFont="1" applyBorder="1" applyAlignment="1">
      <alignment horizontal="center" vertical="center"/>
    </xf>
    <xf numFmtId="0" fontId="22" fillId="3" borderId="21" xfId="0" applyNumberFormat="1" applyFont="1" applyFill="1" applyBorder="1" applyAlignment="1">
      <alignment horizontal="center" vertical="center"/>
    </xf>
    <xf numFmtId="179" fontId="22" fillId="3" borderId="40" xfId="0" applyNumberFormat="1" applyFont="1" applyFill="1" applyBorder="1" applyAlignment="1">
      <alignment horizontal="center" vertical="center"/>
    </xf>
    <xf numFmtId="179" fontId="22" fillId="3" borderId="17" xfId="0" applyNumberFormat="1" applyFont="1" applyFill="1" applyBorder="1" applyAlignment="1">
      <alignment horizontal="center" vertical="center"/>
    </xf>
    <xf numFmtId="180" fontId="22" fillId="3" borderId="40" xfId="0" applyNumberFormat="1" applyFont="1" applyFill="1" applyBorder="1" applyAlignment="1">
      <alignment horizontal="center" vertical="center"/>
    </xf>
    <xf numFmtId="180" fontId="6" fillId="24" borderId="16" xfId="0" applyNumberFormat="1" applyFont="1" applyFill="1" applyBorder="1" applyAlignment="1">
      <alignment horizontal="center" vertical="center"/>
    </xf>
    <xf numFmtId="180" fontId="0" fillId="3" borderId="0" xfId="0" applyNumberFormat="1" applyFill="1">
      <alignment vertical="center"/>
    </xf>
    <xf numFmtId="179" fontId="86" fillId="3" borderId="1" xfId="0" applyNumberFormat="1" applyFont="1" applyFill="1" applyBorder="1" applyAlignment="1">
      <alignment horizontal="center" vertical="center" wrapText="1"/>
    </xf>
    <xf numFmtId="191" fontId="69" fillId="13" borderId="16" xfId="0" applyNumberFormat="1" applyFont="1" applyFill="1" applyBorder="1" applyAlignment="1">
      <alignment horizontal="center" vertical="center"/>
    </xf>
    <xf numFmtId="191" fontId="22" fillId="0" borderId="8" xfId="0" applyNumberFormat="1" applyFont="1" applyBorder="1" applyAlignment="1">
      <alignment horizontal="center" vertical="center"/>
    </xf>
    <xf numFmtId="191" fontId="22" fillId="0" borderId="13" xfId="0" applyNumberFormat="1" applyFont="1" applyBorder="1" applyAlignment="1">
      <alignment horizontal="center" vertical="center"/>
    </xf>
    <xf numFmtId="191" fontId="22" fillId="18" borderId="41" xfId="0" applyNumberFormat="1" applyFont="1" applyFill="1" applyBorder="1" applyAlignment="1">
      <alignment horizontal="center" vertical="center"/>
    </xf>
    <xf numFmtId="191" fontId="22" fillId="18" borderId="1" xfId="0" applyNumberFormat="1" applyFont="1" applyFill="1" applyBorder="1" applyAlignment="1">
      <alignment horizontal="center" vertical="center"/>
    </xf>
    <xf numFmtId="191" fontId="22" fillId="3" borderId="41" xfId="0" applyNumberFormat="1" applyFont="1" applyFill="1" applyBorder="1" applyAlignment="1">
      <alignment horizontal="center" vertical="center"/>
    </xf>
    <xf numFmtId="191" fontId="22" fillId="3" borderId="1" xfId="0" applyNumberFormat="1" applyFont="1" applyFill="1" applyBorder="1" applyAlignment="1">
      <alignment horizontal="center" vertical="center"/>
    </xf>
    <xf numFmtId="191" fontId="22" fillId="0" borderId="41" xfId="0" applyNumberFormat="1" applyFont="1" applyFill="1" applyBorder="1" applyAlignment="1">
      <alignment horizontal="center" vertical="center"/>
    </xf>
    <xf numFmtId="191" fontId="22" fillId="0" borderId="1" xfId="0" applyNumberFormat="1" applyFont="1" applyFill="1" applyBorder="1" applyAlignment="1">
      <alignment horizontal="center" vertical="center"/>
    </xf>
    <xf numFmtId="191" fontId="22" fillId="18" borderId="7" xfId="0" applyNumberFormat="1" applyFont="1" applyFill="1" applyBorder="1" applyAlignment="1">
      <alignment horizontal="center" vertical="center"/>
    </xf>
    <xf numFmtId="181" fontId="6" fillId="0" borderId="21" xfId="0" applyNumberFormat="1" applyFont="1" applyBorder="1" applyAlignment="1">
      <alignment horizontal="center" vertical="center"/>
    </xf>
    <xf numFmtId="191" fontId="6" fillId="0" borderId="0" xfId="0" applyNumberFormat="1" applyFont="1" applyBorder="1" applyAlignment="1">
      <alignment horizontal="center" vertical="center"/>
    </xf>
    <xf numFmtId="191" fontId="6" fillId="3" borderId="40" xfId="0" applyNumberFormat="1" applyFont="1" applyFill="1" applyBorder="1" applyAlignment="1">
      <alignment horizontal="center" vertical="center"/>
    </xf>
    <xf numFmtId="181" fontId="6" fillId="24" borderId="16" xfId="0" applyNumberFormat="1" applyFont="1" applyFill="1" applyBorder="1" applyAlignment="1">
      <alignment horizontal="center" vertical="center"/>
    </xf>
    <xf numFmtId="191" fontId="6" fillId="24" borderId="16" xfId="0" applyNumberFormat="1" applyFont="1" applyFill="1" applyBorder="1" applyAlignment="1">
      <alignment horizontal="center" vertical="center"/>
    </xf>
    <xf numFmtId="191" fontId="58" fillId="3" borderId="1" xfId="0" applyNumberFormat="1" applyFont="1" applyFill="1" applyBorder="1" applyAlignment="1">
      <alignment horizontal="center" vertical="center"/>
    </xf>
    <xf numFmtId="191" fontId="58" fillId="0" borderId="1" xfId="0" applyNumberFormat="1" applyFont="1" applyFill="1" applyBorder="1" applyAlignment="1">
      <alignment horizontal="center" vertical="center"/>
    </xf>
    <xf numFmtId="188" fontId="22" fillId="3" borderId="1" xfId="0" applyNumberFormat="1" applyFont="1" applyFill="1" applyBorder="1" applyAlignment="1">
      <alignment horizontal="center" vertical="center"/>
    </xf>
    <xf numFmtId="5" fontId="6" fillId="18" borderId="42" xfId="0" applyNumberFormat="1" applyFont="1" applyFill="1" applyBorder="1" applyAlignment="1">
      <alignment horizontal="center" vertical="center"/>
    </xf>
    <xf numFmtId="5" fontId="6" fillId="18" borderId="21" xfId="0" applyNumberFormat="1" applyFont="1" applyFill="1" applyBorder="1" applyAlignment="1">
      <alignment horizontal="center" vertical="center"/>
    </xf>
    <xf numFmtId="5" fontId="22" fillId="0" borderId="21" xfId="0" applyNumberFormat="1" applyFont="1" applyBorder="1" applyAlignment="1">
      <alignment horizontal="center" vertical="center"/>
    </xf>
    <xf numFmtId="183" fontId="16" fillId="0" borderId="21" xfId="0" applyNumberFormat="1" applyFont="1" applyBorder="1" applyAlignment="1">
      <alignment horizontal="center" vertical="center"/>
    </xf>
    <xf numFmtId="5" fontId="16" fillId="0" borderId="21" xfId="0" applyNumberFormat="1" applyFont="1" applyBorder="1" applyAlignment="1">
      <alignment horizontal="center" vertical="center"/>
    </xf>
    <xf numFmtId="5" fontId="6" fillId="0" borderId="16" xfId="0" applyNumberFormat="1" applyFont="1" applyBorder="1" applyAlignment="1">
      <alignment horizontal="center" vertical="center"/>
    </xf>
    <xf numFmtId="5" fontId="22" fillId="0" borderId="16" xfId="0" applyNumberFormat="1" applyFont="1" applyBorder="1" applyAlignment="1">
      <alignment horizontal="center" vertical="center"/>
    </xf>
    <xf numFmtId="5" fontId="6" fillId="3" borderId="40" xfId="0" applyNumberFormat="1" applyFont="1" applyFill="1" applyBorder="1" applyAlignment="1">
      <alignment horizontal="center" vertical="center"/>
    </xf>
    <xf numFmtId="5" fontId="22" fillId="3" borderId="40" xfId="0" applyNumberFormat="1" applyFont="1" applyFill="1" applyBorder="1" applyAlignment="1">
      <alignment horizontal="center" vertical="center"/>
    </xf>
    <xf numFmtId="183" fontId="6" fillId="13" borderId="16" xfId="0" applyNumberFormat="1" applyFont="1" applyFill="1" applyBorder="1" applyAlignment="1">
      <alignment horizontal="center" vertical="center"/>
    </xf>
    <xf numFmtId="197" fontId="6" fillId="18" borderId="42" xfId="0" applyNumberFormat="1" applyFont="1" applyFill="1" applyBorder="1" applyAlignment="1">
      <alignment horizontal="center" vertical="center"/>
    </xf>
    <xf numFmtId="179" fontId="22" fillId="18" borderId="42" xfId="0" applyNumberFormat="1" applyFont="1" applyFill="1" applyBorder="1" applyAlignment="1">
      <alignment horizontal="center" vertical="center"/>
    </xf>
    <xf numFmtId="197" fontId="6" fillId="18" borderId="21" xfId="0" applyNumberFormat="1" applyFont="1" applyFill="1" applyBorder="1" applyAlignment="1">
      <alignment horizontal="center" vertical="center"/>
    </xf>
    <xf numFmtId="197" fontId="6" fillId="0" borderId="15" xfId="0" applyNumberFormat="1" applyFont="1" applyBorder="1" applyAlignment="1">
      <alignment horizontal="center" vertical="center"/>
    </xf>
    <xf numFmtId="179" fontId="22" fillId="3" borderId="5" xfId="0" applyNumberFormat="1" applyFont="1" applyFill="1" applyBorder="1" applyAlignment="1">
      <alignment horizontal="center" vertical="center"/>
    </xf>
    <xf numFmtId="197" fontId="6" fillId="0" borderId="0" xfId="0" applyNumberFormat="1" applyFont="1" applyBorder="1" applyAlignment="1">
      <alignment horizontal="center" vertical="center"/>
    </xf>
    <xf numFmtId="197" fontId="6" fillId="3" borderId="17" xfId="0" applyNumberFormat="1" applyFont="1" applyFill="1" applyBorder="1" applyAlignment="1">
      <alignment horizontal="center" vertical="center"/>
    </xf>
    <xf numFmtId="191" fontId="6" fillId="24" borderId="0" xfId="0" applyNumberFormat="1" applyFont="1" applyFill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186" fontId="52" fillId="3" borderId="1" xfId="0" applyNumberFormat="1" applyFont="1" applyFill="1" applyBorder="1" applyAlignment="1">
      <alignment horizontal="center" vertical="center"/>
    </xf>
    <xf numFmtId="179" fontId="6" fillId="3" borderId="8" xfId="0" applyNumberFormat="1" applyFont="1" applyFill="1" applyBorder="1" applyAlignment="1">
      <alignment horizontal="center" vertical="center"/>
    </xf>
    <xf numFmtId="179" fontId="72" fillId="3" borderId="1" xfId="0" applyNumberFormat="1" applyFont="1" applyFill="1" applyBorder="1" applyAlignment="1">
      <alignment horizontal="center" vertical="center"/>
    </xf>
    <xf numFmtId="179" fontId="72" fillId="3" borderId="4" xfId="0" applyNumberFormat="1" applyFont="1" applyFill="1" applyBorder="1" applyAlignment="1">
      <alignment horizontal="center" vertical="center"/>
    </xf>
    <xf numFmtId="179" fontId="6" fillId="0" borderId="13" xfId="0" applyNumberFormat="1" applyFont="1" applyBorder="1" applyAlignment="1">
      <alignment horizontal="center" vertical="center"/>
    </xf>
    <xf numFmtId="179" fontId="72" fillId="0" borderId="4" xfId="0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9" fillId="3" borderId="21" xfId="0" applyNumberFormat="1" applyFont="1" applyFill="1" applyBorder="1" applyAlignment="1">
      <alignment horizontal="center" vertical="center"/>
    </xf>
    <xf numFmtId="179" fontId="96" fillId="0" borderId="1" xfId="0" applyNumberFormat="1" applyFont="1" applyBorder="1" applyAlignment="1">
      <alignment horizontal="center" vertical="center"/>
    </xf>
    <xf numFmtId="0" fontId="19" fillId="3" borderId="15" xfId="0" applyNumberFormat="1" applyFont="1" applyFill="1" applyBorder="1" applyAlignment="1">
      <alignment horizontal="center" vertical="center"/>
    </xf>
    <xf numFmtId="179" fontId="16" fillId="3" borderId="4" xfId="0" applyNumberFormat="1" applyFont="1" applyFill="1" applyBorder="1" applyAlignment="1">
      <alignment horizontal="center" vertical="center"/>
    </xf>
    <xf numFmtId="180" fontId="72" fillId="3" borderId="4" xfId="0" applyNumberFormat="1" applyFont="1" applyFill="1" applyBorder="1" applyAlignment="1">
      <alignment horizontal="center" vertical="center"/>
    </xf>
    <xf numFmtId="179" fontId="16" fillId="0" borderId="4" xfId="0" applyNumberFormat="1" applyFont="1" applyBorder="1" applyAlignment="1">
      <alignment horizontal="center" vertical="center"/>
    </xf>
    <xf numFmtId="180" fontId="72" fillId="0" borderId="4" xfId="0" applyNumberFormat="1" applyFont="1" applyBorder="1" applyAlignment="1">
      <alignment horizontal="center" vertical="center"/>
    </xf>
    <xf numFmtId="180" fontId="6" fillId="3" borderId="21" xfId="0" applyNumberFormat="1" applyFont="1" applyFill="1" applyBorder="1" applyAlignment="1">
      <alignment horizontal="center" vertical="center"/>
    </xf>
    <xf numFmtId="179" fontId="72" fillId="3" borderId="21" xfId="0" applyNumberFormat="1" applyFont="1" applyFill="1" applyBorder="1" applyAlignment="1">
      <alignment horizontal="center" vertical="center"/>
    </xf>
    <xf numFmtId="180" fontId="72" fillId="3" borderId="21" xfId="0" applyNumberFormat="1" applyFont="1" applyFill="1" applyBorder="1" applyAlignment="1">
      <alignment horizontal="center" vertical="center"/>
    </xf>
    <xf numFmtId="0" fontId="73" fillId="3" borderId="1" xfId="0" applyNumberFormat="1" applyFont="1" applyFill="1" applyBorder="1" applyAlignment="1">
      <alignment horizontal="center" vertical="center"/>
    </xf>
    <xf numFmtId="0" fontId="73" fillId="3" borderId="5" xfId="0" applyNumberFormat="1" applyFont="1" applyFill="1" applyBorder="1" applyAlignment="1">
      <alignment horizontal="center" vertical="center"/>
    </xf>
    <xf numFmtId="58" fontId="97" fillId="3" borderId="1" xfId="0" applyNumberFormat="1" applyFont="1" applyFill="1" applyBorder="1" applyAlignment="1">
      <alignment horizontal="center" vertical="center"/>
    </xf>
    <xf numFmtId="181" fontId="73" fillId="3" borderId="1" xfId="0" applyNumberFormat="1" applyFont="1" applyFill="1" applyBorder="1" applyAlignment="1">
      <alignment horizontal="center" vertical="center"/>
    </xf>
    <xf numFmtId="181" fontId="6" fillId="0" borderId="4" xfId="0" applyNumberFormat="1" applyFont="1" applyBorder="1" applyAlignment="1">
      <alignment horizontal="center" vertical="center"/>
    </xf>
    <xf numFmtId="5" fontId="6" fillId="0" borderId="4" xfId="0" applyNumberFormat="1" applyFont="1" applyBorder="1" applyAlignment="1">
      <alignment horizontal="center" vertical="center"/>
    </xf>
    <xf numFmtId="7" fontId="6" fillId="3" borderId="21" xfId="0" applyNumberFormat="1" applyFont="1" applyFill="1" applyBorder="1" applyAlignment="1">
      <alignment horizontal="center" vertical="center"/>
    </xf>
    <xf numFmtId="7" fontId="6" fillId="3" borderId="1" xfId="0" applyNumberFormat="1" applyFont="1" applyFill="1" applyBorder="1" applyAlignment="1">
      <alignment horizontal="center" vertical="center"/>
    </xf>
    <xf numFmtId="181" fontId="6" fillId="3" borderId="21" xfId="0" applyNumberFormat="1" applyFont="1" applyFill="1" applyBorder="1" applyAlignment="1">
      <alignment horizontal="center" vertical="center"/>
    </xf>
    <xf numFmtId="181" fontId="72" fillId="3" borderId="21" xfId="0" applyNumberFormat="1" applyFont="1" applyFill="1" applyBorder="1" applyAlignment="1">
      <alignment horizontal="center" vertical="center"/>
    </xf>
    <xf numFmtId="191" fontId="6" fillId="24" borderId="21" xfId="0" applyNumberFormat="1" applyFont="1" applyFill="1" applyBorder="1" applyAlignment="1">
      <alignment horizontal="center" vertical="center"/>
    </xf>
    <xf numFmtId="7" fontId="73" fillId="3" borderId="1" xfId="0" applyNumberFormat="1" applyFont="1" applyFill="1" applyBorder="1" applyAlignment="1">
      <alignment horizontal="center" vertical="center"/>
    </xf>
    <xf numFmtId="7" fontId="73" fillId="0" borderId="21" xfId="0" applyNumberFormat="1" applyFont="1" applyBorder="1" applyAlignment="1">
      <alignment horizontal="center" vertical="center"/>
    </xf>
    <xf numFmtId="7" fontId="73" fillId="0" borderId="16" xfId="0" applyNumberFormat="1" applyFont="1" applyBorder="1" applyAlignment="1">
      <alignment horizontal="center" vertical="center"/>
    </xf>
    <xf numFmtId="7" fontId="73" fillId="5" borderId="1" xfId="0" applyNumberFormat="1" applyFont="1" applyFill="1" applyBorder="1" applyAlignment="1">
      <alignment horizontal="center" vertical="center"/>
    </xf>
    <xf numFmtId="7" fontId="73" fillId="0" borderId="1" xfId="0" applyNumberFormat="1" applyFont="1" applyBorder="1" applyAlignment="1">
      <alignment horizontal="center" vertical="center"/>
    </xf>
    <xf numFmtId="7" fontId="6" fillId="0" borderId="21" xfId="0" applyNumberFormat="1" applyFont="1" applyBorder="1" applyAlignment="1">
      <alignment horizontal="center" vertical="center"/>
    </xf>
    <xf numFmtId="183" fontId="6" fillId="13" borderId="21" xfId="0" applyNumberFormat="1" applyFont="1" applyFill="1" applyBorder="1" applyAlignment="1">
      <alignment horizontal="center" vertical="center"/>
    </xf>
    <xf numFmtId="185" fontId="6" fillId="0" borderId="8" xfId="0" applyNumberFormat="1" applyFont="1" applyBorder="1" applyAlignment="1">
      <alignment horizontal="center" vertical="center"/>
    </xf>
    <xf numFmtId="185" fontId="6" fillId="0" borderId="13" xfId="0" applyNumberFormat="1" applyFont="1" applyBorder="1" applyAlignment="1">
      <alignment horizontal="center" vertical="center"/>
    </xf>
    <xf numFmtId="183" fontId="22" fillId="0" borderId="16" xfId="0" applyNumberFormat="1" applyFont="1" applyBorder="1" applyAlignment="1">
      <alignment horizontal="center" vertical="center"/>
    </xf>
    <xf numFmtId="191" fontId="6" fillId="18" borderId="16" xfId="0" applyNumberFormat="1" applyFont="1" applyFill="1" applyBorder="1" applyAlignment="1">
      <alignment horizontal="center" vertical="center"/>
    </xf>
    <xf numFmtId="186" fontId="72" fillId="0" borderId="1" xfId="0" applyNumberFormat="1" applyFont="1" applyBorder="1" applyAlignment="1">
      <alignment horizontal="center" vertical="center"/>
    </xf>
    <xf numFmtId="187" fontId="90" fillId="0" borderId="15" xfId="0" applyNumberFormat="1" applyFont="1" applyBorder="1" applyAlignment="1">
      <alignment horizontal="center" vertical="center"/>
    </xf>
    <xf numFmtId="187" fontId="90" fillId="0" borderId="0" xfId="0" applyNumberFormat="1" applyFont="1" applyBorder="1" applyAlignment="1">
      <alignment horizontal="center" vertical="center"/>
    </xf>
    <xf numFmtId="201" fontId="6" fillId="18" borderId="5" xfId="0" applyNumberFormat="1" applyFont="1" applyFill="1" applyBorder="1" applyAlignment="1">
      <alignment horizontal="center" vertical="center"/>
    </xf>
    <xf numFmtId="187" fontId="90" fillId="0" borderId="1" xfId="0" applyNumberFormat="1" applyFont="1" applyBorder="1" applyAlignment="1">
      <alignment horizontal="center" vertical="center"/>
    </xf>
    <xf numFmtId="7" fontId="6" fillId="5" borderId="1" xfId="0" applyNumberFormat="1" applyFont="1" applyFill="1" applyBorder="1" applyAlignment="1">
      <alignment horizontal="center" vertical="center"/>
    </xf>
    <xf numFmtId="7" fontId="6" fillId="5" borderId="21" xfId="0" applyNumberFormat="1" applyFont="1" applyFill="1" applyBorder="1" applyAlignment="1">
      <alignment horizontal="center" vertical="center"/>
    </xf>
    <xf numFmtId="10" fontId="22" fillId="0" borderId="0" xfId="0" applyNumberFormat="1" applyFont="1" applyAlignment="1">
      <alignment horizontal="center" vertical="center"/>
    </xf>
    <xf numFmtId="179" fontId="6" fillId="3" borderId="23" xfId="0" applyNumberFormat="1" applyFont="1" applyFill="1" applyBorder="1" applyAlignment="1">
      <alignment horizontal="center" vertical="center" wrapText="1"/>
    </xf>
    <xf numFmtId="179" fontId="6" fillId="19" borderId="43" xfId="0" applyNumberFormat="1" applyFont="1" applyFill="1" applyBorder="1" applyAlignment="1">
      <alignment horizontal="center" vertical="center"/>
    </xf>
    <xf numFmtId="179" fontId="22" fillId="0" borderId="29" xfId="0" applyNumberFormat="1" applyFont="1" applyBorder="1" applyAlignment="1">
      <alignment horizontal="center" vertical="center"/>
    </xf>
    <xf numFmtId="49" fontId="90" fillId="0" borderId="21" xfId="0" applyNumberFormat="1" applyFont="1" applyBorder="1" applyAlignment="1">
      <alignment horizontal="center" vertical="center"/>
    </xf>
    <xf numFmtId="179" fontId="22" fillId="0" borderId="30" xfId="0" applyNumberFormat="1" applyFont="1" applyBorder="1" applyAlignment="1">
      <alignment horizontal="center" vertical="center"/>
    </xf>
    <xf numFmtId="179" fontId="22" fillId="0" borderId="38" xfId="0" applyNumberFormat="1" applyFont="1" applyBorder="1" applyAlignment="1">
      <alignment horizontal="center" vertical="center"/>
    </xf>
    <xf numFmtId="195" fontId="69" fillId="17" borderId="16" xfId="0" applyNumberFormat="1" applyFont="1" applyFill="1" applyBorder="1" applyAlignment="1">
      <alignment horizontal="center" vertical="center"/>
    </xf>
    <xf numFmtId="0" fontId="22" fillId="0" borderId="4" xfId="0" applyNumberFormat="1" applyFont="1" applyBorder="1" applyAlignment="1">
      <alignment horizontal="center" vertical="center"/>
    </xf>
    <xf numFmtId="0" fontId="22" fillId="3" borderId="4" xfId="0" applyNumberFormat="1" applyFont="1" applyFill="1" applyBorder="1" applyAlignment="1">
      <alignment horizontal="center" vertical="center"/>
    </xf>
    <xf numFmtId="179" fontId="22" fillId="0" borderId="15" xfId="0" applyNumberFormat="1" applyFont="1" applyBorder="1" applyAlignment="1">
      <alignment horizontal="center" vertical="center"/>
    </xf>
    <xf numFmtId="178" fontId="72" fillId="0" borderId="21" xfId="0" applyNumberFormat="1" applyFont="1" applyBorder="1" applyAlignment="1">
      <alignment horizontal="center" vertical="center"/>
    </xf>
    <xf numFmtId="0" fontId="22" fillId="0" borderId="16" xfId="0" applyNumberFormat="1" applyFont="1" applyBorder="1" applyAlignment="1">
      <alignment horizontal="center" vertical="center"/>
    </xf>
    <xf numFmtId="179" fontId="6" fillId="19" borderId="16" xfId="0" applyNumberFormat="1" applyFont="1" applyFill="1" applyBorder="1" applyAlignment="1">
      <alignment horizontal="center" vertical="center"/>
    </xf>
    <xf numFmtId="179" fontId="22" fillId="0" borderId="42" xfId="0" applyNumberFormat="1" applyFont="1" applyBorder="1" applyAlignment="1">
      <alignment horizontal="center" vertical="center"/>
    </xf>
    <xf numFmtId="179" fontId="86" fillId="0" borderId="42" xfId="0" applyNumberFormat="1" applyFont="1" applyBorder="1" applyAlignment="1">
      <alignment horizontal="center" vertical="center" wrapText="1"/>
    </xf>
    <xf numFmtId="179" fontId="86" fillId="0" borderId="15" xfId="0" applyNumberFormat="1" applyFont="1" applyBorder="1" applyAlignment="1">
      <alignment horizontal="center" vertical="center" wrapText="1"/>
    </xf>
    <xf numFmtId="179" fontId="86" fillId="0" borderId="21" xfId="0" applyNumberFormat="1" applyFont="1" applyBorder="1" applyAlignment="1">
      <alignment horizontal="center" vertical="center" wrapText="1"/>
    </xf>
    <xf numFmtId="191" fontId="22" fillId="18" borderId="18" xfId="0" applyNumberFormat="1" applyFont="1" applyFill="1" applyBorder="1" applyAlignment="1">
      <alignment horizontal="center" vertical="center"/>
    </xf>
    <xf numFmtId="191" fontId="6" fillId="0" borderId="16" xfId="0" applyNumberFormat="1" applyFont="1" applyBorder="1" applyAlignment="1">
      <alignment horizontal="center" vertical="center"/>
    </xf>
    <xf numFmtId="183" fontId="6" fillId="0" borderId="16" xfId="0" applyNumberFormat="1" applyFont="1" applyBorder="1" applyAlignment="1">
      <alignment horizontal="center" vertical="center"/>
    </xf>
    <xf numFmtId="188" fontId="22" fillId="0" borderId="38" xfId="0" applyNumberFormat="1" applyFont="1" applyBorder="1" applyAlignment="1">
      <alignment horizontal="center" vertical="center"/>
    </xf>
    <xf numFmtId="191" fontId="22" fillId="0" borderId="21" xfId="0" applyNumberFormat="1" applyFont="1" applyBorder="1" applyAlignment="1">
      <alignment horizontal="center" vertical="center"/>
    </xf>
    <xf numFmtId="186" fontId="75" fillId="0" borderId="30" xfId="0" applyNumberFormat="1" applyFont="1" applyBorder="1" applyAlignment="1">
      <alignment horizontal="center" vertical="center"/>
    </xf>
    <xf numFmtId="58" fontId="6" fillId="0" borderId="30" xfId="0" applyNumberFormat="1" applyFont="1" applyBorder="1" applyAlignment="1">
      <alignment horizontal="center" vertical="center"/>
    </xf>
    <xf numFmtId="58" fontId="6" fillId="0" borderId="0" xfId="0" applyNumberFormat="1" applyFont="1" applyAlignment="1">
      <alignment horizontal="center" vertical="center"/>
    </xf>
    <xf numFmtId="186" fontId="75" fillId="0" borderId="23" xfId="0" applyNumberFormat="1" applyFont="1" applyBorder="1" applyAlignment="1">
      <alignment horizontal="center" vertical="center"/>
    </xf>
    <xf numFmtId="58" fontId="6" fillId="18" borderId="30" xfId="0" applyNumberFormat="1" applyFont="1" applyFill="1" applyBorder="1" applyAlignment="1">
      <alignment horizontal="center" vertical="center"/>
    </xf>
    <xf numFmtId="186" fontId="52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9" fontId="6" fillId="0" borderId="30" xfId="0" applyNumberFormat="1" applyFont="1" applyBorder="1" applyAlignment="1">
      <alignment horizontal="center" vertical="center" wrapText="1"/>
    </xf>
    <xf numFmtId="49" fontId="90" fillId="3" borderId="21" xfId="0" applyNumberFormat="1" applyFont="1" applyFill="1" applyBorder="1" applyAlignment="1">
      <alignment horizontal="center" vertical="center"/>
    </xf>
    <xf numFmtId="58" fontId="6" fillId="18" borderId="21" xfId="0" applyNumberFormat="1" applyFont="1" applyFill="1" applyBorder="1" applyAlignment="1">
      <alignment horizontal="center" vertical="center"/>
    </xf>
    <xf numFmtId="179" fontId="6" fillId="0" borderId="23" xfId="0" applyNumberFormat="1" applyFont="1" applyBorder="1" applyAlignment="1">
      <alignment horizontal="center" vertical="center" wrapText="1"/>
    </xf>
    <xf numFmtId="179" fontId="96" fillId="0" borderId="21" xfId="0" applyNumberFormat="1" applyFont="1" applyBorder="1" applyAlignment="1">
      <alignment horizontal="center" vertical="center"/>
    </xf>
    <xf numFmtId="179" fontId="86" fillId="3" borderId="21" xfId="0" applyNumberFormat="1" applyFont="1" applyFill="1" applyBorder="1" applyAlignment="1">
      <alignment horizontal="center" vertical="center" wrapText="1"/>
    </xf>
    <xf numFmtId="178" fontId="72" fillId="3" borderId="21" xfId="0" applyNumberFormat="1" applyFont="1" applyFill="1" applyBorder="1" applyAlignment="1">
      <alignment horizontal="center" vertical="center"/>
    </xf>
    <xf numFmtId="58" fontId="97" fillId="0" borderId="44" xfId="0" applyNumberFormat="1" applyFont="1" applyBorder="1" applyAlignment="1">
      <alignment horizontal="center" vertical="center"/>
    </xf>
    <xf numFmtId="178" fontId="72" fillId="18" borderId="21" xfId="0" applyNumberFormat="1" applyFont="1" applyFill="1" applyBorder="1" applyAlignment="1">
      <alignment horizontal="center" vertical="center"/>
    </xf>
    <xf numFmtId="188" fontId="22" fillId="3" borderId="21" xfId="0" applyNumberFormat="1" applyFont="1" applyFill="1" applyBorder="1" applyAlignment="1">
      <alignment horizontal="center" vertical="center"/>
    </xf>
    <xf numFmtId="181" fontId="72" fillId="0" borderId="21" xfId="0" applyNumberFormat="1" applyFont="1" applyBorder="1" applyAlignment="1">
      <alignment horizontal="center" vertical="center"/>
    </xf>
    <xf numFmtId="179" fontId="72" fillId="0" borderId="23" xfId="0" applyNumberFormat="1" applyFont="1" applyBorder="1" applyAlignment="1">
      <alignment horizontal="center" vertical="center"/>
    </xf>
    <xf numFmtId="186" fontId="72" fillId="0" borderId="42" xfId="0" applyNumberFormat="1" applyFont="1" applyBorder="1" applyAlignment="1">
      <alignment horizontal="center" vertical="center"/>
    </xf>
    <xf numFmtId="186" fontId="72" fillId="0" borderId="21" xfId="0" applyNumberFormat="1" applyFont="1" applyBorder="1" applyAlignment="1">
      <alignment horizontal="center" vertical="center"/>
    </xf>
    <xf numFmtId="186" fontId="72" fillId="0" borderId="0" xfId="0" applyNumberFormat="1" applyFont="1" applyAlignment="1">
      <alignment horizontal="center" vertical="center"/>
    </xf>
    <xf numFmtId="58" fontId="6" fillId="0" borderId="21" xfId="0" applyNumberFormat="1" applyFont="1" applyBorder="1" applyAlignment="1">
      <alignment horizontal="center" vertical="center"/>
    </xf>
    <xf numFmtId="201" fontId="6" fillId="18" borderId="23" xfId="0" applyNumberFormat="1" applyFont="1" applyFill="1" applyBorder="1" applyAlignment="1">
      <alignment horizontal="center" vertical="center"/>
    </xf>
    <xf numFmtId="201" fontId="6" fillId="18" borderId="42" xfId="0" applyNumberFormat="1" applyFont="1" applyFill="1" applyBorder="1" applyAlignment="1">
      <alignment horizontal="center" vertical="center"/>
    </xf>
    <xf numFmtId="201" fontId="6" fillId="18" borderId="21" xfId="0" applyNumberFormat="1" applyFont="1" applyFill="1" applyBorder="1" applyAlignment="1">
      <alignment horizontal="center" vertical="center"/>
    </xf>
    <xf numFmtId="179" fontId="22" fillId="0" borderId="23" xfId="0" applyNumberFormat="1" applyFont="1" applyBorder="1" applyAlignment="1">
      <alignment horizontal="center" vertical="center"/>
    </xf>
    <xf numFmtId="185" fontId="6" fillId="0" borderId="42" xfId="0" applyNumberFormat="1" applyFont="1" applyBorder="1" applyAlignment="1">
      <alignment horizontal="center" vertical="center"/>
    </xf>
    <xf numFmtId="179" fontId="16" fillId="0" borderId="0" xfId="0" applyNumberFormat="1" applyFont="1" applyAlignment="1">
      <alignment horizontal="center" vertical="center"/>
    </xf>
    <xf numFmtId="208" fontId="0" fillId="0" borderId="0" xfId="0" applyNumberFormat="1">
      <alignment vertical="center"/>
    </xf>
    <xf numFmtId="179" fontId="22" fillId="0" borderId="45" xfId="0" applyNumberFormat="1" applyFont="1" applyBorder="1" applyAlignment="1">
      <alignment horizontal="center" vertical="center"/>
    </xf>
    <xf numFmtId="179" fontId="22" fillId="3" borderId="39" xfId="0" applyNumberFormat="1" applyFont="1" applyFill="1" applyBorder="1" applyAlignment="1">
      <alignment horizontal="center" vertical="center"/>
    </xf>
    <xf numFmtId="58" fontId="6" fillId="3" borderId="21" xfId="0" applyNumberFormat="1" applyFont="1" applyFill="1" applyBorder="1" applyAlignment="1">
      <alignment horizontal="center" vertical="center"/>
    </xf>
    <xf numFmtId="179" fontId="22" fillId="0" borderId="46" xfId="0" applyNumberFormat="1" applyFont="1" applyBorder="1" applyAlignment="1">
      <alignment horizontal="center" vertical="center"/>
    </xf>
    <xf numFmtId="179" fontId="87" fillId="0" borderId="9" xfId="0" applyNumberFormat="1" applyFont="1" applyBorder="1" applyAlignment="1">
      <alignment horizontal="center" vertical="center" wrapText="1"/>
    </xf>
    <xf numFmtId="179" fontId="87" fillId="0" borderId="8" xfId="0" applyNumberFormat="1" applyFont="1" applyBorder="1" applyAlignment="1">
      <alignment horizontal="center" vertical="center" wrapText="1"/>
    </xf>
    <xf numFmtId="179" fontId="78" fillId="0" borderId="13" xfId="0" applyNumberFormat="1" applyFont="1" applyBorder="1" applyAlignment="1">
      <alignment horizontal="center" vertical="center" wrapText="1"/>
    </xf>
    <xf numFmtId="179" fontId="87" fillId="0" borderId="13" xfId="0" applyNumberFormat="1" applyFont="1" applyBorder="1" applyAlignment="1">
      <alignment horizontal="center" vertical="center" wrapText="1"/>
    </xf>
    <xf numFmtId="179" fontId="6" fillId="3" borderId="15" xfId="0" applyNumberFormat="1" applyFont="1" applyFill="1" applyBorder="1" applyAlignment="1">
      <alignment horizontal="center" vertical="center"/>
    </xf>
    <xf numFmtId="179" fontId="58" fillId="0" borderId="9" xfId="0" applyNumberFormat="1" applyFont="1" applyBorder="1" applyAlignment="1">
      <alignment horizontal="center" vertical="center" wrapText="1"/>
    </xf>
    <xf numFmtId="179" fontId="22" fillId="0" borderId="3" xfId="0" applyNumberFormat="1" applyFont="1" applyBorder="1" applyAlignment="1">
      <alignment horizontal="center" vertical="center"/>
    </xf>
    <xf numFmtId="179" fontId="58" fillId="0" borderId="8" xfId="0" applyNumberFormat="1" applyFont="1" applyBorder="1" applyAlignment="1">
      <alignment horizontal="center" vertical="center" wrapText="1"/>
    </xf>
    <xf numFmtId="0" fontId="22" fillId="0" borderId="13" xfId="0" applyNumberFormat="1" applyFont="1" applyBorder="1" applyAlignment="1">
      <alignment horizontal="center" vertical="center"/>
    </xf>
    <xf numFmtId="179" fontId="58" fillId="0" borderId="13" xfId="0" applyNumberFormat="1" applyFont="1" applyBorder="1" applyAlignment="1">
      <alignment horizontal="center" vertical="center" wrapText="1"/>
    </xf>
    <xf numFmtId="181" fontId="6" fillId="0" borderId="23" xfId="0" applyNumberFormat="1" applyFont="1" applyBorder="1" applyAlignment="1">
      <alignment horizontal="center" vertical="center"/>
    </xf>
    <xf numFmtId="191" fontId="22" fillId="18" borderId="16" xfId="0" applyNumberFormat="1" applyFont="1" applyFill="1" applyBorder="1" applyAlignment="1">
      <alignment horizontal="center" vertical="center"/>
    </xf>
    <xf numFmtId="191" fontId="22" fillId="0" borderId="18" xfId="0" applyNumberFormat="1" applyFont="1" applyBorder="1" applyAlignment="1">
      <alignment horizontal="center" vertical="center"/>
    </xf>
    <xf numFmtId="191" fontId="22" fillId="0" borderId="42" xfId="0" applyNumberFormat="1" applyFont="1" applyBorder="1" applyAlignment="1">
      <alignment horizontal="center" vertical="center"/>
    </xf>
    <xf numFmtId="188" fontId="22" fillId="0" borderId="6" xfId="0" applyNumberFormat="1" applyFont="1" applyBorder="1" applyAlignment="1">
      <alignment horizontal="center" vertical="center"/>
    </xf>
    <xf numFmtId="191" fontId="22" fillId="0" borderId="16" xfId="0" applyNumberFormat="1" applyFont="1" applyBorder="1" applyAlignment="1">
      <alignment horizontal="center" vertical="center"/>
    </xf>
    <xf numFmtId="188" fontId="22" fillId="0" borderId="8" xfId="0" applyNumberFormat="1" applyFont="1" applyBorder="1" applyAlignment="1">
      <alignment horizontal="center" vertical="center"/>
    </xf>
    <xf numFmtId="183" fontId="22" fillId="0" borderId="8" xfId="0" applyNumberFormat="1" applyFont="1" applyBorder="1" applyAlignment="1">
      <alignment horizontal="center" vertical="center"/>
    </xf>
    <xf numFmtId="5" fontId="22" fillId="0" borderId="8" xfId="0" applyNumberFormat="1" applyFont="1" applyBorder="1" applyAlignment="1">
      <alignment horizontal="center" vertical="center"/>
    </xf>
    <xf numFmtId="188" fontId="22" fillId="0" borderId="13" xfId="0" applyNumberFormat="1" applyFont="1" applyBorder="1" applyAlignment="1">
      <alignment horizontal="center" vertical="center"/>
    </xf>
    <xf numFmtId="183" fontId="22" fillId="0" borderId="13" xfId="0" applyNumberFormat="1" applyFont="1" applyBorder="1" applyAlignment="1">
      <alignment horizontal="center" vertical="center"/>
    </xf>
    <xf numFmtId="5" fontId="22" fillId="0" borderId="13" xfId="0" applyNumberFormat="1" applyFont="1" applyBorder="1" applyAlignment="1">
      <alignment horizontal="center" vertical="center"/>
    </xf>
    <xf numFmtId="209" fontId="22" fillId="3" borderId="13" xfId="0" applyNumberFormat="1" applyFont="1" applyFill="1" applyBorder="1" applyAlignment="1">
      <alignment horizontal="center" vertical="center"/>
    </xf>
    <xf numFmtId="210" fontId="6" fillId="3" borderId="13" xfId="0" applyNumberFormat="1" applyFont="1" applyFill="1" applyBorder="1" applyAlignment="1">
      <alignment horizontal="center" vertical="center"/>
    </xf>
    <xf numFmtId="0" fontId="22" fillId="3" borderId="13" xfId="0" applyNumberFormat="1" applyFont="1" applyFill="1" applyBorder="1" applyAlignment="1">
      <alignment horizontal="center" vertical="center"/>
    </xf>
    <xf numFmtId="206" fontId="22" fillId="3" borderId="13" xfId="0" applyNumberFormat="1" applyFont="1" applyFill="1" applyBorder="1" applyAlignment="1">
      <alignment horizontal="center" vertical="center"/>
    </xf>
    <xf numFmtId="183" fontId="22" fillId="3" borderId="13" xfId="0" applyNumberFormat="1" applyFont="1" applyFill="1" applyBorder="1" applyAlignment="1">
      <alignment horizontal="center" vertical="center"/>
    </xf>
    <xf numFmtId="6" fontId="22" fillId="3" borderId="13" xfId="0" applyNumberFormat="1" applyFont="1" applyFill="1" applyBorder="1" applyAlignment="1">
      <alignment horizontal="center" vertical="center"/>
    </xf>
    <xf numFmtId="58" fontId="6" fillId="0" borderId="23" xfId="0" applyNumberFormat="1" applyFont="1" applyBorder="1" applyAlignment="1">
      <alignment horizontal="center" vertical="center"/>
    </xf>
    <xf numFmtId="58" fontId="6" fillId="0" borderId="16" xfId="0" applyNumberFormat="1" applyFont="1" applyBorder="1" applyAlignment="1">
      <alignment horizontal="center" vertical="center"/>
    </xf>
    <xf numFmtId="58" fontId="22" fillId="3" borderId="18" xfId="0" applyNumberFormat="1" applyFont="1" applyFill="1" applyBorder="1" applyAlignment="1">
      <alignment horizontal="center" vertical="center"/>
    </xf>
    <xf numFmtId="179" fontId="22" fillId="3" borderId="42" xfId="0" applyNumberFormat="1" applyFont="1" applyFill="1" applyBorder="1" applyAlignment="1">
      <alignment horizontal="center" vertical="center"/>
    </xf>
    <xf numFmtId="58" fontId="6" fillId="3" borderId="23" xfId="0" applyNumberFormat="1" applyFont="1" applyFill="1" applyBorder="1" applyAlignment="1">
      <alignment horizontal="center" vertical="center"/>
    </xf>
    <xf numFmtId="58" fontId="6" fillId="3" borderId="0" xfId="0" applyNumberFormat="1" applyFont="1" applyFill="1" applyAlignment="1">
      <alignment horizontal="center" vertical="center"/>
    </xf>
    <xf numFmtId="188" fontId="22" fillId="0" borderId="0" xfId="0" applyNumberFormat="1" applyFont="1" applyAlignment="1">
      <alignment horizontal="center" vertical="center"/>
    </xf>
    <xf numFmtId="186" fontId="75" fillId="0" borderId="21" xfId="0" applyNumberFormat="1" applyFont="1" applyBorder="1" applyAlignment="1">
      <alignment horizontal="center" vertical="center"/>
    </xf>
    <xf numFmtId="8" fontId="22" fillId="3" borderId="13" xfId="0" applyNumberFormat="1" applyFont="1" applyFill="1" applyBorder="1" applyAlignment="1">
      <alignment horizontal="center" vertical="center"/>
    </xf>
    <xf numFmtId="186" fontId="75" fillId="3" borderId="21" xfId="0" applyNumberFormat="1" applyFont="1" applyFill="1" applyBorder="1" applyAlignment="1">
      <alignment horizontal="center" vertical="center"/>
    </xf>
    <xf numFmtId="186" fontId="75" fillId="3" borderId="0" xfId="0" applyNumberFormat="1" applyFont="1" applyFill="1" applyAlignment="1">
      <alignment horizontal="center" vertical="center"/>
    </xf>
    <xf numFmtId="179" fontId="6" fillId="3" borderId="0" xfId="0" applyNumberFormat="1" applyFont="1" applyFill="1" applyAlignment="1">
      <alignment horizontal="center" vertical="center"/>
    </xf>
    <xf numFmtId="208" fontId="22" fillId="0" borderId="0" xfId="0" applyNumberFormat="1" applyFont="1" applyAlignment="1">
      <alignment horizontal="center" vertical="center"/>
    </xf>
    <xf numFmtId="208" fontId="69" fillId="17" borderId="18" xfId="0" applyNumberFormat="1" applyFont="1" applyFill="1" applyBorder="1" applyAlignment="1">
      <alignment horizontal="center" vertical="center"/>
    </xf>
    <xf numFmtId="208" fontId="69" fillId="17" borderId="0" xfId="0" applyNumberFormat="1" applyFont="1" applyFill="1" applyAlignment="1">
      <alignment horizontal="center" vertical="center"/>
    </xf>
    <xf numFmtId="189" fontId="22" fillId="0" borderId="8" xfId="0" applyNumberFormat="1" applyFont="1" applyBorder="1" applyAlignment="1">
      <alignment horizontal="center" vertical="center"/>
    </xf>
    <xf numFmtId="208" fontId="22" fillId="0" borderId="8" xfId="0" applyNumberFormat="1" applyFont="1" applyBorder="1" applyAlignment="1">
      <alignment horizontal="center" vertical="center"/>
    </xf>
    <xf numFmtId="189" fontId="52" fillId="0" borderId="4" xfId="0" applyNumberFormat="1" applyFont="1" applyBorder="1" applyAlignment="1">
      <alignment horizontal="center" vertical="center"/>
    </xf>
    <xf numFmtId="189" fontId="52" fillId="25" borderId="13" xfId="0" applyNumberFormat="1" applyFont="1" applyFill="1" applyBorder="1" applyAlignment="1">
      <alignment horizontal="center" vertical="center"/>
    </xf>
    <xf numFmtId="189" fontId="22" fillId="0" borderId="13" xfId="0" applyNumberFormat="1" applyFont="1" applyBorder="1" applyAlignment="1">
      <alignment horizontal="center" vertical="center"/>
    </xf>
    <xf numFmtId="208" fontId="22" fillId="0" borderId="6" xfId="0" applyNumberFormat="1" applyFont="1" applyBorder="1" applyAlignment="1">
      <alignment horizontal="center" vertical="center"/>
    </xf>
    <xf numFmtId="189" fontId="22" fillId="18" borderId="42" xfId="0" applyNumberFormat="1" applyFont="1" applyFill="1" applyBorder="1" applyAlignment="1">
      <alignment horizontal="center" vertical="center"/>
    </xf>
    <xf numFmtId="208" fontId="22" fillId="18" borderId="42" xfId="0" applyNumberFormat="1" applyFont="1" applyFill="1" applyBorder="1" applyAlignment="1">
      <alignment horizontal="center" vertical="center"/>
    </xf>
    <xf numFmtId="189" fontId="22" fillId="25" borderId="21" xfId="0" applyNumberFormat="1" applyFont="1" applyFill="1" applyBorder="1" applyAlignment="1">
      <alignment horizontal="center" vertical="center"/>
    </xf>
    <xf numFmtId="208" fontId="22" fillId="0" borderId="21" xfId="0" applyNumberFormat="1" applyFont="1" applyBorder="1" applyAlignment="1">
      <alignment horizontal="center" vertical="center"/>
    </xf>
    <xf numFmtId="189" fontId="22" fillId="25" borderId="16" xfId="0" applyNumberFormat="1" applyFont="1" applyFill="1" applyBorder="1" applyAlignment="1">
      <alignment horizontal="center" vertical="center"/>
    </xf>
    <xf numFmtId="208" fontId="22" fillId="0" borderId="16" xfId="0" applyNumberFormat="1" applyFont="1" applyBorder="1" applyAlignment="1">
      <alignment horizontal="center" vertical="center"/>
    </xf>
    <xf numFmtId="189" fontId="22" fillId="0" borderId="16" xfId="0" applyNumberFormat="1" applyFont="1" applyBorder="1" applyAlignment="1">
      <alignment horizontal="center" vertical="center"/>
    </xf>
    <xf numFmtId="189" fontId="22" fillId="0" borderId="18" xfId="0" applyNumberFormat="1" applyFont="1" applyBorder="1" applyAlignment="1">
      <alignment horizontal="center" vertical="center"/>
    </xf>
    <xf numFmtId="208" fontId="22" fillId="0" borderId="18" xfId="0" applyNumberFormat="1" applyFont="1" applyBorder="1" applyAlignment="1">
      <alignment horizontal="center" vertical="center"/>
    </xf>
    <xf numFmtId="189" fontId="22" fillId="3" borderId="8" xfId="0" applyNumberFormat="1" applyFont="1" applyFill="1" applyBorder="1" applyAlignment="1">
      <alignment horizontal="center" vertical="center"/>
    </xf>
    <xf numFmtId="208" fontId="22" fillId="3" borderId="18" xfId="0" applyNumberFormat="1" applyFont="1" applyFill="1" applyBorder="1" applyAlignment="1">
      <alignment horizontal="center" vertical="center"/>
    </xf>
    <xf numFmtId="179" fontId="90" fillId="3" borderId="18" xfId="0" applyNumberFormat="1" applyFont="1" applyFill="1" applyBorder="1" applyAlignment="1">
      <alignment horizontal="center" vertical="center" wrapText="1"/>
    </xf>
    <xf numFmtId="189" fontId="22" fillId="3" borderId="13" xfId="0" applyNumberFormat="1" applyFont="1" applyFill="1" applyBorder="1" applyAlignment="1">
      <alignment horizontal="center" vertical="center"/>
    </xf>
    <xf numFmtId="208" fontId="22" fillId="3" borderId="42" xfId="0" applyNumberFormat="1" applyFont="1" applyFill="1" applyBorder="1" applyAlignment="1">
      <alignment horizontal="center" vertical="center"/>
    </xf>
    <xf numFmtId="208" fontId="22" fillId="3" borderId="21" xfId="0" applyNumberFormat="1" applyFont="1" applyFill="1" applyBorder="1" applyAlignment="1">
      <alignment horizontal="center" vertical="center"/>
    </xf>
    <xf numFmtId="208" fontId="6" fillId="3" borderId="0" xfId="0" applyNumberFormat="1" applyFont="1" applyFill="1" applyAlignment="1">
      <alignment horizontal="center" vertical="center"/>
    </xf>
    <xf numFmtId="189" fontId="6" fillId="0" borderId="0" xfId="0" applyNumberFormat="1" applyFont="1" applyAlignment="1">
      <alignment horizontal="center" vertical="center"/>
    </xf>
    <xf numFmtId="208" fontId="6" fillId="0" borderId="0" xfId="0" applyNumberFormat="1" applyFont="1" applyAlignment="1">
      <alignment horizontal="center" vertical="center"/>
    </xf>
    <xf numFmtId="189" fontId="75" fillId="25" borderId="4" xfId="0" applyNumberFormat="1" applyFont="1" applyFill="1" applyBorder="1" applyAlignment="1">
      <alignment horizontal="center" vertical="center"/>
    </xf>
    <xf numFmtId="189" fontId="98" fillId="25" borderId="4" xfId="0" applyNumberFormat="1" applyFont="1" applyFill="1" applyBorder="1" applyAlignment="1">
      <alignment horizontal="center" vertical="center"/>
    </xf>
    <xf numFmtId="189" fontId="52" fillId="25" borderId="4" xfId="0" applyNumberFormat="1" applyFont="1" applyFill="1" applyBorder="1" applyAlignment="1">
      <alignment horizontal="center" vertical="center"/>
    </xf>
    <xf numFmtId="189" fontId="52" fillId="3" borderId="4" xfId="0" applyNumberFormat="1" applyFont="1" applyFill="1" applyBorder="1" applyAlignment="1">
      <alignment horizontal="center" vertical="center"/>
    </xf>
    <xf numFmtId="179" fontId="6" fillId="0" borderId="27" xfId="0" applyNumberFormat="1" applyFont="1" applyBorder="1" applyAlignment="1">
      <alignment horizontal="center" vertical="center" wrapText="1"/>
    </xf>
    <xf numFmtId="179" fontId="87" fillId="0" borderId="14" xfId="0" applyNumberFormat="1" applyFont="1" applyBorder="1" applyAlignment="1">
      <alignment horizontal="center" vertical="center" wrapText="1"/>
    </xf>
    <xf numFmtId="179" fontId="6" fillId="0" borderId="16" xfId="0" applyNumberFormat="1" applyFont="1" applyBorder="1" applyAlignment="1">
      <alignment horizontal="center" vertical="center"/>
    </xf>
    <xf numFmtId="58" fontId="6" fillId="18" borderId="16" xfId="0" applyNumberFormat="1" applyFont="1" applyFill="1" applyBorder="1" applyAlignment="1">
      <alignment horizontal="center" vertical="center"/>
    </xf>
    <xf numFmtId="179" fontId="96" fillId="5" borderId="1" xfId="0" applyNumberFormat="1" applyFont="1" applyFill="1" applyBorder="1" applyAlignment="1">
      <alignment horizontal="center" vertical="center"/>
    </xf>
    <xf numFmtId="0" fontId="6" fillId="18" borderId="21" xfId="0" applyNumberFormat="1" applyFont="1" applyFill="1" applyBorder="1" applyAlignment="1">
      <alignment horizontal="center" vertical="center"/>
    </xf>
    <xf numFmtId="0" fontId="19" fillId="0" borderId="16" xfId="0" applyNumberFormat="1" applyFont="1" applyBorder="1" applyAlignment="1">
      <alignment horizontal="center" vertical="center"/>
    </xf>
    <xf numFmtId="205" fontId="6" fillId="0" borderId="1" xfId="0" applyNumberFormat="1" applyFont="1" applyBorder="1" applyAlignment="1">
      <alignment horizontal="center" vertical="center"/>
    </xf>
    <xf numFmtId="179" fontId="72" fillId="18" borderId="16" xfId="0" applyNumberFormat="1" applyFont="1" applyFill="1" applyBorder="1" applyAlignment="1">
      <alignment horizontal="center" vertical="center" wrapText="1"/>
    </xf>
    <xf numFmtId="179" fontId="86" fillId="3" borderId="42" xfId="0" applyNumberFormat="1" applyFont="1" applyFill="1" applyBorder="1" applyAlignment="1">
      <alignment horizontal="center" vertical="center" wrapText="1"/>
    </xf>
    <xf numFmtId="179" fontId="86" fillId="3" borderId="15" xfId="0" applyNumberFormat="1" applyFont="1" applyFill="1" applyBorder="1" applyAlignment="1">
      <alignment horizontal="center" vertical="center" wrapText="1"/>
    </xf>
    <xf numFmtId="178" fontId="72" fillId="0" borderId="16" xfId="0" applyNumberFormat="1" applyFont="1" applyBorder="1" applyAlignment="1">
      <alignment horizontal="center" vertical="center"/>
    </xf>
    <xf numFmtId="0" fontId="73" fillId="5" borderId="1" xfId="0" applyNumberFormat="1" applyFont="1" applyFill="1" applyBorder="1" applyAlignment="1">
      <alignment horizontal="center" vertical="center"/>
    </xf>
    <xf numFmtId="58" fontId="97" fillId="0" borderId="47" xfId="0" applyNumberFormat="1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center" vertical="center"/>
    </xf>
    <xf numFmtId="178" fontId="72" fillId="18" borderId="16" xfId="0" applyNumberFormat="1" applyFont="1" applyFill="1" applyBorder="1" applyAlignment="1">
      <alignment horizontal="center" vertical="center"/>
    </xf>
    <xf numFmtId="210" fontId="72" fillId="0" borderId="0" xfId="0" applyNumberFormat="1" applyFont="1" applyAlignment="1">
      <alignment horizontal="center" vertical="center"/>
    </xf>
    <xf numFmtId="191" fontId="6" fillId="0" borderId="23" xfId="0" applyNumberFormat="1" applyFont="1" applyBorder="1" applyAlignment="1">
      <alignment horizontal="center" vertical="center"/>
    </xf>
    <xf numFmtId="183" fontId="22" fillId="0" borderId="4" xfId="0" applyNumberFormat="1" applyFont="1" applyBorder="1" applyAlignment="1">
      <alignment horizontal="center" vertical="center"/>
    </xf>
    <xf numFmtId="188" fontId="22" fillId="3" borderId="38" xfId="0" applyNumberFormat="1" applyFont="1" applyFill="1" applyBorder="1" applyAlignment="1">
      <alignment horizontal="center" vertical="center"/>
    </xf>
    <xf numFmtId="183" fontId="22" fillId="3" borderId="21" xfId="0" applyNumberFormat="1" applyFont="1" applyFill="1" applyBorder="1" applyAlignment="1">
      <alignment horizontal="center" vertical="center"/>
    </xf>
    <xf numFmtId="188" fontId="22" fillId="0" borderId="23" xfId="0" applyNumberFormat="1" applyFont="1" applyBorder="1" applyAlignment="1">
      <alignment horizontal="center" vertical="center"/>
    </xf>
    <xf numFmtId="181" fontId="72" fillId="0" borderId="16" xfId="0" applyNumberFormat="1" applyFont="1" applyBorder="1" applyAlignment="1">
      <alignment horizontal="center" vertical="center"/>
    </xf>
    <xf numFmtId="183" fontId="22" fillId="5" borderId="1" xfId="0" applyNumberFormat="1" applyFont="1" applyFill="1" applyBorder="1" applyAlignment="1">
      <alignment horizontal="center" vertical="center"/>
    </xf>
    <xf numFmtId="183" fontId="6" fillId="18" borderId="16" xfId="0" applyNumberFormat="1" applyFont="1" applyFill="1" applyBorder="1" applyAlignment="1">
      <alignment horizontal="center" vertical="center"/>
    </xf>
    <xf numFmtId="7" fontId="6" fillId="5" borderId="5" xfId="0" applyNumberFormat="1" applyFont="1" applyFill="1" applyBorder="1" applyAlignment="1">
      <alignment horizontal="center" vertical="center"/>
    </xf>
    <xf numFmtId="183" fontId="22" fillId="0" borderId="0" xfId="0" applyNumberFormat="1" applyFont="1" applyBorder="1" applyAlignment="1">
      <alignment horizontal="center" vertical="center"/>
    </xf>
    <xf numFmtId="183" fontId="6" fillId="18" borderId="1" xfId="0" applyNumberFormat="1" applyFont="1" applyFill="1" applyBorder="1" applyAlignment="1">
      <alignment horizontal="center" vertical="center"/>
    </xf>
    <xf numFmtId="183" fontId="22" fillId="0" borderId="7" xfId="0" applyNumberFormat="1" applyFont="1" applyBorder="1" applyAlignment="1">
      <alignment horizontal="center" vertical="center"/>
    </xf>
    <xf numFmtId="186" fontId="72" fillId="0" borderId="15" xfId="0" applyNumberFormat="1" applyFont="1" applyBorder="1" applyAlignment="1">
      <alignment horizontal="center" vertical="center"/>
    </xf>
    <xf numFmtId="207" fontId="6" fillId="0" borderId="16" xfId="0" applyNumberFormat="1" applyFont="1" applyBorder="1" applyAlignment="1">
      <alignment horizontal="center" vertical="center"/>
    </xf>
    <xf numFmtId="207" fontId="6" fillId="0" borderId="0" xfId="0" applyNumberFormat="1" applyFont="1" applyBorder="1" applyAlignment="1">
      <alignment horizontal="center" vertical="center"/>
    </xf>
    <xf numFmtId="185" fontId="6" fillId="0" borderId="16" xfId="0" applyNumberFormat="1" applyFont="1" applyBorder="1" applyAlignment="1">
      <alignment horizontal="center" vertical="center"/>
    </xf>
    <xf numFmtId="207" fontId="6" fillId="0" borderId="1" xfId="0" applyNumberFormat="1" applyFont="1" applyBorder="1" applyAlignment="1">
      <alignment horizontal="center" vertical="center"/>
    </xf>
    <xf numFmtId="189" fontId="16" fillId="0" borderId="4" xfId="0" applyNumberFormat="1" applyFont="1" applyBorder="1" applyAlignment="1">
      <alignment horizontal="center" vertical="center"/>
    </xf>
    <xf numFmtId="189" fontId="52" fillId="25" borderId="1" xfId="0" applyNumberFormat="1" applyFont="1" applyFill="1" applyBorder="1" applyAlignment="1">
      <alignment horizontal="center" vertical="center"/>
    </xf>
    <xf numFmtId="189" fontId="16" fillId="25" borderId="0" xfId="0" applyNumberFormat="1" applyFont="1" applyFill="1" applyAlignment="1">
      <alignment horizontal="center" vertical="center"/>
    </xf>
    <xf numFmtId="189" fontId="22" fillId="0" borderId="0" xfId="0" applyNumberFormat="1" applyFont="1" applyAlignment="1">
      <alignment horizontal="center" vertical="center"/>
    </xf>
    <xf numFmtId="189" fontId="29" fillId="5" borderId="1" xfId="0" applyNumberFormat="1" applyFont="1" applyFill="1" applyBorder="1" applyAlignment="1">
      <alignment horizontal="center" vertical="center"/>
    </xf>
    <xf numFmtId="208" fontId="6" fillId="13" borderId="1" xfId="0" applyNumberFormat="1" applyFont="1" applyFill="1" applyBorder="1" applyAlignment="1">
      <alignment horizontal="center" vertical="center"/>
    </xf>
    <xf numFmtId="0" fontId="19" fillId="13" borderId="1" xfId="0" applyNumberFormat="1" applyFont="1" applyFill="1" applyBorder="1" applyAlignment="1">
      <alignment horizontal="center" vertical="center"/>
    </xf>
    <xf numFmtId="179" fontId="6" fillId="13" borderId="1" xfId="0" applyNumberFormat="1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208" fontId="6" fillId="0" borderId="1" xfId="0" applyNumberFormat="1" applyFont="1" applyBorder="1" applyAlignment="1">
      <alignment horizontal="center" vertical="center"/>
    </xf>
    <xf numFmtId="189" fontId="0" fillId="0" borderId="0" xfId="0" applyNumberFormat="1">
      <alignment vertical="center"/>
    </xf>
    <xf numFmtId="7" fontId="6" fillId="13" borderId="1" xfId="0" applyNumberFormat="1" applyFont="1" applyFill="1" applyBorder="1" applyAlignment="1">
      <alignment horizontal="center" vertical="center"/>
    </xf>
    <xf numFmtId="0" fontId="73" fillId="13" borderId="1" xfId="0" applyNumberFormat="1" applyFont="1" applyFill="1" applyBorder="1" applyAlignment="1">
      <alignment horizontal="center" vertical="center"/>
    </xf>
    <xf numFmtId="183" fontId="6" fillId="19" borderId="15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b val="1"/>
        <color rgb="FF000000"/>
      </font>
      <fill>
        <patternFill patternType="solid">
          <bgColor rgb="FF2E75B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1"/>
        <color rgb="FF000000"/>
      </font>
      <fill>
        <patternFill patternType="solid">
          <bgColor rgb="FFFEEB9B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1"/>
        <color rgb="FF000000"/>
      </font>
      <fill>
        <patternFill patternType="solid">
          <bgColor rgb="FFFEC8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1"/>
        <color rgb="FF000000"/>
      </font>
      <fill>
        <patternFill patternType="solid">
          <bgColor rgb="FFC7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1"/>
        <color rgb="FF000000"/>
      </font>
      <fill>
        <patternFill patternType="solid">
          <bgColor rgb="FFED7D31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2088">
    <open main="411" threadCnt="1"/>
    <sheetInfos>
      <sheetInfo cellCmpFml="7" sheetStid="1">
        <open main="2" threadCnt="1"/>
      </sheetInfo>
      <sheetInfo cellCmpFml="5" sheetStid="3">
        <open main="2" threadCnt="1"/>
      </sheetInfo>
      <sheetInfo cellCmpFml="36" sheetStid="5">
        <open main="3" threadCnt="1"/>
      </sheetInfo>
      <sheetInfo cellCmpFml="10" sheetStid="7">
        <open main="2" threadCnt="1"/>
      </sheetInfo>
      <sheetInfo cellCmpFml="11" sheetStid="9">
        <open main="1" threadCnt="1"/>
      </sheetInfo>
      <sheetInfo cellCmpFml="21" sheetStid="11">
        <open main="17" threadCnt="1"/>
      </sheetInfo>
      <sheetInfo cellCmpFml="32" sheetStid="14">
        <open main="3" threadCnt="1"/>
      </sheetInfo>
      <sheetInfo cellCmpFml="31" sheetStid="16">
        <open main="2" threadCnt="1"/>
      </sheetInfo>
      <sheetInfo cellCmpFml="44" sheetStid="17">
        <open main="4" threadCnt="1"/>
      </sheetInfo>
      <sheetInfo cellCmpFml="34" sheetStid="20">
        <open main="2" threadCnt="1"/>
      </sheetInfo>
      <sheetInfo cellCmpFml="39" sheetStid="21">
        <open main="3" threadCnt="1"/>
      </sheetInfo>
      <sheetInfo cellCmpFml="22" sheetStid="22">
        <open main="2" threadCnt="1"/>
      </sheetInfo>
      <sheetInfo cellCmpFml="18" sheetStid="24">
        <open main="1" threadCnt="1"/>
      </sheetInfo>
      <sheetInfo cellCmpFml="20" sheetStid="25">
        <open main="2" threadCnt="1"/>
      </sheetInfo>
      <sheetInfo cellCmpFml="22" sheetStid="26">
        <open main="2" threadCnt="1"/>
      </sheetInfo>
      <sheetInfo cellCmpFml="20" sheetStid="27">
        <open main="2" threadCnt="1"/>
      </sheetInfo>
      <sheetInfo cellCmpFml="24" sheetStid="28">
        <open main="1" threadCnt="1"/>
      </sheetInfo>
      <sheetInfo cellCmpFml="23" sheetStid="29">
        <open main="1" threadCnt="1"/>
      </sheetInfo>
      <sheetInfo cellCmpFml="23" sheetStid="30">
        <open main="2" threadCnt="1"/>
      </sheetInfo>
      <sheetInfo cellCmpFml="26" sheetStid="31">
        <open main="2" threadCnt="1"/>
      </sheetInfo>
      <sheetInfo cellCmpFml="65" sheetStid="33">
        <open main="4" threadCnt="1"/>
      </sheetInfo>
      <sheetInfo cellCmpFml="63" sheetStid="38">
        <open main="3" threadCnt="1"/>
      </sheetInfo>
      <sheetInfo cellCmpFml="71" sheetStid="39">
        <open main="4" threadCnt="1"/>
      </sheetInfo>
      <sheetInfo cellCmpFml="86" sheetStid="41">
        <open main="4" threadCnt="1"/>
      </sheetInfo>
      <sheetInfo cellCmpFml="86" sheetStid="44">
        <open main="5" threadCnt="1"/>
      </sheetInfo>
      <sheetInfo cellCmpFml="75" sheetStid="45">
        <open main="4" threadCnt="1"/>
      </sheetInfo>
      <sheetInfo cellCmpFml="79" sheetStid="46">
        <open main="4" threadCnt="1"/>
      </sheetInfo>
      <sheetInfo cellCmpFml="37" sheetStid="68">
        <open main="4" threadCnt="1"/>
      </sheetInfo>
      <sheetInfo cellCmpFml="45" sheetStid="54">
        <open main="4" threadCnt="1"/>
      </sheetInfo>
      <sheetInfo cellCmpFml="54" sheetStid="55">
        <open main="3" threadCnt="1"/>
      </sheetInfo>
      <sheetInfo cellCmpFml="54" sheetStid="56">
        <open main="3" threadCnt="1"/>
      </sheetInfo>
      <sheetInfo cellCmpFml="70" sheetStid="76">
        <open main="10" threadCnt="1"/>
      </sheetInfo>
      <sheetInfo cellCmpFml="58" sheetStid="57">
        <open main="5" threadCnt="1"/>
      </sheetInfo>
      <sheetInfo cellCmpFml="60" sheetStid="59">
        <open main="5" threadCnt="1"/>
      </sheetInfo>
      <sheetInfo cellCmpFml="61" sheetStid="61">
        <open main="5" threadCnt="1"/>
      </sheetInfo>
      <sheetInfo cellCmpFml="73" sheetStid="65">
        <open main="3" threadCnt="1"/>
      </sheetInfo>
      <sheetInfo cellCmpFml="76" sheetStid="66">
        <open main="4" threadCnt="1"/>
      </sheetInfo>
      <sheetInfo cellCmpFml="77" sheetStid="67">
        <open main="6" threadCnt="1"/>
      </sheetInfo>
      <sheetInfo cellCmpFml="118" sheetStid="70">
        <open main="9" threadCnt="1"/>
      </sheetInfo>
      <sheetInfo cellCmpFml="115" sheetStid="72">
        <open main="12" threadCnt="1"/>
      </sheetInfo>
      <sheetInfo cellCmpFml="93" sheetStid="79">
        <open main="10" threadCnt="1"/>
      </sheetInfo>
      <sheetInfo cellCmpFml="95" sheetStid="81">
        <open main="8" threadCnt="1"/>
      </sheetInfo>
      <sheetInfo cellCmpFml="1" sheetStid="90">
        <open main="5" threadCnt="1"/>
      </sheetInfo>
      <sheetInfo cellCmpFml="1" sheetStid="91">
        <open main="7" threadCnt="1"/>
      </sheetInfo>
      <sheetInfo cellCmpFml="0" sheetStid="92">
        <open main="7" threadCnt="1"/>
      </sheetInfo>
      <sheetInfo cellCmpFml="2" sheetStid="98">
        <open main="5" threadCnt="1"/>
      </sheetInfo>
      <sheetInfo cellCmpFml="5" sheetStid="99">
        <open main="6" threadCnt="1"/>
      </sheetInfo>
      <sheetInfo cellCmpFml="0" sheetStid="95">
        <open main="14" threadCnt="1"/>
      </sheetInfo>
      <sheetInfo cellCmpFml="0" sheetStid="96">
        <open main="1" threadCnt="1"/>
      </sheetInfo>
      <sheetInfo cellCmpFml="0" sheetStid="80">
        <open threadCnt="1"/>
      </sheetInfo>
    </sheetInfos>
  </bookInfo>
</woInfos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0.jpe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4" Type="http://www.wps.cn/officeDocument/2023/relationships/woinfos" Target="woinfos.xml"/><Relationship Id="rId63" Type="http://www.wps.cn/officeDocument/2023/relationships/customStorage" Target="customStorage/customStorage.xml"/><Relationship Id="rId62" Type="http://schemas.openxmlformats.org/officeDocument/2006/relationships/styles" Target="styles.xml"/><Relationship Id="rId61" Type="http://schemas.openxmlformats.org/officeDocument/2006/relationships/customXml" Target="../customXml/item7.xml"/><Relationship Id="rId60" Type="http://schemas.openxmlformats.org/officeDocument/2006/relationships/customXml" Target="../customXml/item6.xml"/><Relationship Id="rId6" Type="http://schemas.openxmlformats.org/officeDocument/2006/relationships/worksheet" Target="worksheets/sheet6.xml"/><Relationship Id="rId59" Type="http://schemas.openxmlformats.org/officeDocument/2006/relationships/customXml" Target="../customXml/item5.xml"/><Relationship Id="rId58" Type="http://schemas.openxmlformats.org/officeDocument/2006/relationships/customXml" Target="../customXml/item4.xml"/><Relationship Id="rId57" Type="http://www.wps.cn/officeDocument/2020/cellImage" Target="cellimages.xml"/><Relationship Id="rId56" Type="http://schemas.openxmlformats.org/officeDocument/2006/relationships/sharedStrings" Target="sharedStrings.xml"/><Relationship Id="rId55" Type="http://schemas.openxmlformats.org/officeDocument/2006/relationships/theme" Target="theme/theme1.xml"/><Relationship Id="rId54" Type="http://schemas.openxmlformats.org/officeDocument/2006/relationships/customXml" Target="../customXml/item3.xml"/><Relationship Id="rId53" Type="http://schemas.openxmlformats.org/officeDocument/2006/relationships/externalLink" Target="externalLinks/externalLink1.xml"/><Relationship Id="rId52" Type="http://schemas.openxmlformats.org/officeDocument/2006/relationships/customXml" Target="../customXml/item2.xml"/><Relationship Id="rId51" Type="http://schemas.openxmlformats.org/officeDocument/2006/relationships/customXml" Target="../customXml/item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www.wps.cn/officeDocument/2018/webExtension" Target="../webExtensions/webExtension5.xml"/><Relationship Id="rId4" Type="http://www.wps.cn/officeDocument/2018/webExtension" Target="../webExtensions/webExtension4.xml"/><Relationship Id="rId3" Type="http://www.wps.cn/officeDocument/2018/webExtension" Target="../webExtensions/webExtension3.xml"/><Relationship Id="rId2" Type="http://www.wps.cn/officeDocument/2018/webExtension" Target="../webExtensions/webExtension2.xml"/><Relationship Id="rId10" Type="http://schemas.openxmlformats.org/officeDocument/2006/relationships/image" Target="../media/image5.png"/><Relationship Id="rId1" Type="http://www.wps.cn/officeDocument/2018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11430</xdr:colOff>
      <xdr:row>39</xdr:row>
      <xdr:rowOff>6350</xdr:rowOff>
    </xdr:from>
    <xdr:to>
      <xdr:col>5</xdr:col>
      <xdr:colOff>11430</xdr:colOff>
      <xdr:row>39</xdr:row>
      <xdr:rowOff>6350</xdr:rowOff>
    </xdr:to>
    <xdr:pic>
      <xdr:nvPicPr>
        <xdr:cNvPr id="3" name="图片 2"/>
        <xdr:cNvPicPr/>
      </xdr:nvPicPr>
      <xdr:blipFill>
        <a:blip r:embed="rId6"/>
        <a:stretch>
          <a:fillRect/>
        </a:stretch>
      </xdr:blipFill>
      <xdr:spPr>
        <a:xfrm>
          <a:off x="6513195" y="12160250"/>
          <a:ext cx="0" cy="0"/>
        </a:xfrm>
        <a:prstGeom prst="rect">
          <a:avLst/>
        </a:prstGeom>
        <a:extLst>
          <wpswe:webExtensionRef xmlns:wpswe="http://www.wps.cn/officeDocument/2018/webExtension" r:id="rId1"/>
        </a:extLst>
      </xdr:spPr>
    </xdr:pic>
    <xdr:clientData/>
  </xdr:twoCellAnchor>
  <xdr:twoCellAnchor>
    <xdr:from>
      <xdr:col>0</xdr:col>
      <xdr:colOff>9525</xdr:colOff>
      <xdr:row>82</xdr:row>
      <xdr:rowOff>9525</xdr:rowOff>
    </xdr:from>
    <xdr:to>
      <xdr:col>0</xdr:col>
      <xdr:colOff>9525</xdr:colOff>
      <xdr:row>82</xdr:row>
      <xdr:rowOff>9525</xdr:rowOff>
    </xdr:to>
    <xdr:pic>
      <xdr:nvPicPr>
        <xdr:cNvPr id="7" name="图片 6"/>
        <xdr:cNvPicPr/>
      </xdr:nvPicPr>
      <xdr:blipFill>
        <a:blip r:embed="rId7"/>
        <a:stretch>
          <a:fillRect/>
        </a:stretch>
      </xdr:blipFill>
      <xdr:spPr>
        <a:xfrm>
          <a:off x="9525" y="24450675"/>
          <a:ext cx="0" cy="0"/>
        </a:xfrm>
        <a:prstGeom prst="rect">
          <a:avLst/>
        </a:prstGeom>
        <a:extLst>
          <wpswe:webExtensionRef xmlns:wpswe="http://www.wps.cn/officeDocument/2018/webExtension" r:id="rId2"/>
        </a:extLst>
      </xdr:spPr>
    </xdr:pic>
    <xdr:clientData/>
  </xdr:twoCellAnchor>
  <xdr:twoCellAnchor>
    <xdr:from>
      <xdr:col>1</xdr:col>
      <xdr:colOff>9525</xdr:colOff>
      <xdr:row>87</xdr:row>
      <xdr:rowOff>9525</xdr:rowOff>
    </xdr:from>
    <xdr:to>
      <xdr:col>1</xdr:col>
      <xdr:colOff>9525</xdr:colOff>
      <xdr:row>87</xdr:row>
      <xdr:rowOff>9525</xdr:rowOff>
    </xdr:to>
    <xdr:pic>
      <xdr:nvPicPr>
        <xdr:cNvPr id="8" name="图片 7"/>
        <xdr:cNvPicPr/>
      </xdr:nvPicPr>
      <xdr:blipFill>
        <a:blip r:embed="rId8"/>
        <a:stretch>
          <a:fillRect/>
        </a:stretch>
      </xdr:blipFill>
      <xdr:spPr>
        <a:xfrm>
          <a:off x="1247775" y="25879425"/>
          <a:ext cx="0" cy="0"/>
        </a:xfrm>
        <a:prstGeom prst="rect">
          <a:avLst/>
        </a:prstGeom>
        <a:extLst>
          <wpswe:webExtensionRef xmlns:wpswe="http://www.wps.cn/officeDocument/2018/webExtension" r:id="rId3"/>
        </a:extLst>
      </xdr:spPr>
    </xdr:pic>
    <xdr:clientData/>
  </xdr:twoCellAnchor>
  <xdr:twoCellAnchor>
    <xdr:from>
      <xdr:col>1</xdr:col>
      <xdr:colOff>9525</xdr:colOff>
      <xdr:row>414</xdr:row>
      <xdr:rowOff>9525</xdr:rowOff>
    </xdr:from>
    <xdr:to>
      <xdr:col>1</xdr:col>
      <xdr:colOff>9525</xdr:colOff>
      <xdr:row>414</xdr:row>
      <xdr:rowOff>9525</xdr:rowOff>
    </xdr:to>
    <xdr:pic>
      <xdr:nvPicPr>
        <xdr:cNvPr id="4" name="图片 3"/>
        <xdr:cNvPicPr/>
      </xdr:nvPicPr>
      <xdr:blipFill>
        <a:blip r:embed="rId9"/>
        <a:stretch>
          <a:fillRect/>
        </a:stretch>
      </xdr:blipFill>
      <xdr:spPr>
        <a:xfrm>
          <a:off x="1247775" y="119319675"/>
          <a:ext cx="0" cy="0"/>
        </a:xfrm>
        <a:prstGeom prst="rect">
          <a:avLst/>
        </a:prstGeom>
        <a:extLst>
          <wpswe:webExtensionRef xmlns:wpswe="http://www.wps.cn/officeDocument/2018/webExtension" r:id="rId4"/>
        </a:extLst>
      </xdr:spPr>
    </xdr:pic>
    <xdr:clientData/>
  </xdr:twoCellAnchor>
  <xdr:twoCellAnchor>
    <xdr:from>
      <xdr:col>0</xdr:col>
      <xdr:colOff>904240</xdr:colOff>
      <xdr:row>27</xdr:row>
      <xdr:rowOff>159385</xdr:rowOff>
    </xdr:from>
    <xdr:to>
      <xdr:col>2</xdr:col>
      <xdr:colOff>1209040</xdr:colOff>
      <xdr:row>34</xdr:row>
      <xdr:rowOff>45085</xdr:rowOff>
    </xdr:to>
    <xdr:pic>
      <xdr:nvPicPr>
        <xdr:cNvPr id="2" name="图片 1"/>
        <xdr:cNvPicPr/>
      </xdr:nvPicPr>
      <xdr:blipFill>
        <a:blip r:embed="rId10"/>
        <a:stretch>
          <a:fillRect/>
        </a:stretch>
      </xdr:blipFill>
      <xdr:spPr>
        <a:xfrm>
          <a:off x="904240" y="8884285"/>
          <a:ext cx="2534285" cy="1885950"/>
        </a:xfrm>
        <a:prstGeom prst="rect">
          <a:avLst/>
        </a:prstGeom>
        <a:extLst>
          <wpswe:webExtensionRef xmlns:wpswe="http://www.wps.cn/officeDocument/2018/webExtension" r:id="rId5"/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457200</xdr:colOff>
      <xdr:row>18</xdr:row>
      <xdr:rowOff>104775</xdr:rowOff>
    </xdr:to>
    <xdr:pic>
      <xdr:nvPicPr>
        <xdr:cNvPr id="2" name="ID_4E2414E2E4DE41F6BB489A61F6336261" descr="upload_post_object_v2_4272321059"/>
        <xdr:cNvPicPr/>
      </xdr:nvPicPr>
      <xdr:blipFill>
        <a:blip r:embed="rId1"/>
        <a:stretch>
          <a:fillRect/>
        </a:stretch>
      </xdr:blipFill>
      <xdr:spPr>
        <a:xfrm>
          <a:off x="0" y="0"/>
          <a:ext cx="3886200" cy="31908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457;&#36135;&#35745;&#21010;&#34920;&#65288;&#27599;&#22825;&#19979;&#29677;&#21069;&#26356;&#26032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0月份"/>
      <sheetName val="11月份"/>
      <sheetName val="12月份"/>
      <sheetName val="2021.01"/>
      <sheetName val="2021.02"/>
      <sheetName val="2021.03"/>
      <sheetName val="2021.04"/>
      <sheetName val="2021.05"/>
      <sheetName val="2021.06"/>
      <sheetName val="2021.07"/>
      <sheetName val="2021.08"/>
      <sheetName val="2021.09"/>
      <sheetName val="2021.10"/>
      <sheetName val="2021.11"/>
      <sheetName val="2021.12"/>
      <sheetName val="2022.01"/>
      <sheetName val="2022.02"/>
      <sheetName val="2022.03"/>
      <sheetName val="2022.04"/>
      <sheetName val="2022.05"/>
      <sheetName val="2022.06"/>
      <sheetName val="2022.07"/>
      <sheetName val="2022.08"/>
      <sheetName val="2022.09"/>
      <sheetName val="2022.10"/>
      <sheetName val="2022.11"/>
      <sheetName val="2022.12"/>
      <sheetName val="2023.09 (2)"/>
      <sheetName val="2023.01"/>
      <sheetName val="2023.02"/>
      <sheetName val="2023.03"/>
      <sheetName val="2023.12 (3)"/>
      <sheetName val="2023.04"/>
      <sheetName val="2023.05"/>
      <sheetName val="2023.06"/>
      <sheetName val="2023.07（新）"/>
      <sheetName val="2023.08"/>
      <sheetName val="2023.09"/>
      <sheetName val="2023.10"/>
      <sheetName val="2023.11"/>
      <sheetName val="2023.12"/>
      <sheetName val="2024.01"/>
      <sheetName val="2024.02"/>
      <sheetName val="2024.03"/>
      <sheetName val="2024.04"/>
      <sheetName val="2024.05"/>
      <sheetName val="2024.06"/>
      <sheetName val="2024.07"/>
      <sheetName val="2024.08"/>
      <sheetName val="2024.09"/>
      <sheetName val="2024.10"/>
      <sheetName val="2024.11"/>
      <sheetName val="2024.12"/>
      <sheetName val="2025.01"/>
      <sheetName val="2025.02"/>
      <sheetName val="2025.03"/>
      <sheetName val="2025.04"/>
      <sheetName val="2025.05"/>
      <sheetName val="2025.06"/>
      <sheetName val="WpsReserved_CellImg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5">
          <cell r="O5">
            <v>45747</v>
          </cell>
        </row>
      </sheetData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ebExtensions/_rels/webExtension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oleObject" Target="&#21457;&#36135;&#35745;&#21010;&#34920;Test&#65288;&#22312;&#32447;&#29256;&#65289;.xlsx" TargetMode="External"/></Relationships>
</file>

<file path=xl/webExtensions/_rels/webExtension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oleObject" Target="&#21457;&#36135;&#35745;&#21010;&#34920;Test&#65288;&#22312;&#32447;&#29256;&#65289;.xlsx" TargetMode="External"/></Relationships>
</file>

<file path=xl/webExtensions/_rels/webExtension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oleObject" Target="&#21457;&#36135;&#35745;&#21010;&#34920;Test&#65288;&#22312;&#32447;&#29256;&#65289;.xlsx" TargetMode="External"/></Relationships>
</file>

<file path=xl/webExtensions/_rels/webExtension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oleObject" Target="&#21457;&#36135;&#35745;&#21010;&#34920;Test&#65288;&#22312;&#32447;&#29256;&#65289;.xlsx" TargetMode="External"/></Relationships>
</file>

<file path=xl/webExtensions/_rels/webExtension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oleObject" Target="&#21457;&#36135;&#35745;&#21010;&#34920;Test&#65288;&#22312;&#32447;&#29256;&#65289;.xlsx" TargetMode="External"/></Relationships>
</file>

<file path=xl/webExtensions/webExtension1.xml><?xml version="1.0" encoding="utf-8"?>
<wpswe:webExtension xmlns:wpswe="http://www.wps.cn/officeDocument/2018/webExtension" xmlns:webet="https://web.wps.cn/et/2018/main" webet:type="DataSource" type="1" webet:id="">
  <wpswe:extSource id="webet-pyShape" version="1.0"/>
  <wpswe:properties>
    <wpswe:property key="py_gaodemap" value="{&quot;type&quot;:&quot;gaoDeMap&quot;,&quot;web_api_key&quot;:&quot;5d89ad0e4374e203367425f76dfba6b2&quot;}"/>
    <wpswe:property key="pythonData" value="[{&quot;event&quot;:&quot;text&quot;,&quot;data&quot;:&quot;⚠️ 2025.04 数据加载失败: sheet with name [2025.04] not exist\n&quot;},{&quot;event&quot;:&quot;text&quot;,&quot;data&quot;:&quot;⚠️ 2025.05 数据加载失败: sheet with name [2025.05] not exist\n&quot;},{&quot;event&quot;:&quot;text&quot;,&quot;data&quot;:&quot;⚠️ 2025.06 数据加载失败: sheet with name [2025.06] not exist\n&quot;},{&quot;event&quot;:&quot;text&quot;,&quot;data&quot;:&quot;⚠️ 2025.07 数据加载失败: sheet with name [2025.07] not exist\n&quot;},{&quot;event&quot;:&quot;text&quot;,&quot;data&quot;:&quot;⚠️ 2025.08 数据加载失败: sheet with name [2025.08] not exist\n&quot;},{&quot;event&quot;:&quot;text&quot;,&quot;data&quot;:&quot;⚠️ 2025.09 数据加载失败: sheet with name [2025.09] not exist\n&quot;},{&quot;event&quot;:&quot;text&quot;,&quot;data&quot;:&quot;⚠️ 2025.10 数据加载失败: sheet with name [2025.10] not exist\n&quot;},{&quot;event&quot;:&quot;text&quot;,&quot;data&quot;:&quot;⚠️ 2025.11 数据加载失败: sheet with name [2025.11] not exist\n&quot;},{&quot;event&quot;:&quot;text&quot;,&quot;data&quot;:&quot;⚠️ 2025.12 数据加载失败: sheet with name [2025.12] not exist\n&quot;},{&quot;event&quot;:&quot;text&quot;,&quot;data&quot;:&quot;累计与当月船期完成率：\n&quot;},{&quot;event&quot;:&quot;html&quot;,&quot;data&quot;:&quot;&lt;div&gt;\n\n&lt;table border=\&quot;1\&quot; class=\&quot;dataframe\&quot;&gt;\n&lt;thead&gt;\n&lt;tr&gt;\n&lt;th&gt;&lt;/th&gt;\n&lt;th&gt;部门&lt;/th&gt;\n&lt;th&gt;当月任务量&lt;/th&gt;\n&lt;th&gt;已发货金额&lt;/th&gt;\n&lt;th&gt;已开单金额&lt;/th&gt;\n&lt;th&gt;已开船金额&lt;/th&gt;\n&lt;th&gt;累计船期完成率(%)&lt;/th&gt;\n&lt;th&gt;当月船期完成率(%)&lt;/th&gt;\n&lt;/tr&gt;\n&lt;/thead&gt;\n&lt;tbody&gt;\n&lt;tr&gt;\n&lt;th&gt;0&lt;/th&gt;\n&lt;td&gt;1. 发货计划表每日下班前更新，次月5号前更新上月船期数据；&lt;/td&gt;\n&lt;td&gt;0.0&lt;/td&gt;\n&lt;td&gt;0.000000e+00&lt;/td&gt;\n&lt;td&gt;0.000000e+00&lt;/td&gt;\n&lt;td&gt;0.000000e+00&lt;/td&gt;\n&lt;td&gt;32.436392&lt;/td&gt;\n&lt;td&gt;0.000000&lt;/td&gt;\n&lt;/tr&gt;\n&lt;tr&gt;\n&lt;th&gt;1&lt;/th&gt;\n&lt;td&gt;2. 预估会在本月发货的订单，填入“本月预计发货订单”一栏；要求20号以后的发货金额只能增加...&lt;/td&gt;\n&lt;td&gt;0.0&lt;/td&gt;\n&lt;td&gt;0.000000e+00&lt;/td&gt;\n&lt;td&gt;0.000000e+00&lt;/td&gt;\n&lt;td&gt;0.000000e+00&lt;/td&gt;\n&lt;td&gt;32.436392&lt;/td&gt;\n&lt;td&gt;0.000000&lt;/td&gt;\n&lt;/tr&gt;\n&lt;tr&gt;\n&lt;th&gt;2&lt;/th&gt;\n&lt;td&gt;3. 已签订订单，但发货时间不在本月，填入“已签订订单”；&lt;/td&gt;\n&lt;td&gt;0.0&lt;/td&gt;\n&lt;td&gt;0.000000e+00&lt;/td&gt;\n&lt;td&gt;0.000000e+00&lt;/td&gt;\n&lt;td&gt;0.000000e+00&lt;/td&gt;\n&lt;td&gt;32.436392&lt;/td&gt;\n&lt;td&gt;0.000000&lt;/td&gt;\n&lt;/tr&gt;\n&lt;tr&gt;\n&lt;th&gt;3&lt;/th&gt;\n&lt;td&gt;4. 获得线索的潜在订单或意向订单，填入“洽谈中”，无需等到获得订货清单。&lt;/td&gt;\n&lt;td&gt;0.0&lt;/td&gt;\n&lt;td&gt;0.000000e+00&lt;/td&gt;\n&lt;td&gt;0.000000e+00&lt;/td&gt;\n&lt;td&gt;0.000000e+00&lt;/td&gt;\n&lt;td&gt;32.436392&lt;/td&gt;\n&lt;td&gt;0.000000&lt;/td&gt;\n&lt;/tr&gt;\n&lt;tr&gt;\n&lt;th&gt;4&lt;/th&gt;\n&lt;td&gt;中心本月目标&lt;/td&gt;\n&lt;td&gt;29520000.0&lt;/td&gt;\n&lt;td&gt;0.000000e+00&lt;/td&gt;\n&lt;td&gt;2.087181e+07&lt;/td&gt;\n&lt;td&gt;9.808394e+06&lt;/td&gt;\n&lt;td&gt;32.436392&lt;/td&gt;\n&lt;td&gt;46.993497&lt;/td&gt;\n&lt;/tr&gt;\n&lt;tr&gt;\n&lt;th&gt;5&lt;/th&gt;\n&lt;td&gt;中心累计目标&lt;/td&gt;\n&lt;td&gt;45390000.0&lt;/td&gt;\n&lt;td&gt;0.000000e+00&lt;/td&gt;\n&lt;td&gt;0.000000e+00&lt;/td&gt;\n&lt;td&gt;0.000000e+00&lt;/td&gt;\n&lt;td&gt;32.436392&lt;/td&gt;\n&lt;td&gt;0.000000&lt;/td&gt;\n&lt;/tr&gt;\n&lt;tr&gt;\n&lt;th&gt;6&lt;/th&gt;\n&lt;td&gt;亚太&lt;/td&gt;\n&lt;td&gt;2000390.0&lt;/td&gt;\n&lt;td&gt;8.993700e+05&lt;/td&gt;\n&lt;td&gt;6.451832e+06&lt;/td&gt;\n&lt;td&gt;2.373339e+06&lt;/td&gt;\n&lt;td&gt;32.436392&lt;/td&gt;\n&lt;td&gt;36.785504&lt;/td&gt;\n&lt;/tr&gt;\n&lt;tr&gt;\n&lt;th&gt;7&lt;/th&gt;\n&lt;td&gt;亚非&lt;/td&gt;\n&lt;td&gt;2000077.0&lt;/td&gt;\n&lt;td&gt;1.800831e+06&lt;/td&gt;\n&lt;td&gt;1.210192e+07&lt;/td&gt;\n&lt;td&gt;2.362778e+06&lt;/td&gt;\n&lt;td&gt;32.436392&lt;/td&gt;\n&lt;td&gt;19.523983&lt;/td&gt;\n&lt;/tr&gt;\n&lt;tr&gt;\n&lt;th&gt;8&lt;/th&gt;\n&lt;td&gt;欧洲事业部&lt;/td&gt;\n&lt;td&gt;3350000.0&lt;/td&gt;\n&lt;td&gt;3.059647e+06&lt;/td&gt;\n&lt;td&gt;2.176473e+07&lt;/td&gt;\n&lt;td&gt;0.000000e+00&lt;/td&gt;\n&lt;td&gt;32.436392&lt;/td&gt;\n&lt;td&gt;0.000000&lt;/td&gt;\n&lt;/tr&gt;\n&lt;tr&gt;\n&lt;th&gt;9&lt;/th&gt;\n&lt;td&gt;美洲大区&lt;/td&gt;\n&lt;td&gt;2000000.0&lt;/td&gt;\n&lt;td&gt;1.609746e+06&lt;/td&gt;\n&lt;td&gt;1.154909e+07&lt;/td&gt;\n&lt;td&gt;3.090350e+06&lt;/td&gt;\n&lt;td&gt;32.436392&lt;/td&gt;\n&lt;td&gt;26.758389&lt;/td&gt;\n&lt;/tr&gt;\n&lt;tr&gt;\n&lt;th&gt;10&lt;/th&gt;\n&lt;td&gt;部门&lt;/td&gt;\n&lt;td&gt;0.0&lt;/td&gt;\n&lt;td&gt;0.000000e+00&lt;/td&gt;\n&lt;td&gt;0.000000e+00&lt;/td&gt;\n&lt;td&gt;0.000000e+00&lt;/td&gt;\n&lt;td&gt;32.436392&lt;/td&gt;\n&lt;td&gt;0.000000&lt;/td&gt;\n&lt;/tr&gt;\n&lt;/tbody&gt;\n&lt;/table&gt;\n&lt;/div&gt;&quot;}]"/>
    <wpswe:property key="scriptId" value="V2-6lTbm962nWublanUfQNKCG"/>
  </wpswe:properties>
  <wpswe:watchingCache>
    <wpswe:linkPath>发货计划表Test（在线版）.xlsx</wpswe:linkPath>
  </wpswe:watchingCache>
  <wpswe:snapshot xmlns:r="http://schemas.openxmlformats.org/officeDocument/2006/relationships" r:embed="rId2"/>
  <wpswe:externalData xmlns:r="http://schemas.openxmlformats.org/officeDocument/2006/relationships" r:id="rId1"/>
  <wpswe:url>https://www.kdocs.cn/ksop/script/?version=d9e4c58938#/pytemplate</wpswe:url>
  <wpswe:constantSnapshot>false</wpswe:constantSnapshot>
</wpswe:webExtension>
</file>

<file path=xl/webExtensions/webExtension2.xml><?xml version="1.0" encoding="utf-8"?>
<wpswe:webExtension xmlns:wpswe="http://www.wps.cn/officeDocument/2018/webExtension" xmlns:webet="https://web.wps.cn/et/2018/main" webet:type="DataSource" type="1" webet:id="">
  <wpswe:extSource id="webet-pyShape" version="1.0"/>
  <wpswe:properties>
    <wpswe:property key="py_gaodemap" value="{&quot;type&quot;:&quot;gaoDeMap&quot;,&quot;web_api_key&quot;:&quot;5d89ad0e4374e203367425f76dfba6b2&quot;}"/>
    <wpswe:property key="pythonData" value="[{&quot;event&quot;:&quot;html&quot;,&quot;data&quot;:&quot;&lt;div&gt;\n\n&lt;table border=\&quot;1\&quot; class=\&quot;dataframe\&quot;&gt;\n&lt;thead&gt;\n&lt;tr&gt;\n&lt;th&gt;&lt;/th&gt;\n&lt;th&gt;二级指标&lt;/th&gt;\n&lt;th&gt;累计任务量&lt;/th&gt;\n&lt;th&gt;累计已开单金额&lt;/th&gt;\n&lt;th&gt;累计已开船金额&lt;/th&gt;\n&lt;th&gt;累计开单完成率(%)&lt;/th&gt;\n&lt;th&gt;累计船期完成率(%)&lt;/th&gt;\n&lt;th&gt;当月任务量&lt;/th&gt;\n&lt;th&gt;当月已开单金额&lt;/th&gt;\n&lt;th&gt;当月已开船金额&lt;/th&gt;\n&lt;th&gt;当月开单完成率(%)&lt;/th&gt;\n&lt;th&gt;当月船期完成率(%)&lt;/th&gt;\n&lt;/tr&gt;\n&lt;/thead&gt;\n&lt;tbody&gt;\n&lt;tr&gt;\n&lt;th&gt;0&lt;/th&gt;\n&lt;td&gt;ODM开发+增量&lt;/td&gt;\n&lt;td&gt;5,350,000.00&lt;/td&gt;\n&lt;td&gt;3,056,599.76&lt;/td&gt;\n&lt;td&gt;3,110,291.68&lt;/td&gt;\n&lt;td&gt;57.13&lt;/td&gt;\n&lt;td&gt;58.14&lt;/td&gt;\n&lt;td&gt;1,800,000.00&lt;/td&gt;\n&lt;td&gt;0.00&lt;/td&gt;\n&lt;td&gt;264,705.00&lt;/td&gt;\n&lt;td&gt;0.00&lt;/td&gt;\n&lt;td&gt;14.71&lt;/td&gt;\n&lt;/tr&gt;\n&lt;tr&gt;\n&lt;th&gt;1&lt;/th&gt;\n&lt;td&gt;其他&lt;/td&gt;\n&lt;td&gt;1,730,000.00&lt;/td&gt;\n&lt;td&gt;2,513,471.49&lt;/td&gt;\n&lt;td&gt;1,405,881.68&lt;/td&gt;\n&lt;td&gt;145.29&lt;/td&gt;\n&lt;td&gt;81.26&lt;/td&gt;\n&lt;td&gt;910,000.00&lt;/td&gt;\n&lt;td&gt;530,575.06&lt;/td&gt;\n&lt;td&gt;867,753.26&lt;/td&gt;\n&lt;td&gt;58.30&lt;/td&gt;\n&lt;td&gt;95.36&lt;/td&gt;\n&lt;/tr&gt;\n&lt;tr&gt;\n&lt;th&gt;2&lt;/th&gt;\n&lt;td&gt;新连锁开发-全球&lt;/td&gt;\n&lt;td&gt;970,000.00&lt;/td&gt;\n&lt;td&gt;0.00&lt;/td&gt;\n&lt;td&gt;0.00&lt;/td&gt;\n&lt;td&gt;0.00&lt;/td&gt;\n&lt;td&gt;0.00&lt;/td&gt;\n&lt;td&gt;970,000.00&lt;/td&gt;\n&lt;td&gt;0.00&lt;/td&gt;\n&lt;td&gt;0.00&lt;/td&gt;\n&lt;td&gt;0.00&lt;/td&gt;\n&lt;td&gt;0.00&lt;/td&gt;\n&lt;/tr&gt;\n&lt;tr&gt;\n&lt;th&gt;3&lt;/th&gt;\n&lt;td&gt;新连锁开发-区域&lt;/td&gt;\n&lt;td&gt;1,900,000.00&lt;/td&gt;\n&lt;td&gt;1,606,347.97&lt;/td&gt;\n&lt;td&gt;1,085,814.97&lt;/td&gt;\n&lt;td&gt;84.54&lt;/td&gt;\n&lt;td&gt;57.15&lt;/td&gt;\n&lt;td&gt;400,000.00&lt;/td&gt;\n&lt;td&gt;0.00&lt;/td&gt;\n&lt;td&gt;636,332.73&lt;/td&gt;\n&lt;td&gt;0.00&lt;/td&gt;\n&lt;td&gt;159.08&lt;/td&gt;\n&lt;/tr&gt;\n&lt;tr&gt;\n&lt;th&gt;4&lt;/th&gt;\n&lt;td&gt;现有连锁增量&lt;/td&gt;\n&lt;td&gt;4,910,000.00&lt;/td&gt;\n&lt;td&gt;3,055,101.99&lt;/td&gt;\n&lt;td&gt;1,934,687.98&lt;/td&gt;\n&lt;td&gt;62.22&lt;/td&gt;\n&lt;td&gt;39.40&lt;/td&gt;\n&lt;td&gt;2,210,000.00&lt;/td&gt;\n&lt;td&gt;0.00&lt;/td&gt;\n&lt;td&gt;928,080.22&lt;/td&gt;\n&lt;td&gt;0.00&lt;/td&gt;\n&lt;td&gt;41.99&lt;/td&gt;\n&lt;/tr&gt;\n&lt;tr&gt;\n&lt;th&gt;5&lt;/th&gt;\n&lt;td&gt;经销商增量-占比低&lt;/td&gt;\n&lt;td&gt;4,760,000.00&lt;/td&gt;\n&lt;td&gt;4,085,463.07&lt;/td&gt;\n&lt;td&gt;3,706,859.52&lt;/td&gt;\n&lt;td&gt;85.83&lt;/td&gt;\n&lt;td&gt;77.88&lt;/td&gt;\n&lt;td&gt;320,000.00&lt;/td&gt;\n&lt;td&gt;1,128,232.95&lt;/td&gt;\n&lt;td&gt;1,050,448.54&lt;/td&gt;\n&lt;td&gt;352.57&lt;/td&gt;\n&lt;td&gt;328.27&lt;/td&gt;\n&lt;/tr&gt;\n&lt;tr&gt;\n&lt;th&gt;6&lt;/th&gt;\n&lt;td&gt;经销商增量-占比高&lt;/td&gt;\n&lt;td&gt;1,150,000.00&lt;/td&gt;\n&lt;td&gt;5,411,651.04&lt;/td&gt;\n&lt;td&gt;2,620,020.20&lt;/td&gt;\n&lt;td&gt;470.58&lt;/td&gt;\n&lt;td&gt;227.83&lt;/td&gt;\n&lt;td&gt;950,000.00&lt;/td&gt;\n&lt;td&gt;1,451,494.62&lt;/td&gt;\n&lt;td&gt;862,484.76&lt;/td&gt;\n&lt;td&gt;152.79&lt;/td&gt;\n&lt;td&gt;90.79&lt;/td&gt;\n&lt;/tr&gt;\n&lt;tr&gt;\n&lt;th&gt;7&lt;/th&gt;\n&lt;td&gt;经销商开发-重点空白&lt;/td&gt;\n&lt;td&gt;2,510,000.00&lt;/td&gt;\n&lt;td&gt;2,381,427.43&lt;/td&gt;\n&lt;td&gt;2,169,490.47&lt;/td&gt;\n&lt;td&gt;94.88&lt;/td&gt;\n&lt;td&gt;86.43&lt;/td&gt;\n&lt;td&gt;1,390,000.00&lt;/td&gt;\n&lt;td&gt;708,754.51&lt;/td&gt;\n&lt;td&gt;1,617,392.32&lt;/td&gt;\n&lt;td&gt;50.99&lt;/td&gt;\n&lt;td&gt;116.36&lt;/td&gt;\n&lt;/tr&gt;\n&lt;/tbody&gt;\n&lt;/table&gt;\n&lt;/div&gt;&quot;},{&quot;event&quot;:&quot;html&quot;,&quot;data&quot;:&quot;&lt;div&gt;\n\n&lt;table border=\&quot;1\&quot; class=\&quot;dataframe\&quot;&gt;\n&lt;thead&gt;\n&lt;tr&gt;\n&lt;th&gt;&lt;/th&gt;\n&lt;th&gt;二级指标&lt;/th&gt;\n&lt;th&gt;部门&lt;/th&gt;\n&lt;th&gt;累计任务量&lt;/th&gt;\n&lt;th&gt;累计已开单金额&lt;/th&gt;\n&lt;th&gt;累计已开船金额&lt;/th&gt;\n&lt;/tr&gt;\n&lt;/thead&gt;\n&lt;tbody&gt;\n&lt;tr&gt;\n&lt;th&gt;0&lt;/th&gt;\n&lt;td&gt;ODM开发+增量&lt;/td&gt;\n&lt;td&gt;亚太&lt;/td&gt;\n&lt;td&gt;1,050,000.00&lt;/td&gt;\n&lt;td&gt;566,522.56&lt;/td&gt;\n&lt;td&gt;420,117.89&lt;/td&gt;\n&lt;/tr&gt;\n&lt;tr&gt;\n&lt;th&gt;1&lt;/th&gt;\n&lt;td&gt;ODM开发+增量&lt;/td&gt;\n&lt;td&gt;欧洲事业部&lt;/td&gt;\n&lt;td&gt;4,300,000.00&lt;/td&gt;\n&lt;td&gt;1,816,345.20&lt;/td&gt;\n&lt;td&gt;2,405,198.79&lt;/td&gt;\n&lt;/tr&gt;\n&lt;tr&gt;\n&lt;th&gt;2&lt;/th&gt;\n&lt;td&gt;ODM开发+增量&lt;/td&gt;\n&lt;td&gt;美洲大区&lt;/td&gt;\n&lt;td&gt;0.00&lt;/td&gt;\n&lt;td&gt;673,732.00&lt;/td&gt;\n&lt;td&gt;284,975.00&lt;/td&gt;\n&lt;/tr&gt;\n&lt;tr&gt;\n&lt;th&gt;3&lt;/th&gt;\n&lt;td&gt;其他&lt;/td&gt;\n&lt;td&gt;亚太&lt;/td&gt;\n&lt;td&gt;0.00&lt;/td&gt;\n&lt;td&gt;0.00&lt;/td&gt;\n&lt;td&gt;0.00&lt;/td&gt;\n&lt;/tr&gt;\n&lt;tr&gt;\n&lt;th&gt;4&lt;/th&gt;\n&lt;td&gt;其他&lt;/td&gt;\n&lt;td&gt;亚非&lt;/td&gt;\n&lt;td&gt;1,330,000.00&lt;/td&gt;\n&lt;td&gt;2,341,013.21&lt;/td&gt;\n&lt;td&gt;1,233,423.40&lt;/td&gt;\n&lt;/tr&gt;\n&lt;tr&gt;\n&lt;th&gt;5&lt;/th&gt;\n&lt;td&gt;其他&lt;/td&gt;\n&lt;td&gt;欧洲事业部&lt;/td&gt;\n&lt;td&gt;400,000.00&lt;/td&gt;\n&lt;td&gt;172,458.28&lt;/td&gt;\n&lt;td&gt;172,458.28&lt;/td&gt;\n&lt;/tr&gt;\n&lt;tr&gt;\n&lt;th&gt;6&lt;/th&gt;\n&lt;td&gt;其他&lt;/td&gt;\n&lt;td&gt;美洲大区&lt;/td&gt;\n&lt;td&gt;0.00&lt;/td&gt;\n&lt;td&gt;0.00&lt;/td&gt;\n&lt;td&gt;0.00&lt;/td&gt;\n&lt;/tr&gt;\n&lt;tr&gt;\n&lt;th&gt;7&lt;/th&gt;\n&lt;td&gt;新连锁开发-全球&lt;/td&gt;\n&lt;td&gt;亚太&lt;/td&gt;\n&lt;td&gt;0.00&lt;/td&gt;\n&lt;td&gt;0.00&lt;/td&gt;\n&lt;td&gt;0.00&lt;/td&gt;\n&lt;/tr&gt;\n&lt;tr&gt;\n&lt;th&gt;8&lt;/th&gt;\n&lt;td&gt;新连锁开发-全球&lt;/td&gt;\n&lt;td&gt;欧洲事业部&lt;/td&gt;\n&lt;td&gt;0.00&lt;/td&gt;\n&lt;td&gt;0.00&lt;/td&gt;\n&lt;td&gt;0.00&lt;/td&gt;\n&lt;/tr&gt;\n&lt;tr&gt;\n&lt;th&gt;9&lt;/th&gt;\n&lt;td&gt;新连锁开发-全球&lt;/td&gt;\n&lt;td&gt;美洲大区&lt;/td&gt;\n&lt;td&gt;970,000.00&lt;/td&gt;\n&lt;td&gt;0.00&lt;/td&gt;\n&lt;td&gt;0.00&lt;/td&gt;\n&lt;/tr&gt;\n&lt;tr&gt;\n&lt;th&gt;10&lt;/th&gt;\n&lt;td&gt;新连锁开发-区域&lt;/td&gt;\n&lt;td&gt;欧洲事业部&lt;/td&gt;\n&lt;td&gt;1,900,000.00&lt;/td&gt;\n&lt;td&gt;449,482.24&lt;/td&gt;\n&lt;td&gt;449,482.24&lt;/td&gt;\n&lt;/tr&gt;\n&lt;tr&gt;\n&lt;th&gt;11&lt;/th&gt;\n&lt;td&gt;新连锁开发-区域&lt;/td&gt;\n&lt;td&gt;美洲大区&lt;/td&gt;\n&lt;td&gt;0.00&lt;/td&gt;\n&lt;td&gt;1,156,865.73&lt;/td&gt;\n&lt;td&gt;636,332.73&lt;/td&gt;\n&lt;/tr&gt;\n&lt;tr&gt;\n&lt;th&gt;12&lt;/th&gt;\n&lt;td&gt;新连锁开发-区域&lt;/td&gt;\n&lt;td&gt;部门&lt;/td&gt;\n&lt;td&gt;0.00&lt;/td&gt;\n&lt;td&gt;0.00&lt;/td&gt;\n&lt;td&gt;0.00&lt;/td&gt;\n&lt;/tr&gt;\n&lt;tr&gt;\n&lt;th&gt;13&lt;/th&gt;\n&lt;td&gt;现有连锁增量&lt;/td&gt;\n&lt;td&gt;亚太&lt;/td&gt;\n&lt;td&gt;3,880,000.00&lt;/td&gt;\n&lt;td&gt;438,488.73&lt;/td&gt;\n&lt;td&gt;438,488.73&lt;/td&gt;\n&lt;/tr&gt;\n&lt;tr&gt;\n&lt;th&gt;14&lt;/th&gt;\n&lt;td&gt;现有连锁增量&lt;/td&gt;\n&lt;td&gt;亚非&lt;/td&gt;\n&lt;td&gt;0.00&lt;/td&gt;\n&lt;td&gt;155,114.97&lt;/td&gt;\n&lt;td&gt;0.00&lt;/td&gt;\n&lt;/tr&gt;\n&lt;tr&gt;\n&lt;th&gt;15&lt;/th&gt;\n&lt;td&gt;现有连锁增量&lt;/td&gt;\n&lt;td&gt;欧洲事业部&lt;/td&gt;\n&lt;td&gt;0.00&lt;/td&gt;\n&lt;td&gt;0.00&lt;/td&gt;\n&lt;td&gt;0.00&lt;/td&gt;\n&lt;/tr&gt;\n&lt;tr&gt;\n&lt;th&gt;16&lt;/th&gt;\n&lt;td&gt;现有连锁增量&lt;/td&gt;\n&lt;td&gt;美洲大区&lt;/td&gt;\n&lt;td&gt;1,030,000.00&lt;/td&gt;\n&lt;td&gt;2,461,498.29&lt;/td&gt;\n&lt;td&gt;1,496,199.26&lt;/td&gt;\n&lt;/tr&gt;\n&lt;tr&gt;\n&lt;th&gt;17&lt;/th&gt;\n&lt;td&gt;经销商增量-占比低&lt;/td&gt;\n&lt;td&gt;亚太&lt;/td&gt;\n&lt;td&gt;1,800,000.00&lt;/td&gt;\n&lt;td&gt;641,583.73&lt;/td&gt;\n&lt;td&gt;800,307.43&lt;/td&gt;\n&lt;/tr&gt;\n&lt;tr&gt;\n&lt;th&gt;18&lt;/th&gt;\n&lt;td&gt;经销商增量-占比低&lt;/td&gt;\n&lt;td&gt;亚非&lt;/td&gt;\n&lt;td&gt;1,310,000.00&lt;/td&gt;\n&lt;td&gt;1,501,064.40&lt;/td&gt;\n&lt;td&gt;466,456.17&lt;/td&gt;\n&lt;/tr&gt;\n&lt;tr&gt;\n&lt;th&gt;19&lt;/th&gt;\n&lt;td&gt;经销商增量-占比低&lt;/td&gt;\n&lt;td&gt;欧洲事业部&lt;/td&gt;\n&lt;td&gt;1,650,000.00&lt;/td&gt;\n&lt;td&gt;1,245,842.92&lt;/td&gt;\n&lt;td&gt;1,750,239.92&lt;/td&gt;\n&lt;/tr&gt;\n&lt;tr&gt;\n&lt;th&gt;20&lt;/th&gt;\n&lt;td&gt;经销商增量-占比低&lt;/td&gt;\n&lt;td&gt;美洲大区&lt;/td&gt;\n&lt;td&gt;0.00&lt;/td&gt;\n&lt;td&gt;696,972.02&lt;/td&gt;\n&lt;td&gt;689,856.00&lt;/td&gt;\n&lt;/tr&gt;\n&lt;tr&gt;\n&lt;th&gt;21&lt;/th&gt;\n&lt;td&gt;经销商增量-占比高&lt;/td&gt;\n&lt;td&gt;亚太&lt;/td&gt;\n&lt;td&gt;0.00&lt;/td&gt;\n&lt;td&gt;1,105,198.61&lt;/td&gt;\n&lt;td&gt;790,143.72&lt;/td&gt;\n&lt;/tr&gt;\n&lt;tr&gt;\n&lt;th&gt;22&lt;/th&gt;\n&lt;td&gt;经销商增量-占比高&lt;/td&gt;\n&lt;td&gt;亚非&lt;/td&gt;\n&lt;td&gt;950,000.00&lt;/td&gt;\n&lt;td&gt;2,710,513.34&lt;/td&gt;\n&lt;td&gt;233,937.39&lt;/td&gt;\n&lt;/tr&gt;\n&lt;tr&gt;\n&lt;th&gt;23&lt;/th&gt;\n&lt;td&gt;经销商增量-占比高&lt;/td&gt;\n&lt;td&gt;欧洲事业部&lt;/td&gt;\n&lt;td&gt;200,000.00&lt;/td&gt;\n&lt;td&gt;790,022.09&lt;/td&gt;\n&lt;td&gt;790,022.09&lt;/td&gt;\n&lt;/tr&gt;\n&lt;tr&gt;\n&lt;th&gt;24&lt;/th&gt;\n&lt;td&gt;经销商增量-占比高&lt;/td&gt;\n&lt;td&gt;美洲大区&lt;/td&gt;\n&lt;td&gt;0.00&lt;/td&gt;\n&lt;td&gt;805,917.00&lt;/td&gt;\n&lt;td&gt;805,917.00&lt;/td&gt;\n&lt;/tr&gt;\n&lt;tr&gt;\n&lt;th&gt;25&lt;/th&gt;\n&lt;td&gt;经销商开发-重点空白&lt;/td&gt;\n&lt;td&gt;亚太&lt;/td&gt;\n&lt;td&gt;830,000.00&lt;/td&gt;\n&lt;td&gt;535,761.06&lt;/td&gt;\n&lt;td&gt;323,824.10&lt;/td&gt;\n&lt;/tr&gt;\n&lt;tr&gt;\n&lt;th&gt;26&lt;/th&gt;\n&lt;td&gt;经销商开发-重点空白&lt;/td&gt;\n&lt;td&gt;亚非&lt;/td&gt;\n&lt;td&gt;740,000.00&lt;/td&gt;\n&lt;td&gt;1,008,319.03&lt;/td&gt;\n&lt;td&gt;1,008,319.03&lt;/td&gt;\n&lt;/tr&gt;\n&lt;tr&gt;\n&lt;th&gt;27&lt;/th&gt;\n&lt;td&gt;经销商开发-重点空白&lt;/td&gt;\n&lt;td&gt;欧洲事业部&lt;/td&gt;\n&lt;td&gt;940,000.00&lt;/td&gt;\n&lt;td&gt;816,574.34&lt;/td&gt;\n&lt;td&gt;816,574.34&lt;/td&gt;\n&lt;/tr&gt;\n&lt;tr&gt;\n&lt;th&gt;28&lt;/th&gt;\n&lt;td&gt;经销商开发-重点空白&lt;/td&gt;\n&lt;td&gt;美洲大区&lt;/td&gt;\n&lt;td&gt;0.00&lt;/td&gt;\n&lt;td&gt;20,773.00&lt;/td&gt;\n&lt;td&gt;20,773.00&lt;/td&gt;\n&lt;/tr&gt;\n&lt;/tbody&gt;\n&lt;/table&gt;\n&lt;/div&gt;&quot;},{&quot;event&quot;:&quot;html&quot;,&quot;data&quot;:&quot;&lt;div&gt;\n\n&lt;table border=\&quot;1\&quot; class=\&quot;dataframe\&quot;&gt;\n&lt;thead&gt;\n&lt;tr&gt;\n&lt;th&gt;&lt;/th&gt;\n&lt;th&gt;二级指标&lt;/th&gt;\n&lt;th&gt;部门&lt;/th&gt;\n&lt;th&gt;业务员&lt;/th&gt;\n&lt;th&gt;累计任务量&lt;/th&gt;\n&lt;th&gt;累计已开单金额&lt;/th&gt;\n&lt;th&gt;累计已开船金额&lt;/th&gt;\n&lt;/tr&gt;\n&lt;/thead&gt;\n&lt;tbody&gt;\n&lt;tr&gt;\n&lt;th&gt;0&lt;/th&gt;\n&lt;td&gt;ODM开发+增量&lt;/td&gt;\n&lt;td&gt;亚太&lt;/td&gt;\n&lt;td&gt;Sky&lt;/td&gt;\n&lt;td&gt;850,000.00&lt;/td&gt;\n&lt;td&gt;363,065.00&lt;/td&gt;\n&lt;td&gt;301,975.00&lt;/td&gt;\n&lt;/tr&gt;\n&lt;tr&gt;\n&lt;th&gt;1&lt;/th&gt;\n&lt;td&gt;ODM开发+增量&lt;/td&gt;\n&lt;td&gt;亚太&lt;/td&gt;\n&lt;td&gt;Sky-代\\n（待聘B）&lt;/td&gt;\n&lt;td&gt;200,000.00&lt;/td&gt;\n&lt;td&gt;203,457.56&lt;/td&gt;\n&lt;td&gt;118,142.89&lt;/td&gt;\n&lt;/tr&gt;\n&lt;tr&gt;\n&lt;th&gt;2&lt;/th&gt;\n&lt;td&gt;ODM开发+增量&lt;/td&gt;\n&lt;td&gt;欧洲事业部&lt;/td&gt;\n&lt;td&gt;Kaia&lt;/td&gt;\n&lt;td&gt;1,450,000.00&lt;/td&gt;\n&lt;td&gt;0.00&lt;/td&gt;\n&lt;td&gt;0.00&lt;/td&gt;\n&lt;/tr&gt;\n&lt;tr&gt;\n&lt;th&gt;3&lt;/th&gt;\n&lt;td&gt;ODM开发+增量&lt;/td&gt;\n&lt;td&gt;欧洲事业部&lt;/td&gt;\n&lt;td&gt;Marshall&lt;/td&gt;\n&lt;td&gt;1,700,000.00&lt;/td&gt;\n&lt;td&gt;553,088.78&lt;/td&gt;\n&lt;td&gt;1,157,327.69&lt;/td&gt;\n&lt;/tr&gt;\n&lt;tr&gt;\n&lt;th&gt;4&lt;/th&gt;\n&lt;td&gt;ODM开发+增量&lt;/td&gt;\n&lt;td&gt;欧洲事业部&lt;/td&gt;\n&lt;td&gt;Patrice&lt;/td&gt;\n&lt;td&gt;0.00&lt;/td&gt;\n&lt;td&gt;0.00&lt;/td&gt;\n&lt;td&gt;0.00&lt;/td&gt;\n&lt;/tr&gt;\n&lt;tr&gt;\n&lt;th&gt;5&lt;/th&gt;\n&lt;td&gt;ODM开发+增量&lt;/td&gt;\n&lt;td&gt;欧洲事业部&lt;/td&gt;\n&lt;td&gt;Shiv&lt;/td&gt;\n&lt;td&gt;1,150,000.00&lt;/td&gt;\n&lt;td&gt;1,263,256.42&lt;/td&gt;\n&lt;td&gt;1,247,871.10&lt;/td&gt;\n&lt;/tr&gt;\n&lt;tr&gt;\n&lt;th&gt;6&lt;/th&gt;\n&lt;td&gt;ODM开发+增量&lt;/td&gt;\n&lt;td&gt;美洲大区&lt;/td&gt;\n&lt;td&gt;Frank&lt;/td&gt;\n&lt;td&gt;0.00&lt;/td&gt;\n&lt;td&gt;673,732.00&lt;/td&gt;\n&lt;td&gt;284,975.00&lt;/td&gt;\n&lt;/tr&gt;\n&lt;tr&gt;\n&lt;th&gt;7&lt;/th&gt;\n&lt;td&gt;其他&lt;/td&gt;\n&lt;td&gt;亚太&lt;/td&gt;\n&lt;td&gt;Daisy-代\\n（待聘A）&lt;/td&gt;\n&lt;td&gt;0.00&lt;/td&gt;\n&lt;td&gt;0.00&lt;/td&gt;\n&lt;td&gt;0.00&lt;/td&gt;\n&lt;/tr&gt;\n&lt;tr&gt;\n&lt;th&gt;8&lt;/th&gt;\n&lt;td&gt;其他&lt;/td&gt;\n&lt;td&gt;亚太&lt;/td&gt;\n&lt;td&gt;Sky-代\\n（待聘B）&lt;/td&gt;\n&lt;td&gt;0.00&lt;/td&gt;\n&lt;td&gt;0.00&lt;/td&gt;\n&lt;td&gt;0.00&lt;/td&gt;\n&lt;/tr&gt;\n&lt;tr&gt;\n&lt;th&gt;9&lt;/th&gt;\n&lt;td&gt;其他&lt;/td&gt;\n&lt;td&gt;亚非&lt;/td&gt;\n&lt;td&gt;Abbott&lt;/td&gt;\n&lt;td&gt;0.00&lt;/td&gt;\n&lt;td&gt;947,960.97&lt;/td&gt;\n&lt;td&gt;0.00&lt;/td&gt;\n&lt;/tr&gt;\n&lt;tr&gt;\n&lt;th&gt;10&lt;/th&gt;\n&lt;td&gt;其他&lt;/td&gt;\n&lt;td&gt;亚非&lt;/td&gt;\n&lt;td&gt;Chloe&lt;/td&gt;\n&lt;td&gt;1,330,000.00&lt;/td&gt;\n&lt;td&gt;604,568.48&lt;/td&gt;\n&lt;td&gt;606,991.48&lt;/td&gt;\n&lt;/tr&gt;\n&lt;tr&gt;\n&lt;th&gt;11&lt;/th&gt;\n&lt;td&gt;其他&lt;/td&gt;\n&lt;td&gt;亚非&lt;/td&gt;\n&lt;td&gt;Shirley&lt;/td&gt;\n&lt;td&gt;0.00&lt;/td&gt;\n&lt;td&gt;788,483.77&lt;/td&gt;\n&lt;td&gt;626,431.93&lt;/td&gt;\n&lt;/tr&gt;\n&lt;tr&gt;\n&lt;th&gt;12&lt;/th&gt;\n&lt;td&gt;其他&lt;/td&gt;\n&lt;td&gt;亚非&lt;/td&gt;\n&lt;td&gt;Shirley代&lt;/td&gt;\n&lt;td&gt;0.00&lt;/td&gt;\n&lt;td&gt;0.00&lt;/td&gt;\n&lt;td&gt;0.00&lt;/td&gt;\n&lt;/tr&gt;\n&lt;tr&gt;\n&lt;th&gt;13&lt;/th&gt;\n&lt;td&gt;其他&lt;/td&gt;\n&lt;td&gt;欧洲事业部&lt;/td&gt;\n&lt;td&gt;Marshall&lt;/td&gt;\n&lt;td&gt;400,000.00&lt;/td&gt;\n&lt;td&gt;0.00&lt;/td&gt;\n&lt;td&gt;0.00&lt;/td&gt;\n&lt;/tr&gt;\n&lt;tr&gt;\n&lt;th&gt;14&lt;/th&gt;\n&lt;td&gt;其他&lt;/td&gt;\n&lt;td&gt;欧洲事业部&lt;/td&gt;\n&lt;td&gt;Patrice&lt;/td&gt;\n&lt;td&gt;0.00&lt;/td&gt;\n&lt;td&gt;172,458.28&lt;/td&gt;\n&lt;td&gt;172,458.28&lt;/td&gt;\n&lt;/tr&gt;\n&lt;tr&gt;\n&lt;th&gt;15&lt;/th&gt;\n&lt;td&gt;其他&lt;/td&gt;\n&lt;td&gt;美洲大区&lt;/td&gt;\n&lt;td&gt;Gordon&lt;/td&gt;\n&lt;td&gt;0.00&lt;/td&gt;\n&lt;td&gt;0.00&lt;/td&gt;\n&lt;td&gt;0.00&lt;/td&gt;\n&lt;/tr&gt;\n&lt;tr&gt;\n&lt;th&gt;16&lt;/th&gt;\n&lt;td&gt;新连锁开发-全球&lt;/td&gt;\n&lt;td&gt;美洲大区&lt;/td&gt;\n&lt;td&gt;Frank&lt;/td&gt;\n&lt;td&gt;970,000.00&lt;/td&gt;\n&lt;td&gt;0.00&lt;/td&gt;\n&lt;td&gt;0.00&lt;/td&gt;\n&lt;/tr&gt;\n&lt;tr&gt;\n&lt;th&gt;17&lt;/th&gt;\n&lt;td&gt;新连锁开发-区域&lt;/td&gt;\n&lt;td&gt;欧洲事业部&lt;/td&gt;\n&lt;td&gt;Kaia&lt;/td&gt;\n&lt;td&gt;1,500,000.00&lt;/td&gt;\n&lt;td&gt;330,787.31&lt;/td&gt;\n&lt;td&gt;330,787.31&lt;/td&gt;\n&lt;/tr&gt;\n&lt;tr&gt;\n&lt;th&gt;18&lt;/th&gt;\n&lt;td&gt;新连锁开发-区域&lt;/td&gt;\n&lt;td&gt;欧洲事业部&lt;/td&gt;\n&lt;td&gt;Marshall&lt;/td&gt;\n&lt;td&gt;0.00&lt;/td&gt;\n&lt;td&gt;0.00&lt;/td&gt;\n&lt;td&gt;0.00&lt;/td&gt;\n&lt;/tr&gt;\n&lt;tr&gt;\n&lt;th&gt;19&lt;/th&gt;\n&lt;td&gt;新连锁开发-区域&lt;/td&gt;\n&lt;td&gt;欧洲事业部&lt;/td&gt;\n&lt;td&gt;Patrice&lt;/td&gt;\n&lt;td&gt;400,000.00&lt;/td&gt;\n&lt;td&gt;118,694.93&lt;/td&gt;\n&lt;td&gt;118,694.93&lt;/td&gt;\n&lt;/tr&gt;\n&lt;tr&gt;\n&lt;th&gt;20&lt;/th&gt;\n&lt;td&gt;新连锁开发-区域&lt;/td&gt;\n&lt;td&gt;美洲大区&lt;/td&gt;\n&lt;td&gt;Gordon&lt;/td&gt;\n&lt;td&gt;0.00&lt;/td&gt;\n&lt;td&gt;1,156,865.73&lt;/td&gt;\n&lt;td&gt;636,332.73&lt;/td&gt;\n&lt;/tr&gt;\n&lt;tr&gt;\n&lt;th&gt;21&lt;/th&gt;\n&lt;td&gt;新连锁开发-区域&lt;/td&gt;\n&lt;td&gt;美洲大区&lt;/td&gt;\n&lt;td&gt;Mary&lt;/td&gt;\n&lt;td&gt;0.00&lt;/td&gt;\n&lt;td&gt;0.00&lt;/td&gt;\n&lt;td&gt;0.00&lt;/td&gt;\n&lt;/tr&gt;\n&lt;tr&gt;\n&lt;th&gt;22&lt;/th&gt;\n&lt;td&gt;新连锁开发-区域&lt;/td&gt;\n&lt;td&gt;部门&lt;/td&gt;\n&lt;td&gt;业务员&lt;/td&gt;\n&lt;td&gt;0.00&lt;/td&gt;\n&lt;td&gt;0.00&lt;/td&gt;\n&lt;td&gt;0.00&lt;/td&gt;\n&lt;/tr&gt;\n&lt;tr&gt;\n&lt;th&gt;23&lt;/th&gt;\n&lt;td&gt;现有连锁增量&lt;/td&gt;\n&lt;td&gt;亚太&lt;/td&gt;\n&lt;td&gt;Daisy&lt;/td&gt;\n&lt;td&gt;0.00&lt;/td&gt;\n&lt;td&gt;0.00&lt;/td&gt;\n&lt;td&gt;0.00&lt;/td&gt;\n&lt;/tr&gt;\n&lt;tr&gt;\n&lt;th&gt;24&lt;/th&gt;\n&lt;td&gt;现有连锁增量&lt;/td&gt;\n&lt;td&gt;亚太&lt;/td&gt;\n&lt;td&gt;Daisy-代\\n（待聘A）&lt;/td&gt;\n&lt;td&gt;1,360,000.00&lt;/td&gt;\n&lt;td&gt;330,877.53&lt;/td&gt;\n&lt;td&gt;330,877.53&lt;/td&gt;\n&lt;/tr&gt;\n&lt;tr&gt;\n&lt;th&gt;25&lt;/th&gt;\n&lt;td&gt;现有连锁增量&lt;/td&gt;\n&lt;td&gt;亚太&lt;/td&gt;\n&lt;td&gt;Sam&lt;/td&gt;\n&lt;td&gt;2,520,000.00&lt;/td&gt;\n&lt;td&gt;107,611.19&lt;/td&gt;\n&lt;td&gt;107,611.19&lt;/td&gt;\n&lt;/tr&gt;\n&lt;tr&gt;\n&lt;th&gt;26&lt;/th&gt;\n&lt;td&gt;现有连锁增量&lt;/td&gt;\n&lt;td&gt;亚非&lt;/td&gt;\n&lt;td&gt;Abbott&lt;/td&gt;\n&lt;td&gt;0.00&lt;/td&gt;\n&lt;td&gt;155,114.97&lt;/td&gt;\n&lt;td&gt;0.00&lt;/td&gt;\n&lt;/tr&gt;\n&lt;tr&gt;\n&lt;th&gt;27&lt;/th&gt;\n&lt;td&gt;现有连锁增量&lt;/td&gt;\n&lt;td&gt;欧洲事业部&lt;/td&gt;\n&lt;td&gt;Shiv&lt;/td&gt;\n&lt;td&gt;0.00&lt;/td&gt;\n&lt;td&gt;0.00&lt;/td&gt;\n&lt;td&gt;0.00&lt;/td&gt;\n&lt;/tr&gt;\n&lt;tr&gt;\n&lt;th&gt;28&lt;/th&gt;\n&lt;td&gt;现有连锁增量&lt;/td&gt;\n&lt;td&gt;美洲大区&lt;/td&gt;\n&lt;td&gt;Gordon&lt;/td&gt;\n&lt;td&gt;1,030,000.00&lt;/td&gt;\n&lt;td&gt;2,461,498.29&lt;/td&gt;\n&lt;td&gt;1,496,199.26&lt;/td&gt;\n&lt;/tr&gt;\n&lt;tr&gt;\n&lt;th&gt;29&lt;/th&gt;\n&lt;td&gt;经销商增量-占比低&lt;/td&gt;\n&lt;td&gt;亚太&lt;/td&gt;\n&lt;td&gt;Daisy-代\\n（待聘A）&lt;/td&gt;\n&lt;td&gt;1,300,000.00&lt;/td&gt;\n&lt;td&gt;113,633.51&lt;/td&gt;\n&lt;td&gt;113,633.51&lt;/td&gt;\n&lt;/tr&gt;\n&lt;tr&gt;\n&lt;th&gt;30&lt;/th&gt;\n&lt;td&gt;经销商增量-占比低&lt;/td&gt;\n&lt;td&gt;亚太&lt;/td&gt;\n&lt;td&gt;Sam&lt;/td&gt;\n&lt;td&gt;0.00&lt;/td&gt;\n&lt;td&gt;115,404.22&lt;/td&gt;\n&lt;td&gt;115,404.22&lt;/td&gt;\n&lt;/tr&gt;\n&lt;tr&gt;\n&lt;th&gt;31&lt;/th&gt;\n&lt;td&gt;经销商增量-占比低&lt;/td&gt;\n&lt;td&gt;亚太&lt;/td&gt;\n&lt;td&gt;Sky&lt;/td&gt;\n&lt;td&gt;500,000.00&lt;/td&gt;\n&lt;td&gt;412,546.00&lt;/td&gt;\n&lt;td&gt;571,269.70&lt;/td&gt;\n&lt;/tr&gt;\n&lt;tr&gt;\n&lt;th&gt;32&lt;/th&gt;\n&lt;td&gt;经销商增量-占比低&lt;/td&gt;\n&lt;td&gt;亚非&lt;/td&gt;\n&lt;td&gt;Abbott&lt;/td&gt;\n&lt;td&gt;1,310,000.00&lt;/td&gt;\n&lt;td&gt;1,248,296.39&lt;/td&gt;\n&lt;td&gt;213,688.16&lt;/td&gt;\n&lt;/tr&gt;\n&lt;tr&gt;\n&lt;th&gt;33&lt;/th&gt;\n&lt;td&gt;经销商增量-占比低&lt;/td&gt;\n&lt;td&gt;亚非&lt;/td&gt;\n&lt;td&gt;Chloe&lt;/td&gt;\n&lt;td&gt;0.00&lt;/td&gt;\n&lt;td&gt;252,768.01&lt;/td&gt;\n&lt;td&gt;252,768.01&lt;/td&gt;\n&lt;/tr&gt;\n&lt;tr&gt;\n&lt;th&gt;34&lt;/th&gt;\n&lt;td&gt;经销商增量-占比低&lt;/td&gt;\n&lt;td&gt;欧洲事业部&lt;/td&gt;\n&lt;td&gt;Marshall&lt;/td&gt;\n&lt;td&gt;0.00&lt;/td&gt;\n&lt;td&gt;475,592.33&lt;/td&gt;\n&lt;td&gt;475,592.33&lt;/td&gt;\n&lt;/tr&gt;\n&lt;tr&gt;\n&lt;th&gt;35&lt;/th&gt;\n&lt;td&gt;经销商增量-占比低&lt;/td&gt;\n&lt;td&gt;欧洲事业部&lt;/td&gt;\n&lt;td&gt;Patrice&lt;/td&gt;\n&lt;td&gt;750,000.00&lt;/td&gt;\n&lt;td&gt;291,561.09&lt;/td&gt;\n&lt;td&gt;291,561.09&lt;/td&gt;\n&lt;/tr&gt;\n&lt;tr&gt;\n&lt;th&gt;36&lt;/th&gt;\n&lt;td&gt;经销商增量-占比低&lt;/td&gt;\n&lt;td&gt;欧洲事业部&lt;/td&gt;\n&lt;td&gt;Shiv&lt;/td&gt;\n&lt;td&gt;900,000.00&lt;/td&gt;\n&lt;td&gt;478,689.50&lt;/td&gt;\n&lt;td&gt;983,086.50&lt;/td&gt;\n&lt;/tr&gt;\n&lt;tr&gt;\n&lt;th&gt;37&lt;/th&gt;\n&lt;td&gt;经销商增量-占比低&lt;/td&gt;\n&lt;td&gt;美洲大区&lt;/td&gt;\n&lt;td&gt;Gordon&lt;/td&gt;\n&lt;td&gt;0.00&lt;/td&gt;\n&lt;td&gt;696,972.02&lt;/td&gt;\n&lt;td&gt;689,856.00&lt;/td&gt;\n&lt;/tr&gt;\n&lt;tr&gt;\n&lt;th&gt;38&lt;/th&gt;\n&lt;td&gt;经销商增量-占比高&lt;/td&gt;\n&lt;td&gt;亚太&lt;/td&gt;\n&lt;td&gt;Daisy-代\\n（待聘A）&lt;/td&gt;\n&lt;td&gt;0.00&lt;/td&gt;\n&lt;td&gt;272,254.17&lt;/td&gt;\n&lt;td&gt;0.00&lt;/td&gt;\n&lt;/tr&gt;\n&lt;tr&gt;\n&lt;th&gt;39&lt;/th&gt;\n&lt;td&gt;经销商增量-占比高&lt;/td&gt;\n&lt;td&gt;亚太&lt;/td&gt;\n&lt;td&gt;Sky&lt;/td&gt;\n&lt;td&gt;0.00&lt;/td&gt;\n&lt;td&gt;832,944.44&lt;/td&gt;\n&lt;td&gt;790,143.72&lt;/td&gt;\n&lt;/tr&gt;\n&lt;tr&gt;\n&lt;th&gt;40&lt;/th&gt;\n&lt;td&gt;经销商增量-占比高&lt;/td&gt;\n&lt;td&gt;亚非&lt;/td&gt;\n&lt;td&gt;Jason-代&lt;/td&gt;\n&lt;td&gt;950,000.00&lt;/td&gt;\n&lt;td&gt;2,710,513.34&lt;/td&gt;\n&lt;td&gt;233,937.39&lt;/td&gt;\n&lt;/tr&gt;\n&lt;tr&gt;\n&lt;th&gt;41&lt;/th&gt;\n&lt;td&gt;经销商增量-占比高&lt;/td&gt;\n&lt;td&gt;欧洲事业部&lt;/td&gt;\n&lt;td&gt;Patrice&lt;/td&gt;\n&lt;td&gt;200,000.00&lt;/td&gt;\n&lt;td&gt;134,147.78&lt;/td&gt;\n&lt;td&gt;134,147.78&lt;/td&gt;\n&lt;/tr&gt;\n&lt;tr&gt;\n&lt;th&gt;42&lt;/th&gt;\n&lt;td&gt;经销商增量-占比高&lt;/td&gt;\n&lt;td&gt;欧洲事业部&lt;/td&gt;\n&lt;td&gt;Shiv&lt;/td&gt;\n&lt;td&gt;0.00&lt;/td&gt;\n&lt;td&gt;655,874.31&lt;/td&gt;\n&lt;td&gt;655,874.31&lt;/td&gt;\n&lt;/tr&gt;\n&lt;tr&gt;\n&lt;th&gt;43&lt;/th&gt;\n&lt;td&gt;经销商增量-占比高&lt;/td&gt;\n&lt;td&gt;美洲大区&lt;/td&gt;\n&lt;td&gt;Frank&lt;/td&gt;\n&lt;td&gt;0.00&lt;/td&gt;\n&lt;td&gt;805,917.00&lt;/td&gt;\n&lt;td&gt;805,917.00&lt;/td&gt;\n&lt;/tr&gt;\n&lt;tr&gt;\n&lt;th&gt;44&lt;/th&gt;\n&lt;td&gt;经销商开发-重点空白&lt;/td&gt;\n&lt;td&gt;亚太&lt;/td&gt;\n&lt;td&gt;Daisy&lt;/td&gt;\n&lt;td&gt;830,000.00&lt;/td&gt;\n&lt;td&gt;535,761.06&lt;/td&gt;\n&lt;td&gt;323,824.10&lt;/td&gt;\n&lt;/tr&gt;\n&lt;tr&gt;\n&lt;th&gt;45&lt;/th&gt;\n&lt;td&gt;经销商开发-重点空白&lt;/td&gt;\n&lt;td&gt;亚非&lt;/td&gt;\n&lt;td&gt;Shirley&lt;/td&gt;\n&lt;td&gt;740,000.00&lt;/td&gt;\n&lt;td&gt;1,008,319.03&lt;/td&gt;\n&lt;td&gt;1,008,319.03&lt;/td&gt;\n&lt;/tr&gt;\n&lt;tr&gt;\n&lt;th&gt;46&lt;/th&gt;\n&lt;td&gt;经销商开发-重点空白&lt;/td&gt;\n&lt;td&gt;欧洲事业部&lt;/td&gt;\n&lt;td&gt;Patrice&lt;/td&gt;\n&lt;td&gt;0.00&lt;/td&gt;\n&lt;td&gt;816,574.34&lt;/td&gt;\n&lt;td&gt;816,574.34&lt;/td&gt;\n&lt;/tr&gt;\n&lt;tr&gt;\n&lt;th&gt;47&lt;/th&gt;\n&lt;td&gt;经销商开发-重点空白&lt;/td&gt;\n&lt;td&gt;欧洲事业部&lt;/td&gt;\n&lt;td&gt;Shiv&lt;/td&gt;\n&lt;td&gt;940,000.00&lt;/td&gt;\n&lt;td&gt;0.00&lt;/td&gt;\n&lt;td&gt;0.00&lt;/td&gt;\n&lt;/tr&gt;\n&lt;tr&gt;\n&lt;th&gt;48&lt;/th&gt;\n&lt;td&gt;经销商开发-重点空白&lt;/td&gt;\n&lt;td&gt;美洲大区&lt;/td&gt;\n&lt;td&gt;Frank&lt;/td&gt;\n&lt;td&gt;0.00&lt;/td&gt;\n&lt;td&gt;20,773.00&lt;/td&gt;\n&lt;td&gt;20,773.00&lt;/td&gt;\n&lt;/tr&gt;\n&lt;/tbody&gt;\n&lt;/table&gt;\n&lt;/div&gt;&quot;}]"/>
    <wpswe:property key="scriptId" value="V2-1wy3oC50sqZ0rZIHbDZB7J"/>
  </wpswe:properties>
  <wpswe:watchingCache>
    <wpswe:linkPath>发货计划表Test（在线版）.xlsx</wpswe:linkPath>
  </wpswe:watchingCache>
  <wpswe:snapshot xmlns:r="http://schemas.openxmlformats.org/officeDocument/2006/relationships" r:embed="rId2"/>
  <wpswe:externalData xmlns:r="http://schemas.openxmlformats.org/officeDocument/2006/relationships" r:id="rId1"/>
  <wpswe:url>https://www.kdocs.cn/ksop/script/?version=d9e4c58938#/pytemplate</wpswe:url>
  <wpswe:constantSnapshot>false</wpswe:constantSnapshot>
</wpswe:webExtension>
</file>

<file path=xl/webExtensions/webExtension3.xml><?xml version="1.0" encoding="utf-8"?>
<wpswe:webExtension xmlns:wpswe="http://www.wps.cn/officeDocument/2018/webExtension" xmlns:webet="https://web.wps.cn/et/2018/main" webet:type="DataSource" type="1" webet:id="">
  <wpswe:extSource id="webet-pyShape" version="1.0"/>
  <wpswe:properties>
    <wpswe:property key="py_gaodemap" value="{&quot;type&quot;:&quot;gaoDeMap&quot;,&quot;web_api_key&quot;:&quot;5d89ad0e4374e203367425f76dfba6b2&quot;}"/>
    <wpswe:property key="pythonData" value="[{&quot;event&quot;:&quot;html&quot;,&quot;data&quot;:&quot;&lt;div&gt;\n\n&lt;table border=\&quot;1\&quot; class=\&quot;dataframe\&quot;&gt;\n&lt;thead&gt;\n&lt;tr&gt;\n&lt;th&gt;&lt;/th&gt;\n&lt;th&gt;二级指标&lt;/th&gt;\n&lt;th&gt;累计已开单金额&lt;/th&gt;\n&lt;th&gt;累计开单占比(%)&lt;/th&gt;\n&lt;th&gt;当月已开单金额&lt;/th&gt;\n&lt;th&gt;当月开单占比(%)&lt;/th&gt;\n&lt;/tr&gt;\n&lt;/thead&gt;\n&lt;tbody&gt;\n&lt;tr&gt;\n&lt;th&gt;0&lt;/th&gt;\n&lt;td&gt;ODM开发+增量&lt;/td&gt;\n&lt;td&gt;3,056,599.76&lt;/td&gt;\n&lt;td&gt;13.82&lt;/td&gt;\n&lt;td&gt;0.00&lt;/td&gt;\n&lt;td&gt;0.00&lt;/td&gt;\n&lt;/tr&gt;\n&lt;tr&gt;\n&lt;th&gt;1&lt;/th&gt;\n&lt;td&gt;其他&lt;/td&gt;\n&lt;td&gt;2,513,471.49&lt;/td&gt;\n&lt;td&gt;11.37&lt;/td&gt;\n&lt;td&gt;530,575.06&lt;/td&gt;\n&lt;td&gt;13.89&lt;/td&gt;\n&lt;/tr&gt;\n&lt;tr&gt;\n&lt;th&gt;2&lt;/th&gt;\n&lt;td&gt;新连锁开发-全球&lt;/td&gt;\n&lt;td&gt;0.00&lt;/td&gt;\n&lt;td&gt;0.00&lt;/td&gt;\n&lt;td&gt;0.00&lt;/td&gt;\n&lt;td&gt;0.00&lt;/td&gt;\n&lt;/tr&gt;\n&lt;tr&gt;\n&lt;th&gt;3&lt;/th&gt;\n&lt;td&gt;新连锁开发-区域&lt;/td&gt;\n&lt;td&gt;1,606,347.97&lt;/td&gt;\n&lt;td&gt;7.27&lt;/td&gt;\n&lt;td&gt;0.00&lt;/td&gt;\n&lt;td&gt;0.00&lt;/td&gt;\n&lt;/tr&gt;\n&lt;tr&gt;\n&lt;th&gt;4&lt;/th&gt;\n&lt;td&gt;现有连锁增量&lt;/td&gt;\n&lt;td&gt;3,055,101.99&lt;/td&gt;\n&lt;td&gt;13.82&lt;/td&gt;\n&lt;td&gt;0.00&lt;/td&gt;\n&lt;td&gt;0.00&lt;/td&gt;\n&lt;/tr&gt;\n&lt;tr&gt;\n&lt;th&gt;5&lt;/th&gt;\n&lt;td&gt;经销商增量-占比低&lt;/td&gt;\n&lt;td&gt;4,085,463.07&lt;/td&gt;\n&lt;td&gt;18.48&lt;/td&gt;\n&lt;td&gt;1,128,232.95&lt;/td&gt;\n&lt;td&gt;29.54&lt;/td&gt;\n&lt;/tr&gt;\n&lt;tr&gt;\n&lt;th&gt;6&lt;/th&gt;\n&lt;td&gt;经销商增量-占比高&lt;/td&gt;\n&lt;td&gt;5,411,651.04&lt;/td&gt;\n&lt;td&gt;24.48&lt;/td&gt;\n&lt;td&gt;1,451,494.62&lt;/td&gt;\n&lt;td&gt;38.01&lt;/td&gt;\n&lt;/tr&gt;\n&lt;tr&gt;\n&lt;th&gt;7&lt;/th&gt;\n&lt;td&gt;经销商开发-重点空白&lt;/td&gt;\n&lt;td&gt;2,381,427.43&lt;/td&gt;\n&lt;td&gt;10.77&lt;/td&gt;\n&lt;td&gt;708,754.51&lt;/td&gt;\n&lt;td&gt;18.56&lt;/td&gt;\n&lt;/tr&gt;\n&lt;/tbody&gt;\n&lt;/table&gt;\n&lt;/div&gt;&quot;},{&quot;event&quot;:&quot;html&quot;,&quot;data&quot;:&quot;&lt;div&gt;\n\n&lt;table border=\&quot;1\&quot; class=\&quot;dataframe\&quot;&gt;\n&lt;thead&gt;\n&lt;tr&gt;\n&lt;th&gt;&lt;/th&gt;\n&lt;th&gt;二级指标&lt;/th&gt;\n&lt;th&gt;部门&lt;/th&gt;\n&lt;th&gt;累计已开单金额&lt;/th&gt;\n&lt;th&gt;累计开单占比(%)&lt;/th&gt;\n&lt;/tr&gt;\n&lt;/thead&gt;\n&lt;tbody&gt;\n&lt;tr&gt;\n&lt;th&gt;0&lt;/th&gt;\n&lt;td&gt;ODM开发+增量&lt;/td&gt;\n&lt;td&gt;亚太&lt;/td&gt;\n&lt;td&gt;566,522.56&lt;/td&gt;\n&lt;td&gt;17.23&lt;/td&gt;\n&lt;/tr&gt;\n&lt;tr&gt;\n&lt;th&gt;1&lt;/th&gt;\n&lt;td&gt;ODM开发+增量&lt;/td&gt;\n&lt;td&gt;欧洲事业部&lt;/td&gt;\n&lt;td&gt;1,816,345.20&lt;/td&gt;\n&lt;td&gt;34.33&lt;/td&gt;\n&lt;/tr&gt;\n&lt;tr&gt;\n&lt;th&gt;2&lt;/th&gt;\n&lt;td&gt;ODM开发+增量&lt;/td&gt;\n&lt;td&gt;美洲大区&lt;/td&gt;\n&lt;td&gt;673,732.00&lt;/td&gt;\n&lt;td&gt;11.58&lt;/td&gt;\n&lt;/tr&gt;\n&lt;tr&gt;\n&lt;th&gt;3&lt;/th&gt;\n&lt;td&gt;其他&lt;/td&gt;\n&lt;td&gt;亚太&lt;/td&gt;\n&lt;td&gt;0.00&lt;/td&gt;\n&lt;td&gt;0.00&lt;/td&gt;\n&lt;/tr&gt;\n&lt;tr&gt;\n&lt;th&gt;4&lt;/th&gt;\n&lt;td&gt;其他&lt;/td&gt;\n&lt;td&gt;亚非&lt;/td&gt;\n&lt;td&gt;2,341,013.21&lt;/td&gt;\n&lt;td&gt;30.34&lt;/td&gt;\n&lt;/tr&gt;\n&lt;tr&gt;\n&lt;th&gt;5&lt;/th&gt;\n&lt;td&gt;其他&lt;/td&gt;\n&lt;td&gt;欧洲事业部&lt;/td&gt;\n&lt;td&gt;172,458.28&lt;/td&gt;\n&lt;td&gt;3.26&lt;/td&gt;\n&lt;/tr&gt;\n&lt;tr&gt;\n&lt;th&gt;6&lt;/th&gt;\n&lt;td&gt;其他&lt;/td&gt;\n&lt;td&gt;美洲大区&lt;/td&gt;\n&lt;td&gt;0.00&lt;/td&gt;\n&lt;td&gt;0.00&lt;/td&gt;\n&lt;/tr&gt;\n&lt;tr&gt;\n&lt;th&gt;7&lt;/th&gt;\n&lt;td&gt;新连锁开发-全球&lt;/td&gt;\n&lt;td&gt;亚太&lt;/td&gt;\n&lt;td&gt;0.00&lt;/td&gt;\n&lt;td&gt;0.00&lt;/td&gt;\n&lt;/tr&gt;\n&lt;tr&gt;\n&lt;th&gt;8&lt;/th&gt;\n&lt;td&gt;新连锁开发-全球&lt;/td&gt;\n&lt;td&gt;欧洲事业部&lt;/td&gt;\n&lt;td&gt;0.00&lt;/td&gt;\n&lt;td&gt;0.00&lt;/td&gt;\n&lt;/tr&gt;\n&lt;tr&gt;\n&lt;th&gt;9&lt;/th&gt;\n&lt;td&gt;新连锁开发-全球&lt;/td&gt;\n&lt;td&gt;美洲大区&lt;/td&gt;\n&lt;td&gt;0.00&lt;/td&gt;\n&lt;td&gt;0.00&lt;/td&gt;\n&lt;/tr&gt;\n&lt;tr&gt;\n&lt;th&gt;10&lt;/th&gt;\n&lt;td&gt;新连锁开发-区域&lt;/td&gt;\n&lt;td&gt;欧洲事业部&lt;/td&gt;\n&lt;td&gt;449,482.24&lt;/td&gt;\n&lt;td&gt;8.50&lt;/td&gt;\n&lt;/tr&gt;\n&lt;tr&gt;\n&lt;th&gt;11&lt;/th&gt;\n&lt;td&gt;新连锁开发-区域&lt;/td&gt;\n&lt;td&gt;美洲大区&lt;/td&gt;\n&lt;td&gt;1,156,865.73&lt;/td&gt;\n&lt;td&gt;19.89&lt;/td&gt;\n&lt;/tr&gt;\n&lt;tr&gt;\n&lt;th&gt;12&lt;/th&gt;\n&lt;td&gt;新连锁开发-区域&lt;/td&gt;\n&lt;td&gt;部门&lt;/td&gt;\n&lt;td&gt;0.00&lt;/td&gt;\n&lt;td&gt;0.00&lt;/td&gt;\n&lt;/tr&gt;\n&lt;tr&gt;\n&lt;th&gt;13&lt;/th&gt;\n&lt;td&gt;现有连锁增量&lt;/td&gt;\n&lt;td&gt;亚太&lt;/td&gt;\n&lt;td&gt;438,488.73&lt;/td&gt;\n&lt;td&gt;13.34&lt;/td&gt;\n&lt;/tr&gt;\n&lt;tr&gt;\n&lt;th&gt;14&lt;/th&gt;\n&lt;td&gt;现有连锁增量&lt;/td&gt;\n&lt;td&gt;亚非&lt;/td&gt;\n&lt;td&gt;155,114.97&lt;/td&gt;\n&lt;td&gt;2.01&lt;/td&gt;\n&lt;/tr&gt;\n&lt;tr&gt;\n&lt;th&gt;15&lt;/th&gt;\n&lt;td&gt;现有连锁增量&lt;/td&gt;\n&lt;td&gt;欧洲事业部&lt;/td&gt;\n&lt;td&gt;0.00&lt;/td&gt;\n&lt;td&gt;0.00&lt;/td&gt;\n&lt;/tr&gt;\n&lt;tr&gt;\n&lt;th&gt;16&lt;/th&gt;\n&lt;td&gt;现有连锁增量&lt;/td&gt;\n&lt;td&gt;美洲大区&lt;/td&gt;\n&lt;td&gt;2,461,498.29&lt;/td&gt;\n&lt;td&gt;42.32&lt;/td&gt;\n&lt;/tr&gt;\n&lt;tr&gt;\n&lt;th&gt;17&lt;/th&gt;\n&lt;td&gt;经销商增量-占比低&lt;/td&gt;\n&lt;td&gt;亚太&lt;/td&gt;\n&lt;td&gt;641,583.73&lt;/td&gt;\n&lt;td&gt;19.52&lt;/td&gt;\n&lt;/tr&gt;\n&lt;tr&gt;\n&lt;th&gt;18&lt;/th&gt;\n&lt;td&gt;经销商增量-占比低&lt;/td&gt;\n&lt;td&gt;亚非&lt;/td&gt;\n&lt;td&gt;1,501,064.40&lt;/td&gt;\n&lt;td&gt;19.45&lt;/td&gt;\n&lt;/tr&gt;\n&lt;tr&gt;\n&lt;th&gt;19&lt;/th&gt;\n&lt;td&gt;经销商增量-占比低&lt;/td&gt;\n&lt;td&gt;欧洲事业部&lt;/td&gt;\n&lt;td&gt;1,245,842.92&lt;/td&gt;\n&lt;td&gt;23.55&lt;/td&gt;\n&lt;/tr&gt;\n&lt;tr&gt;\n&lt;th&gt;20&lt;/th&gt;\n&lt;td&gt;经销商增量-占比低&lt;/td&gt;\n&lt;td&gt;美洲大区&lt;/td&gt;\n&lt;td&gt;696,972.02&lt;/td&gt;\n&lt;td&gt;11.98&lt;/td&gt;\n&lt;/tr&gt;\n&lt;tr&gt;\n&lt;th&gt;21&lt;/th&gt;\n&lt;td&gt;经销商增量-占比高&lt;/td&gt;\n&lt;td&gt;亚太&lt;/td&gt;\n&lt;td&gt;1,105,198.61&lt;/td&gt;\n&lt;td&gt;33.62&lt;/td&gt;\n&lt;/tr&gt;\n&lt;tr&gt;\n&lt;th&gt;22&lt;/th&gt;\n&lt;td&gt;经销商增量-占比高&lt;/td&gt;\n&lt;td&gt;亚非&lt;/td&gt;\n&lt;td&gt;2,710,513.34&lt;/td&gt;\n&lt;td&gt;35.13&lt;/td&gt;\n&lt;/tr&gt;\n&lt;tr&gt;\n&lt;th&gt;23&lt;/th&gt;\n&lt;td&gt;经销商增量-占比高&lt;/td&gt;\n&lt;td&gt;欧洲事业部&lt;/td&gt;\n&lt;td&gt;790,022.09&lt;/td&gt;\n&lt;td&gt;14.93&lt;/td&gt;\n&lt;/tr&gt;\n&lt;tr&gt;\n&lt;th&gt;24&lt;/th&gt;\n&lt;td&gt;经销商增量-占比高&lt;/td&gt;\n&lt;td&gt;美洲大区&lt;/td&gt;\n&lt;td&gt;805,917.00&lt;/td&gt;\n&lt;td&gt;13.86&lt;/td&gt;\n&lt;/tr&gt;\n&lt;tr&gt;\n&lt;th&gt;25&lt;/th&gt;\n&lt;td&gt;经销商开发-重点空白&lt;/td&gt;\n&lt;td&gt;亚太&lt;/td&gt;\n&lt;td&gt;535,761.06&lt;/td&gt;\n&lt;td&gt;16.30&lt;/td&gt;\n&lt;/tr&gt;\n&lt;tr&gt;\n&lt;th&gt;26&lt;/th&gt;\n&lt;td&gt;经销商开发-重点空白&lt;/td&gt;\n&lt;td&gt;亚非&lt;/td&gt;\n&lt;td&gt;1,008,319.03&lt;/td&gt;\n&lt;td&gt;13.07&lt;/td&gt;\n&lt;/tr&gt;\n&lt;tr&gt;\n&lt;th&gt;27&lt;/th&gt;\n&lt;td&gt;经销商开发-重点空白&lt;/td&gt;\n&lt;td&gt;欧洲事业部&lt;/td&gt;\n&lt;td&gt;816,574.34&lt;/td&gt;\n&lt;td&gt;15.43&lt;/td&gt;\n&lt;/tr&gt;\n&lt;tr&gt;\n&lt;th&gt;28&lt;/th&gt;\n&lt;td&gt;经销商开发-重点空白&lt;/td&gt;\n&lt;td&gt;美洲大区&lt;/td&gt;\n&lt;td&gt;20,773.00&lt;/td&gt;\n&lt;td&gt;0.36&lt;/td&gt;\n&lt;/tr&gt;\n&lt;/tbody&gt;\n&lt;/table&gt;\n&lt;/div&gt;&quot;},{&quot;event&quot;:&quot;html&quot;,&quot;data&quot;:&quot;&lt;div&gt;\n\n&lt;table border=\&quot;1\&quot; class=\&quot;dataframe\&quot;&gt;\n&lt;thead&gt;\n&lt;tr&gt;\n&lt;th&gt;&lt;/th&gt;\n&lt;th&gt;二级指标&lt;/th&gt;\n&lt;th&gt;部门&lt;/th&gt;\n&lt;th&gt;业务员&lt;/th&gt;\n&lt;th&gt;累计已开单金额&lt;/th&gt;\n&lt;th&gt;累计开单占比(%)&lt;/th&gt;\n&lt;/tr&gt;\n&lt;/thead&gt;\n&lt;tbody&gt;\n&lt;tr&gt;\n&lt;th&gt;0&lt;/th&gt;\n&lt;td&gt;ODM开发+增量&lt;/td&gt;\n&lt;td&gt;亚太&lt;/td&gt;\n&lt;td&gt;Sky&lt;/td&gt;\n&lt;td&gt;363,065.00&lt;/td&gt;\n&lt;td&gt;22.57&lt;/td&gt;\n&lt;/tr&gt;\n&lt;tr&gt;\n&lt;th&gt;1&lt;/th&gt;\n&lt;td&gt;ODM开发+增量&lt;/td&gt;\n&lt;td&gt;亚太&lt;/td&gt;\n&lt;td&gt;Sky-代\\n（待聘B）&lt;/td&gt;\n&lt;td&gt;203,457.56&lt;/td&gt;\n&lt;td&gt;100.00&lt;/td&gt;\n&lt;/tr&gt;\n&lt;tr&gt;\n&lt;th&gt;2&lt;/th&gt;\n&lt;td&gt;ODM开发+增量&lt;/td&gt;\n&lt;td&gt;欧洲事业部&lt;/td&gt;\n&lt;td&gt;Kaia&lt;/td&gt;\n&lt;td&gt;0.00&lt;/td&gt;\n&lt;td&gt;0.00&lt;/td&gt;\n&lt;/tr&gt;\n&lt;tr&gt;\n&lt;th&gt;3&lt;/th&gt;\n&lt;td&gt;ODM开发+增量&lt;/td&gt;\n&lt;td&gt;欧洲事业部&lt;/td&gt;\n&lt;td&gt;Marshall&lt;/td&gt;\n&lt;td&gt;553,088.78&lt;/td&gt;\n&lt;td&gt;53.77&lt;/td&gt;\n&lt;/tr&gt;\n&lt;tr&gt;\n&lt;th&gt;4&lt;/th&gt;\n&lt;td&gt;ODM开发+增量&lt;/td&gt;\n&lt;td&gt;欧洲事业部&lt;/td&gt;\n&lt;td&gt;Patrice&lt;/td&gt;\n&lt;td&gt;0.00&lt;/td&gt;\n&lt;td&gt;0.00&lt;/td&gt;\n&lt;/tr&gt;\n&lt;tr&gt;\n&lt;th&gt;5&lt;/th&gt;\n&lt;td&gt;ODM开发+增量&lt;/td&gt;\n&lt;td&gt;欧洲事业部&lt;/td&gt;\n&lt;td&gt;Shiv&lt;/td&gt;\n&lt;td&gt;1,263,256.42&lt;/td&gt;\n&lt;td&gt;52.68&lt;/td&gt;\n&lt;/tr&gt;\n&lt;tr&gt;\n&lt;th&gt;6&lt;/th&gt;\n&lt;td&gt;ODM开发+增量&lt;/td&gt;\n&lt;td&gt;美洲大区&lt;/td&gt;\n&lt;td&gt;Frank&lt;/td&gt;\n&lt;td&gt;673,732.00&lt;/td&gt;\n&lt;td&gt;44.90&lt;/td&gt;\n&lt;/tr&gt;\n&lt;tr&gt;\n&lt;th&gt;7&lt;/th&gt;\n&lt;td&gt;其他&lt;/td&gt;\n&lt;td&gt;亚太&lt;/td&gt;\n&lt;td&gt;Daisy-代\\n（待聘A）&lt;/td&gt;\n&lt;td&gt;0.00&lt;/td&gt;\n&lt;td&gt;0.00&lt;/td&gt;\n&lt;/tr&gt;\n&lt;tr&gt;\n&lt;th&gt;8&lt;/th&gt;\n&lt;td&gt;其他&lt;/td&gt;\n&lt;td&gt;亚太&lt;/td&gt;\n&lt;td&gt;Sky-代\\n（待聘B）&lt;/td&gt;\n&lt;td&gt;0.00&lt;/td&gt;\n&lt;td&gt;0.00&lt;/td&gt;\n&lt;/tr&gt;\n&lt;tr&gt;\n&lt;th&gt;9&lt;/th&gt;\n&lt;td&gt;其他&lt;/td&gt;\n&lt;td&gt;亚非&lt;/td&gt;\n&lt;td&gt;Abbott&lt;/td&gt;\n&lt;td&gt;947,960.97&lt;/td&gt;\n&lt;td&gt;40.32&lt;/td&gt;\n&lt;/tr&gt;\n&lt;tr&gt;\n&lt;th&gt;10&lt;/th&gt;\n&lt;td&gt;其他&lt;/td&gt;\n&lt;td&gt;亚非&lt;/td&gt;\n&lt;td&gt;Chloe&lt;/td&gt;\n&lt;td&gt;604,568.48&lt;/td&gt;\n&lt;td&gt;70.52&lt;/td&gt;\n&lt;/tr&gt;\n&lt;tr&gt;\n&lt;th&gt;11&lt;/th&gt;\n&lt;td&gt;其他&lt;/td&gt;\n&lt;td&gt;亚非&lt;/td&gt;\n&lt;td&gt;Shirley&lt;/td&gt;\n&lt;td&gt;788,483.77&lt;/td&gt;\n&lt;td&gt;43.88&lt;/td&gt;\n&lt;/tr&gt;\n&lt;tr&gt;\n&lt;th&gt;12&lt;/th&gt;\n&lt;td&gt;其他&lt;/td&gt;\n&lt;td&gt;亚非&lt;/td&gt;\n&lt;td&gt;Shirley代&lt;/td&gt;\n&lt;td&gt;0.00&lt;/td&gt;\n&lt;td&gt;0.00&lt;/td&gt;\n&lt;/tr&gt;\n&lt;tr&gt;\n&lt;th&gt;13&lt;/th&gt;\n&lt;td&gt;其他&lt;/td&gt;\n&lt;td&gt;欧洲事业部&lt;/td&gt;\n&lt;td&gt;Marshall&lt;/td&gt;\n&lt;td&gt;0.00&lt;/td&gt;\n&lt;td&gt;0.00&lt;/td&gt;\n&lt;/tr&gt;\n&lt;tr&gt;\n&lt;th&gt;14&lt;/th&gt;\n&lt;td&gt;其他&lt;/td&gt;\n&lt;td&gt;欧洲事业部&lt;/td&gt;\n&lt;td&gt;Patrice&lt;/td&gt;\n&lt;td&gt;172,458.28&lt;/td&gt;\n&lt;td&gt;11.25&lt;/td&gt;\n&lt;/tr&gt;\n&lt;tr&gt;\n&lt;th&gt;15&lt;/th&gt;\n&lt;td&gt;其他&lt;/td&gt;\n&lt;td&gt;美洲大区&lt;/td&gt;\n&lt;td&gt;Gordon&lt;/td&gt;\n&lt;td&gt;0.00&lt;/td&gt;\n&lt;td&gt;0.00&lt;/td&gt;\n&lt;/tr&gt;\n&lt;tr&gt;\n&lt;th&gt;16&lt;/th&gt;\n&lt;td&gt;新连锁开发-全球&lt;/td&gt;\n&lt;td&gt;美洲大区&lt;/td&gt;\n&lt;td&gt;Frank&lt;/td&gt;\n&lt;td&gt;0.00&lt;/td&gt;\n&lt;td&gt;0.00&lt;/td&gt;\n&lt;/tr&gt;\n&lt;tr&gt;\n&lt;th&gt;17&lt;/th&gt;\n&lt;td&gt;新连锁开发-区域&lt;/td&gt;\n&lt;td&gt;欧洲事业部&lt;/td&gt;\n&lt;td&gt;Kaia&lt;/td&gt;\n&lt;td&gt;330,787.31&lt;/td&gt;\n&lt;td&gt;100.00&lt;/td&gt;\n&lt;/tr&gt;\n&lt;tr&gt;\n&lt;th&gt;18&lt;/th&gt;\n&lt;td&gt;新连锁开发-区域&lt;/td&gt;\n&lt;td&gt;欧洲事业部&lt;/td&gt;\n&lt;td&gt;Marshall&lt;/td&gt;\n&lt;td&gt;0.00&lt;/td&gt;\n&lt;td&gt;0.00&lt;/td&gt;\n&lt;/tr&gt;\n&lt;tr&gt;\n&lt;th&gt;19&lt;/th&gt;\n&lt;td&gt;新连锁开发-区域&lt;/td&gt;\n&lt;td&gt;欧洲事业部&lt;/td&gt;\n&lt;td&gt;Patrice&lt;/td&gt;\n&lt;td&gt;118,694.93&lt;/td&gt;\n&lt;td&gt;7.74&lt;/td&gt;\n&lt;/tr&gt;\n&lt;tr&gt;\n&lt;th&gt;20&lt;/th&gt;\n&lt;td&gt;新连锁开发-区域&lt;/td&gt;\n&lt;td&gt;美洲大区&lt;/td&gt;\n&lt;td&gt;Gordon&lt;/td&gt;\n&lt;td&gt;1,156,865.73&lt;/td&gt;\n&lt;td&gt;26.81&lt;/td&gt;\n&lt;/tr&gt;\n&lt;tr&gt;\n&lt;th&gt;21&lt;/th&gt;\n&lt;td&gt;新连锁开发-区域&lt;/td&gt;\n&lt;td&gt;美洲大区&lt;/td&gt;\n&lt;td&gt;Mary&lt;/td&gt;\n&lt;td&gt;0.00&lt;/td&gt;\n&lt;td&gt;0.00&lt;/td&gt;\n&lt;/tr&gt;\n&lt;tr&gt;\n&lt;th&gt;22&lt;/th&gt;\n&lt;td&gt;新连锁开发-区域&lt;/td&gt;\n&lt;td&gt;部门&lt;/td&gt;\n&lt;td&gt;业务员&lt;/td&gt;\n&lt;td&gt;0.00&lt;/td&gt;\n&lt;td&gt;0.00&lt;/td&gt;\n&lt;/tr&gt;\n&lt;tr&gt;\n&lt;th&gt;23&lt;/th&gt;\n&lt;td&gt;现有连锁增量&lt;/td&gt;\n&lt;td&gt;亚太&lt;/td&gt;\n&lt;td&gt;Daisy&lt;/td&gt;\n&lt;td&gt;0.00&lt;/td&gt;\n&lt;td&gt;0.00&lt;/td&gt;\n&lt;/tr&gt;\n&lt;tr&gt;\n&lt;th&gt;24&lt;/th&gt;\n&lt;td&gt;现有连锁增量&lt;/td&gt;\n&lt;td&gt;亚太&lt;/td&gt;\n&lt;td&gt;Daisy-代\\n（待聘A）&lt;/td&gt;\n&lt;td&gt;330,877.53&lt;/td&gt;\n&lt;td&gt;46.16&lt;/td&gt;\n&lt;/tr&gt;\n&lt;tr&gt;\n&lt;th&gt;25&lt;/th&gt;\n&lt;td&gt;现有连锁增量&lt;/td&gt;\n&lt;td&gt;亚太&lt;/td&gt;\n&lt;td&gt;Sam&lt;/td&gt;\n&lt;td&gt;107,611.19&lt;/td&gt;\n&lt;td&gt;48.25&lt;/td&gt;\n&lt;/tr&gt;\n&lt;tr&gt;\n&lt;th&gt;26&lt;/th&gt;\n&lt;td&gt;现有连锁增量&lt;/td&gt;\n&lt;td&gt;亚非&lt;/td&gt;\n&lt;td&gt;Abbott&lt;/td&gt;\n&lt;td&gt;155,114.97&lt;/td&gt;\n&lt;td&gt;6.60&lt;/td&gt;\n&lt;/tr&gt;\n&lt;tr&gt;\n&lt;th&gt;27&lt;/th&gt;\n&lt;td&gt;现有连锁增量&lt;/td&gt;\n&lt;td&gt;欧洲事业部&lt;/td&gt;\n&lt;td&gt;Shiv&lt;/td&gt;\n&lt;td&gt;0.00&lt;/td&gt;\n&lt;td&gt;0.00&lt;/td&gt;\n&lt;/tr&gt;\n&lt;tr&gt;\n&lt;th&gt;28&lt;/th&gt;\n&lt;td&gt;现有连锁增量&lt;/td&gt;\n&lt;td&gt;美洲大区&lt;/td&gt;\n&lt;td&gt;Gordon&lt;/td&gt;\n&lt;td&gt;2,461,498.29&lt;/td&gt;\n&lt;td&gt;57.04&lt;/td&gt;\n&lt;/tr&gt;\n&lt;tr&gt;\n&lt;th&gt;29&lt;/th&gt;\n&lt;td&gt;经销商增量-占比低&lt;/td&gt;\n&lt;td&gt;亚太&lt;/td&gt;\n&lt;td&gt;Daisy-代\\n（待聘A）&lt;/td&gt;\n&lt;td&gt;113,633.51&lt;/td&gt;\n&lt;td&gt;15.85&lt;/td&gt;\n&lt;/tr&gt;\n&lt;tr&gt;\n&lt;th&gt;30&lt;/th&gt;\n&lt;td&gt;经销商增量-占比低&lt;/td&gt;\n&lt;td&gt;亚太&lt;/td&gt;\n&lt;td&gt;Sam&lt;/td&gt;\n&lt;td&gt;115,404.22&lt;/td&gt;\n&lt;td&gt;51.75&lt;/td&gt;\n&lt;/tr&gt;\n&lt;tr&gt;\n&lt;th&gt;31&lt;/th&gt;\n&lt;td&gt;经销商增量-占比低&lt;/td&gt;\n&lt;td&gt;亚太&lt;/td&gt;\n&lt;td&gt;Sky&lt;/td&gt;\n&lt;td&gt;412,546.00&lt;/td&gt;\n&lt;td&gt;25.65&lt;/td&gt;\n&lt;/tr&gt;\n&lt;tr&gt;\n&lt;th&gt;32&lt;/th&gt;\n&lt;td&gt;经销商增量-占比低&lt;/td&gt;\n&lt;td&gt;亚非&lt;/td&gt;\n&lt;td&gt;Abbott&lt;/td&gt;\n&lt;td&gt;1,248,296.39&lt;/td&gt;\n&lt;td&gt;53.09&lt;/td&gt;\n&lt;/tr&gt;\n&lt;tr&gt;\n&lt;th&gt;33&lt;/th&gt;\n&lt;td&gt;经销商增量-占比低&lt;/td&gt;\n&lt;td&gt;亚非&lt;/td&gt;\n&lt;td&gt;Chloe&lt;/td&gt;\n&lt;td&gt;252,768.01&lt;/td&gt;\n&lt;td&gt;29.48&lt;/td&gt;\n&lt;/tr&gt;\n&lt;tr&gt;\n&lt;th&gt;34&lt;/th&gt;\n&lt;td&gt;经销商增量-占比低&lt;/td&gt;\n&lt;td&gt;欧洲事业部&lt;/td&gt;\n&lt;td&gt;Marshall&lt;/td&gt;\n&lt;td&gt;475,592.33&lt;/td&gt;\n&lt;td&gt;46.23&lt;/td&gt;\n&lt;/tr&gt;\n&lt;tr&gt;\n&lt;th&gt;35&lt;/th&gt;\n&lt;td&gt;经销商增量-占比低&lt;/td&gt;\n&lt;td&gt;欧洲事业部&lt;/td&gt;\n&lt;td&gt;Patrice&lt;/td&gt;\n&lt;td&gt;291,561.09&lt;/td&gt;\n&lt;td&gt;19.01&lt;/td&gt;\n&lt;/tr&gt;\n&lt;tr&gt;\n&lt;th&gt;36&lt;/th&gt;\n&lt;td&gt;经销商增量-占比低&lt;/td&gt;\n&lt;td&gt;欧洲事业部&lt;/td&gt;\n&lt;td&gt;Shiv&lt;/td&gt;\n&lt;td&gt;478,689.50&lt;/td&gt;\n&lt;td&gt;19.96&lt;/td&gt;\n&lt;/tr&gt;\n&lt;tr&gt;\n&lt;th&gt;37&lt;/th&gt;\n&lt;td&gt;经销商增量-占比低&lt;/td&gt;\n&lt;td&gt;美洲大区&lt;/td&gt;\n&lt;td&gt;Gordon&lt;/td&gt;\n&lt;td&gt;696,972.02&lt;/td&gt;\n&lt;td&gt;16.15&lt;/td&gt;\n&lt;/tr&gt;\n&lt;tr&gt;\n&lt;th&gt;38&lt;/th&gt;\n&lt;td&gt;经销商增量-占比高&lt;/td&gt;\n&lt;td&gt;亚太&lt;/td&gt;\n&lt;td&gt;Daisy-代\\n（待聘A）&lt;/td&gt;\n&lt;td&gt;272,254.17&lt;/td&gt;\n&lt;td&gt;37.98&lt;/td&gt;\n&lt;/tr&gt;\n&lt;tr&gt;\n&lt;th&gt;39&lt;/th&gt;\n&lt;td&gt;经销商增量-占比高&lt;/td&gt;\n&lt;td&gt;亚太&lt;/td&gt;\n&lt;td&gt;Sky&lt;/td&gt;\n&lt;td&gt;832,944.44&lt;/td&gt;\n&lt;td&gt;51.78&lt;/td&gt;\n&lt;/tr&gt;\n&lt;tr&gt;\n&lt;th&gt;40&lt;/th&gt;\n&lt;td&gt;经销商增量-占比高&lt;/td&gt;\n&lt;td&gt;亚非&lt;/td&gt;\n&lt;td&gt;Jason-代&lt;/td&gt;\n&lt;td&gt;2,710,513.34&lt;/td&gt;\n&lt;td&gt;100.00&lt;/td&gt;\n&lt;/tr&gt;\n&lt;tr&gt;\n&lt;th&gt;41&lt;/th&gt;\n&lt;td&gt;经销商增量-占比高&lt;/td&gt;\n&lt;td&gt;欧洲事业部&lt;/td&gt;\n&lt;td&gt;Patrice&lt;/td&gt;\n&lt;td&gt;134,147.78&lt;/td&gt;\n&lt;td&gt;8.75&lt;/td&gt;\n&lt;/tr&gt;\n&lt;tr&gt;\n&lt;th&gt;42&lt;/th&gt;\n&lt;td&gt;经销商增量-占比高&lt;/td&gt;\n&lt;td&gt;欧洲事业部&lt;/td&gt;\n&lt;td&gt;Shiv&lt;/td&gt;\n&lt;td&gt;655,874.31&lt;/td&gt;\n&lt;td&gt;27.35&lt;/td&gt;\n&lt;/tr&gt;\n&lt;tr&gt;\n&lt;th&gt;43&lt;/th&gt;\n&lt;td&gt;经销商增量-占比高&lt;/td&gt;\n&lt;td&gt;美洲大区&lt;/td&gt;\n&lt;td&gt;Frank&lt;/td&gt;\n&lt;td&gt;805,917.00&lt;/td&gt;\n&lt;td&gt;53.71&lt;/td&gt;\n&lt;/tr&gt;\n&lt;tr&gt;\n&lt;th&gt;44&lt;/th&gt;\n&lt;td&gt;经销商开发-重点空白&lt;/td&gt;\n&lt;td&gt;亚太&lt;/td&gt;\n&lt;td&gt;Daisy&lt;/td&gt;\n&lt;td&gt;535,761.06&lt;/td&gt;\n&lt;td&gt;100.00&lt;/td&gt;\n&lt;/tr&gt;\n&lt;tr&gt;\n&lt;th&gt;45&lt;/th&gt;\n&lt;td&gt;经销商开发-重点空白&lt;/td&gt;\n&lt;td&gt;亚非&lt;/td&gt;\n&lt;td&gt;Shirley&lt;/td&gt;\n&lt;td&gt;1,008,319.03&lt;/td&gt;\n&lt;td&gt;56.12&lt;/td&gt;\n&lt;/tr&gt;\n&lt;tr&gt;\n&lt;th&gt;46&lt;/th&gt;\n&lt;td&gt;经销商开发-重点空白&lt;/td&gt;\n&lt;td&gt;欧洲事业部&lt;/td&gt;\n&lt;td&gt;Patrice&lt;/td&gt;\n&lt;td&gt;816,574.34&lt;/td&gt;\n&lt;td&gt;53.25&lt;/td&gt;\n&lt;/tr&gt;\n&lt;tr&gt;\n&lt;th&gt;47&lt;/th&gt;\n&lt;td&gt;经销商开发-重点空白&lt;/td&gt;\n&lt;td&gt;欧洲事业部&lt;/td&gt;\n&lt;td&gt;Shiv&lt;/td&gt;\n&lt;td&gt;0.00&lt;/td&gt;\n&lt;td&gt;0.00&lt;/td&gt;\n&lt;/tr&gt;\n&lt;tr&gt;\n&lt;th&gt;48&lt;/th&gt;\n&lt;td&gt;经销商开发-重点空白&lt;/td&gt;\n&lt;td&gt;美洲大区&lt;/td&gt;\n&lt;td&gt;Frank&lt;/td&gt;\n&lt;td&gt;20,773.00&lt;/td&gt;\n&lt;td&gt;1.38&lt;/td&gt;\n&lt;/tr&gt;\n&lt;/tbody&gt;\n&lt;/table&gt;\n&lt;/div&gt;&quot;}]"/>
    <wpswe:property key="scriptId" value="V2-1wy3oC50sqZ0rZIHbDZB7J"/>
  </wpswe:properties>
  <wpswe:watchingCache>
    <wpswe:linkPath>发货计划表Test（在线版）.xlsx</wpswe:linkPath>
  </wpswe:watchingCache>
  <wpswe:snapshot xmlns:r="http://schemas.openxmlformats.org/officeDocument/2006/relationships" r:embed="rId2"/>
  <wpswe:externalData xmlns:r="http://schemas.openxmlformats.org/officeDocument/2006/relationships" r:id="rId1"/>
  <wpswe:url>https://www.kdocs.cn/ksop/script/?version=d9e4c58938#/pytemplate</wpswe:url>
  <wpswe:constantSnapshot>false</wpswe:constantSnapshot>
</wpswe:webExtension>
</file>

<file path=xl/webExtensions/webExtension4.xml><?xml version="1.0" encoding="utf-8"?>
<wpswe:webExtension xmlns:wpswe="http://www.wps.cn/officeDocument/2018/webExtension" xmlns:webet="https://web.wps.cn/et/2018/main" webet:type="DataSource" type="1" webet:id="">
  <wpswe:extSource id="webet-pyShape" version="1.0"/>
  <wpswe:properties>
    <wpswe:property key="py_gaodemap" value="{&quot;type&quot;:&quot;gaoDeMap&quot;,&quot;web_api_key&quot;:&quot;5d89ad0e4374e203367425f76dfba6b2&quot;}"/>
    <wpswe:property key="pythonData" value="[{&quot;event&quot;:&quot;html&quot;,&quot;data&quot;:&quot;&lt;div&gt;\n\n&lt;table border=\&quot;1\&quot; class=\&quot;dataframe\&quot;&gt;\n&lt;thead&gt;\n&lt;tr&gt;\n&lt;th&gt;&lt;/th&gt;\n&lt;th&gt;累计已开单金额&lt;/th&gt;\n&lt;th&gt;累计开单占比(%)&lt;/th&gt;\n&lt;/tr&gt;\n&lt;tr&gt;\n&lt;th&gt;&lt;/th&gt;\n&lt;th&gt;&lt;/th&gt;\n&lt;th&gt;&lt;/th&gt;\n&lt;/tr&gt;\n&lt;/thead&gt;\n&lt;tbody&gt;\n&lt;tr&gt;\n&lt;th&gt;固本 &amp;gt; ODM增量 &amp;gt; 欧洲事业部 &amp;gt; Marshall&lt;/th&gt;\n&lt;td&gt;389,644.29&lt;/td&gt;\n&lt;td&gt;27.47&lt;/td&gt;\n&lt;/tr&gt;\n&lt;tr&gt;\n&lt;th&gt;固本 &amp;gt; ODM增量 &amp;gt; 欧洲事业部 &amp;gt; Shiv&lt;/th&gt;\n&lt;td&gt;0.00&lt;/td&gt;\n&lt;td&gt;0.00&lt;/td&gt;\n&lt;/tr&gt;\n&lt;tr&gt;\n&lt;th&gt;拓展 &amp;gt; ODM开发 &amp;gt; 亚非 &amp;gt; Chloe&lt;/th&gt;\n&lt;td&gt;0.00&lt;/td&gt;\n&lt;td&gt;0.00&lt;/td&gt;\n&lt;/tr&gt;\n&lt;tr&gt;\n&lt;th&gt;拓展 &amp;gt; ODM开发 &amp;gt; 亚非 &amp;gt; Shirley&lt;/th&gt;\n&lt;td&gt;241,772.20&lt;/td&gt;\n&lt;td&gt;15.90&lt;/td&gt;\n&lt;/tr&gt;\n&lt;tr&gt;\n&lt;th&gt;固本 &amp;gt; ODM开发+增量 &amp;gt; 亚太 &amp;gt; Sky&lt;/th&gt;\n&lt;td&gt;363,065.00&lt;/td&gt;\n&lt;td&gt;22.57&lt;/td&gt;\n&lt;/tr&gt;\n&lt;tr&gt;\n&lt;th&gt;固本 &amp;gt; ODM开发+增量 &amp;gt; 亚太 &amp;gt; Sky-代\\n（待聘B）&lt;/th&gt;\n&lt;td&gt;203,457.56&lt;/td&gt;\n&lt;td&gt;100.00&lt;/td&gt;\n&lt;/tr&gt;\n&lt;tr&gt;\n&lt;th&gt;固本 &amp;gt; ODM开发+增量 &amp;gt; 欧洲事业部 &amp;gt; Kaia&lt;/th&gt;\n&lt;td&gt;0.00&lt;/td&gt;\n&lt;td&gt;0.00&lt;/td&gt;\n&lt;/tr&gt;\n&lt;tr&gt;\n&lt;th&gt;固本 &amp;gt; ODM开发+增量 &amp;gt; 欧洲事业部 &amp;gt; Marshall&lt;/th&gt;\n&lt;td&gt;553,088.78&lt;/td&gt;\n&lt;td&gt;39.00&lt;/td&gt;\n&lt;/tr&gt;\n&lt;tr&gt;\n&lt;th&gt;固本 &amp;gt; ODM开发+增量 &amp;gt; 欧洲事业部 &amp;gt; Patrice&lt;/th&gt;\n&lt;td&gt;0.00&lt;/td&gt;\n&lt;td&gt;0.00&lt;/td&gt;\n&lt;/tr&gt;\n&lt;tr&gt;\n&lt;th&gt;固本 &amp;gt; ODM开发+增量 &amp;gt; 欧洲事业部 &amp;gt; Shiv&lt;/th&gt;\n&lt;td&gt;1,263,256.42&lt;/td&gt;\n&lt;td&gt;52.68&lt;/td&gt;\n&lt;/tr&gt;\n&lt;tr&gt;\n&lt;th&gt;固本 &amp;gt; ODM开发+增量 &amp;gt; 美洲大区 &amp;gt; Frank&lt;/th&gt;\n&lt;td&gt;673,732.00&lt;/td&gt;\n&lt;td&gt;45.53&lt;/td&gt;\n&lt;/tr&gt;\n&lt;tr&gt;\n&lt;th&gt;其他 &amp;gt; 其他 &amp;gt; 亚太 &amp;gt; Daisy&lt;/th&gt;\n&lt;td&gt;2,544.00&lt;/td&gt;\n&lt;td&gt;100.00&lt;/td&gt;\n&lt;/tr&gt;\n&lt;tr&gt;\n&lt;th&gt;其他 &amp;gt; 其他 &amp;gt; 亚太 &amp;gt; Daisy-代\\n（待聘A）&lt;/th&gt;\n&lt;td&gt;0.00&lt;/td&gt;\n&lt;td&gt;0.00&lt;/td&gt;\n&lt;/tr&gt;\n&lt;tr&gt;\n&lt;th&gt;其他 &amp;gt; 其他 &amp;gt; 亚太 &amp;gt; Sam&lt;/th&gt;\n&lt;td&gt;1,415,083.60&lt;/td&gt;\n&lt;td&gt;100.00&lt;/td&gt;\n&lt;/tr&gt;\n&lt;tr&gt;\n&lt;th&gt;其他 &amp;gt; 其他 &amp;gt; 亚太 &amp;gt; Sky&lt;/th&gt;\n&lt;td&gt;0.00&lt;/td&gt;\n&lt;td&gt;0.00&lt;/td&gt;\n&lt;/tr&gt;\n&lt;tr&gt;\n&lt;th&gt;其他 &amp;gt; 其他 &amp;gt; 亚太 &amp;gt; Sky-代\\n（待聘B）&lt;/th&gt;\n&lt;td&gt;0.00&lt;/td&gt;\n&lt;td&gt;0.00&lt;/td&gt;\n&lt;/tr&gt;\n&lt;tr&gt;\n&lt;th&gt;其他 &amp;gt; 其他 &amp;gt; 亚非 &amp;gt; Abbott&lt;/th&gt;\n&lt;td&gt;947,960.97&lt;/td&gt;\n&lt;td&gt;100.00&lt;/td&gt;\n&lt;/tr&gt;\n&lt;tr&gt;\n&lt;th&gt;其他 &amp;gt; 其他 &amp;gt; 亚非 &amp;gt; Chloe&lt;/th&gt;\n&lt;td&gt;604,568.48&lt;/td&gt;\n&lt;td&gt;100.00&lt;/td&gt;\n&lt;/tr&gt;\n&lt;tr&gt;\n&lt;th&gt;其他 &amp;gt; 其他 &amp;gt; 亚非 &amp;gt; Jason-代&lt;/th&gt;\n&lt;td&gt;0.00&lt;/td&gt;\n&lt;td&gt;0.00&lt;/td&gt;\n&lt;/tr&gt;\n&lt;tr&gt;\n&lt;th&gt;其他 &amp;gt; 其他 &amp;gt; 亚非 &amp;gt; Shirley&lt;/th&gt;\n&lt;td&gt;788,483.77&lt;/td&gt;\n&lt;td&gt;100.00&lt;/td&gt;\n&lt;/tr&gt;\n&lt;tr&gt;\n&lt;th&gt;其他 &amp;gt; 其他 &amp;gt; 亚非 &amp;gt; Shirley代&lt;/th&gt;\n&lt;td&gt;0.00&lt;/td&gt;\n&lt;td&gt;0.00&lt;/td&gt;\n&lt;/tr&gt;\n&lt;tr&gt;\n&lt;th&gt;其他 &amp;gt; 其他 &amp;gt; 欧洲事业部 &amp;gt; Marshall&lt;/th&gt;\n&lt;td&gt;0.00&lt;/td&gt;\n&lt;td&gt;0.00&lt;/td&gt;\n&lt;/tr&gt;\n&lt;tr&gt;\n&lt;th&gt;其他 &amp;gt; 其他 &amp;gt; 欧洲事业部 &amp;gt; Patrice&lt;/th&gt;\n&lt;td&gt;172,458.28&lt;/td&gt;\n&lt;td&gt;100.00&lt;/td&gt;\n&lt;/tr&gt;\n&lt;tr&gt;\n&lt;th&gt;其他 &amp;gt; 其他 &amp;gt; 欧洲事业部 &amp;gt; Patrick&lt;/th&gt;\n&lt;td&gt;0.00&lt;/td&gt;\n&lt;td&gt;0.00&lt;/td&gt;\n&lt;/tr&gt;\n&lt;tr&gt;\n&lt;th&gt;其他 &amp;gt; 其他 &amp;gt; 美洲大区 &amp;gt; Gordon&lt;/th&gt;\n&lt;td&gt;0.00&lt;/td&gt;\n&lt;td&gt;0.00&lt;/td&gt;\n&lt;/tr&gt;\n&lt;tr&gt;\n&lt;th&gt;拓展 &amp;gt; 区域新连锁开发 &amp;gt; 欧洲事业部 &amp;gt; Kaia&lt;/th&gt;\n&lt;td&gt;0.00&lt;/td&gt;\n&lt;td&gt;0.00&lt;/td&gt;\n&lt;/tr&gt;\n&lt;tr&gt;\n&lt;th&gt;拓展 &amp;gt; 新连锁开发-全球 &amp;gt; 美洲大区 &amp;gt; Frank&lt;/th&gt;\n&lt;td&gt;0.00&lt;/td&gt;\n&lt;td&gt;0.00&lt;/td&gt;\n&lt;/tr&gt;\n&lt;tr&gt;\n&lt;th&gt;拓展 &amp;gt; 新连锁开发-区域 &amp;gt; 欧洲事业部 &amp;gt; Kaia&lt;/th&gt;\n&lt;td&gt;330,787.31&lt;/td&gt;\n&lt;td&gt;100.00&lt;/td&gt;\n&lt;/tr&gt;\n&lt;tr&gt;\n&lt;th&gt;拓展 &amp;gt; 新连锁开发-区域 &amp;gt; 欧洲事业部 &amp;gt; Marshall&lt;/th&gt;\n&lt;td&gt;0.00&lt;/td&gt;\n&lt;td&gt;0.00&lt;/td&gt;\n&lt;/tr&gt;\n&lt;tr&gt;\n&lt;th&gt;拓展 &amp;gt; 新连锁开发-区域 &amp;gt; 欧洲事业部 &amp;gt; Patrice&lt;/th&gt;\n&lt;td&gt;118,694.93&lt;/td&gt;\n&lt;td&gt;12.69&lt;/td&gt;\n&lt;/tr&gt;\n&lt;tr&gt;\n&lt;th&gt;拓展 &amp;gt; 新连锁开发-区域 &amp;gt; 美洲大区 &amp;gt; Gordon&lt;/th&gt;\n&lt;td&gt;1,156,865.73&lt;/td&gt;\n&lt;td&gt;100.00&lt;/td&gt;\n&lt;/tr&gt;\n&lt;tr&gt;\n&lt;th&gt;拓展 &amp;gt; 新连锁开发-区域 &amp;gt; 美洲大区 &amp;gt; Mary&lt;/th&gt;\n&lt;td&gt;0.00&lt;/td&gt;\n&lt;td&gt;0.00&lt;/td&gt;\n&lt;/tr&gt;\n&lt;tr&gt;\n&lt;th&gt;拓展 &amp;gt; 新连锁开发-区域 &amp;gt; 部门 &amp;gt; 业务员&lt;/th&gt;\n&lt;td&gt;0.00&lt;/td&gt;\n&lt;td&gt;0.00&lt;/td&gt;\n&lt;/tr&gt;\n&lt;tr&gt;\n&lt;th&gt;固本 &amp;gt; 现有连锁增量 &amp;gt; 亚太 &amp;gt; Daisy&lt;/th&gt;\n&lt;td&gt;0.00&lt;/td&gt;\n&lt;td&gt;0.00&lt;/td&gt;\n&lt;/tr&gt;\n&lt;tr&gt;\n&lt;th&gt;固本 &amp;gt; 现有连锁增量 &amp;gt; 亚太 &amp;gt; Daisy-代\\n（待聘A）&lt;/th&gt;\n&lt;td&gt;330,877.53&lt;/td&gt;\n&lt;td&gt;46.16&lt;/td&gt;\n&lt;/tr&gt;\n&lt;tr&gt;\n&lt;th&gt;固本 &amp;gt; 现有连锁增量 &amp;gt; 亚太 &amp;gt; Sam&lt;/th&gt;\n&lt;td&gt;107,611.19&lt;/td&gt;\n&lt;td&gt;48.25&lt;/td&gt;\n&lt;/tr&gt;\n&lt;tr&gt;\n&lt;th&gt;固本 &amp;gt; 现有连锁增量 &amp;gt; 亚非 &amp;gt; Abbott&lt;/th&gt;\n&lt;td&gt;155,114.97&lt;/td&gt;\n&lt;td&gt;11.05&lt;/td&gt;\n&lt;/tr&gt;\n&lt;tr&gt;\n&lt;th&gt;固本 &amp;gt; 现有连锁增量 &amp;gt; 欧洲事业部 &amp;gt; Shiv&lt;/th&gt;\n&lt;td&gt;0.00&lt;/td&gt;\n&lt;td&gt;0.00&lt;/td&gt;\n&lt;/tr&gt;\n&lt;tr&gt;\n&lt;th&gt;固本 &amp;gt; 现有连锁增量 &amp;gt; 美洲大区 &amp;gt; Gordon&lt;/th&gt;\n&lt;td&gt;2,461,498.29&lt;/td&gt;\n&lt;td&gt;77.93&lt;/td&gt;\n&lt;/tr&gt;\n&lt;tr&gt;\n&lt;th&gt;固本 &amp;gt; 经销商增量-占比低 &amp;gt; 亚太 &amp;gt; Daisy-代\\n（待聘A）&lt;/th&gt;\n&lt;td&gt;113,633.51&lt;/td&gt;\n&lt;td&gt;15.85&lt;/td&gt;\n&lt;/tr&gt;\n&lt;tr&gt;\n&lt;th&gt;固本 &amp;gt; 经销商增量-占比低 &amp;gt; 亚太 &amp;gt; Sam&lt;/th&gt;\n&lt;td&gt;115,404.22&lt;/td&gt;\n&lt;td&gt;51.75&lt;/td&gt;\n&lt;/tr&gt;\n&lt;tr&gt;\n&lt;th&gt;固本 &amp;gt; 经销商增量-占比低 &amp;gt; 亚太 &amp;gt; Sky&lt;/th&gt;\n&lt;td&gt;412,546.00&lt;/td&gt;\n&lt;td&gt;25.65&lt;/td&gt;\n&lt;/tr&gt;\n&lt;tr&gt;\n&lt;th&gt;固本 &amp;gt; 经销商增量-占比低 &amp;gt; 亚非 &amp;gt; Abbott&lt;/th&gt;\n&lt;td&gt;1,248,296.39&lt;/td&gt;\n&lt;td&gt;88.95&lt;/td&gt;\n&lt;/tr&gt;\n&lt;tr&gt;\n&lt;th&gt;固本 &amp;gt; 经销商增量-占比低 &amp;gt; 亚非 &amp;gt; Chloe&lt;/th&gt;\n&lt;td&gt;252,768.01&lt;/td&gt;\n&lt;td&gt;100.00&lt;/td&gt;\n&lt;/tr&gt;\n&lt;tr&gt;\n&lt;th&gt;固本 &amp;gt; 经销商增量-占比低 &amp;gt; 欧洲事业部 &amp;gt; Marshall&lt;/th&gt;\n&lt;td&gt;475,592.33&lt;/td&gt;\n&lt;td&gt;33.53&lt;/td&gt;\n&lt;/tr&gt;\n&lt;tr&gt;\n&lt;th&gt;固本 &amp;gt; 经销商增量-占比低 &amp;gt; 欧洲事业部 &amp;gt; Patrice&lt;/th&gt;\n&lt;td&gt;291,561.09&lt;/td&gt;\n&lt;td&gt;68.49&lt;/td&gt;\n&lt;/tr&gt;\n&lt;tr&gt;\n&lt;th&gt;固本 &amp;gt; 经销商增量-占比低 &amp;gt; 欧洲事业部 &amp;gt; Shiv&lt;/th&gt;\n&lt;td&gt;478,689.50&lt;/td&gt;\n&lt;td&gt;19.96&lt;/td&gt;\n&lt;/tr&gt;\n&lt;tr&gt;\n&lt;th&gt;固本 &amp;gt; 经销商增量-占比低 &amp;gt; 美洲大区 &amp;gt; Gordon&lt;/th&gt;\n&lt;td&gt;696,972.02&lt;/td&gt;\n&lt;td&gt;22.07&lt;/td&gt;\n&lt;/tr&gt;\n&lt;tr&gt;\n&lt;th&gt;固本 &amp;gt; 经销商增量-占比高 &amp;gt; 亚太 &amp;gt; Daisy-代\\n（待聘A）&lt;/th&gt;\n&lt;td&gt;272,254.17&lt;/td&gt;\n&lt;td&gt;37.98&lt;/td&gt;\n&lt;/tr&gt;\n&lt;tr&gt;\n&lt;th&gt;固本 &amp;gt; 经销商增量-占比高 &amp;gt; 亚太 &amp;gt; Sky&lt;/th&gt;\n&lt;td&gt;832,944.44&lt;/td&gt;\n&lt;td&gt;51.78&lt;/td&gt;\n&lt;/tr&gt;\n&lt;tr&gt;\n&lt;th&gt;固本 &amp;gt; 经销商增量-占比高 &amp;gt; 亚非 &amp;gt; Jason-代&lt;/th&gt;\n&lt;td&gt;2,710,513.34&lt;/td&gt;\n&lt;td&gt;100.00&lt;/td&gt;\n&lt;/tr&gt;\n&lt;tr&gt;\n&lt;th&gt;固本 &amp;gt; 经销商增量-占比高 &amp;gt; 欧洲事业部 &amp;gt; Patrice&lt;/th&gt;\n&lt;td&gt;134,147.78&lt;/td&gt;\n&lt;td&gt;31.51&lt;/td&gt;\n&lt;/tr&gt;\n&lt;tr&gt;\n&lt;th&gt;固本 &amp;gt; 经销商增量-占比高 &amp;gt; 欧洲事业部 &amp;gt; Shiv&lt;/th&gt;\n&lt;td&gt;655,874.31&lt;/td&gt;\n&lt;td&gt;27.35&lt;/td&gt;\n&lt;/tr&gt;\n&lt;tr&gt;\n&lt;th&gt;固本 &amp;gt; 经销商增量-占比高 &amp;gt; 美洲大区 &amp;gt; Frank&lt;/th&gt;\n&lt;td&gt;805,917.00&lt;/td&gt;\n&lt;td&gt;54.47&lt;/td&gt;\n&lt;/tr&gt;\n&lt;tr&gt;\n&lt;th&gt;拓展 &amp;gt; 经销商开发 &amp;gt; 亚非 &amp;gt; Abbott&lt;/th&gt;\n&lt;td&gt;260,906.39&lt;/td&gt;\n&lt;td&gt;100.00&lt;/td&gt;\n&lt;/tr&gt;\n&lt;tr&gt;\n&lt;th&gt;拓展 &amp;gt; 经销商开发 &amp;gt; 亚非 &amp;gt; Shirley&lt;/th&gt;\n&lt;td&gt;270,854.45&lt;/td&gt;\n&lt;td&gt;17.81&lt;/td&gt;\n&lt;/tr&gt;\n&lt;tr&gt;\n&lt;th&gt;拓展 &amp;gt; 经销商开发-重点空白 &amp;gt; 亚太 &amp;gt; Daisy&lt;/th&gt;\n&lt;td&gt;535,761.06&lt;/td&gt;\n&lt;td&gt;100.00&lt;/td&gt;\n&lt;/tr&gt;\n&lt;tr&gt;\n&lt;th&gt;拓展 &amp;gt; 经销商开发-重点空白 &amp;gt; 亚非 &amp;gt; Shirley&lt;/th&gt;\n&lt;td&gt;1,008,319.03&lt;/td&gt;\n&lt;td&gt;66.30&lt;/td&gt;\n&lt;/tr&gt;\n&lt;tr&gt;\n&lt;th&gt;拓展 &amp;gt; 经销商开发-重点空白 &amp;gt; 欧洲事业部 &amp;gt; Patrice&lt;/th&gt;\n&lt;td&gt;816,574.34&lt;/td&gt;\n&lt;td&gt;87.31&lt;/td&gt;\n&lt;/tr&gt;\n&lt;tr&gt;\n&lt;th&gt;拓展 &amp;gt; 经销商开发-重点空白 &amp;gt; 欧洲事业部 &amp;gt; Shiv&lt;/th&gt;\n&lt;td&gt;0.00&lt;/td&gt;\n&lt;td&gt;0.00&lt;/td&gt;\n&lt;/tr&gt;\n&lt;tr&gt;\n&lt;th&gt;拓展 &amp;gt; 经销商开发-重点空白 &amp;gt; 美洲大区 &amp;gt; Frank&lt;/th&gt;\n&lt;td&gt;20,773.00&lt;/td&gt;\n&lt;td&gt;100.00&lt;/td&gt;\n&lt;/tr&gt;\n&lt;/tbody&gt;\n&lt;/table&gt;\n&lt;/div&gt;&quot;}]"/>
    <wpswe:property key="scriptId" value="V2-2OBsdYViN6ROMheb7wg0JM"/>
  </wpswe:properties>
  <wpswe:watchingCache>
    <wpswe:linkPath>发货计划表Test（在线版）.xlsx</wpswe:linkPath>
  </wpswe:watchingCache>
  <wpswe:snapshot xmlns:r="http://schemas.openxmlformats.org/officeDocument/2006/relationships" r:embed="rId2"/>
  <wpswe:externalData xmlns:r="http://schemas.openxmlformats.org/officeDocument/2006/relationships" r:id="rId1"/>
  <wpswe:url>https://www.kdocs.cn/ksop/script/?version=d9e4c58938#/pytemplate</wpswe:url>
  <wpswe:constantSnapshot>false</wpswe:constantSnapshot>
</wpswe:webExtension>
</file>

<file path=xl/webExtensions/webExtension5.xml><?xml version="1.0" encoding="utf-8"?>
<wpswe:webExtension xmlns:wpswe="http://www.wps.cn/officeDocument/2018/webExtension" xmlns:webet="https://web.wps.cn/et/2018/main" webet:type="DataSource" type="1" webet:id="">
  <wpswe:extSource id="webet-pyShape" version="1.0"/>
  <wpswe:properties>
    <wpswe:property key="scriptId" value="V2-3RRVJvLhZXE0sd9VrcZOND"/>
    <wpswe:property key="py_gaodemap" value="{&quot;type&quot;:&quot;gaoDeMap&quot;,&quot;web_api_key&quot;:&quot;5d89ad0e4374e203367425f76dfba6b2&quot;}"/>
    <wpswe:property key="pythonData" value="[{&quot;event&quot;:&quot;text&quot;,&quot;data&quot;:&quot;📊 2025.05 订单金额统计：\n&quot;},{&quot;event&quot;:&quot;text&quot;,&quot;data&quot;:&quot;✅ 目前在手订单金额: 0.00\n&quot;},{&quot;event&quot;:&quot;text&quot;,&quot;data&quot;:&quot;✅ 洽谈中订单金额: 0.00\n&quot;}]"/>
  </wpswe:properties>
  <wpswe:watchingCache>
    <wpswe:linkPath>发货计划表Test（在线版）.xlsx</wpswe:linkPath>
  </wpswe:watchingCache>
  <wpswe:snapshot xmlns:r="http://schemas.openxmlformats.org/officeDocument/2006/relationships" r:embed="rId2"/>
  <wpswe:externalData xmlns:r="http://schemas.openxmlformats.org/officeDocument/2006/relationships" r:id="rId1"/>
  <wpswe:url>https://www.kdocs.cn/ksop/script/?version=d9e4c58938#/pytemplate</wpswe:url>
  <wpswe:constantSnapshot>false</wpswe:constantSnapshot>
</wpswe:webExtension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E9\EJ-123" TargetMode="External"/><Relationship Id="rId8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52" TargetMode="External"/><Relationship Id="rId7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51" TargetMode="External"/><Relationship Id="rId6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50" TargetMode="External"/><Relationship Id="rId5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49" TargetMode="External"/><Relationship Id="rId4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47" TargetMode="External"/><Relationship Id="rId3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46" TargetMode="External"/><Relationship Id="rId2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45" TargetMode="External"/><Relationship Id="rId13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48" TargetMode="External"/><Relationship Id="rId12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43" TargetMode="External"/><Relationship Id="rId11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E9\EJ-158" TargetMode="External"/><Relationship Id="rId10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E9\EJ-157" TargetMode="External"/><Relationship Id="rId1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4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1\EJ-135" TargetMode="External"/><Relationship Id="rId1" Type="http://schemas.openxmlformats.org/officeDocument/2006/relationships/hyperlink" Target="file:///\\egojintrade\trade\&#9733;&#9733;&#47924;&#50669;&#48156;&#51452;&#51652;&#54665;\&#47924;&#50669;&#49436;&#47448;\&#49688;&#51077;&#49440;&#51201;&#49436;&#47448;\Shuhua-X6, X5,X1 &#47088;&#45789;&#47672;&#49888;\PI\X3\EJ-15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../&#47924;&#50669;&#49436;&#47448;/&#49688;&#51077;&#49440;&#51201;&#49436;&#47448;/Shuhua-X6, X5,X1 &#47088;&#45789;&#47672;&#49888;/PI/X3/EJ-156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../&#47924;&#50669;&#49436;&#47448;/&#49688;&#51077;&#49440;&#51201;&#49436;&#47448;/Shuhua-X6, X5,X1 &#47088;&#45789;&#47672;&#49888;/PI/X3/EJ-156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&#47924;&#50669;&#49436;&#47448;/&#49688;&#51077;&#49440;&#51201;&#49436;&#47448;/Shuhua-X6, X5,X1 &#47088;&#45789;&#47672;&#49888;/PI/X3/EJ-15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../&#47924;&#50669;&#49436;&#47448;/&#49688;&#51077;&#49440;&#51201;&#49436;&#47448;/Shuhua-X6, X5,X1 &#47088;&#45789;&#47672;&#49888;/PI/X3/EJ-156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73"/>
  <sheetViews>
    <sheetView workbookViewId="0">
      <selection activeCell="M69" sqref="M69:M73"/>
    </sheetView>
  </sheetViews>
  <sheetFormatPr defaultColWidth="8.8" defaultRowHeight="13.5"/>
  <cols>
    <col min="2" max="2" width="16.875" customWidth="1"/>
    <col min="4" max="4" width="16.5666666666667" customWidth="1"/>
    <col min="6" max="6" width="11.2583333333333"/>
    <col min="7" max="7" width="17.625" customWidth="1"/>
    <col min="9" max="9" width="11.2583333333333"/>
    <col min="10" max="10" width="15.7833333333333" customWidth="1"/>
    <col min="12" max="12" width="12.5" customWidth="1"/>
    <col min="13" max="13" width="16.7166666666667" customWidth="1"/>
    <col min="14" max="14" width="12.625"/>
    <col min="15" max="15" width="14.875"/>
    <col min="17" max="17" width="37.675" customWidth="1"/>
    <col min="18" max="18" width="14.875" style="2772"/>
    <col min="19" max="19" width="12.375"/>
    <col min="23" max="23" width="13.5"/>
  </cols>
  <sheetData>
    <row r="1" ht="24.75" customHeight="1" spans="1:30">
      <c r="A1" s="1937" t="s">
        <v>0</v>
      </c>
      <c r="B1" s="1937"/>
      <c r="C1" s="1937"/>
      <c r="D1" s="1937"/>
      <c r="E1" s="1937"/>
      <c r="F1" s="1937"/>
      <c r="G1" s="1937"/>
      <c r="H1" s="1937"/>
      <c r="I1" s="1937"/>
      <c r="J1" s="1937"/>
      <c r="K1" s="1937"/>
      <c r="L1" s="1937"/>
      <c r="M1" s="1937"/>
      <c r="N1" s="1937"/>
      <c r="O1" s="1937"/>
      <c r="P1" s="2001"/>
      <c r="Q1" s="2001"/>
      <c r="R1" s="281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2001"/>
      <c r="AD1" s="2001"/>
    </row>
    <row r="2" ht="27" customHeight="1" spans="1:30">
      <c r="A2" s="1938" t="s">
        <v>1</v>
      </c>
      <c r="B2" s="1939" t="s">
        <v>2</v>
      </c>
      <c r="C2" s="1939" t="s">
        <v>3</v>
      </c>
      <c r="D2" s="2003" t="s">
        <v>4</v>
      </c>
      <c r="E2" s="1939" t="s">
        <v>5</v>
      </c>
      <c r="F2" s="1940" t="s">
        <v>6</v>
      </c>
      <c r="G2" s="1940" t="s">
        <v>7</v>
      </c>
      <c r="H2" s="2727" t="s">
        <v>8</v>
      </c>
      <c r="I2" s="1963" t="s">
        <v>9</v>
      </c>
      <c r="J2" s="2574" t="s">
        <v>10</v>
      </c>
      <c r="K2" s="1978" t="s">
        <v>11</v>
      </c>
      <c r="L2" s="1979" t="s">
        <v>12</v>
      </c>
      <c r="M2" s="1979" t="s">
        <v>13</v>
      </c>
      <c r="N2" s="1980" t="s">
        <v>14</v>
      </c>
      <c r="O2" s="2003" t="s">
        <v>15</v>
      </c>
      <c r="P2" s="2004" t="s">
        <v>16</v>
      </c>
      <c r="Q2" s="2004" t="s">
        <v>17</v>
      </c>
      <c r="R2" s="2818" t="s">
        <v>18</v>
      </c>
      <c r="S2" s="2004" t="s">
        <v>19</v>
      </c>
      <c r="T2" s="2021" t="s">
        <v>20</v>
      </c>
      <c r="U2" s="2021" t="s">
        <v>21</v>
      </c>
      <c r="V2" s="2004" t="s">
        <v>22</v>
      </c>
      <c r="W2" s="2004" t="s">
        <v>23</v>
      </c>
      <c r="X2" s="2004" t="s">
        <v>24</v>
      </c>
      <c r="Y2" s="2004" t="s">
        <v>25</v>
      </c>
      <c r="Z2" s="2004" t="s">
        <v>26</v>
      </c>
      <c r="AA2" s="2004" t="s">
        <v>27</v>
      </c>
      <c r="AB2" s="2004" t="s">
        <v>28</v>
      </c>
      <c r="AC2" s="2026" t="s">
        <v>26</v>
      </c>
      <c r="AD2" s="2027" t="s">
        <v>27</v>
      </c>
    </row>
    <row r="3" customHeight="1" spans="1:30">
      <c r="A3" s="1938"/>
      <c r="B3" s="1939"/>
      <c r="C3" s="1939"/>
      <c r="D3" s="2003"/>
      <c r="E3" s="1939"/>
      <c r="F3" s="1940"/>
      <c r="G3" s="1940"/>
      <c r="H3" s="2727"/>
      <c r="I3" s="1963"/>
      <c r="J3" s="2574"/>
      <c r="K3" s="1978"/>
      <c r="L3" s="1979"/>
      <c r="M3" s="1979"/>
      <c r="N3" s="1980"/>
      <c r="O3" s="2528"/>
      <c r="P3" s="2529"/>
      <c r="Q3" s="2529"/>
      <c r="R3" s="2819"/>
      <c r="S3" s="2529"/>
      <c r="T3" s="2547"/>
      <c r="U3" s="2547"/>
      <c r="V3" s="2529"/>
      <c r="W3" s="2529"/>
      <c r="X3" s="2529"/>
      <c r="Y3" s="2529"/>
      <c r="Z3" s="2529"/>
      <c r="AA3" s="2529"/>
      <c r="AB3" s="2529"/>
      <c r="AC3" s="2529"/>
      <c r="AD3" s="2529"/>
    </row>
    <row r="4" ht="16.05" customHeight="1" spans="1:30">
      <c r="A4" s="1958" t="s">
        <v>29</v>
      </c>
      <c r="B4" s="2459" t="s">
        <v>30</v>
      </c>
      <c r="C4" s="2459" t="s">
        <v>31</v>
      </c>
      <c r="D4" s="2460">
        <v>44089</v>
      </c>
      <c r="E4" s="2459"/>
      <c r="F4" s="2459"/>
      <c r="G4" s="2459" t="s">
        <v>32</v>
      </c>
      <c r="H4" s="2449"/>
      <c r="I4" s="2459"/>
      <c r="J4" s="2638">
        <v>100000</v>
      </c>
      <c r="K4" s="2494"/>
      <c r="L4" s="2495">
        <v>100000</v>
      </c>
      <c r="M4" s="2495"/>
      <c r="N4" s="2530"/>
      <c r="O4" s="2459"/>
      <c r="P4" s="2459"/>
      <c r="Q4" s="2820">
        <v>44129</v>
      </c>
      <c r="R4" s="2821"/>
      <c r="S4" s="2459"/>
      <c r="T4" s="2459"/>
      <c r="U4" s="2459"/>
      <c r="V4" s="2459"/>
      <c r="W4" s="2459"/>
      <c r="X4" s="2459"/>
      <c r="Y4" s="2459"/>
      <c r="Z4" s="2459"/>
      <c r="AA4" s="2459"/>
      <c r="AB4" s="2459"/>
      <c r="AC4" s="2459"/>
      <c r="AD4" s="2459"/>
    </row>
    <row r="5" ht="16.5" customHeight="1" spans="1:30">
      <c r="A5" s="2280" t="s">
        <v>33</v>
      </c>
      <c r="B5" s="2361" t="s">
        <v>34</v>
      </c>
      <c r="C5" s="2361"/>
      <c r="D5" s="2361"/>
      <c r="E5" s="2361"/>
      <c r="F5" s="2361"/>
      <c r="G5" s="2361" t="s">
        <v>35</v>
      </c>
      <c r="H5" s="2491"/>
      <c r="I5" s="2787"/>
      <c r="J5" s="2579">
        <v>100000</v>
      </c>
      <c r="K5" s="2557"/>
      <c r="L5" s="2579"/>
      <c r="M5" s="2579">
        <v>100000</v>
      </c>
      <c r="N5" s="2668"/>
      <c r="O5" s="2805"/>
      <c r="P5" s="2545"/>
      <c r="Q5" s="2822">
        <v>44123</v>
      </c>
      <c r="R5" s="2817"/>
      <c r="S5" s="2001"/>
      <c r="T5" s="2001"/>
      <c r="U5" s="2001"/>
      <c r="V5" s="2001"/>
      <c r="W5" s="2001"/>
      <c r="X5" s="2001"/>
      <c r="Y5" s="2001"/>
      <c r="Z5" s="2001"/>
      <c r="AA5" s="2001"/>
      <c r="AB5" s="2001"/>
      <c r="AC5" s="2001"/>
      <c r="AD5" s="2001"/>
    </row>
    <row r="6" ht="22.5" customHeight="1" spans="1:30">
      <c r="A6" s="2153" t="s">
        <v>36</v>
      </c>
      <c r="B6" s="2361" t="s">
        <v>37</v>
      </c>
      <c r="C6" s="2361"/>
      <c r="D6" s="2361"/>
      <c r="E6" s="2361"/>
      <c r="F6" s="2361"/>
      <c r="G6" s="2361"/>
      <c r="H6" s="2491"/>
      <c r="I6" s="2647"/>
      <c r="J6" s="2579">
        <v>100000</v>
      </c>
      <c r="K6" s="2557"/>
      <c r="L6" s="2579"/>
      <c r="M6" s="2579"/>
      <c r="N6" s="2668"/>
      <c r="O6" s="2806"/>
      <c r="P6" s="2545"/>
      <c r="Q6" s="2823">
        <v>44131</v>
      </c>
      <c r="R6" s="2817"/>
      <c r="S6" s="2001"/>
      <c r="T6" s="2001"/>
      <c r="U6" s="2001"/>
      <c r="V6" s="2001"/>
      <c r="W6" s="2001"/>
      <c r="X6" s="2001"/>
      <c r="Y6" s="2001"/>
      <c r="Z6" s="2001"/>
      <c r="AA6" s="2001"/>
      <c r="AB6" s="2001"/>
      <c r="AC6" s="2001"/>
      <c r="AD6" s="2001"/>
    </row>
    <row r="7" ht="16.5" spans="1:30">
      <c r="A7" s="1958" t="s">
        <v>38</v>
      </c>
      <c r="B7" s="2461" t="s">
        <v>39</v>
      </c>
      <c r="C7" s="2461" t="s">
        <v>40</v>
      </c>
      <c r="D7" s="2462">
        <v>44089</v>
      </c>
      <c r="E7" s="2461"/>
      <c r="F7" s="2461"/>
      <c r="G7" s="2461" t="s">
        <v>41</v>
      </c>
      <c r="H7" s="2678"/>
      <c r="I7" s="2461"/>
      <c r="J7" s="2639">
        <v>80000</v>
      </c>
      <c r="K7" s="2497"/>
      <c r="L7" s="2498">
        <v>80000</v>
      </c>
      <c r="M7" s="2498"/>
      <c r="N7" s="2531"/>
      <c r="O7" s="2171"/>
      <c r="P7" s="2171"/>
      <c r="Q7" s="2824">
        <v>44124</v>
      </c>
      <c r="R7" s="2825"/>
      <c r="S7" s="2171"/>
      <c r="T7" s="2171"/>
      <c r="U7" s="2171"/>
      <c r="V7" s="2171"/>
      <c r="W7" s="2171"/>
      <c r="X7" s="2171"/>
      <c r="Y7" s="2171"/>
      <c r="Z7" s="2171"/>
      <c r="AA7" s="2171"/>
      <c r="AB7" s="2171"/>
      <c r="AC7" s="2171"/>
      <c r="AD7" s="2001"/>
    </row>
    <row r="8" ht="16.5" customHeight="1" spans="1:30">
      <c r="A8" s="2726" t="s">
        <v>42</v>
      </c>
      <c r="B8" s="2608" t="s">
        <v>43</v>
      </c>
      <c r="C8" s="2608" t="s">
        <v>31</v>
      </c>
      <c r="D8" s="2609" t="s">
        <v>44</v>
      </c>
      <c r="E8" s="2608"/>
      <c r="F8" s="2608"/>
      <c r="G8" s="2622" t="s">
        <v>45</v>
      </c>
      <c r="H8" s="2728">
        <v>25</v>
      </c>
      <c r="I8" s="2608"/>
      <c r="J8" s="2788">
        <v>100000</v>
      </c>
      <c r="K8" s="2526"/>
      <c r="L8" s="2656"/>
      <c r="M8" s="2656"/>
      <c r="N8" s="2667"/>
      <c r="O8" s="2608"/>
      <c r="P8" s="2666"/>
      <c r="Q8" s="2826">
        <v>44120</v>
      </c>
      <c r="R8" s="2827"/>
      <c r="S8" s="2666"/>
      <c r="T8" s="2666"/>
      <c r="U8" s="2666"/>
      <c r="V8" s="2666"/>
      <c r="W8" s="2666"/>
      <c r="X8" s="2666"/>
      <c r="Y8" s="2666"/>
      <c r="Z8" s="2666"/>
      <c r="AA8" s="2666"/>
      <c r="AB8" s="2666"/>
      <c r="AC8" s="2666"/>
      <c r="AD8" s="2666"/>
    </row>
    <row r="9" ht="16.5" spans="1:30">
      <c r="A9" s="2726"/>
      <c r="B9" s="2557" t="s">
        <v>46</v>
      </c>
      <c r="C9" s="2557" t="s">
        <v>31</v>
      </c>
      <c r="D9" s="2607" t="s">
        <v>44</v>
      </c>
      <c r="E9" s="2557"/>
      <c r="F9" s="2557"/>
      <c r="G9" s="2730" t="s">
        <v>47</v>
      </c>
      <c r="H9" s="2728">
        <v>25</v>
      </c>
      <c r="I9" s="2557"/>
      <c r="J9" s="2789">
        <v>150000</v>
      </c>
      <c r="K9" s="2578"/>
      <c r="L9" s="2579"/>
      <c r="M9" s="2579"/>
      <c r="N9" s="2588"/>
      <c r="O9" s="2557"/>
      <c r="P9" s="2557"/>
      <c r="Q9" s="2828">
        <v>44131</v>
      </c>
      <c r="R9" s="2829"/>
      <c r="S9" s="2557"/>
      <c r="T9" s="2557"/>
      <c r="U9" s="2557"/>
      <c r="V9" s="2557"/>
      <c r="W9" s="2557"/>
      <c r="X9" s="2557"/>
      <c r="Y9" s="2557"/>
      <c r="Z9" s="2557"/>
      <c r="AA9" s="2557"/>
      <c r="AB9" s="2557"/>
      <c r="AC9" s="2557"/>
      <c r="AD9" s="2557"/>
    </row>
    <row r="10" ht="16.5" customHeight="1" spans="1:30">
      <c r="A10" s="2726"/>
      <c r="B10" s="2773" t="s">
        <v>48</v>
      </c>
      <c r="C10" s="2557" t="s">
        <v>49</v>
      </c>
      <c r="D10" s="2607" t="s">
        <v>50</v>
      </c>
      <c r="E10" s="2557"/>
      <c r="F10" s="2557"/>
      <c r="G10" s="2730" t="s">
        <v>51</v>
      </c>
      <c r="H10" s="2728">
        <v>50</v>
      </c>
      <c r="I10" s="2557"/>
      <c r="J10" s="2789">
        <v>250000</v>
      </c>
      <c r="K10" s="2578"/>
      <c r="L10" s="2579"/>
      <c r="M10" s="2579"/>
      <c r="N10" s="2588"/>
      <c r="O10" s="2310"/>
      <c r="P10" s="2310"/>
      <c r="Q10" s="2830">
        <v>44130</v>
      </c>
      <c r="R10" s="2831"/>
      <c r="S10" s="2310"/>
      <c r="T10" s="2310"/>
      <c r="U10" s="2310"/>
      <c r="V10" s="2310"/>
      <c r="W10" s="2310"/>
      <c r="X10" s="2310"/>
      <c r="Y10" s="2310"/>
      <c r="Z10" s="2310"/>
      <c r="AA10" s="2310"/>
      <c r="AB10" s="2310"/>
      <c r="AC10" s="2310"/>
      <c r="AD10" s="2001"/>
    </row>
    <row r="11" ht="16.5" spans="1:30">
      <c r="A11" s="2726"/>
      <c r="B11" s="2773"/>
      <c r="C11" s="2557" t="s">
        <v>31</v>
      </c>
      <c r="D11" s="2607" t="s">
        <v>50</v>
      </c>
      <c r="E11" s="2557"/>
      <c r="F11" s="2557"/>
      <c r="G11" s="2730" t="s">
        <v>52</v>
      </c>
      <c r="H11" s="2728"/>
      <c r="I11" s="2557"/>
      <c r="J11" s="2790">
        <v>250000</v>
      </c>
      <c r="K11" s="2578"/>
      <c r="L11" s="2579"/>
      <c r="M11" s="2579"/>
      <c r="N11" s="2587"/>
      <c r="O11" s="2310"/>
      <c r="P11" s="2310"/>
      <c r="Q11" s="2832">
        <v>44129</v>
      </c>
      <c r="R11" s="2831"/>
      <c r="S11" s="2310"/>
      <c r="T11" s="2310"/>
      <c r="U11" s="2310"/>
      <c r="V11" s="2310"/>
      <c r="W11" s="2310"/>
      <c r="X11" s="2310"/>
      <c r="Y11" s="2310"/>
      <c r="Z11" s="2310"/>
      <c r="AA11" s="2310"/>
      <c r="AB11" s="2310"/>
      <c r="AC11" s="2310"/>
      <c r="AD11" s="2001"/>
    </row>
    <row r="12" ht="16.5" spans="1:30">
      <c r="A12" s="2726"/>
      <c r="B12" s="2557" t="s">
        <v>53</v>
      </c>
      <c r="C12" s="2557"/>
      <c r="D12" s="2607"/>
      <c r="E12" s="2557"/>
      <c r="F12" s="2557"/>
      <c r="G12" s="2730"/>
      <c r="H12" s="2728"/>
      <c r="I12" s="2557"/>
      <c r="J12" s="2742">
        <v>100000</v>
      </c>
      <c r="K12" s="2578"/>
      <c r="L12" s="2579"/>
      <c r="M12" s="2579"/>
      <c r="N12" s="2587"/>
      <c r="O12" s="2310"/>
      <c r="P12" s="2310"/>
      <c r="Q12" s="2830">
        <v>44130</v>
      </c>
      <c r="R12" s="2831"/>
      <c r="S12" s="2310"/>
      <c r="T12" s="2310"/>
      <c r="U12" s="2310"/>
      <c r="V12" s="2310"/>
      <c r="W12" s="2310"/>
      <c r="X12" s="2310"/>
      <c r="Y12" s="2310"/>
      <c r="Z12" s="2310"/>
      <c r="AA12" s="2310"/>
      <c r="AB12" s="2310"/>
      <c r="AC12" s="2310"/>
      <c r="AD12" s="2001"/>
    </row>
    <row r="13" ht="16.5" spans="1:30">
      <c r="A13" s="2726"/>
      <c r="B13" s="2557" t="s">
        <v>54</v>
      </c>
      <c r="C13" s="2557"/>
      <c r="D13" s="2607"/>
      <c r="E13" s="2557"/>
      <c r="F13" s="2557"/>
      <c r="G13" s="2730"/>
      <c r="H13" s="2728"/>
      <c r="I13" s="2557"/>
      <c r="J13" s="2742">
        <v>250000</v>
      </c>
      <c r="K13" s="2578"/>
      <c r="L13" s="2579"/>
      <c r="M13" s="2579"/>
      <c r="N13" s="2587"/>
      <c r="O13" s="2310"/>
      <c r="P13" s="2310"/>
      <c r="Q13" s="2830">
        <v>44134</v>
      </c>
      <c r="R13" s="2831"/>
      <c r="S13" s="2310"/>
      <c r="T13" s="2310"/>
      <c r="U13" s="2310"/>
      <c r="V13" s="2310"/>
      <c r="W13" s="2310"/>
      <c r="X13" s="2310"/>
      <c r="Y13" s="2310"/>
      <c r="Z13" s="2310"/>
      <c r="AA13" s="2310"/>
      <c r="AB13" s="2310"/>
      <c r="AC13" s="2310"/>
      <c r="AD13" s="2001"/>
    </row>
    <row r="14" ht="16.5" spans="1:30">
      <c r="A14" s="2726"/>
      <c r="B14" s="2557" t="s">
        <v>55</v>
      </c>
      <c r="C14" s="2557" t="s">
        <v>31</v>
      </c>
      <c r="D14" s="2607" t="s">
        <v>50</v>
      </c>
      <c r="E14" s="2557"/>
      <c r="F14" s="2557"/>
      <c r="G14" s="2730" t="s">
        <v>56</v>
      </c>
      <c r="H14" s="2728">
        <v>38</v>
      </c>
      <c r="I14" s="2557"/>
      <c r="J14" s="2742">
        <v>150000</v>
      </c>
      <c r="K14" s="2578"/>
      <c r="L14" s="2579"/>
      <c r="M14" s="2579"/>
      <c r="N14" s="2587"/>
      <c r="O14" s="2311"/>
      <c r="P14" s="2311"/>
      <c r="Q14" s="2833">
        <v>44119</v>
      </c>
      <c r="R14" s="2834"/>
      <c r="S14" s="2311"/>
      <c r="T14" s="2311"/>
      <c r="U14" s="2311"/>
      <c r="V14" s="2311"/>
      <c r="W14" s="2311"/>
      <c r="X14" s="2311"/>
      <c r="Y14" s="2311"/>
      <c r="Z14" s="2311"/>
      <c r="AA14" s="2311"/>
      <c r="AB14" s="2311"/>
      <c r="AC14" s="2310"/>
      <c r="AD14" s="2001"/>
    </row>
    <row r="15" s="23" customFormat="1" ht="16.5" customHeight="1" spans="1:30">
      <c r="A15" s="2774" t="s">
        <v>57</v>
      </c>
      <c r="B15" s="2553" t="s">
        <v>58</v>
      </c>
      <c r="C15" s="2475" t="s">
        <v>31</v>
      </c>
      <c r="D15" s="2552" t="s">
        <v>50</v>
      </c>
      <c r="E15" s="2475"/>
      <c r="F15" s="2566"/>
      <c r="G15" s="2567" t="s">
        <v>59</v>
      </c>
      <c r="H15" s="2729"/>
      <c r="I15" s="2580"/>
      <c r="J15" s="2499">
        <v>100000</v>
      </c>
      <c r="K15" s="2500"/>
      <c r="L15" s="2501">
        <v>200000</v>
      </c>
      <c r="M15" s="2501"/>
      <c r="N15" s="2590"/>
      <c r="O15" s="2807"/>
      <c r="P15" s="2534"/>
      <c r="Q15" s="2835">
        <v>44133</v>
      </c>
      <c r="R15" s="2836">
        <v>200000</v>
      </c>
      <c r="S15" s="2534"/>
      <c r="T15" s="2837"/>
      <c r="U15" s="2837"/>
      <c r="V15" s="2534"/>
      <c r="W15" s="2534"/>
      <c r="X15" s="2534"/>
      <c r="Y15" s="2534"/>
      <c r="Z15" s="2534"/>
      <c r="AA15" s="2534"/>
      <c r="AB15" s="2534"/>
      <c r="AC15" s="2099"/>
      <c r="AD15" s="2595"/>
    </row>
    <row r="16" s="23" customFormat="1" ht="16.5" spans="1:30">
      <c r="A16" s="2774"/>
      <c r="B16" s="2464" t="s">
        <v>60</v>
      </c>
      <c r="C16" s="2465" t="s">
        <v>61</v>
      </c>
      <c r="D16" s="2465" t="s">
        <v>62</v>
      </c>
      <c r="E16" s="2475"/>
      <c r="F16" s="2475"/>
      <c r="G16" s="2476" t="s">
        <v>63</v>
      </c>
      <c r="H16" s="2729"/>
      <c r="I16" s="2475"/>
      <c r="J16" s="2499">
        <v>400000</v>
      </c>
      <c r="K16" s="2500"/>
      <c r="L16" s="2501">
        <v>400000</v>
      </c>
      <c r="M16" s="2532"/>
      <c r="N16" s="2533"/>
      <c r="O16" s="2808"/>
      <c r="P16" s="2808"/>
      <c r="Q16" s="2838">
        <v>44119</v>
      </c>
      <c r="R16" s="2839"/>
      <c r="S16" s="2808"/>
      <c r="T16" s="2808"/>
      <c r="U16" s="2808"/>
      <c r="V16" s="2808"/>
      <c r="W16" s="2808"/>
      <c r="X16" s="2808"/>
      <c r="Y16" s="2808"/>
      <c r="Z16" s="2808"/>
      <c r="AA16" s="2808"/>
      <c r="AB16" s="2808"/>
      <c r="AC16" s="2808"/>
      <c r="AD16" s="2808"/>
    </row>
    <row r="17" s="23" customFormat="1" ht="16.5" spans="1:30">
      <c r="A17" s="2774"/>
      <c r="B17" s="2402" t="s">
        <v>64</v>
      </c>
      <c r="C17" s="2465" t="s">
        <v>65</v>
      </c>
      <c r="D17" s="2552">
        <v>44101</v>
      </c>
      <c r="E17" s="2475"/>
      <c r="F17" s="2475"/>
      <c r="G17" s="2476"/>
      <c r="H17" s="2729"/>
      <c r="I17" s="2475"/>
      <c r="J17" s="2577">
        <v>50000</v>
      </c>
      <c r="K17" s="2500"/>
      <c r="L17" s="2532">
        <v>50000</v>
      </c>
      <c r="M17" s="2501"/>
      <c r="N17" s="2533"/>
      <c r="O17" s="2475"/>
      <c r="P17" s="2475"/>
      <c r="Q17" s="2838">
        <v>44129</v>
      </c>
      <c r="R17" s="2840"/>
      <c r="S17" s="2475"/>
      <c r="T17" s="2475"/>
      <c r="U17" s="2475"/>
      <c r="V17" s="2475"/>
      <c r="W17" s="2475"/>
      <c r="X17" s="2475"/>
      <c r="Y17" s="2475"/>
      <c r="Z17" s="2475"/>
      <c r="AA17" s="2475"/>
      <c r="AB17" s="2475"/>
      <c r="AC17" s="2475"/>
      <c r="AD17" s="2475"/>
    </row>
    <row r="18" s="23" customFormat="1" ht="16.5" spans="1:30">
      <c r="A18" s="2774"/>
      <c r="B18" s="2088" t="s">
        <v>66</v>
      </c>
      <c r="C18" s="2465" t="s">
        <v>65</v>
      </c>
      <c r="D18" s="2775">
        <v>44079</v>
      </c>
      <c r="E18" s="2465"/>
      <c r="F18" s="2465"/>
      <c r="G18" s="2781"/>
      <c r="H18" s="2729"/>
      <c r="I18" s="2699"/>
      <c r="J18" s="2499">
        <v>200000</v>
      </c>
      <c r="K18" s="2500"/>
      <c r="L18" s="2499"/>
      <c r="M18" s="2501"/>
      <c r="N18" s="2781"/>
      <c r="O18" s="2809"/>
      <c r="P18" s="2810"/>
      <c r="Q18" s="215"/>
      <c r="R18" s="2841"/>
      <c r="S18" s="2816"/>
      <c r="T18" s="2816"/>
      <c r="U18" s="2816"/>
      <c r="V18" s="2816"/>
      <c r="W18" s="2816"/>
      <c r="X18" s="2816"/>
      <c r="Y18" s="2816"/>
      <c r="Z18" s="2816"/>
      <c r="AA18" s="2816"/>
      <c r="AB18" s="2816"/>
      <c r="AC18" s="2816"/>
      <c r="AD18" s="2816"/>
    </row>
    <row r="19" ht="16.5" customHeight="1" spans="1:30">
      <c r="A19" s="2295" t="s">
        <v>67</v>
      </c>
      <c r="B19" s="2295"/>
      <c r="C19" s="2295"/>
      <c r="D19" s="2040" t="s">
        <v>68</v>
      </c>
      <c r="E19" s="2040"/>
      <c r="F19" s="2040"/>
      <c r="G19" s="2040"/>
      <c r="H19" s="2330"/>
      <c r="I19" s="2049"/>
      <c r="J19" s="2050">
        <f>SUM(J4:J18)</f>
        <v>2380000</v>
      </c>
      <c r="K19" s="2066"/>
      <c r="L19" s="2050">
        <f>SUM(L4:L18)</f>
        <v>830000</v>
      </c>
      <c r="M19" s="2067">
        <v>0</v>
      </c>
      <c r="N19" s="2068">
        <v>0</v>
      </c>
      <c r="O19" s="2805"/>
      <c r="P19" s="2745"/>
      <c r="Q19" s="2842"/>
      <c r="R19" s="2843"/>
      <c r="S19" s="2749"/>
      <c r="T19" s="2749"/>
      <c r="U19" s="2749"/>
      <c r="V19" s="2749"/>
      <c r="W19" s="2749"/>
      <c r="X19" s="2749"/>
      <c r="Y19" s="2749"/>
      <c r="Z19" s="2749"/>
      <c r="AA19" s="2749"/>
      <c r="AB19" s="2749"/>
      <c r="AC19" s="2749"/>
      <c r="AD19" s="2749"/>
    </row>
    <row r="20" ht="41.8" customHeight="1" spans="1:30">
      <c r="A20" s="2776" t="s">
        <v>69</v>
      </c>
      <c r="B20" s="2773" t="s">
        <v>70</v>
      </c>
      <c r="C20" s="2310"/>
      <c r="D20" s="2777" t="s">
        <v>71</v>
      </c>
      <c r="E20" s="2782"/>
      <c r="F20" s="2783"/>
      <c r="G20" s="2041"/>
      <c r="H20" s="2728">
        <v>46</v>
      </c>
      <c r="I20" s="2791">
        <v>248</v>
      </c>
      <c r="J20" s="2792">
        <v>77574.4</v>
      </c>
      <c r="K20" s="2711"/>
      <c r="L20" s="2661"/>
      <c r="M20" s="2792">
        <v>77574.4</v>
      </c>
      <c r="N20" s="2811"/>
      <c r="O20" s="2746"/>
      <c r="P20" s="2545"/>
      <c r="Q20" s="2844">
        <v>44134</v>
      </c>
      <c r="R20" s="2817"/>
      <c r="S20" s="2001"/>
      <c r="T20" s="2001"/>
      <c r="U20" s="2001"/>
      <c r="V20" s="2001"/>
      <c r="W20" s="2001"/>
      <c r="X20" s="2001"/>
      <c r="Y20" s="2001"/>
      <c r="Z20" s="2001"/>
      <c r="AA20" s="2001"/>
      <c r="AB20" s="2001"/>
      <c r="AC20" s="2001"/>
      <c r="AD20" s="2001"/>
    </row>
    <row r="21" ht="34.3" customHeight="1" spans="1:30">
      <c r="A21" s="2776"/>
      <c r="B21" s="2773"/>
      <c r="C21" s="2459" t="s">
        <v>31</v>
      </c>
      <c r="D21" s="2778" t="s">
        <v>72</v>
      </c>
      <c r="E21" s="2784"/>
      <c r="F21" s="2459"/>
      <c r="G21" s="2556"/>
      <c r="H21" s="2785">
        <v>45</v>
      </c>
      <c r="I21" s="2793">
        <v>248</v>
      </c>
      <c r="J21" s="2638">
        <v>75888</v>
      </c>
      <c r="K21" s="2794"/>
      <c r="L21" s="2795"/>
      <c r="M21" s="2638">
        <v>75888</v>
      </c>
      <c r="N21" s="2793"/>
      <c r="O21" s="2812"/>
      <c r="P21" s="2545"/>
      <c r="Q21" s="2844"/>
      <c r="R21" s="2817"/>
      <c r="S21" s="2001"/>
      <c r="T21" s="2001"/>
      <c r="U21" s="2001"/>
      <c r="V21" s="2001"/>
      <c r="W21" s="2001"/>
      <c r="X21" s="2001"/>
      <c r="Y21" s="2001"/>
      <c r="Z21" s="2001"/>
      <c r="AA21" s="2001"/>
      <c r="AB21" s="2001"/>
      <c r="AC21" s="2001"/>
      <c r="AD21" s="2001"/>
    </row>
    <row r="22" ht="49.5" spans="1:30">
      <c r="A22" s="2776"/>
      <c r="B22" s="2773"/>
      <c r="C22" s="2459"/>
      <c r="D22" s="2779" t="s">
        <v>73</v>
      </c>
      <c r="E22" s="2786"/>
      <c r="F22" s="2461"/>
      <c r="G22" s="2785"/>
      <c r="H22" s="2785">
        <v>21</v>
      </c>
      <c r="I22" s="2796">
        <v>530</v>
      </c>
      <c r="J22" s="2639">
        <v>75684</v>
      </c>
      <c r="K22" s="2797"/>
      <c r="L22" s="2798"/>
      <c r="M22" s="2639">
        <v>75684</v>
      </c>
      <c r="N22" s="2796"/>
      <c r="O22" s="2812"/>
      <c r="P22" s="2545"/>
      <c r="Q22" s="2844"/>
      <c r="R22" s="2817">
        <v>400000</v>
      </c>
      <c r="S22" s="2001"/>
      <c r="T22" s="2001"/>
      <c r="U22" s="2001"/>
      <c r="V22" s="2001"/>
      <c r="W22" s="2001"/>
      <c r="X22" s="2001"/>
      <c r="Y22" s="2001"/>
      <c r="Z22" s="2001"/>
      <c r="AA22" s="2001"/>
      <c r="AB22" s="2001"/>
      <c r="AC22" s="2001"/>
      <c r="AD22" s="2001"/>
    </row>
    <row r="23" ht="32.15" customHeight="1" spans="1:30">
      <c r="A23" s="2776"/>
      <c r="B23" s="2773"/>
      <c r="C23" s="2459"/>
      <c r="D23" s="2779" t="s">
        <v>74</v>
      </c>
      <c r="E23" s="2786"/>
      <c r="F23" s="2461"/>
      <c r="G23" s="2785"/>
      <c r="H23" s="2785">
        <v>21</v>
      </c>
      <c r="I23" s="2796">
        <v>530</v>
      </c>
      <c r="J23" s="2639">
        <v>75684</v>
      </c>
      <c r="K23" s="2797"/>
      <c r="L23" s="2798"/>
      <c r="M23" s="2639">
        <v>75684</v>
      </c>
      <c r="N23" s="2796"/>
      <c r="O23" s="2812"/>
      <c r="P23" s="2545"/>
      <c r="Q23" s="2844"/>
      <c r="R23" s="2817"/>
      <c r="S23" s="2001"/>
      <c r="T23" s="2001"/>
      <c r="U23" s="2001"/>
      <c r="V23" s="2001"/>
      <c r="W23" s="2001"/>
      <c r="X23" s="2001"/>
      <c r="Y23" s="2001"/>
      <c r="Z23" s="2001"/>
      <c r="AA23" s="2001"/>
      <c r="AB23" s="2001"/>
      <c r="AC23" s="2001"/>
      <c r="AD23" s="2001"/>
    </row>
    <row r="24" ht="32.15" customHeight="1" spans="1:30">
      <c r="A24" s="2776"/>
      <c r="B24" s="2773"/>
      <c r="C24" s="2459"/>
      <c r="D24" s="2779" t="s">
        <v>75</v>
      </c>
      <c r="E24" s="2786"/>
      <c r="F24" s="2461"/>
      <c r="G24" s="2785"/>
      <c r="H24" s="2785">
        <v>48</v>
      </c>
      <c r="I24" s="2796">
        <v>230</v>
      </c>
      <c r="J24" s="2639">
        <v>75072</v>
      </c>
      <c r="K24" s="2797"/>
      <c r="L24" s="2639">
        <v>75072</v>
      </c>
      <c r="M24" s="2798"/>
      <c r="N24" s="2796"/>
      <c r="O24" s="2812"/>
      <c r="P24" s="2545"/>
      <c r="Q24" s="2844"/>
      <c r="R24" s="2817"/>
      <c r="S24" s="2001"/>
      <c r="T24" s="2001"/>
      <c r="U24" s="2001"/>
      <c r="V24" s="2001"/>
      <c r="W24" s="2001"/>
      <c r="X24" s="2001"/>
      <c r="Y24" s="2001"/>
      <c r="Z24" s="2001"/>
      <c r="AA24" s="2001"/>
      <c r="AB24" s="2001"/>
      <c r="AC24" s="2001"/>
      <c r="AD24" s="2001"/>
    </row>
    <row r="25" ht="37.5" customHeight="1" spans="1:30">
      <c r="A25" s="2776"/>
      <c r="B25" s="2773"/>
      <c r="C25" s="2459"/>
      <c r="D25" s="2779" t="s">
        <v>76</v>
      </c>
      <c r="E25" s="2779"/>
      <c r="F25" s="2461"/>
      <c r="G25" s="2785"/>
      <c r="H25" s="2785">
        <v>4</v>
      </c>
      <c r="I25" s="2796">
        <v>980</v>
      </c>
      <c r="J25" s="2639">
        <v>26656</v>
      </c>
      <c r="K25" s="2797"/>
      <c r="L25" s="2639">
        <v>26656</v>
      </c>
      <c r="M25" s="2798"/>
      <c r="N25" s="2796"/>
      <c r="O25" s="2812"/>
      <c r="P25" s="2545"/>
      <c r="Q25" s="2844"/>
      <c r="R25" s="2817"/>
      <c r="S25" s="2001"/>
      <c r="T25" s="2001"/>
      <c r="U25" s="2001"/>
      <c r="V25" s="2001"/>
      <c r="W25" s="2001"/>
      <c r="X25" s="2001"/>
      <c r="Y25" s="2001"/>
      <c r="Z25" s="2001"/>
      <c r="AA25" s="2001"/>
      <c r="AB25" s="2001"/>
      <c r="AC25" s="2001"/>
      <c r="AD25" s="2001"/>
    </row>
    <row r="26" ht="18" customHeight="1" spans="1:30">
      <c r="A26" s="2776"/>
      <c r="B26" s="2780" t="s">
        <v>77</v>
      </c>
      <c r="C26" s="2780" t="s">
        <v>78</v>
      </c>
      <c r="D26" s="2780"/>
      <c r="E26" s="2786"/>
      <c r="F26" s="2461"/>
      <c r="G26" s="2785">
        <v>8700</v>
      </c>
      <c r="H26" s="2785">
        <v>30</v>
      </c>
      <c r="I26" s="2796">
        <v>725</v>
      </c>
      <c r="J26" s="2639">
        <v>145725</v>
      </c>
      <c r="K26" s="2711">
        <v>6.7</v>
      </c>
      <c r="L26" s="2798">
        <v>145725</v>
      </c>
      <c r="M26" s="2639"/>
      <c r="N26" s="2796"/>
      <c r="O26" s="2812"/>
      <c r="P26" s="2545"/>
      <c r="Q26" s="2845">
        <v>44131</v>
      </c>
      <c r="R26" s="2817"/>
      <c r="S26" s="2001"/>
      <c r="T26" s="2001"/>
      <c r="U26" s="2001"/>
      <c r="V26" s="2001"/>
      <c r="W26" s="2001"/>
      <c r="X26" s="2001"/>
      <c r="Y26" s="2001"/>
      <c r="Z26" s="2001"/>
      <c r="AA26" s="2001"/>
      <c r="AB26" s="2001"/>
      <c r="AC26" s="2001"/>
      <c r="AD26" s="2001"/>
    </row>
    <row r="27" ht="16.5" spans="1:30">
      <c r="A27" s="2776"/>
      <c r="B27" s="2780"/>
      <c r="C27" s="2780"/>
      <c r="D27" s="2779"/>
      <c r="E27" s="2786"/>
      <c r="F27" s="2461"/>
      <c r="G27" s="2785">
        <v>5100</v>
      </c>
      <c r="H27" s="2785">
        <v>14</v>
      </c>
      <c r="I27" s="2796">
        <v>330</v>
      </c>
      <c r="J27" s="2639">
        <v>30954</v>
      </c>
      <c r="K27" s="2711">
        <v>6.7</v>
      </c>
      <c r="L27" s="2798">
        <v>30954</v>
      </c>
      <c r="M27" s="2639"/>
      <c r="N27" s="2796"/>
      <c r="O27" s="2812"/>
      <c r="P27" s="2545"/>
      <c r="Q27" s="2846"/>
      <c r="R27" s="2817">
        <v>260000</v>
      </c>
      <c r="S27" s="2001"/>
      <c r="T27" s="2001"/>
      <c r="U27" s="2001"/>
      <c r="V27" s="2001"/>
      <c r="W27" s="2001"/>
      <c r="X27" s="2001"/>
      <c r="Y27" s="2001"/>
      <c r="Z27" s="2001"/>
      <c r="AA27" s="2001"/>
      <c r="AB27" s="2001"/>
      <c r="AC27" s="2001"/>
      <c r="AD27" s="2001"/>
    </row>
    <row r="28" ht="16.5" spans="1:30">
      <c r="A28" s="2776"/>
      <c r="B28" s="2780"/>
      <c r="C28" s="2780"/>
      <c r="D28" s="2779"/>
      <c r="E28" s="2786"/>
      <c r="F28" s="2461"/>
      <c r="G28" s="2785" t="s">
        <v>79</v>
      </c>
      <c r="H28" s="2785">
        <v>28</v>
      </c>
      <c r="I28" s="2796">
        <v>385</v>
      </c>
      <c r="J28" s="2639">
        <v>72226</v>
      </c>
      <c r="K28" s="2711">
        <v>6.7</v>
      </c>
      <c r="L28" s="2798">
        <v>72226</v>
      </c>
      <c r="M28" s="2639"/>
      <c r="N28" s="2796"/>
      <c r="O28" s="2812"/>
      <c r="P28" s="2545"/>
      <c r="Q28" s="2846"/>
      <c r="R28" s="2817"/>
      <c r="S28" s="2001"/>
      <c r="T28" s="2001"/>
      <c r="U28" s="2001"/>
      <c r="V28" s="2001"/>
      <c r="W28" s="2001"/>
      <c r="X28" s="2001"/>
      <c r="Y28" s="2001"/>
      <c r="Z28" s="2001"/>
      <c r="AA28" s="2001"/>
      <c r="AB28" s="2001"/>
      <c r="AC28" s="2001"/>
      <c r="AD28" s="2001"/>
    </row>
    <row r="29" ht="16.5" customHeight="1" spans="1:30">
      <c r="A29" s="2776"/>
      <c r="B29" s="2008" t="s">
        <v>80</v>
      </c>
      <c r="C29" s="2604"/>
      <c r="D29" s="2604" t="s">
        <v>81</v>
      </c>
      <c r="E29" s="2008" t="s">
        <v>82</v>
      </c>
      <c r="F29" s="2008" t="s">
        <v>83</v>
      </c>
      <c r="G29" s="2604"/>
      <c r="H29" s="2604"/>
      <c r="I29" s="2799">
        <v>428</v>
      </c>
      <c r="J29" s="2418">
        <v>74900</v>
      </c>
      <c r="K29" s="2800"/>
      <c r="L29" s="2801"/>
      <c r="M29" s="2813">
        <v>74900</v>
      </c>
      <c r="N29" s="2604"/>
      <c r="O29" s="2814"/>
      <c r="P29" s="2815"/>
      <c r="Q29" s="2847" t="s">
        <v>84</v>
      </c>
      <c r="R29" s="2817"/>
      <c r="S29" s="2001"/>
      <c r="T29" s="2001"/>
      <c r="U29" s="2001"/>
      <c r="V29" s="2001"/>
      <c r="W29" s="2001"/>
      <c r="X29" s="2001"/>
      <c r="Y29" s="2001"/>
      <c r="Z29" s="2001"/>
      <c r="AA29" s="2001"/>
      <c r="AB29" s="2001"/>
      <c r="AC29" s="2001"/>
      <c r="AD29" s="2001"/>
    </row>
    <row r="30" ht="16.5" spans="1:30">
      <c r="A30" s="2776"/>
      <c r="B30" s="2008"/>
      <c r="C30" s="2559"/>
      <c r="D30" s="2604" t="s">
        <v>85</v>
      </c>
      <c r="E30" s="2008"/>
      <c r="F30" s="2008"/>
      <c r="G30" s="2604"/>
      <c r="H30" s="2604"/>
      <c r="I30" s="2802">
        <v>656</v>
      </c>
      <c r="J30" s="2418">
        <v>1883</v>
      </c>
      <c r="K30" s="2803"/>
      <c r="L30" s="2804">
        <v>1883</v>
      </c>
      <c r="M30" s="2384"/>
      <c r="N30" s="2804"/>
      <c r="O30" s="2465"/>
      <c r="P30" s="2815"/>
      <c r="Q30" s="2847"/>
      <c r="R30" s="2817"/>
      <c r="S30" s="2001"/>
      <c r="T30" s="2001"/>
      <c r="U30" s="2001"/>
      <c r="V30" s="2001"/>
      <c r="W30" s="2001"/>
      <c r="X30" s="2001"/>
      <c r="Y30" s="2001"/>
      <c r="Z30" s="2001"/>
      <c r="AA30" s="2001"/>
      <c r="AB30" s="2001"/>
      <c r="AC30" s="2001"/>
      <c r="AD30" s="2001"/>
    </row>
    <row r="31" ht="16.5" spans="1:30">
      <c r="A31" s="2776"/>
      <c r="B31" s="2008"/>
      <c r="C31" s="2559"/>
      <c r="D31" s="2604" t="s">
        <v>86</v>
      </c>
      <c r="E31" s="2008"/>
      <c r="F31" s="2008"/>
      <c r="G31" s="2604"/>
      <c r="H31" s="2604"/>
      <c r="I31" s="2802">
        <v>700</v>
      </c>
      <c r="J31" s="2418">
        <v>62475</v>
      </c>
      <c r="K31" s="2803"/>
      <c r="L31" s="2804">
        <v>62475</v>
      </c>
      <c r="M31" s="2384"/>
      <c r="N31" s="2804"/>
      <c r="O31" s="2465"/>
      <c r="P31" s="2815"/>
      <c r="Q31" s="2847"/>
      <c r="R31" s="2817"/>
      <c r="S31" s="2001"/>
      <c r="T31" s="2001"/>
      <c r="U31" s="2001"/>
      <c r="V31" s="2001"/>
      <c r="W31" s="2001"/>
      <c r="X31" s="2001"/>
      <c r="Y31" s="2001"/>
      <c r="Z31" s="2001"/>
      <c r="AA31" s="2001"/>
      <c r="AB31" s="2001"/>
      <c r="AC31" s="2001"/>
      <c r="AD31" s="2001"/>
    </row>
    <row r="32" ht="16.5" spans="1:30">
      <c r="A32" s="2776"/>
      <c r="B32" s="2008"/>
      <c r="C32" s="2559"/>
      <c r="D32" s="2604" t="s">
        <v>87</v>
      </c>
      <c r="E32" s="2008"/>
      <c r="F32" s="2008"/>
      <c r="G32" s="2604"/>
      <c r="H32" s="2604"/>
      <c r="I32" s="2802">
        <v>500</v>
      </c>
      <c r="J32" s="2418">
        <v>67298</v>
      </c>
      <c r="K32" s="2803"/>
      <c r="L32" s="2804">
        <v>67298</v>
      </c>
      <c r="M32" s="2384"/>
      <c r="N32" s="2804"/>
      <c r="O32" s="2465"/>
      <c r="P32" s="2816"/>
      <c r="Q32" s="2847"/>
      <c r="R32" s="2843"/>
      <c r="S32" s="2749"/>
      <c r="T32" s="2749"/>
      <c r="U32" s="2749"/>
      <c r="V32" s="2749"/>
      <c r="W32" s="2749"/>
      <c r="X32" s="2749"/>
      <c r="Y32" s="2749"/>
      <c r="Z32" s="2749"/>
      <c r="AA32" s="2749"/>
      <c r="AB32" s="2749"/>
      <c r="AC32" s="2749"/>
      <c r="AD32" s="2749"/>
    </row>
    <row r="33" ht="16.5" spans="1:30">
      <c r="A33" s="2776"/>
      <c r="B33" s="2008"/>
      <c r="C33" s="2559"/>
      <c r="D33" s="2604" t="s">
        <v>88</v>
      </c>
      <c r="E33" s="2008"/>
      <c r="F33" s="2008"/>
      <c r="G33" s="2604"/>
      <c r="H33" s="2604"/>
      <c r="I33" s="2802">
        <v>175</v>
      </c>
      <c r="J33" s="2418">
        <v>52675</v>
      </c>
      <c r="K33" s="2800"/>
      <c r="L33" s="2804">
        <v>52675</v>
      </c>
      <c r="M33" s="2384"/>
      <c r="N33" s="2804"/>
      <c r="O33" s="2465"/>
      <c r="P33" s="2816"/>
      <c r="Q33" s="2847"/>
      <c r="R33" s="2843"/>
      <c r="S33" s="2749"/>
      <c r="T33" s="2749"/>
      <c r="U33" s="2749"/>
      <c r="V33" s="2749"/>
      <c r="W33" s="2749"/>
      <c r="X33" s="2749"/>
      <c r="Y33" s="2749"/>
      <c r="Z33" s="2749"/>
      <c r="AA33" s="2749"/>
      <c r="AB33" s="2749"/>
      <c r="AC33" s="2749"/>
      <c r="AD33" s="2749"/>
    </row>
    <row r="34" ht="16.5" spans="1:30">
      <c r="A34" s="2776"/>
      <c r="B34" s="2361" t="s">
        <v>89</v>
      </c>
      <c r="C34" s="2361"/>
      <c r="D34" s="2361" t="s">
        <v>90</v>
      </c>
      <c r="E34" s="2361" t="s">
        <v>65</v>
      </c>
      <c r="F34" s="2850"/>
      <c r="G34" s="2856"/>
      <c r="H34" s="2785">
        <v>78</v>
      </c>
      <c r="I34" s="2864">
        <v>280</v>
      </c>
      <c r="J34" s="2865">
        <v>146328</v>
      </c>
      <c r="K34" s="2866"/>
      <c r="L34" s="2579"/>
      <c r="M34" s="2579"/>
      <c r="N34" s="2668"/>
      <c r="O34" s="2805"/>
      <c r="P34" s="2749"/>
      <c r="Q34" s="2846">
        <v>44130</v>
      </c>
      <c r="R34" s="2843"/>
      <c r="S34" s="2749"/>
      <c r="T34" s="2749"/>
      <c r="U34" s="2749"/>
      <c r="V34" s="2749"/>
      <c r="W34" s="2749"/>
      <c r="X34" s="2749"/>
      <c r="Y34" s="2749"/>
      <c r="Z34" s="2749"/>
      <c r="AA34" s="2749"/>
      <c r="AB34" s="2749"/>
      <c r="AC34" s="2749"/>
      <c r="AD34" s="2749"/>
    </row>
    <row r="35" s="23" customFormat="1" ht="18" spans="1:30">
      <c r="A35" s="2402"/>
      <c r="B35" s="2475" t="s">
        <v>91</v>
      </c>
      <c r="C35" s="2475" t="s">
        <v>31</v>
      </c>
      <c r="D35" s="2751"/>
      <c r="E35" s="2475"/>
      <c r="F35" s="2808"/>
      <c r="G35" s="2857" t="s">
        <v>92</v>
      </c>
      <c r="H35" s="2858"/>
      <c r="I35" s="2867"/>
      <c r="J35" s="2577">
        <v>100000</v>
      </c>
      <c r="K35" s="2868"/>
      <c r="L35" s="2501"/>
      <c r="M35" s="2501"/>
      <c r="N35" s="2419"/>
      <c r="O35" s="2809"/>
      <c r="P35" s="2816"/>
      <c r="Q35" s="2847"/>
      <c r="R35" s="2841"/>
      <c r="S35" s="2816"/>
      <c r="T35" s="2816"/>
      <c r="U35" s="2816"/>
      <c r="V35" s="2816"/>
      <c r="W35" s="2816"/>
      <c r="X35" s="2816"/>
      <c r="Y35" s="2816"/>
      <c r="Z35" s="2816"/>
      <c r="AA35" s="2816"/>
      <c r="AB35" s="2816"/>
      <c r="AC35" s="2816"/>
      <c r="AD35" s="2816"/>
    </row>
    <row r="36" ht="18" spans="1:30">
      <c r="A36" s="2726" t="s">
        <v>42</v>
      </c>
      <c r="B36" s="2557" t="s">
        <v>91</v>
      </c>
      <c r="C36" s="2557" t="s">
        <v>31</v>
      </c>
      <c r="D36" s="2724"/>
      <c r="E36" s="2557"/>
      <c r="F36" s="2734"/>
      <c r="G36" s="2735" t="s">
        <v>92</v>
      </c>
      <c r="H36" s="2736"/>
      <c r="I36" s="2741"/>
      <c r="J36" s="2742">
        <v>100000</v>
      </c>
      <c r="K36" s="2599"/>
      <c r="L36" s="2657"/>
      <c r="M36" s="2657"/>
      <c r="N36" s="2539"/>
      <c r="O36" s="2746"/>
      <c r="P36" s="2545"/>
      <c r="Q36" s="2846">
        <v>44133</v>
      </c>
      <c r="R36" s="2817"/>
      <c r="S36" s="2001"/>
      <c r="T36" s="2001"/>
      <c r="U36" s="2001"/>
      <c r="V36" s="2001"/>
      <c r="W36" s="2001"/>
      <c r="X36" s="2001"/>
      <c r="Y36" s="2001"/>
      <c r="Z36" s="2001"/>
      <c r="AA36" s="2001"/>
      <c r="AB36" s="2001"/>
      <c r="AC36" s="2001"/>
      <c r="AD36" s="2001"/>
    </row>
    <row r="37" ht="18" customHeight="1" spans="1:30">
      <c r="A37" s="2280" t="s">
        <v>93</v>
      </c>
      <c r="B37" s="2557" t="s">
        <v>94</v>
      </c>
      <c r="C37" s="2557" t="s">
        <v>31</v>
      </c>
      <c r="D37" s="2724"/>
      <c r="E37" s="2557"/>
      <c r="F37" s="2557"/>
      <c r="G37" s="2737" t="s">
        <v>95</v>
      </c>
      <c r="H37" s="2736"/>
      <c r="I37" s="2869"/>
      <c r="J37" s="2579">
        <v>100000</v>
      </c>
      <c r="K37" s="2599"/>
      <c r="L37" s="2579">
        <v>100000</v>
      </c>
      <c r="M37" s="2657"/>
      <c r="N37" s="2539"/>
      <c r="O37" s="2746"/>
      <c r="P37" s="2545"/>
      <c r="Q37" s="2822" t="s">
        <v>96</v>
      </c>
      <c r="R37" s="2817"/>
      <c r="S37" s="2001"/>
      <c r="T37" s="2001"/>
      <c r="U37" s="2001"/>
      <c r="V37" s="2001"/>
      <c r="W37" s="2001"/>
      <c r="X37" s="2001"/>
      <c r="Y37" s="2001"/>
      <c r="Z37" s="2001"/>
      <c r="AA37" s="2001"/>
      <c r="AB37" s="2001"/>
      <c r="AC37" s="2001"/>
      <c r="AD37" s="2001"/>
    </row>
    <row r="38" ht="16.5" spans="1:30">
      <c r="A38" s="2280"/>
      <c r="B38" s="2361" t="s">
        <v>97</v>
      </c>
      <c r="C38" s="2361"/>
      <c r="D38" s="2361"/>
      <c r="E38" s="2361"/>
      <c r="F38" s="2361"/>
      <c r="G38" s="2361" t="s">
        <v>98</v>
      </c>
      <c r="H38" s="2361"/>
      <c r="I38" s="2647"/>
      <c r="J38" s="2579">
        <v>270000</v>
      </c>
      <c r="K38" s="2578"/>
      <c r="L38" s="2579">
        <v>270000</v>
      </c>
      <c r="M38" s="2579"/>
      <c r="N38" s="2668"/>
      <c r="O38" s="2747"/>
      <c r="P38" s="2545"/>
      <c r="Q38" s="2822" t="s">
        <v>99</v>
      </c>
      <c r="R38" s="2817"/>
      <c r="S38" s="2001"/>
      <c r="T38" s="2001"/>
      <c r="U38" s="2001"/>
      <c r="V38" s="2001"/>
      <c r="W38" s="2001"/>
      <c r="X38" s="2001"/>
      <c r="Y38" s="2001"/>
      <c r="Z38" s="2001"/>
      <c r="AA38" s="2001"/>
      <c r="AB38" s="2001"/>
      <c r="AC38" s="2001"/>
      <c r="AD38" s="2001"/>
    </row>
    <row r="39" ht="36" customHeight="1" spans="1:30">
      <c r="A39" s="2848" t="s">
        <v>100</v>
      </c>
      <c r="B39" s="2475" t="s">
        <v>101</v>
      </c>
      <c r="C39" s="2475" t="s">
        <v>31</v>
      </c>
      <c r="D39" s="2751" t="s">
        <v>102</v>
      </c>
      <c r="E39" s="2475" t="s">
        <v>103</v>
      </c>
      <c r="F39" s="2475"/>
      <c r="G39" s="2755" t="s">
        <v>104</v>
      </c>
      <c r="H39" s="2755">
        <v>30</v>
      </c>
      <c r="I39" s="2759">
        <v>260</v>
      </c>
      <c r="J39" s="2577">
        <v>53040</v>
      </c>
      <c r="K39" s="2868"/>
      <c r="L39" s="2577"/>
      <c r="M39" s="2532"/>
      <c r="N39" s="2421">
        <v>7800</v>
      </c>
      <c r="O39" s="2746"/>
      <c r="P39" s="2545"/>
      <c r="Q39" s="2822">
        <v>44132</v>
      </c>
      <c r="R39" s="2817"/>
      <c r="S39" s="2001"/>
      <c r="T39" s="2001"/>
      <c r="U39" s="2001"/>
      <c r="V39" s="2001"/>
      <c r="W39" s="2001"/>
      <c r="X39" s="2001"/>
      <c r="Y39" s="2001"/>
      <c r="Z39" s="2001"/>
      <c r="AA39" s="2001"/>
      <c r="AB39" s="2001"/>
      <c r="AC39" s="2001"/>
      <c r="AD39" s="2001"/>
    </row>
    <row r="40" ht="16.5" spans="1:30">
      <c r="A40" s="2848"/>
      <c r="B40" s="2361" t="s">
        <v>105</v>
      </c>
      <c r="C40" s="2361" t="s">
        <v>106</v>
      </c>
      <c r="D40" s="2752"/>
      <c r="E40" s="2611"/>
      <c r="F40" s="2361"/>
      <c r="G40" s="2611" t="s">
        <v>107</v>
      </c>
      <c r="H40" s="2731">
        <v>70</v>
      </c>
      <c r="I40" s="2760"/>
      <c r="J40" s="2742">
        <v>300000</v>
      </c>
      <c r="K40" s="2578"/>
      <c r="L40" s="2579"/>
      <c r="M40" s="2579"/>
      <c r="N40" s="2539"/>
      <c r="O40" s="2761"/>
      <c r="P40" s="2877"/>
      <c r="Q40" s="2882" t="s">
        <v>108</v>
      </c>
      <c r="R40" s="2843"/>
      <c r="S40" s="2749"/>
      <c r="T40" s="2749"/>
      <c r="U40" s="2749"/>
      <c r="V40" s="2749"/>
      <c r="W40" s="2749"/>
      <c r="X40" s="2749"/>
      <c r="Y40" s="2749"/>
      <c r="Z40" s="2749"/>
      <c r="AA40" s="2749"/>
      <c r="AB40" s="2749"/>
      <c r="AC40" s="2749"/>
      <c r="AD40" s="2749"/>
    </row>
    <row r="41" ht="18" spans="1:30">
      <c r="A41" s="2750"/>
      <c r="B41" s="2849" t="s">
        <v>109</v>
      </c>
      <c r="C41" s="2849" t="s">
        <v>110</v>
      </c>
      <c r="D41" s="2778"/>
      <c r="E41" s="2784"/>
      <c r="F41" s="2459"/>
      <c r="G41" s="2556"/>
      <c r="H41" s="2785"/>
      <c r="I41" s="2793"/>
      <c r="J41" s="2638">
        <v>120000</v>
      </c>
      <c r="K41" s="2711"/>
      <c r="L41" s="2795"/>
      <c r="M41" s="2638"/>
      <c r="N41" s="2793"/>
      <c r="O41" s="2812"/>
      <c r="P41" s="2545"/>
      <c r="Q41" s="2883" t="s">
        <v>111</v>
      </c>
      <c r="R41" s="2843"/>
      <c r="S41" s="2749"/>
      <c r="T41" s="2749"/>
      <c r="U41" s="2749"/>
      <c r="V41" s="2749"/>
      <c r="W41" s="2749"/>
      <c r="X41" s="2749"/>
      <c r="Y41" s="2749"/>
      <c r="Z41" s="2749"/>
      <c r="AA41" s="2749"/>
      <c r="AB41" s="2749"/>
      <c r="AC41" s="2749"/>
      <c r="AD41" s="2749"/>
    </row>
    <row r="42" ht="18" spans="1:30">
      <c r="A42" s="2750"/>
      <c r="B42" s="2850" t="s">
        <v>112</v>
      </c>
      <c r="C42" s="2849" t="s">
        <v>110</v>
      </c>
      <c r="D42" s="2851"/>
      <c r="E42" s="2628"/>
      <c r="F42" s="2850"/>
      <c r="G42" s="2628"/>
      <c r="H42" s="2859"/>
      <c r="I42" s="2870"/>
      <c r="J42" s="2792">
        <v>100000</v>
      </c>
      <c r="K42" s="2740"/>
      <c r="L42" s="2579"/>
      <c r="M42" s="2579"/>
      <c r="N42" s="2539"/>
      <c r="O42" s="2611"/>
      <c r="P42" s="2764"/>
      <c r="Q42" s="2884" t="s">
        <v>113</v>
      </c>
      <c r="R42" s="2843"/>
      <c r="S42" s="2749"/>
      <c r="T42" s="2749"/>
      <c r="U42" s="2749"/>
      <c r="V42" s="2749"/>
      <c r="W42" s="2749"/>
      <c r="X42" s="2749"/>
      <c r="Y42" s="2749"/>
      <c r="Z42" s="2749"/>
      <c r="AA42" s="2749"/>
      <c r="AB42" s="2749"/>
      <c r="AC42" s="2749"/>
      <c r="AD42" s="2749"/>
    </row>
    <row r="43" ht="16.5" customHeight="1" spans="1:30">
      <c r="A43" s="2722" t="s">
        <v>67</v>
      </c>
      <c r="B43" s="2722"/>
      <c r="C43" s="2722"/>
      <c r="D43" s="2572" t="s">
        <v>114</v>
      </c>
      <c r="E43" s="2572"/>
      <c r="F43" s="2572"/>
      <c r="G43" s="2572"/>
      <c r="H43" s="2733"/>
      <c r="I43" s="1969"/>
      <c r="J43" s="2505">
        <f>SUM(J20:J42)</f>
        <v>2204062.4</v>
      </c>
      <c r="K43" s="2506"/>
      <c r="L43" s="2050">
        <f>SUM(L20:L42)</f>
        <v>904964</v>
      </c>
      <c r="M43" s="2067">
        <v>0</v>
      </c>
      <c r="N43" s="2067">
        <v>0</v>
      </c>
      <c r="O43" s="2765"/>
      <c r="P43" s="2745"/>
      <c r="Q43" s="2842"/>
      <c r="R43" s="2843"/>
      <c r="S43" s="2749"/>
      <c r="T43" s="2749"/>
      <c r="U43" s="2749"/>
      <c r="V43" s="2749"/>
      <c r="W43" s="2749"/>
      <c r="X43" s="2749"/>
      <c r="Y43" s="2749"/>
      <c r="Z43" s="2749"/>
      <c r="AA43" s="2749"/>
      <c r="AB43" s="2749"/>
      <c r="AC43" s="2749"/>
      <c r="AD43" s="2749"/>
    </row>
    <row r="44" ht="16.5" spans="1:30">
      <c r="A44" s="40" t="s">
        <v>115</v>
      </c>
      <c r="B44" s="40" t="s">
        <v>116</v>
      </c>
      <c r="C44" s="2852"/>
      <c r="D44" s="58" t="s">
        <v>117</v>
      </c>
      <c r="E44" s="1399"/>
      <c r="F44" s="1399"/>
      <c r="G44" s="40" t="s">
        <v>118</v>
      </c>
      <c r="H44" s="1953"/>
      <c r="I44" s="40">
        <v>71350</v>
      </c>
      <c r="J44" s="2718">
        <v>483724.46</v>
      </c>
      <c r="K44" s="2871"/>
      <c r="L44" s="2709"/>
      <c r="M44" s="2064"/>
      <c r="N44" s="2714"/>
      <c r="O44" s="2766"/>
      <c r="P44" s="2767"/>
      <c r="Q44" s="2885"/>
      <c r="R44" s="2817"/>
      <c r="S44" s="2001"/>
      <c r="T44" s="2001"/>
      <c r="U44" s="2001"/>
      <c r="V44" s="2001"/>
      <c r="W44" s="2001"/>
      <c r="X44" s="2001"/>
      <c r="Y44" s="2001"/>
      <c r="Z44" s="2001"/>
      <c r="AA44" s="2001"/>
      <c r="AB44" s="2001"/>
      <c r="AC44" s="2001"/>
      <c r="AD44" s="2001"/>
    </row>
    <row r="45" ht="16.5" spans="1:30">
      <c r="A45" s="40" t="s">
        <v>115</v>
      </c>
      <c r="B45" s="40" t="s">
        <v>119</v>
      </c>
      <c r="C45" s="2852"/>
      <c r="D45" s="58" t="s">
        <v>117</v>
      </c>
      <c r="E45" s="1399"/>
      <c r="F45" s="1399"/>
      <c r="G45" s="2860" t="s">
        <v>120</v>
      </c>
      <c r="H45" s="1953"/>
      <c r="I45" s="40">
        <v>33800</v>
      </c>
      <c r="J45" s="2718">
        <v>229150.48</v>
      </c>
      <c r="K45" s="2871"/>
      <c r="L45" s="2710"/>
      <c r="M45" s="2064"/>
      <c r="N45" s="2714"/>
      <c r="O45" s="2766"/>
      <c r="P45" s="2768"/>
      <c r="Q45" s="2886"/>
      <c r="R45" s="2887"/>
      <c r="S45" s="2888"/>
      <c r="T45" s="2889"/>
      <c r="U45" s="2889"/>
      <c r="V45" s="2889"/>
      <c r="W45" s="2893"/>
      <c r="X45" s="2888"/>
      <c r="Y45" s="2001"/>
      <c r="Z45" s="2001"/>
      <c r="AA45" s="2001"/>
      <c r="AB45" s="2001"/>
      <c r="AC45" s="2001"/>
      <c r="AD45" s="2001"/>
    </row>
    <row r="46" ht="16.5" spans="1:30">
      <c r="A46" s="40" t="s">
        <v>115</v>
      </c>
      <c r="B46" s="40" t="s">
        <v>121</v>
      </c>
      <c r="C46" s="2852"/>
      <c r="D46" s="58" t="s">
        <v>117</v>
      </c>
      <c r="E46" s="1399"/>
      <c r="F46" s="1399"/>
      <c r="G46" s="2860" t="s">
        <v>122</v>
      </c>
      <c r="H46" s="1953"/>
      <c r="I46" s="40">
        <v>36850</v>
      </c>
      <c r="J46" s="2718">
        <v>249828.26</v>
      </c>
      <c r="K46" s="2871"/>
      <c r="L46" s="2064"/>
      <c r="M46" s="2064"/>
      <c r="N46" s="2714"/>
      <c r="O46" s="2766"/>
      <c r="P46" s="2768"/>
      <c r="Q46" s="2886"/>
      <c r="R46" s="2887"/>
      <c r="S46" s="2888"/>
      <c r="T46" s="2889"/>
      <c r="U46" s="2894"/>
      <c r="V46" s="2889"/>
      <c r="W46" s="2893"/>
      <c r="X46" s="2888"/>
      <c r="Y46" s="2001"/>
      <c r="Z46" s="2001"/>
      <c r="AA46" s="2001"/>
      <c r="AB46" s="2001"/>
      <c r="AC46" s="2001"/>
      <c r="AD46" s="2001"/>
    </row>
    <row r="47" ht="16.5" spans="1:30">
      <c r="A47" s="40" t="s">
        <v>115</v>
      </c>
      <c r="B47" s="40" t="s">
        <v>121</v>
      </c>
      <c r="C47" s="2852"/>
      <c r="D47" s="58" t="s">
        <v>117</v>
      </c>
      <c r="E47" s="1399"/>
      <c r="F47" s="1399"/>
      <c r="G47" s="2860" t="s">
        <v>123</v>
      </c>
      <c r="H47" s="1953"/>
      <c r="I47" s="40">
        <v>29392</v>
      </c>
      <c r="J47" s="2718">
        <v>199266</v>
      </c>
      <c r="K47" s="2871"/>
      <c r="L47" s="2064"/>
      <c r="M47" s="2064"/>
      <c r="N47" s="2714"/>
      <c r="O47" s="2766"/>
      <c r="P47" s="2768"/>
      <c r="Q47" s="2886"/>
      <c r="R47" s="2887"/>
      <c r="S47" s="2890"/>
      <c r="T47" s="2889"/>
      <c r="U47" s="2894"/>
      <c r="V47" s="2889"/>
      <c r="W47" s="2893"/>
      <c r="X47" s="2888"/>
      <c r="Y47" s="2001"/>
      <c r="Z47" s="2001"/>
      <c r="AA47" s="2001"/>
      <c r="AB47" s="2001"/>
      <c r="AC47" s="2001"/>
      <c r="AD47" s="2001"/>
    </row>
    <row r="48" ht="16.5" spans="1:30">
      <c r="A48" s="2035" t="s">
        <v>115</v>
      </c>
      <c r="B48" s="2226" t="s">
        <v>121</v>
      </c>
      <c r="C48" s="2754"/>
      <c r="D48" s="2853" t="s">
        <v>117</v>
      </c>
      <c r="E48" s="2557"/>
      <c r="F48" s="2557"/>
      <c r="G48" s="2489" t="s">
        <v>124</v>
      </c>
      <c r="I48" s="44">
        <v>29392</v>
      </c>
      <c r="J48" s="2350">
        <v>199266</v>
      </c>
      <c r="K48" s="2599"/>
      <c r="L48" s="2064"/>
      <c r="M48" s="2064"/>
      <c r="N48" s="2714"/>
      <c r="O48" s="2766"/>
      <c r="P48" s="2768"/>
      <c r="Q48" s="2886"/>
      <c r="R48" s="2891"/>
      <c r="S48" s="2890"/>
      <c r="T48" s="2011"/>
      <c r="U48" s="2485"/>
      <c r="V48" s="40"/>
      <c r="W48" s="2718"/>
      <c r="X48" s="1959"/>
      <c r="Y48" s="2001"/>
      <c r="Z48" s="2001"/>
      <c r="AA48" s="2001"/>
      <c r="AB48" s="2001"/>
      <c r="AC48" s="2001"/>
      <c r="AD48" s="2001"/>
    </row>
    <row r="49" ht="16.5" customHeight="1" spans="1:30">
      <c r="A49" s="2295" t="s">
        <v>67</v>
      </c>
      <c r="B49" s="2295"/>
      <c r="C49" s="2295"/>
      <c r="D49" s="2040" t="s">
        <v>125</v>
      </c>
      <c r="E49" s="2040"/>
      <c r="F49" s="2040"/>
      <c r="G49" s="2040"/>
      <c r="H49" s="2330"/>
      <c r="I49" s="2049"/>
      <c r="J49" s="2050">
        <f>SUM(J44:J48)</f>
        <v>1361235.2</v>
      </c>
      <c r="K49" s="2066"/>
      <c r="L49" s="2050">
        <v>0</v>
      </c>
      <c r="M49" s="2067">
        <v>0</v>
      </c>
      <c r="N49" s="2067">
        <v>0</v>
      </c>
      <c r="O49" s="2765"/>
      <c r="P49" s="2745"/>
      <c r="Q49" s="2892"/>
      <c r="Y49" s="2749"/>
      <c r="Z49" s="2749"/>
      <c r="AA49" s="2749"/>
      <c r="AB49" s="2749"/>
      <c r="AC49" s="2749"/>
      <c r="AD49" s="2749"/>
    </row>
    <row r="50" ht="16.5" customHeight="1" spans="1:30">
      <c r="A50" s="2035" t="s">
        <v>115</v>
      </c>
      <c r="B50" s="2280" t="s">
        <v>126</v>
      </c>
      <c r="C50" s="2361"/>
      <c r="D50" s="2359" t="s">
        <v>117</v>
      </c>
      <c r="E50" s="2557"/>
      <c r="F50" s="2757"/>
      <c r="G50" s="2190" t="s">
        <v>127</v>
      </c>
      <c r="H50" s="2758"/>
      <c r="I50" s="40">
        <v>32396</v>
      </c>
      <c r="J50" s="2718">
        <v>219631.92</v>
      </c>
      <c r="K50" s="2599"/>
      <c r="L50" s="2526"/>
      <c r="M50" s="2546"/>
      <c r="N50" s="2601"/>
      <c r="O50" s="2769"/>
      <c r="P50" s="2770"/>
      <c r="Q50" s="2892"/>
      <c r="Y50" s="2001"/>
      <c r="Z50" s="2001"/>
      <c r="AA50" s="2001"/>
      <c r="AB50" s="2001"/>
      <c r="AC50" s="2001"/>
      <c r="AD50" s="2001"/>
    </row>
    <row r="51" ht="16.5" customHeight="1" spans="1:30">
      <c r="A51" s="2035" t="s">
        <v>115</v>
      </c>
      <c r="B51" s="2280"/>
      <c r="C51" s="2361"/>
      <c r="D51" s="2359" t="s">
        <v>117</v>
      </c>
      <c r="E51" s="2557"/>
      <c r="F51" s="2757"/>
      <c r="G51" s="2190" t="s">
        <v>127</v>
      </c>
      <c r="H51" s="2758"/>
      <c r="I51" s="40">
        <v>32396</v>
      </c>
      <c r="J51" s="2718">
        <v>219631.92</v>
      </c>
      <c r="K51" s="2599"/>
      <c r="L51" s="2526"/>
      <c r="M51" s="2546"/>
      <c r="N51" s="2601"/>
      <c r="O51" s="2769"/>
      <c r="P51" s="2373"/>
      <c r="Q51" s="2892"/>
      <c r="Y51" s="2001"/>
      <c r="Z51" s="2001"/>
      <c r="AA51" s="2001"/>
      <c r="AB51" s="2001"/>
      <c r="AC51" s="2001"/>
      <c r="AD51" s="2001"/>
    </row>
    <row r="52" ht="16.5" customHeight="1" spans="1:30">
      <c r="A52" s="2035" t="s">
        <v>115</v>
      </c>
      <c r="B52" s="2280"/>
      <c r="C52" s="2361"/>
      <c r="D52" s="2359" t="s">
        <v>117</v>
      </c>
      <c r="E52" s="2557"/>
      <c r="F52" s="2757"/>
      <c r="G52" s="2190" t="s">
        <v>127</v>
      </c>
      <c r="H52" s="2758"/>
      <c r="I52" s="40">
        <v>32396</v>
      </c>
      <c r="J52" s="2718">
        <v>219631.92</v>
      </c>
      <c r="K52" s="2599"/>
      <c r="L52" s="2526"/>
      <c r="M52" s="2546"/>
      <c r="N52" s="2601"/>
      <c r="O52" s="2769"/>
      <c r="P52" s="2373"/>
      <c r="Q52" s="2892"/>
      <c r="Y52" s="2001"/>
      <c r="Z52" s="2001"/>
      <c r="AA52" s="2001"/>
      <c r="AB52" s="2001"/>
      <c r="AC52" s="2001"/>
      <c r="AD52" s="2001"/>
    </row>
    <row r="53" ht="16.5" customHeight="1" spans="1:30">
      <c r="A53" s="2035" t="s">
        <v>115</v>
      </c>
      <c r="B53" s="2280"/>
      <c r="C53" s="2361"/>
      <c r="D53" s="2359" t="s">
        <v>117</v>
      </c>
      <c r="E53" s="2557"/>
      <c r="F53" s="2757"/>
      <c r="G53" s="2190" t="s">
        <v>127</v>
      </c>
      <c r="H53" s="2758"/>
      <c r="I53" s="40">
        <v>32396</v>
      </c>
      <c r="J53" s="2718">
        <v>219631.92</v>
      </c>
      <c r="K53" s="2599"/>
      <c r="L53" s="2526"/>
      <c r="M53" s="2546"/>
      <c r="N53" s="2601"/>
      <c r="O53" s="2769"/>
      <c r="P53" s="2373"/>
      <c r="Q53" s="2892"/>
      <c r="Y53" s="2001"/>
      <c r="Z53" s="2001"/>
      <c r="AA53" s="2001"/>
      <c r="AB53" s="2001"/>
      <c r="AC53" s="2001"/>
      <c r="AD53" s="2001"/>
    </row>
    <row r="54" ht="16.5" customHeight="1" spans="1:30">
      <c r="A54" s="2035" t="s">
        <v>115</v>
      </c>
      <c r="B54" s="2280"/>
      <c r="C54" s="2361"/>
      <c r="D54" s="2359" t="s">
        <v>117</v>
      </c>
      <c r="E54" s="2557"/>
      <c r="F54" s="2757"/>
      <c r="G54" s="2190" t="s">
        <v>127</v>
      </c>
      <c r="H54" s="2758"/>
      <c r="I54" s="40">
        <v>32396</v>
      </c>
      <c r="J54" s="2718">
        <v>219631.92</v>
      </c>
      <c r="K54" s="2599"/>
      <c r="L54" s="2526"/>
      <c r="M54" s="2546"/>
      <c r="N54" s="2601"/>
      <c r="O54" s="2769"/>
      <c r="P54" s="2373"/>
      <c r="Q54" s="2892"/>
      <c r="Y54" s="2001"/>
      <c r="Z54" s="2001"/>
      <c r="AA54" s="2001"/>
      <c r="AB54" s="2001"/>
      <c r="AC54" s="2001"/>
      <c r="AD54" s="2001"/>
    </row>
    <row r="55" ht="16.5" customHeight="1" spans="1:30">
      <c r="A55" s="2035" t="s">
        <v>115</v>
      </c>
      <c r="B55" s="2280"/>
      <c r="C55" s="2361"/>
      <c r="D55" s="2359" t="s">
        <v>117</v>
      </c>
      <c r="E55" s="2557"/>
      <c r="F55" s="2757"/>
      <c r="G55" s="2190" t="s">
        <v>127</v>
      </c>
      <c r="H55" s="2758"/>
      <c r="I55" s="40">
        <v>32396</v>
      </c>
      <c r="J55" s="2718">
        <v>219631.92</v>
      </c>
      <c r="K55" s="2599"/>
      <c r="L55" s="2526"/>
      <c r="M55" s="2546"/>
      <c r="N55" s="2601"/>
      <c r="O55" s="2769"/>
      <c r="P55" s="2373"/>
      <c r="Q55" s="2892"/>
      <c r="Y55" s="2001"/>
      <c r="Z55" s="2001"/>
      <c r="AA55" s="2001"/>
      <c r="AB55" s="2001"/>
      <c r="AC55" s="2001"/>
      <c r="AD55" s="2001"/>
    </row>
    <row r="56" ht="16.5" spans="1:30">
      <c r="A56" s="2035" t="s">
        <v>115</v>
      </c>
      <c r="B56" s="2280"/>
      <c r="C56" s="2361"/>
      <c r="D56" s="2359" t="s">
        <v>117</v>
      </c>
      <c r="E56" s="2557"/>
      <c r="F56" s="2757"/>
      <c r="G56" s="2190" t="s">
        <v>127</v>
      </c>
      <c r="H56" s="2758"/>
      <c r="I56" s="40">
        <v>32396</v>
      </c>
      <c r="J56" s="2718">
        <v>219631.92</v>
      </c>
      <c r="K56" s="2599"/>
      <c r="L56" s="2526"/>
      <c r="M56" s="2546"/>
      <c r="N56" s="2601"/>
      <c r="O56" s="2769"/>
      <c r="P56" s="2373"/>
      <c r="Q56" s="2892"/>
      <c r="Y56" s="2001"/>
      <c r="Z56" s="2001"/>
      <c r="AA56" s="2001"/>
      <c r="AB56" s="2001"/>
      <c r="AC56" s="2001"/>
      <c r="AD56" s="2001"/>
    </row>
    <row r="57" ht="16.5" spans="1:30">
      <c r="A57" s="2035" t="s">
        <v>115</v>
      </c>
      <c r="B57" s="2280"/>
      <c r="C57" s="2361"/>
      <c r="D57" s="2359" t="s">
        <v>117</v>
      </c>
      <c r="E57" s="2557"/>
      <c r="F57" s="2757"/>
      <c r="G57" s="2190" t="s">
        <v>127</v>
      </c>
      <c r="H57" s="2758"/>
      <c r="I57" s="40">
        <v>32396</v>
      </c>
      <c r="J57" s="2718">
        <v>219631.92</v>
      </c>
      <c r="K57" s="2599"/>
      <c r="L57" s="2526"/>
      <c r="M57" s="2546"/>
      <c r="N57" s="2601"/>
      <c r="O57" s="2769"/>
      <c r="P57" s="2373"/>
      <c r="Q57" s="2892"/>
      <c r="Y57" s="2001"/>
      <c r="Z57" s="2001"/>
      <c r="AA57" s="2001"/>
      <c r="AB57" s="2001"/>
      <c r="AC57" s="2001"/>
      <c r="AD57" s="2001"/>
    </row>
    <row r="58" ht="16.5" spans="1:30">
      <c r="A58" s="2035" t="s">
        <v>115</v>
      </c>
      <c r="B58" s="2280"/>
      <c r="C58" s="2361"/>
      <c r="D58" s="2359" t="s">
        <v>117</v>
      </c>
      <c r="E58" s="2557"/>
      <c r="F58" s="2757"/>
      <c r="G58" s="2190" t="s">
        <v>127</v>
      </c>
      <c r="H58" s="2758"/>
      <c r="I58" s="40">
        <v>32396</v>
      </c>
      <c r="J58" s="2718">
        <v>219631.92</v>
      </c>
      <c r="K58" s="2599"/>
      <c r="L58" s="2526"/>
      <c r="M58" s="2546"/>
      <c r="N58" s="2601"/>
      <c r="O58" s="2769"/>
      <c r="P58" s="2373"/>
      <c r="Y58" s="2001"/>
      <c r="Z58" s="2001"/>
      <c r="AA58" s="2001"/>
      <c r="AB58" s="2001"/>
      <c r="AC58" s="2001"/>
      <c r="AD58" s="2001"/>
    </row>
    <row r="59" ht="16.5" spans="1:30">
      <c r="A59" s="2035" t="s">
        <v>115</v>
      </c>
      <c r="B59" s="2280"/>
      <c r="C59" s="2361"/>
      <c r="D59" s="2359" t="s">
        <v>117</v>
      </c>
      <c r="E59" s="2557"/>
      <c r="F59" s="2757"/>
      <c r="G59" s="2190" t="s">
        <v>128</v>
      </c>
      <c r="H59" s="2758"/>
      <c r="I59" s="40">
        <v>37968</v>
      </c>
      <c r="J59" s="2718">
        <v>257407.85</v>
      </c>
      <c r="K59" s="2599"/>
      <c r="L59" s="2526"/>
      <c r="M59" s="2546"/>
      <c r="N59" s="2601"/>
      <c r="O59" s="2769"/>
      <c r="P59" s="2373"/>
      <c r="Y59" s="2001"/>
      <c r="Z59" s="2001"/>
      <c r="AA59" s="2001"/>
      <c r="AB59" s="2001"/>
      <c r="AC59" s="2001"/>
      <c r="AD59" s="2001"/>
    </row>
    <row r="60" ht="16.5" spans="1:30">
      <c r="A60" s="2035" t="s">
        <v>115</v>
      </c>
      <c r="B60" s="2280"/>
      <c r="C60" s="2361"/>
      <c r="D60" s="2359" t="s">
        <v>117</v>
      </c>
      <c r="E60" s="2557"/>
      <c r="F60" s="2757"/>
      <c r="G60" s="2190" t="s">
        <v>128</v>
      </c>
      <c r="H60" s="2758"/>
      <c r="I60" s="40">
        <v>37968</v>
      </c>
      <c r="J60" s="2718">
        <v>257407.85</v>
      </c>
      <c r="K60" s="2599"/>
      <c r="L60" s="2872"/>
      <c r="M60" s="2878"/>
      <c r="N60" s="2879"/>
      <c r="O60" s="2725"/>
      <c r="P60" s="2880"/>
      <c r="Y60" s="2001"/>
      <c r="Z60" s="2001"/>
      <c r="AA60" s="2001"/>
      <c r="AB60" s="2001"/>
      <c r="AC60" s="2001"/>
      <c r="AD60" s="2001"/>
    </row>
    <row r="61" ht="16.5" spans="1:30">
      <c r="A61" s="2153" t="s">
        <v>115</v>
      </c>
      <c r="B61" s="2153"/>
      <c r="C61" s="2850"/>
      <c r="D61" s="2854" t="s">
        <v>117</v>
      </c>
      <c r="E61" s="2310"/>
      <c r="F61" s="2861"/>
      <c r="G61" s="2862" t="s">
        <v>129</v>
      </c>
      <c r="H61" s="2863"/>
      <c r="I61" s="112">
        <v>32396</v>
      </c>
      <c r="J61" s="2873">
        <v>219631.92</v>
      </c>
      <c r="K61" s="2874"/>
      <c r="L61" s="2875"/>
      <c r="M61" s="2881"/>
      <c r="N61" s="2881"/>
      <c r="O61" s="2020"/>
      <c r="P61" s="2369"/>
      <c r="Y61" s="2001"/>
      <c r="Z61" s="2001"/>
      <c r="AA61" s="2001"/>
      <c r="AB61" s="2001"/>
      <c r="AC61" s="2001"/>
      <c r="AD61" s="2001"/>
    </row>
    <row r="62" ht="16.5" customHeight="1" spans="1:30">
      <c r="A62" s="2011" t="s">
        <v>130</v>
      </c>
      <c r="B62" s="2011" t="s">
        <v>131</v>
      </c>
      <c r="C62" s="2011" t="s">
        <v>61</v>
      </c>
      <c r="D62" s="2855">
        <v>44029</v>
      </c>
      <c r="E62" s="2011"/>
      <c r="F62" s="2011"/>
      <c r="G62" s="2011" t="s">
        <v>132</v>
      </c>
      <c r="H62" s="2011"/>
      <c r="I62" s="40">
        <v>6203</v>
      </c>
      <c r="J62" s="2718">
        <v>42053.86</v>
      </c>
      <c r="K62" s="2876"/>
      <c r="L62" s="2369"/>
      <c r="M62" s="2875"/>
      <c r="N62" s="2881"/>
      <c r="O62" s="2369"/>
      <c r="P62" s="2020"/>
      <c r="Y62" s="2001"/>
      <c r="Z62" s="2001"/>
      <c r="AA62" s="2001"/>
      <c r="AB62" s="2001"/>
      <c r="AC62" s="2001"/>
      <c r="AD62" s="2001"/>
    </row>
    <row r="63" ht="16.5" spans="1:30">
      <c r="A63" s="2011"/>
      <c r="B63" s="201" t="s">
        <v>133</v>
      </c>
      <c r="C63" s="2011" t="s">
        <v>61</v>
      </c>
      <c r="D63" s="2855"/>
      <c r="E63" s="2011"/>
      <c r="F63" s="2011"/>
      <c r="G63" s="40" t="s">
        <v>134</v>
      </c>
      <c r="H63" s="2011"/>
      <c r="I63" s="40">
        <v>1263</v>
      </c>
      <c r="J63" s="2718">
        <v>8562.63</v>
      </c>
      <c r="K63" s="2876"/>
      <c r="L63" s="2875"/>
      <c r="M63" s="2875"/>
      <c r="N63" s="2881"/>
      <c r="O63" s="2020"/>
      <c r="P63" s="2369"/>
      <c r="Y63" s="2001"/>
      <c r="Z63" s="2001"/>
      <c r="AA63" s="2001"/>
      <c r="AB63" s="2001"/>
      <c r="AC63" s="2001"/>
      <c r="AD63" s="2001"/>
    </row>
    <row r="64" ht="16.5" spans="1:30">
      <c r="A64" s="2011" t="s">
        <v>130</v>
      </c>
      <c r="B64" s="2011" t="s">
        <v>135</v>
      </c>
      <c r="C64" s="2011"/>
      <c r="D64" s="2855"/>
      <c r="E64" s="2011"/>
      <c r="F64" s="2011"/>
      <c r="G64" s="2190"/>
      <c r="H64" s="2011"/>
      <c r="I64" s="40">
        <v>13265</v>
      </c>
      <c r="J64" s="2718">
        <v>89931.39</v>
      </c>
      <c r="K64" s="2876"/>
      <c r="L64" s="2875"/>
      <c r="M64" s="2875"/>
      <c r="N64" s="2881"/>
      <c r="O64" s="2020"/>
      <c r="P64" s="2369"/>
      <c r="Y64" s="2001"/>
      <c r="Z64" s="2001"/>
      <c r="AA64" s="2001"/>
      <c r="AB64" s="2001"/>
      <c r="AC64" s="2001"/>
      <c r="AD64" s="2001"/>
    </row>
    <row r="65" ht="16.5" spans="1:30">
      <c r="A65" s="2011"/>
      <c r="B65" s="40" t="s">
        <v>136</v>
      </c>
      <c r="C65" s="2011"/>
      <c r="D65" s="2855"/>
      <c r="E65" s="2011"/>
      <c r="F65" s="2011"/>
      <c r="G65" s="40" t="s">
        <v>137</v>
      </c>
      <c r="H65" s="2011"/>
      <c r="I65" s="40">
        <v>33800</v>
      </c>
      <c r="J65" s="2718">
        <v>229150.48</v>
      </c>
      <c r="K65" s="2876"/>
      <c r="L65" s="2875"/>
      <c r="M65" s="2875"/>
      <c r="N65" s="2881"/>
      <c r="O65" s="2020"/>
      <c r="P65" s="2369"/>
      <c r="Y65" s="2001"/>
      <c r="Z65" s="2001"/>
      <c r="AA65" s="2001"/>
      <c r="AB65" s="2001"/>
      <c r="AC65" s="2001"/>
      <c r="AD65" s="2001"/>
    </row>
    <row r="66" ht="16.5" customHeight="1" spans="1:30">
      <c r="A66" s="2039" t="s">
        <v>67</v>
      </c>
      <c r="B66" s="2039"/>
      <c r="C66" s="2039"/>
      <c r="D66" s="2077" t="s">
        <v>138</v>
      </c>
      <c r="E66" s="2077"/>
      <c r="F66" s="2077"/>
      <c r="G66" s="2077"/>
      <c r="H66" s="2330"/>
      <c r="I66" s="2049"/>
      <c r="J66" s="2050">
        <f>SUM(J50:J65)</f>
        <v>3080833.26</v>
      </c>
      <c r="K66" s="2895"/>
      <c r="L66" s="2380">
        <v>0</v>
      </c>
      <c r="M66" s="2382">
        <v>0</v>
      </c>
      <c r="N66" s="2382">
        <v>0</v>
      </c>
      <c r="O66" s="474"/>
      <c r="P66" s="474"/>
      <c r="Y66" s="2749"/>
      <c r="Z66" s="2749"/>
      <c r="AA66" s="2749"/>
      <c r="AB66" s="2749"/>
      <c r="AC66" s="2749"/>
      <c r="AD66" s="2749"/>
    </row>
    <row r="67" spans="1:30">
      <c r="A67" s="2001"/>
      <c r="B67" s="2001"/>
      <c r="C67" s="2001"/>
      <c r="D67" s="2001"/>
      <c r="E67" s="2001"/>
      <c r="F67" s="2001"/>
      <c r="G67" s="2001"/>
      <c r="H67" s="2001"/>
      <c r="I67" s="2001"/>
      <c r="J67" s="2600"/>
      <c r="K67" s="2001"/>
      <c r="L67" s="2001"/>
      <c r="M67" s="2001"/>
      <c r="N67" s="2001"/>
      <c r="O67" s="2001"/>
      <c r="P67" s="2001"/>
      <c r="Y67" s="2001"/>
      <c r="Z67" s="2001"/>
      <c r="AA67" s="2001"/>
      <c r="AB67" s="2001"/>
      <c r="AC67" s="2001"/>
      <c r="AD67" s="2001"/>
    </row>
    <row r="68" spans="1:30">
      <c r="A68" s="2001"/>
      <c r="B68" s="2001"/>
      <c r="C68" s="2001"/>
      <c r="D68" s="2001"/>
      <c r="E68" s="2001"/>
      <c r="F68" s="2001"/>
      <c r="G68" s="2001"/>
      <c r="H68" s="2001"/>
      <c r="I68" s="2001"/>
      <c r="J68" s="2600"/>
      <c r="K68" s="2001"/>
      <c r="L68" s="2001"/>
      <c r="M68" s="2001"/>
      <c r="N68" s="2001"/>
      <c r="O68" s="2001"/>
      <c r="P68" s="2001"/>
      <c r="Q68" s="2001"/>
      <c r="R68" s="2817"/>
      <c r="S68" s="2001"/>
      <c r="T68" s="2001"/>
      <c r="U68" s="2001"/>
      <c r="V68" s="2001"/>
      <c r="W68" s="2001"/>
      <c r="X68" s="2001"/>
      <c r="Y68" s="2001"/>
      <c r="Z68" s="2001"/>
      <c r="AA68" s="2001"/>
      <c r="AB68" s="2001"/>
      <c r="AC68" s="2001"/>
      <c r="AD68" s="2001"/>
    </row>
    <row r="69" spans="1:30">
      <c r="A69" s="2001"/>
      <c r="B69" s="2001"/>
      <c r="C69" s="2001"/>
      <c r="D69" s="2001"/>
      <c r="E69" s="2001"/>
      <c r="F69" s="2001" t="s">
        <v>139</v>
      </c>
      <c r="G69" s="2001" t="s">
        <v>140</v>
      </c>
      <c r="H69" s="2001"/>
      <c r="I69" s="2001" t="s">
        <v>141</v>
      </c>
      <c r="J69" s="2600">
        <v>9026130.86</v>
      </c>
      <c r="K69" s="2001"/>
      <c r="L69" s="2001"/>
      <c r="M69" s="2069">
        <v>2380000</v>
      </c>
      <c r="N69" s="2001"/>
      <c r="O69" s="2069">
        <v>1080000</v>
      </c>
      <c r="P69" s="2001"/>
      <c r="Q69" s="2001"/>
      <c r="R69" s="2817"/>
      <c r="S69" s="2001"/>
      <c r="T69" s="2001"/>
      <c r="U69" s="2001"/>
      <c r="V69" s="2001"/>
      <c r="W69" s="2001"/>
      <c r="X69" s="2001"/>
      <c r="Y69" s="2001"/>
      <c r="Z69" s="2001"/>
      <c r="AA69" s="2001"/>
      <c r="AB69" s="2001"/>
      <c r="AC69" s="2001"/>
      <c r="AD69" s="2001"/>
    </row>
    <row r="70" spans="1:30">
      <c r="A70" s="2001"/>
      <c r="B70" s="2001"/>
      <c r="C70" s="2001"/>
      <c r="D70" s="2001"/>
      <c r="E70" s="2001"/>
      <c r="F70" s="2001"/>
      <c r="G70" s="2001"/>
      <c r="H70" s="2001"/>
      <c r="I70" s="2001"/>
      <c r="J70" s="2600"/>
      <c r="K70" s="2001"/>
      <c r="L70" s="2001"/>
      <c r="M70" s="2069">
        <v>2204062.4</v>
      </c>
      <c r="N70" s="2001"/>
      <c r="O70" s="2069">
        <v>1476059</v>
      </c>
      <c r="P70" s="2001"/>
      <c r="Q70" s="2001"/>
      <c r="R70" s="2817"/>
      <c r="S70" s="2001"/>
      <c r="T70" s="2001"/>
      <c r="U70" s="2001"/>
      <c r="V70" s="2001"/>
      <c r="W70" s="2001"/>
      <c r="X70" s="2001"/>
      <c r="Y70" s="2001"/>
      <c r="Z70" s="2001"/>
      <c r="AA70" s="2001"/>
      <c r="AB70" s="2001"/>
      <c r="AC70" s="2001"/>
      <c r="AD70" s="2001"/>
    </row>
    <row r="71" spans="1:30">
      <c r="A71" s="2001"/>
      <c r="B71" s="2001"/>
      <c r="C71" s="2001"/>
      <c r="D71" s="2001"/>
      <c r="E71" s="2001"/>
      <c r="F71" s="2001"/>
      <c r="G71" s="2001"/>
      <c r="H71" s="2001"/>
      <c r="I71" s="2001"/>
      <c r="J71" s="2600"/>
      <c r="K71" s="2001"/>
      <c r="L71" s="2001"/>
      <c r="M71" s="2069">
        <v>1361235.2</v>
      </c>
      <c r="N71" s="2001"/>
      <c r="O71" s="2069">
        <v>0</v>
      </c>
      <c r="P71" s="2001"/>
      <c r="Q71" s="2001"/>
      <c r="R71" s="2817"/>
      <c r="S71" s="2001"/>
      <c r="T71" s="2001"/>
      <c r="U71" s="2001"/>
      <c r="V71" s="2001"/>
      <c r="W71" s="2001"/>
      <c r="X71" s="2001"/>
      <c r="Y71" s="2001"/>
      <c r="Z71" s="2001"/>
      <c r="AA71" s="2001"/>
      <c r="AB71" s="2001"/>
      <c r="AC71" s="2001"/>
      <c r="AD71" s="2001"/>
    </row>
    <row r="72" spans="1:30">
      <c r="A72" s="2001"/>
      <c r="B72" s="2001"/>
      <c r="C72" s="2001"/>
      <c r="D72" s="2001"/>
      <c r="E72" s="2001"/>
      <c r="F72" s="2001"/>
      <c r="G72" s="2001"/>
      <c r="H72" s="2001"/>
      <c r="I72" s="2001"/>
      <c r="J72" s="2600"/>
      <c r="K72" s="2001"/>
      <c r="L72" s="2001"/>
      <c r="M72" s="2069">
        <v>3080833.26</v>
      </c>
      <c r="N72" s="2001"/>
      <c r="O72" s="2069">
        <v>0</v>
      </c>
      <c r="P72" s="2001"/>
      <c r="Q72" s="2001"/>
      <c r="R72" s="2817"/>
      <c r="S72" s="2001"/>
      <c r="T72" s="2001"/>
      <c r="U72" s="2001"/>
      <c r="V72" s="2001"/>
      <c r="W72" s="2001"/>
      <c r="X72" s="2001"/>
      <c r="Y72" s="2001"/>
      <c r="Z72" s="2001"/>
      <c r="AA72" s="2001"/>
      <c r="AB72" s="2001"/>
      <c r="AC72" s="2001"/>
      <c r="AD72" s="2001"/>
    </row>
    <row r="73" spans="1:30">
      <c r="A73" s="2001"/>
      <c r="B73" s="2001"/>
      <c r="C73" s="2001"/>
      <c r="D73" s="2001"/>
      <c r="E73" s="2001"/>
      <c r="F73" s="2001"/>
      <c r="G73" s="2001"/>
      <c r="H73" s="2001"/>
      <c r="I73" s="2001"/>
      <c r="J73" s="2600"/>
      <c r="K73" s="2001"/>
      <c r="L73" s="2001"/>
      <c r="M73" s="2069">
        <f>SUM(M69:M72)</f>
        <v>9026130.86</v>
      </c>
      <c r="N73" s="2001"/>
      <c r="O73" s="2069">
        <v>2556059</v>
      </c>
      <c r="P73" s="2001"/>
      <c r="Q73" s="2001"/>
      <c r="R73" s="2817"/>
      <c r="S73" s="2001"/>
      <c r="T73" s="2001"/>
      <c r="U73" s="2001"/>
      <c r="V73" s="2001"/>
      <c r="W73" s="2001"/>
      <c r="X73" s="2001"/>
      <c r="Y73" s="2001"/>
      <c r="Z73" s="2001"/>
      <c r="AA73" s="2001"/>
      <c r="AB73" s="2001"/>
      <c r="AC73" s="2001"/>
      <c r="AD73" s="2001"/>
    </row>
  </sheetData>
  <sheetProtection formatCells="0" insertHyperlinks="0" autoFilter="0"/>
  <mergeCells count="31">
    <mergeCell ref="A1:O1"/>
    <mergeCell ref="A19:C19"/>
    <mergeCell ref="D19:G19"/>
    <mergeCell ref="A43:C43"/>
    <mergeCell ref="D43:G43"/>
    <mergeCell ref="A49:C49"/>
    <mergeCell ref="D49:G49"/>
    <mergeCell ref="A66:C66"/>
    <mergeCell ref="D66:G66"/>
    <mergeCell ref="A2:A3"/>
    <mergeCell ref="A8:A14"/>
    <mergeCell ref="A15:A18"/>
    <mergeCell ref="A20:A34"/>
    <mergeCell ref="A37:A38"/>
    <mergeCell ref="A39:A40"/>
    <mergeCell ref="A62:A63"/>
    <mergeCell ref="A64:A65"/>
    <mergeCell ref="B10:B11"/>
    <mergeCell ref="B20:B25"/>
    <mergeCell ref="B26:B28"/>
    <mergeCell ref="B29:B33"/>
    <mergeCell ref="B50:B61"/>
    <mergeCell ref="C21:C25"/>
    <mergeCell ref="C26:C28"/>
    <mergeCell ref="E29:E33"/>
    <mergeCell ref="F29:F33"/>
    <mergeCell ref="Q20:Q25"/>
    <mergeCell ref="Q26:Q28"/>
    <mergeCell ref="Q29:Q33"/>
    <mergeCell ref="Q45:Q48"/>
    <mergeCell ref="S47:S4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D81"/>
  <sheetViews>
    <sheetView workbookViewId="0">
      <selection activeCell="B23" sqref="B23:O26"/>
    </sheetView>
  </sheetViews>
  <sheetFormatPr defaultColWidth="9" defaultRowHeight="13.5"/>
  <cols>
    <col min="2" max="2" width="21.525" customWidth="1"/>
    <col min="4" max="4" width="12.225" customWidth="1"/>
    <col min="7" max="7" width="13.6083333333333" customWidth="1"/>
    <col min="9" max="9" width="12.5" customWidth="1"/>
    <col min="10" max="10" width="15.975" customWidth="1"/>
    <col min="12" max="12" width="13.6083333333333" customWidth="1"/>
    <col min="13" max="13" width="17.3583333333333" customWidth="1"/>
    <col min="15" max="15" width="14.025" customWidth="1"/>
  </cols>
  <sheetData>
    <row r="1" ht="24.75" customHeight="1" spans="1:30">
      <c r="A1" s="1937" t="s">
        <v>142</v>
      </c>
      <c r="B1" s="1937"/>
      <c r="C1" s="1937"/>
      <c r="D1" s="1937"/>
      <c r="E1" s="1937"/>
      <c r="F1" s="1937"/>
      <c r="G1" s="1937"/>
      <c r="H1" s="1937"/>
      <c r="I1" s="1937"/>
      <c r="J1" s="1937"/>
      <c r="K1" s="1937"/>
      <c r="L1" s="1937"/>
      <c r="M1" s="1937"/>
      <c r="N1" s="1937"/>
      <c r="O1" s="1937"/>
      <c r="P1" s="2001"/>
      <c r="Q1" s="2001"/>
      <c r="R1" s="2001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2001"/>
      <c r="AD1" s="2001"/>
    </row>
    <row r="2" ht="27" customHeight="1" spans="1:30">
      <c r="A2" s="1938" t="s">
        <v>1</v>
      </c>
      <c r="B2" s="1939" t="s">
        <v>2</v>
      </c>
      <c r="C2" s="1939" t="s">
        <v>3</v>
      </c>
      <c r="D2" s="2003" t="s">
        <v>4</v>
      </c>
      <c r="E2" s="1939" t="s">
        <v>5</v>
      </c>
      <c r="F2" s="1940" t="s">
        <v>6</v>
      </c>
      <c r="G2" s="1940" t="s">
        <v>7</v>
      </c>
      <c r="H2" s="2727" t="s">
        <v>8</v>
      </c>
      <c r="I2" s="1963" t="s">
        <v>9</v>
      </c>
      <c r="J2" s="2574" t="s">
        <v>10</v>
      </c>
      <c r="K2" s="1978" t="s">
        <v>11</v>
      </c>
      <c r="L2" s="1979" t="s">
        <v>12</v>
      </c>
      <c r="M2" s="1979" t="s">
        <v>13</v>
      </c>
      <c r="N2" s="1980" t="s">
        <v>14</v>
      </c>
      <c r="O2" s="2003" t="s">
        <v>15</v>
      </c>
      <c r="P2" s="2004" t="s">
        <v>16</v>
      </c>
      <c r="Q2" s="2004" t="s">
        <v>17</v>
      </c>
      <c r="R2" s="2004" t="s">
        <v>18</v>
      </c>
      <c r="S2" s="2004" t="s">
        <v>19</v>
      </c>
      <c r="T2" s="2021" t="s">
        <v>20</v>
      </c>
      <c r="U2" s="2021" t="s">
        <v>21</v>
      </c>
      <c r="V2" s="2004" t="s">
        <v>22</v>
      </c>
      <c r="W2" s="2004" t="s">
        <v>23</v>
      </c>
      <c r="X2" s="2004" t="s">
        <v>24</v>
      </c>
      <c r="Y2" s="2004" t="s">
        <v>25</v>
      </c>
      <c r="Z2" s="2004" t="s">
        <v>26</v>
      </c>
      <c r="AA2" s="2004" t="s">
        <v>27</v>
      </c>
      <c r="AB2" s="2004" t="s">
        <v>28</v>
      </c>
      <c r="AC2" s="2026" t="s">
        <v>26</v>
      </c>
      <c r="AD2" s="2027" t="s">
        <v>27</v>
      </c>
    </row>
    <row r="3" spans="1:30">
      <c r="A3" s="1938"/>
      <c r="B3" s="1939"/>
      <c r="C3" s="1939"/>
      <c r="D3" s="2003"/>
      <c r="E3" s="1939"/>
      <c r="F3" s="1940"/>
      <c r="G3" s="1940"/>
      <c r="H3" s="2727"/>
      <c r="I3" s="1963"/>
      <c r="J3" s="2574"/>
      <c r="K3" s="1978"/>
      <c r="L3" s="1979"/>
      <c r="M3" s="1979"/>
      <c r="N3" s="1980"/>
      <c r="O3" s="2528"/>
      <c r="P3" s="2529"/>
      <c r="Q3" s="2529"/>
      <c r="R3" s="2529"/>
      <c r="S3" s="2529"/>
      <c r="T3" s="2547"/>
      <c r="U3" s="2547"/>
      <c r="V3" s="2529"/>
      <c r="W3" s="2529"/>
      <c r="X3" s="2529"/>
      <c r="Y3" s="2529"/>
      <c r="Z3" s="2529"/>
      <c r="AA3" s="2529"/>
      <c r="AB3" s="2529"/>
      <c r="AC3" s="2529"/>
      <c r="AD3" s="2529"/>
    </row>
    <row r="4" ht="16.5" customHeight="1" spans="1:30">
      <c r="A4" s="2171" t="s">
        <v>38</v>
      </c>
      <c r="B4" s="2459" t="s">
        <v>143</v>
      </c>
      <c r="C4" s="2459"/>
      <c r="D4" s="2460" t="s">
        <v>50</v>
      </c>
      <c r="E4" s="2459"/>
      <c r="F4" s="2459"/>
      <c r="G4" s="2459"/>
      <c r="H4" s="2449"/>
      <c r="I4" s="2459"/>
      <c r="J4" s="2638">
        <v>140000</v>
      </c>
      <c r="K4" s="2494"/>
      <c r="L4" s="2495"/>
      <c r="M4" s="2495"/>
      <c r="N4" s="2530"/>
      <c r="O4" s="2459"/>
      <c r="P4" s="2459"/>
      <c r="Q4" s="2459" t="s">
        <v>140</v>
      </c>
      <c r="R4" s="2459"/>
      <c r="S4" s="2459"/>
      <c r="T4" s="2459"/>
      <c r="U4" s="2459"/>
      <c r="V4" s="2459"/>
      <c r="W4" s="2459"/>
      <c r="X4" s="2459"/>
      <c r="Y4" s="2459"/>
      <c r="Z4" s="2459"/>
      <c r="AA4" s="2459"/>
      <c r="AB4" s="2459"/>
      <c r="AC4" s="2459"/>
      <c r="AD4" s="2459"/>
    </row>
    <row r="5" ht="16.5" spans="1:30">
      <c r="A5" s="2171"/>
      <c r="B5" s="2461" t="s">
        <v>144</v>
      </c>
      <c r="C5" s="2461"/>
      <c r="D5" s="2462" t="s">
        <v>117</v>
      </c>
      <c r="E5" s="2461"/>
      <c r="F5" s="2461"/>
      <c r="G5" s="2461"/>
      <c r="H5" s="2678"/>
      <c r="I5" s="2461"/>
      <c r="J5" s="2639">
        <v>50000</v>
      </c>
      <c r="K5" s="2497"/>
      <c r="L5" s="2498"/>
      <c r="M5" s="2498"/>
      <c r="N5" s="2531"/>
      <c r="O5" s="2171"/>
      <c r="P5" s="2171"/>
      <c r="Q5" s="2171"/>
      <c r="R5" s="2171"/>
      <c r="S5" s="2171"/>
      <c r="T5" s="2171"/>
      <c r="U5" s="2171"/>
      <c r="V5" s="2171"/>
      <c r="W5" s="2171"/>
      <c r="X5" s="2171"/>
      <c r="Y5" s="2171"/>
      <c r="Z5" s="2171"/>
      <c r="AA5" s="2171"/>
      <c r="AB5" s="2171"/>
      <c r="AC5" s="2171"/>
      <c r="AD5" s="2001"/>
    </row>
    <row r="6" ht="16.5" customHeight="1" spans="1:30">
      <c r="A6" s="2171"/>
      <c r="B6" s="2608" t="s">
        <v>53</v>
      </c>
      <c r="C6" s="2608"/>
      <c r="D6" s="2609" t="s">
        <v>50</v>
      </c>
      <c r="E6" s="2608"/>
      <c r="F6" s="2608"/>
      <c r="G6" s="2622"/>
      <c r="H6" s="2728"/>
      <c r="I6" s="2608"/>
      <c r="J6" s="2738">
        <v>300000</v>
      </c>
      <c r="K6" s="2526"/>
      <c r="L6" s="2655"/>
      <c r="M6" s="2655"/>
      <c r="N6" s="2665"/>
      <c r="O6" s="2666"/>
      <c r="P6" s="2666"/>
      <c r="Q6" s="2666"/>
      <c r="R6" s="2666"/>
      <c r="S6" s="2666"/>
      <c r="T6" s="2666"/>
      <c r="U6" s="2666"/>
      <c r="V6" s="2666"/>
      <c r="W6" s="2666"/>
      <c r="X6" s="2666"/>
      <c r="Y6" s="2666"/>
      <c r="Z6" s="2666"/>
      <c r="AA6" s="2666"/>
      <c r="AB6" s="2666"/>
      <c r="AC6" s="2666"/>
      <c r="AD6" s="2666"/>
    </row>
    <row r="7" ht="16.5" customHeight="1" spans="1:30">
      <c r="A7" s="2461"/>
      <c r="B7" s="2608" t="s">
        <v>145</v>
      </c>
      <c r="C7" s="2608"/>
      <c r="D7" s="2609" t="s">
        <v>50</v>
      </c>
      <c r="E7" s="2608"/>
      <c r="F7" s="2608"/>
      <c r="G7" s="2622"/>
      <c r="H7" s="2728"/>
      <c r="I7" s="2622"/>
      <c r="J7" s="2641">
        <v>200000</v>
      </c>
      <c r="K7" s="2526"/>
      <c r="L7" s="2656"/>
      <c r="M7" s="2656"/>
      <c r="N7" s="2667"/>
      <c r="O7" s="2608"/>
      <c r="P7" s="2608"/>
      <c r="Q7" s="2608"/>
      <c r="R7" s="2608"/>
      <c r="S7" s="2608"/>
      <c r="T7" s="2608"/>
      <c r="U7" s="2608"/>
      <c r="V7" s="2608"/>
      <c r="W7" s="2608"/>
      <c r="X7" s="2608"/>
      <c r="Y7" s="2608"/>
      <c r="Z7" s="2608"/>
      <c r="AA7" s="2608"/>
      <c r="AB7" s="2608"/>
      <c r="AC7" s="2608"/>
      <c r="AD7" s="2608"/>
    </row>
    <row r="8" s="23" customFormat="1" ht="16.5" customHeight="1" spans="1:30">
      <c r="A8" s="2463" t="s">
        <v>57</v>
      </c>
      <c r="B8" s="2553" t="s">
        <v>146</v>
      </c>
      <c r="C8" s="2475"/>
      <c r="D8" s="2465" t="s">
        <v>147</v>
      </c>
      <c r="E8" s="2475"/>
      <c r="F8" s="2566"/>
      <c r="G8" s="2567"/>
      <c r="H8" s="2729"/>
      <c r="I8" s="2580"/>
      <c r="J8" s="2499">
        <v>100000</v>
      </c>
      <c r="K8" s="2500"/>
      <c r="L8" s="2501"/>
      <c r="M8" s="2501"/>
      <c r="N8" s="2590"/>
      <c r="O8" s="2591"/>
      <c r="P8" s="2099"/>
      <c r="Q8" s="2099"/>
      <c r="R8" s="2099"/>
      <c r="S8" s="2099"/>
      <c r="T8" s="2593"/>
      <c r="U8" s="2593"/>
      <c r="V8" s="2099"/>
      <c r="W8" s="2099"/>
      <c r="X8" s="2099"/>
      <c r="Y8" s="2099"/>
      <c r="Z8" s="2099"/>
      <c r="AA8" s="2099"/>
      <c r="AB8" s="2099"/>
      <c r="AC8" s="2099"/>
      <c r="AD8" s="2595"/>
    </row>
    <row r="9" ht="16.5" spans="1:30">
      <c r="A9" s="2554"/>
      <c r="B9" s="2610" t="s">
        <v>148</v>
      </c>
      <c r="C9" s="2031"/>
      <c r="D9" s="2031" t="s">
        <v>147</v>
      </c>
      <c r="E9" s="2557"/>
      <c r="F9" s="2557"/>
      <c r="G9" s="2730"/>
      <c r="H9" s="2728"/>
      <c r="I9" s="2557"/>
      <c r="J9" s="2582">
        <v>500000</v>
      </c>
      <c r="K9" s="2578"/>
      <c r="L9" s="2579"/>
      <c r="M9" s="2657"/>
      <c r="N9" s="2587"/>
      <c r="O9" s="2734"/>
      <c r="P9" s="2734"/>
      <c r="Q9" s="2734"/>
      <c r="R9" s="2734"/>
      <c r="S9" s="2734"/>
      <c r="T9" s="2734"/>
      <c r="U9" s="2734"/>
      <c r="V9" s="2734"/>
      <c r="W9" s="2734"/>
      <c r="X9" s="2734"/>
      <c r="Y9" s="2734"/>
      <c r="Z9" s="2734"/>
      <c r="AA9" s="2734"/>
      <c r="AB9" s="2734"/>
      <c r="AC9" s="2734"/>
      <c r="AD9" s="2734"/>
    </row>
    <row r="10" ht="16.5" spans="1:30">
      <c r="A10" s="2554"/>
      <c r="B10" s="2610" t="s">
        <v>149</v>
      </c>
      <c r="C10" s="2031"/>
      <c r="D10" s="2031" t="s">
        <v>147</v>
      </c>
      <c r="E10" s="2557"/>
      <c r="F10" s="2557"/>
      <c r="G10" s="2730"/>
      <c r="H10" s="2525"/>
      <c r="I10" s="2557"/>
      <c r="J10" s="2582">
        <v>200000</v>
      </c>
      <c r="K10" s="2578"/>
      <c r="L10" s="2579"/>
      <c r="M10" s="2657"/>
      <c r="N10" s="2668"/>
      <c r="O10" s="2557"/>
      <c r="P10" s="2001"/>
      <c r="Q10" s="2001"/>
      <c r="R10" s="2001"/>
      <c r="S10" s="2001"/>
      <c r="T10" s="2001"/>
      <c r="U10" s="2001"/>
      <c r="V10" s="2001"/>
      <c r="W10" s="2001"/>
      <c r="X10" s="2001"/>
      <c r="Y10" s="2001"/>
      <c r="Z10" s="2001"/>
      <c r="AA10" s="2001"/>
      <c r="AB10" s="2001"/>
      <c r="AC10" s="2001"/>
      <c r="AD10" s="2001"/>
    </row>
    <row r="11" ht="16.5" spans="1:30">
      <c r="A11" s="2554"/>
      <c r="B11" s="2610" t="s">
        <v>150</v>
      </c>
      <c r="C11" s="2031"/>
      <c r="D11" s="2031" t="s">
        <v>147</v>
      </c>
      <c r="E11" s="2557"/>
      <c r="F11" s="2557"/>
      <c r="G11" s="2730"/>
      <c r="H11" s="2525"/>
      <c r="I11" s="2557"/>
      <c r="J11" s="2582">
        <v>200000</v>
      </c>
      <c r="K11" s="2578"/>
      <c r="L11" s="2579"/>
      <c r="M11" s="2657"/>
      <c r="N11" s="2668"/>
      <c r="O11" s="2557"/>
      <c r="P11" s="2001"/>
      <c r="Q11" s="2001"/>
      <c r="R11" s="2001"/>
      <c r="S11" s="2001"/>
      <c r="T11" s="2001"/>
      <c r="U11" s="2001"/>
      <c r="V11" s="2001"/>
      <c r="W11" s="2001"/>
      <c r="X11" s="2001"/>
      <c r="Y11" s="2001"/>
      <c r="Z11" s="2001"/>
      <c r="AA11" s="2001"/>
      <c r="AB11" s="2001"/>
      <c r="AC11" s="2001"/>
      <c r="AD11" s="2001"/>
    </row>
    <row r="12" s="23" customFormat="1" ht="16.5" spans="1:30">
      <c r="A12" s="2463"/>
      <c r="B12" s="2464" t="s">
        <v>151</v>
      </c>
      <c r="C12" s="2465"/>
      <c r="D12" s="2465" t="s">
        <v>147</v>
      </c>
      <c r="E12" s="2475"/>
      <c r="F12" s="2475"/>
      <c r="G12" s="2476"/>
      <c r="H12" s="2630"/>
      <c r="I12" s="2475"/>
      <c r="J12" s="2499">
        <v>200000</v>
      </c>
      <c r="K12" s="2500"/>
      <c r="L12" s="2501"/>
      <c r="M12" s="2532"/>
      <c r="N12" s="2419"/>
      <c r="O12" s="2475"/>
      <c r="P12" s="2595"/>
      <c r="Q12" s="2595"/>
      <c r="R12" s="2595"/>
      <c r="S12" s="2595"/>
      <c r="T12" s="2595"/>
      <c r="U12" s="2595"/>
      <c r="V12" s="2595"/>
      <c r="W12" s="2595"/>
      <c r="X12" s="2595"/>
      <c r="Y12" s="2595"/>
      <c r="Z12" s="2595"/>
      <c r="AA12" s="2595"/>
      <c r="AB12" s="2595"/>
      <c r="AC12" s="2595"/>
      <c r="AD12" s="2595"/>
    </row>
    <row r="13" s="23" customFormat="1" ht="16.5" spans="1:30">
      <c r="A13" s="2463"/>
      <c r="B13" s="2464" t="s">
        <v>152</v>
      </c>
      <c r="C13" s="2465"/>
      <c r="D13" s="2465" t="s">
        <v>147</v>
      </c>
      <c r="E13" s="2475"/>
      <c r="F13" s="2475"/>
      <c r="G13" s="2476"/>
      <c r="H13" s="2630"/>
      <c r="I13" s="2475"/>
      <c r="J13" s="2499">
        <v>200000</v>
      </c>
      <c r="K13" s="2500"/>
      <c r="L13" s="2501"/>
      <c r="M13" s="2532"/>
      <c r="N13" s="2419"/>
      <c r="O13" s="2475"/>
      <c r="P13" s="2595"/>
      <c r="Q13" s="2595"/>
      <c r="R13" s="2595"/>
      <c r="S13" s="2595"/>
      <c r="T13" s="2595"/>
      <c r="U13" s="2595"/>
      <c r="V13" s="2595"/>
      <c r="W13" s="2595"/>
      <c r="X13" s="2595"/>
      <c r="Y13" s="2595"/>
      <c r="Z13" s="2595"/>
      <c r="AA13" s="2595"/>
      <c r="AB13" s="2595"/>
      <c r="AC13" s="2595"/>
      <c r="AD13" s="2595"/>
    </row>
    <row r="14" s="23" customFormat="1" ht="33" spans="1:30">
      <c r="A14" s="2463"/>
      <c r="B14" s="2721" t="s">
        <v>153</v>
      </c>
      <c r="C14" s="2465"/>
      <c r="D14" s="2465" t="s">
        <v>147</v>
      </c>
      <c r="E14" s="2475"/>
      <c r="F14" s="2475"/>
      <c r="G14" s="2476"/>
      <c r="H14" s="2630"/>
      <c r="I14" s="2475"/>
      <c r="J14" s="2499">
        <v>300000</v>
      </c>
      <c r="K14" s="2500"/>
      <c r="L14" s="2501"/>
      <c r="M14" s="2532"/>
      <c r="N14" s="2419"/>
      <c r="O14" s="2475"/>
      <c r="P14" s="2595"/>
      <c r="Q14" s="2595"/>
      <c r="R14" s="2595"/>
      <c r="S14" s="2595"/>
      <c r="T14" s="2595"/>
      <c r="U14" s="2595"/>
      <c r="V14" s="2595"/>
      <c r="W14" s="2595"/>
      <c r="X14" s="2595"/>
      <c r="Y14" s="2595"/>
      <c r="Z14" s="2595"/>
      <c r="AA14" s="2595"/>
      <c r="AB14" s="2595"/>
      <c r="AC14" s="2595"/>
      <c r="AD14" s="2595"/>
    </row>
    <row r="15" s="23" customFormat="1" ht="16.5" spans="1:30">
      <c r="A15" s="2464"/>
      <c r="B15" s="2464" t="s">
        <v>154</v>
      </c>
      <c r="C15" s="2465" t="s">
        <v>155</v>
      </c>
      <c r="D15" s="2465" t="s">
        <v>147</v>
      </c>
      <c r="E15" s="2475"/>
      <c r="F15" s="2475"/>
      <c r="G15" s="2476"/>
      <c r="H15" s="2630"/>
      <c r="I15" s="2475"/>
      <c r="J15" s="2499">
        <v>200000</v>
      </c>
      <c r="K15" s="2500"/>
      <c r="L15" s="2501"/>
      <c r="M15" s="2532"/>
      <c r="N15" s="2419"/>
      <c r="O15" s="2475"/>
      <c r="P15" s="2595"/>
      <c r="Q15" s="2595"/>
      <c r="R15" s="2595"/>
      <c r="S15" s="2595"/>
      <c r="T15" s="2595"/>
      <c r="U15" s="2595"/>
      <c r="V15" s="2595"/>
      <c r="W15" s="2595"/>
      <c r="X15" s="2595"/>
      <c r="Y15" s="2595"/>
      <c r="Z15" s="2595"/>
      <c r="AA15" s="2595"/>
      <c r="AB15" s="2595"/>
      <c r="AC15" s="2595"/>
      <c r="AD15" s="2595"/>
    </row>
    <row r="16" ht="16.5" spans="1:30">
      <c r="A16" s="2280" t="s">
        <v>36</v>
      </c>
      <c r="B16" s="2361" t="s">
        <v>156</v>
      </c>
      <c r="C16" s="2361"/>
      <c r="D16" s="2611" t="s">
        <v>147</v>
      </c>
      <c r="E16" s="2627"/>
      <c r="F16" s="2627"/>
      <c r="G16" s="2611"/>
      <c r="H16" s="2731"/>
      <c r="I16" s="2647"/>
      <c r="J16" s="2579">
        <v>60000</v>
      </c>
      <c r="K16" s="2658"/>
      <c r="L16" s="2579"/>
      <c r="M16" s="2659"/>
      <c r="N16" s="2542"/>
      <c r="O16" s="2743"/>
      <c r="P16" s="2545"/>
      <c r="Q16" s="2748"/>
      <c r="R16" s="2001"/>
      <c r="S16" s="2001"/>
      <c r="T16" s="2001"/>
      <c r="U16" s="2001"/>
      <c r="V16" s="2001"/>
      <c r="W16" s="2001"/>
      <c r="X16" s="2001"/>
      <c r="Y16" s="2001"/>
      <c r="Z16" s="2001"/>
      <c r="AA16" s="2001"/>
      <c r="AB16" s="2001"/>
      <c r="AC16" s="2001"/>
      <c r="AD16" s="2001"/>
    </row>
    <row r="17" ht="16.5" spans="1:30">
      <c r="A17" s="2554"/>
      <c r="B17" s="2610" t="s">
        <v>157</v>
      </c>
      <c r="C17" s="2031"/>
      <c r="D17" s="2031" t="s">
        <v>147</v>
      </c>
      <c r="E17" s="2557"/>
      <c r="F17" s="2557"/>
      <c r="G17" s="2730"/>
      <c r="H17" s="2525"/>
      <c r="I17" s="2557"/>
      <c r="J17" s="2582">
        <v>110000</v>
      </c>
      <c r="K17" s="2578"/>
      <c r="L17" s="2579"/>
      <c r="M17" s="2657"/>
      <c r="N17" s="2668"/>
      <c r="O17" s="2557"/>
      <c r="P17" s="2001"/>
      <c r="Q17" s="2001"/>
      <c r="R17" s="2001"/>
      <c r="S17" s="2001"/>
      <c r="T17" s="2001"/>
      <c r="U17" s="2001"/>
      <c r="V17" s="2001"/>
      <c r="W17" s="2001"/>
      <c r="X17" s="2001"/>
      <c r="Y17" s="2001"/>
      <c r="Z17" s="2001"/>
      <c r="AA17" s="2001"/>
      <c r="AB17" s="2001"/>
      <c r="AC17" s="2001"/>
      <c r="AD17" s="2001"/>
    </row>
    <row r="18" ht="16.5" spans="1:30">
      <c r="A18" s="2554"/>
      <c r="B18" s="2610" t="s">
        <v>158</v>
      </c>
      <c r="C18" s="2031" t="s">
        <v>159</v>
      </c>
      <c r="D18" s="2031"/>
      <c r="E18" s="2557" t="s">
        <v>160</v>
      </c>
      <c r="F18" s="2557"/>
      <c r="G18" s="2730"/>
      <c r="H18" s="2525"/>
      <c r="I18" s="2557"/>
      <c r="J18" s="2582">
        <v>140000</v>
      </c>
      <c r="K18" s="2578"/>
      <c r="L18" s="2579"/>
      <c r="M18" s="2657"/>
      <c r="N18" s="2668"/>
      <c r="O18" s="2557"/>
      <c r="P18" s="2001"/>
      <c r="Q18" s="2001"/>
      <c r="R18" s="2001"/>
      <c r="S18" s="2001"/>
      <c r="T18" s="2001"/>
      <c r="U18" s="2001"/>
      <c r="V18" s="2001"/>
      <c r="W18" s="2001"/>
      <c r="X18" s="2001"/>
      <c r="Y18" s="2001"/>
      <c r="Z18" s="2001"/>
      <c r="AA18" s="2001"/>
      <c r="AB18" s="2001"/>
      <c r="AC18" s="2001"/>
      <c r="AD18" s="2001"/>
    </row>
    <row r="19" ht="16.5" spans="1:30">
      <c r="A19" s="2554"/>
      <c r="B19" s="2610" t="s">
        <v>161</v>
      </c>
      <c r="C19" s="2031"/>
      <c r="D19" s="2031" t="s">
        <v>147</v>
      </c>
      <c r="E19" s="2557"/>
      <c r="F19" s="2557"/>
      <c r="G19" s="2730"/>
      <c r="H19" s="2525"/>
      <c r="I19" s="2557"/>
      <c r="J19" s="2582">
        <v>530000</v>
      </c>
      <c r="K19" s="2578"/>
      <c r="L19" s="2579"/>
      <c r="M19" s="2657"/>
      <c r="N19" s="2668"/>
      <c r="O19" s="2557"/>
      <c r="P19" s="2001"/>
      <c r="Q19" s="2001"/>
      <c r="R19" s="2001"/>
      <c r="S19" s="2001"/>
      <c r="T19" s="2001"/>
      <c r="U19" s="2001"/>
      <c r="V19" s="2001"/>
      <c r="W19" s="2001"/>
      <c r="X19" s="2001"/>
      <c r="Y19" s="2001"/>
      <c r="Z19" s="2001"/>
      <c r="AA19" s="2001"/>
      <c r="AB19" s="2001"/>
      <c r="AC19" s="2001"/>
      <c r="AD19" s="2001"/>
    </row>
    <row r="20" ht="16.5" spans="1:30">
      <c r="A20" s="2554"/>
      <c r="B20" s="2610" t="s">
        <v>162</v>
      </c>
      <c r="C20" s="2031"/>
      <c r="D20" s="2031" t="s">
        <v>147</v>
      </c>
      <c r="E20" s="2557"/>
      <c r="F20" s="2557"/>
      <c r="G20" s="2730"/>
      <c r="H20" s="2525"/>
      <c r="I20" s="2557"/>
      <c r="J20" s="2582">
        <v>110000</v>
      </c>
      <c r="K20" s="2578"/>
      <c r="L20" s="2579"/>
      <c r="M20" s="2657"/>
      <c r="N20" s="2668"/>
      <c r="O20" s="2557"/>
      <c r="P20" s="2001"/>
      <c r="Q20" s="2001"/>
      <c r="R20" s="2001"/>
      <c r="S20" s="2001"/>
      <c r="T20" s="2001"/>
      <c r="U20" s="2001"/>
      <c r="V20" s="2001"/>
      <c r="W20" s="2001"/>
      <c r="X20" s="2001"/>
      <c r="Y20" s="2001"/>
      <c r="Z20" s="2001"/>
      <c r="AA20" s="2001"/>
      <c r="AB20" s="2001"/>
      <c r="AC20" s="2001"/>
      <c r="AD20" s="2001"/>
    </row>
    <row r="21" ht="16.5" spans="1:30">
      <c r="A21" s="2554"/>
      <c r="B21" s="2554" t="s">
        <v>37</v>
      </c>
      <c r="C21" s="2251"/>
      <c r="D21" s="2251"/>
      <c r="E21" s="2310"/>
      <c r="F21" s="2310"/>
      <c r="G21" s="2175"/>
      <c r="H21" s="2732"/>
      <c r="I21" s="2310"/>
      <c r="J21" s="2739"/>
      <c r="K21" s="2740"/>
      <c r="L21" s="2660"/>
      <c r="M21" s="2661"/>
      <c r="N21" s="2670"/>
      <c r="O21" s="2310"/>
      <c r="P21" s="2001"/>
      <c r="Q21" s="2001"/>
      <c r="R21" s="2001"/>
      <c r="S21" s="2001"/>
      <c r="T21" s="2001"/>
      <c r="U21" s="2001"/>
      <c r="V21" s="2001"/>
      <c r="W21" s="2001"/>
      <c r="X21" s="2001"/>
      <c r="Y21" s="2001"/>
      <c r="Z21" s="2001"/>
      <c r="AA21" s="2001"/>
      <c r="AB21" s="2001"/>
      <c r="AC21" s="2001"/>
      <c r="AD21" s="2001"/>
    </row>
    <row r="22" ht="16.5" customHeight="1" spans="1:30">
      <c r="A22" s="2295" t="s">
        <v>67</v>
      </c>
      <c r="B22" s="2722"/>
      <c r="C22" s="2722"/>
      <c r="D22" s="2572" t="s">
        <v>68</v>
      </c>
      <c r="E22" s="2572"/>
      <c r="F22" s="2572"/>
      <c r="G22" s="2572"/>
      <c r="H22" s="2733"/>
      <c r="I22" s="1969"/>
      <c r="J22" s="2505">
        <f>SUM(J4:J20)</f>
        <v>3540000</v>
      </c>
      <c r="K22" s="2506"/>
      <c r="L22" s="2505">
        <v>0</v>
      </c>
      <c r="M22" s="2537">
        <v>0</v>
      </c>
      <c r="N22" s="2538">
        <v>0</v>
      </c>
      <c r="O22" s="2744"/>
      <c r="P22" s="2745"/>
      <c r="Q22" s="2745"/>
      <c r="R22" s="2749"/>
      <c r="S22" s="2749"/>
      <c r="T22" s="2749"/>
      <c r="U22" s="2749"/>
      <c r="V22" s="2749"/>
      <c r="W22" s="2749"/>
      <c r="X22" s="2749"/>
      <c r="Y22" s="2749"/>
      <c r="Z22" s="2749"/>
      <c r="AA22" s="2749"/>
      <c r="AB22" s="2749"/>
      <c r="AC22" s="2749"/>
      <c r="AD22" s="2749"/>
    </row>
    <row r="23" ht="16.5" spans="1:30">
      <c r="A23" s="2723"/>
      <c r="B23" s="2361" t="s">
        <v>163</v>
      </c>
      <c r="C23" s="2361"/>
      <c r="D23" s="2611"/>
      <c r="E23" s="2627"/>
      <c r="F23" s="2627" t="s">
        <v>164</v>
      </c>
      <c r="G23" s="2611"/>
      <c r="H23" s="2731"/>
      <c r="I23" s="2647"/>
      <c r="J23" s="2579">
        <v>181308</v>
      </c>
      <c r="K23" s="2658"/>
      <c r="L23" s="2579">
        <v>181308</v>
      </c>
      <c r="M23" s="2659"/>
      <c r="N23" s="2361"/>
      <c r="O23" s="2361"/>
      <c r="P23" s="2545"/>
      <c r="Q23" s="2545"/>
      <c r="R23" s="2001"/>
      <c r="S23" s="2001"/>
      <c r="T23" s="2001"/>
      <c r="U23" s="2001"/>
      <c r="V23" s="2001"/>
      <c r="W23" s="2001"/>
      <c r="X23" s="2001"/>
      <c r="Y23" s="2001"/>
      <c r="Z23" s="2001"/>
      <c r="AA23" s="2001"/>
      <c r="AB23" s="2001"/>
      <c r="AC23" s="2001"/>
      <c r="AD23" s="2001"/>
    </row>
    <row r="24" customFormat="1"/>
    <row r="25" ht="18" spans="1:30">
      <c r="A25" s="2723"/>
      <c r="B25" s="2557"/>
      <c r="C25" s="2557"/>
      <c r="D25" s="2724"/>
      <c r="E25" s="2557"/>
      <c r="F25" s="2734"/>
      <c r="G25" s="2735"/>
      <c r="H25" s="2736"/>
      <c r="I25" s="2741"/>
      <c r="J25" s="2742"/>
      <c r="K25" s="2599"/>
      <c r="L25" s="2657"/>
      <c r="M25" s="2657"/>
      <c r="N25" s="2557"/>
      <c r="O25" s="2557"/>
      <c r="P25" s="2545"/>
      <c r="Q25" s="2545"/>
      <c r="R25" s="2001"/>
      <c r="S25" s="2001"/>
      <c r="T25" s="2001"/>
      <c r="U25" s="2001"/>
      <c r="V25" s="2001"/>
      <c r="W25" s="2001"/>
      <c r="X25" s="2001"/>
      <c r="Y25" s="2001"/>
      <c r="Z25" s="2001"/>
      <c r="AA25" s="2001"/>
      <c r="AB25" s="2001"/>
      <c r="AC25" s="2001"/>
      <c r="AD25" s="2001"/>
    </row>
    <row r="26" ht="18" spans="1:30">
      <c r="A26" s="2725"/>
      <c r="B26" s="2557"/>
      <c r="C26" s="2557"/>
      <c r="D26" s="2724"/>
      <c r="E26" s="2557"/>
      <c r="F26" s="2557"/>
      <c r="G26" s="2737"/>
      <c r="H26" s="2736"/>
      <c r="I26" s="2647"/>
      <c r="J26" s="2579"/>
      <c r="K26" s="2599"/>
      <c r="L26" s="2579"/>
      <c r="M26" s="2657"/>
      <c r="N26" s="2557"/>
      <c r="O26" s="2557"/>
      <c r="P26" s="2545"/>
      <c r="Q26" s="2545"/>
      <c r="R26" s="2001"/>
      <c r="S26" s="2001"/>
      <c r="T26" s="2001"/>
      <c r="U26" s="2001"/>
      <c r="V26" s="2001"/>
      <c r="W26" s="2001"/>
      <c r="X26" s="2001"/>
      <c r="Y26" s="2001"/>
      <c r="Z26" s="2001"/>
      <c r="AA26" s="2001"/>
      <c r="AB26" s="2001"/>
      <c r="AC26" s="2001"/>
      <c r="AD26" s="2001"/>
    </row>
    <row r="27" ht="18" spans="1:30">
      <c r="A27" s="2726" t="s">
        <v>42</v>
      </c>
      <c r="B27" s="2557" t="s">
        <v>165</v>
      </c>
      <c r="C27" s="2557"/>
      <c r="D27" s="2724"/>
      <c r="E27" s="2557"/>
      <c r="F27" s="2734"/>
      <c r="G27" s="2735"/>
      <c r="H27" s="2736"/>
      <c r="I27" s="2741"/>
      <c r="J27" s="2742">
        <v>200000</v>
      </c>
      <c r="K27" s="2599"/>
      <c r="L27" s="2657"/>
      <c r="M27" s="2657"/>
      <c r="N27" s="2539"/>
      <c r="O27" s="2746"/>
      <c r="P27" s="2545"/>
      <c r="Q27" s="2748"/>
      <c r="R27" s="2001"/>
      <c r="S27" s="2001"/>
      <c r="T27" s="2001"/>
      <c r="U27" s="2001"/>
      <c r="V27" s="2001"/>
      <c r="W27" s="2001"/>
      <c r="X27" s="2001"/>
      <c r="Y27" s="2001"/>
      <c r="Z27" s="2001"/>
      <c r="AA27" s="2001"/>
      <c r="AB27" s="2001"/>
      <c r="AC27" s="2001"/>
      <c r="AD27" s="2001"/>
    </row>
    <row r="28" ht="18" customHeight="1" spans="1:30">
      <c r="A28" s="2153" t="s">
        <v>29</v>
      </c>
      <c r="B28" s="2557" t="s">
        <v>166</v>
      </c>
      <c r="C28" s="2557"/>
      <c r="D28" s="2724" t="s">
        <v>147</v>
      </c>
      <c r="E28" s="2557"/>
      <c r="F28" s="2557"/>
      <c r="G28" s="2737"/>
      <c r="H28" s="2736"/>
      <c r="I28" s="2647">
        <v>16407</v>
      </c>
      <c r="J28" s="2579">
        <v>110000</v>
      </c>
      <c r="K28" s="2599"/>
      <c r="L28" s="2579"/>
      <c r="M28" s="2657"/>
      <c r="N28" s="2539"/>
      <c r="O28" s="2746"/>
      <c r="P28" s="2545"/>
      <c r="Q28" s="2748"/>
      <c r="R28" s="2001"/>
      <c r="S28" s="2001"/>
      <c r="T28" s="2001"/>
      <c r="U28" s="2001"/>
      <c r="V28" s="2001"/>
      <c r="W28" s="2001"/>
      <c r="X28" s="2001"/>
      <c r="Y28" s="2001"/>
      <c r="Z28" s="2001"/>
      <c r="AA28" s="2001"/>
      <c r="AB28" s="2001"/>
      <c r="AC28" s="2001"/>
      <c r="AD28" s="2001"/>
    </row>
    <row r="29" ht="16.5" spans="1:30">
      <c r="A29" s="2153"/>
      <c r="B29" s="2361" t="s">
        <v>167</v>
      </c>
      <c r="C29" s="2361"/>
      <c r="D29" s="2611"/>
      <c r="E29" s="2627"/>
      <c r="F29" s="2627"/>
      <c r="G29" s="2611"/>
      <c r="H29" s="2731"/>
      <c r="I29" s="2659"/>
      <c r="J29" s="2579">
        <v>210000</v>
      </c>
      <c r="K29" s="2658"/>
      <c r="L29" s="2579"/>
      <c r="M29" s="2659"/>
      <c r="N29" s="2542"/>
      <c r="O29" s="2746"/>
      <c r="P29" s="2545"/>
      <c r="Q29" s="2748"/>
      <c r="R29" s="2001"/>
      <c r="S29" s="2001"/>
      <c r="T29" s="2001"/>
      <c r="U29" s="2001"/>
      <c r="V29" s="2001"/>
      <c r="W29" s="2001"/>
      <c r="X29" s="2001"/>
      <c r="Y29" s="2001"/>
      <c r="Z29" s="2001"/>
      <c r="AA29" s="2001"/>
      <c r="AB29" s="2001"/>
      <c r="AC29" s="2001"/>
      <c r="AD29" s="2001"/>
    </row>
    <row r="30" ht="16.5" spans="1:30">
      <c r="A30" s="2153"/>
      <c r="B30" s="2361" t="s">
        <v>168</v>
      </c>
      <c r="C30" s="2361"/>
      <c r="D30" s="2611" t="s">
        <v>147</v>
      </c>
      <c r="E30" s="2627"/>
      <c r="F30" s="2627"/>
      <c r="G30" s="2611"/>
      <c r="H30" s="2731"/>
      <c r="I30" s="2647">
        <v>11983</v>
      </c>
      <c r="J30" s="2579">
        <v>80000</v>
      </c>
      <c r="K30" s="2658"/>
      <c r="L30" s="2579"/>
      <c r="M30" s="2659"/>
      <c r="N30" s="2542"/>
      <c r="O30" s="2743"/>
      <c r="P30" s="2545"/>
      <c r="Q30" s="2748"/>
      <c r="R30" s="2001"/>
      <c r="S30" s="2001"/>
      <c r="T30" s="2001"/>
      <c r="U30" s="2001"/>
      <c r="V30" s="2001"/>
      <c r="W30" s="2001"/>
      <c r="X30" s="2001"/>
      <c r="Y30" s="2001"/>
      <c r="Z30" s="2001"/>
      <c r="AA30" s="2001"/>
      <c r="AB30" s="2001"/>
      <c r="AC30" s="2001"/>
      <c r="AD30" s="2001"/>
    </row>
    <row r="31" ht="16.5" spans="1:30">
      <c r="A31" s="2153"/>
      <c r="B31" s="2361" t="s">
        <v>169</v>
      </c>
      <c r="C31" s="2361"/>
      <c r="D31" s="2361" t="s">
        <v>147</v>
      </c>
      <c r="E31" s="2361"/>
      <c r="F31" s="2361"/>
      <c r="G31" s="2361"/>
      <c r="H31" s="2361"/>
      <c r="I31" s="2647">
        <v>16963</v>
      </c>
      <c r="J31" s="2579">
        <v>110000</v>
      </c>
      <c r="K31" s="2578"/>
      <c r="L31" s="2579"/>
      <c r="M31" s="2579"/>
      <c r="N31" s="2668"/>
      <c r="O31" s="2747"/>
      <c r="P31" s="2545"/>
      <c r="Q31" s="2748"/>
      <c r="R31" s="2001"/>
      <c r="S31" s="2001"/>
      <c r="T31" s="2001"/>
      <c r="U31" s="2001"/>
      <c r="V31" s="2001"/>
      <c r="W31" s="2001"/>
      <c r="X31" s="2001"/>
      <c r="Y31" s="2001"/>
      <c r="Z31" s="2001"/>
      <c r="AA31" s="2001"/>
      <c r="AB31" s="2001"/>
      <c r="AC31" s="2001"/>
      <c r="AD31" s="2001"/>
    </row>
    <row r="32" ht="16.5" spans="1:30">
      <c r="A32" s="2153"/>
      <c r="B32" s="2361" t="s">
        <v>170</v>
      </c>
      <c r="C32" s="2361"/>
      <c r="D32" s="2361"/>
      <c r="E32" s="2361"/>
      <c r="F32" s="2361"/>
      <c r="G32" s="2361"/>
      <c r="H32" s="2361"/>
      <c r="I32" s="2647"/>
      <c r="J32" s="2579">
        <v>4550</v>
      </c>
      <c r="K32" s="2578"/>
      <c r="L32" s="2579"/>
      <c r="M32" s="2579"/>
      <c r="N32" s="2668"/>
      <c r="O32" s="2747"/>
      <c r="P32" s="2545"/>
      <c r="Q32" s="2748"/>
      <c r="R32" s="2001"/>
      <c r="S32" s="2001"/>
      <c r="T32" s="2001"/>
      <c r="U32" s="2001"/>
      <c r="V32" s="2001"/>
      <c r="W32" s="2001"/>
      <c r="X32" s="2001"/>
      <c r="Y32" s="2001"/>
      <c r="Z32" s="2001"/>
      <c r="AA32" s="2001"/>
      <c r="AB32" s="2001"/>
      <c r="AC32" s="2001"/>
      <c r="AD32" s="2001"/>
    </row>
    <row r="33" ht="18" customHeight="1" spans="1:30">
      <c r="A33" s="2750" t="s">
        <v>171</v>
      </c>
      <c r="B33" s="2475" t="s">
        <v>172</v>
      </c>
      <c r="C33" s="2475"/>
      <c r="D33" s="2751"/>
      <c r="E33" s="2475"/>
      <c r="F33" s="2475"/>
      <c r="G33" s="2755"/>
      <c r="H33" s="2755"/>
      <c r="I33" s="2759"/>
      <c r="J33" s="2577">
        <v>140000</v>
      </c>
      <c r="K33" s="2599"/>
      <c r="L33" s="2742"/>
      <c r="M33" s="2657"/>
      <c r="N33" s="2539"/>
      <c r="O33" s="2746"/>
      <c r="P33" s="2545"/>
      <c r="Q33" s="2748"/>
      <c r="R33" s="2001"/>
      <c r="S33" s="2001"/>
      <c r="T33" s="2001"/>
      <c r="U33" s="2001"/>
      <c r="V33" s="2001"/>
      <c r="W33" s="2001"/>
      <c r="X33" s="2001"/>
      <c r="Y33" s="2001"/>
      <c r="Z33" s="2001"/>
      <c r="AA33" s="2001"/>
      <c r="AB33" s="2001"/>
      <c r="AC33" s="2001"/>
      <c r="AD33" s="2001"/>
    </row>
    <row r="34" ht="16.5" customHeight="1" spans="1:30">
      <c r="A34" s="2750"/>
      <c r="B34" s="2465" t="s">
        <v>173</v>
      </c>
      <c r="C34" s="2475"/>
      <c r="D34" s="2751"/>
      <c r="E34" s="2689"/>
      <c r="F34" s="2465"/>
      <c r="G34" s="2689"/>
      <c r="H34" s="2756"/>
      <c r="I34" s="2700"/>
      <c r="J34" s="2577">
        <v>88000</v>
      </c>
      <c r="K34" s="2578"/>
      <c r="L34" s="2579"/>
      <c r="M34" s="2579"/>
      <c r="N34" s="2539"/>
      <c r="O34" s="2761"/>
      <c r="P34" s="2762"/>
      <c r="Q34" s="2771"/>
      <c r="R34" s="2749"/>
      <c r="S34" s="2749"/>
      <c r="T34" s="2749"/>
      <c r="U34" s="2749"/>
      <c r="V34" s="2749"/>
      <c r="W34" s="2749"/>
      <c r="X34" s="2749"/>
      <c r="Y34" s="2749"/>
      <c r="Z34" s="2749"/>
      <c r="AA34" s="2749"/>
      <c r="AB34" s="2749"/>
      <c r="AC34" s="2749"/>
      <c r="AD34" s="2749"/>
    </row>
    <row r="35" ht="16.5" spans="1:30">
      <c r="A35" s="2750"/>
      <c r="B35" s="2361" t="s">
        <v>174</v>
      </c>
      <c r="C35" s="2361"/>
      <c r="D35" s="2752"/>
      <c r="E35" s="2611"/>
      <c r="F35" s="2361"/>
      <c r="G35" s="2611"/>
      <c r="H35" s="2731"/>
      <c r="I35" s="2760"/>
      <c r="J35" s="2742">
        <v>200000</v>
      </c>
      <c r="K35" s="2578"/>
      <c r="L35" s="2579"/>
      <c r="M35" s="2579"/>
      <c r="N35" s="2539"/>
      <c r="O35" s="2761"/>
      <c r="P35" s="2763"/>
      <c r="Q35" s="2771"/>
      <c r="R35" s="2749"/>
      <c r="S35" s="2749"/>
      <c r="T35" s="2749"/>
      <c r="U35" s="2749"/>
      <c r="V35" s="2749"/>
      <c r="W35" s="2749"/>
      <c r="X35" s="2749"/>
      <c r="Y35" s="2749"/>
      <c r="Z35" s="2749"/>
      <c r="AA35" s="2749"/>
      <c r="AB35" s="2749"/>
      <c r="AC35" s="2749"/>
      <c r="AD35" s="2749"/>
    </row>
    <row r="36" ht="16.5" spans="1:30">
      <c r="A36" s="2753"/>
      <c r="B36" s="2361" t="s">
        <v>175</v>
      </c>
      <c r="C36" s="2361"/>
      <c r="D36" s="2752" t="s">
        <v>50</v>
      </c>
      <c r="E36" s="2611"/>
      <c r="F36" s="2361"/>
      <c r="G36" s="2611"/>
      <c r="H36" s="2731"/>
      <c r="I36" s="2760"/>
      <c r="J36" s="2742">
        <v>120000</v>
      </c>
      <c r="K36" s="2578"/>
      <c r="L36" s="2579"/>
      <c r="M36" s="2579"/>
      <c r="N36" s="2539"/>
      <c r="O36" s="2611"/>
      <c r="P36" s="2764"/>
      <c r="Q36" s="2771"/>
      <c r="R36" s="2749"/>
      <c r="S36" s="2749"/>
      <c r="T36" s="2749"/>
      <c r="U36" s="2749"/>
      <c r="V36" s="2749"/>
      <c r="W36" s="2749"/>
      <c r="X36" s="2749"/>
      <c r="Y36" s="2749"/>
      <c r="Z36" s="2749"/>
      <c r="AA36" s="2749"/>
      <c r="AB36" s="2749"/>
      <c r="AC36" s="2749"/>
      <c r="AD36" s="2749"/>
    </row>
    <row r="37" ht="16.5" customHeight="1" spans="1:30">
      <c r="A37" s="2295" t="s">
        <v>67</v>
      </c>
      <c r="B37" s="2295"/>
      <c r="C37" s="2295"/>
      <c r="D37" s="2040" t="s">
        <v>114</v>
      </c>
      <c r="E37" s="2040"/>
      <c r="F37" s="2040"/>
      <c r="G37" s="2040"/>
      <c r="H37" s="2330"/>
      <c r="I37" s="2049"/>
      <c r="J37" s="2050">
        <f>SUM(J23:J36)</f>
        <v>1443858</v>
      </c>
      <c r="K37" s="2066"/>
      <c r="L37" s="2050">
        <v>248905</v>
      </c>
      <c r="M37" s="2067">
        <v>0</v>
      </c>
      <c r="N37" s="2067">
        <v>0</v>
      </c>
      <c r="O37" s="2765"/>
      <c r="P37" s="2745"/>
      <c r="Q37" s="2745"/>
      <c r="R37" s="2749"/>
      <c r="S37" s="2749"/>
      <c r="T37" s="2749"/>
      <c r="U37" s="2749"/>
      <c r="V37" s="2749"/>
      <c r="W37" s="2749"/>
      <c r="X37" s="2749"/>
      <c r="Y37" s="2749"/>
      <c r="Z37" s="2749"/>
      <c r="AA37" s="2749"/>
      <c r="AB37" s="2749"/>
      <c r="AC37" s="2749"/>
      <c r="AD37" s="2749"/>
    </row>
    <row r="38" ht="16.5" spans="1:30">
      <c r="A38" s="2035" t="s">
        <v>115</v>
      </c>
      <c r="B38" s="2011" t="s">
        <v>121</v>
      </c>
      <c r="C38" s="2754"/>
      <c r="D38" s="2359" t="s">
        <v>117</v>
      </c>
      <c r="E38" s="2557"/>
      <c r="F38" s="2557"/>
      <c r="G38" s="2485" t="s">
        <v>176</v>
      </c>
      <c r="H38" s="2459"/>
      <c r="I38" s="2243">
        <v>30150</v>
      </c>
      <c r="J38" s="2706">
        <v>204404.94</v>
      </c>
      <c r="K38" s="2599"/>
      <c r="L38" s="2709"/>
      <c r="M38" s="2064"/>
      <c r="N38" s="2714"/>
      <c r="O38" s="2766"/>
      <c r="P38" s="2767"/>
      <c r="Q38" s="2001"/>
      <c r="R38" s="2001"/>
      <c r="S38" s="2001"/>
      <c r="T38" s="2001"/>
      <c r="U38" s="2001"/>
      <c r="V38" s="2001"/>
      <c r="W38" s="2001"/>
      <c r="X38" s="2001"/>
      <c r="Y38" s="2001"/>
      <c r="Z38" s="2001"/>
      <c r="AA38" s="2001"/>
      <c r="AB38" s="2001"/>
      <c r="AC38" s="2001"/>
      <c r="AD38" s="2001"/>
    </row>
    <row r="39" ht="16.5" spans="1:30">
      <c r="A39" s="2035" t="s">
        <v>115</v>
      </c>
      <c r="B39" s="2011" t="s">
        <v>121</v>
      </c>
      <c r="C39" s="2754"/>
      <c r="D39" s="2359" t="s">
        <v>117</v>
      </c>
      <c r="E39" s="2557"/>
      <c r="F39" s="2557"/>
      <c r="G39" s="2485" t="s">
        <v>123</v>
      </c>
      <c r="H39" s="2461"/>
      <c r="I39" s="2243">
        <v>29392</v>
      </c>
      <c r="J39" s="2706">
        <v>199266</v>
      </c>
      <c r="K39" s="2599"/>
      <c r="L39" s="2710"/>
      <c r="M39" s="2064"/>
      <c r="N39" s="2714"/>
      <c r="O39" s="2766"/>
      <c r="P39" s="2768"/>
      <c r="Q39" s="2001"/>
      <c r="R39" s="2001"/>
      <c r="S39" s="2001"/>
      <c r="T39" s="2001"/>
      <c r="U39" s="2001"/>
      <c r="V39" s="2001"/>
      <c r="W39" s="2001"/>
      <c r="X39" s="2001"/>
      <c r="Y39" s="2001"/>
      <c r="Z39" s="2001"/>
      <c r="AA39" s="2001"/>
      <c r="AB39" s="2001"/>
      <c r="AC39" s="2001"/>
      <c r="AD39" s="2001"/>
    </row>
    <row r="40" ht="16.5" spans="1:30">
      <c r="A40" s="2035" t="s">
        <v>115</v>
      </c>
      <c r="B40" s="2011" t="s">
        <v>121</v>
      </c>
      <c r="C40" s="2754"/>
      <c r="D40" s="2359" t="s">
        <v>117</v>
      </c>
      <c r="E40" s="2557"/>
      <c r="F40" s="2557"/>
      <c r="G40" s="2485" t="s">
        <v>124</v>
      </c>
      <c r="H40" s="2461"/>
      <c r="I40" s="2243">
        <v>29392</v>
      </c>
      <c r="J40" s="2706">
        <v>199266</v>
      </c>
      <c r="K40" s="2599"/>
      <c r="L40" s="2064"/>
      <c r="M40" s="2064"/>
      <c r="N40" s="2714"/>
      <c r="O40" s="2766"/>
      <c r="P40" s="2768"/>
      <c r="Q40" s="2001"/>
      <c r="R40" s="2001"/>
      <c r="S40" s="2001"/>
      <c r="T40" s="2001"/>
      <c r="U40" s="2001"/>
      <c r="V40" s="2001"/>
      <c r="W40" s="2001"/>
      <c r="X40" s="2001"/>
      <c r="Y40" s="2001"/>
      <c r="Z40" s="2001"/>
      <c r="AA40" s="2001"/>
      <c r="AB40" s="2001"/>
      <c r="AC40" s="2001"/>
      <c r="AD40" s="2001"/>
    </row>
    <row r="41" ht="16.5" spans="1:30">
      <c r="A41" s="2035" t="s">
        <v>115</v>
      </c>
      <c r="B41" s="2011" t="s">
        <v>177</v>
      </c>
      <c r="C41" s="2754"/>
      <c r="D41" s="2359" t="s">
        <v>117</v>
      </c>
      <c r="E41" s="2557"/>
      <c r="F41" s="2557"/>
      <c r="G41" s="2485" t="s">
        <v>178</v>
      </c>
      <c r="H41" s="2461"/>
      <c r="I41" s="2243">
        <v>69010</v>
      </c>
      <c r="J41" s="2706">
        <v>467860.2</v>
      </c>
      <c r="K41" s="2599"/>
      <c r="L41" s="2064"/>
      <c r="M41" s="2064"/>
      <c r="N41" s="2714"/>
      <c r="O41" s="2766"/>
      <c r="P41" s="2768"/>
      <c r="Q41" s="2001"/>
      <c r="R41" s="2001"/>
      <c r="S41" s="2001"/>
      <c r="T41" s="2001"/>
      <c r="U41" s="2001"/>
      <c r="V41" s="2001"/>
      <c r="W41" s="2001"/>
      <c r="X41" s="2001"/>
      <c r="Y41" s="2001"/>
      <c r="Z41" s="2001"/>
      <c r="AA41" s="2001"/>
      <c r="AB41" s="2001"/>
      <c r="AC41" s="2001"/>
      <c r="AD41" s="2001"/>
    </row>
    <row r="42" ht="16.5" spans="1:30">
      <c r="A42" s="2035" t="s">
        <v>115</v>
      </c>
      <c r="B42" s="2011" t="s">
        <v>177</v>
      </c>
      <c r="C42" s="2754"/>
      <c r="D42" s="2359" t="s">
        <v>117</v>
      </c>
      <c r="E42" s="2557"/>
      <c r="F42" s="2557"/>
      <c r="G42" s="2485" t="s">
        <v>179</v>
      </c>
      <c r="H42" s="2461"/>
      <c r="I42" s="2243">
        <v>36080</v>
      </c>
      <c r="J42" s="2706">
        <v>244607.97</v>
      </c>
      <c r="K42" s="2599"/>
      <c r="L42" s="2064"/>
      <c r="M42" s="2064"/>
      <c r="N42" s="2714"/>
      <c r="O42" s="2766"/>
      <c r="P42" s="2768"/>
      <c r="Q42" s="2001"/>
      <c r="R42" s="2001"/>
      <c r="S42" s="2001"/>
      <c r="T42" s="2001"/>
      <c r="U42" s="2001"/>
      <c r="V42" s="2001"/>
      <c r="W42" s="2001"/>
      <c r="X42" s="2001"/>
      <c r="Y42" s="2001"/>
      <c r="Z42" s="2001"/>
      <c r="AA42" s="2001"/>
      <c r="AB42" s="2001"/>
      <c r="AC42" s="2001"/>
      <c r="AD42" s="2001"/>
    </row>
    <row r="43" ht="16.5" spans="1:30">
      <c r="A43" s="2035" t="s">
        <v>115</v>
      </c>
      <c r="B43" s="2011" t="s">
        <v>180</v>
      </c>
      <c r="C43" s="2754"/>
      <c r="D43" s="2359" t="s">
        <v>117</v>
      </c>
      <c r="E43" s="2557"/>
      <c r="F43" s="2557"/>
      <c r="G43" s="2485"/>
      <c r="H43" s="2461"/>
      <c r="I43" s="2243">
        <v>10809</v>
      </c>
      <c r="J43" s="2718">
        <v>73280.7</v>
      </c>
      <c r="K43" s="2599"/>
      <c r="L43" s="2064"/>
      <c r="M43" s="2064"/>
      <c r="N43" s="2714"/>
      <c r="O43" s="2766"/>
      <c r="P43" s="2768"/>
      <c r="Q43" s="2001"/>
      <c r="R43" s="2001"/>
      <c r="S43" s="2001"/>
      <c r="T43" s="2001"/>
      <c r="U43" s="2001"/>
      <c r="V43" s="2001"/>
      <c r="W43" s="2001"/>
      <c r="X43" s="2001"/>
      <c r="Y43" s="2001"/>
      <c r="Z43" s="2001"/>
      <c r="AA43" s="2001"/>
      <c r="AB43" s="2001"/>
      <c r="AC43" s="2001"/>
      <c r="AD43" s="2001"/>
    </row>
    <row r="44" ht="16.5" spans="1:30">
      <c r="A44" s="2035" t="s">
        <v>115</v>
      </c>
      <c r="B44" s="40" t="s">
        <v>181</v>
      </c>
      <c r="C44" s="2754"/>
      <c r="D44" s="2359" t="s">
        <v>117</v>
      </c>
      <c r="E44" s="2557"/>
      <c r="F44" s="2557"/>
      <c r="G44" s="40" t="s">
        <v>182</v>
      </c>
      <c r="H44" s="2461"/>
      <c r="I44" s="2243">
        <v>15000</v>
      </c>
      <c r="J44" s="2718">
        <v>101694</v>
      </c>
      <c r="K44" s="2599"/>
      <c r="L44" s="2064"/>
      <c r="M44" s="2064"/>
      <c r="N44" s="2714"/>
      <c r="O44" s="2766"/>
      <c r="P44" s="2768"/>
      <c r="Q44" s="2001"/>
      <c r="R44" s="2001"/>
      <c r="S44" s="2001"/>
      <c r="T44" s="2001"/>
      <c r="U44" s="2001"/>
      <c r="V44" s="2001"/>
      <c r="W44" s="2001"/>
      <c r="X44" s="2001"/>
      <c r="Y44" s="2001"/>
      <c r="Z44" s="2001"/>
      <c r="AA44" s="2001"/>
      <c r="AB44" s="2001"/>
      <c r="AC44" s="2001"/>
      <c r="AD44" s="2001"/>
    </row>
    <row r="45" ht="16.5" spans="1:30">
      <c r="A45" s="2035" t="s">
        <v>115</v>
      </c>
      <c r="B45" s="40" t="s">
        <v>183</v>
      </c>
      <c r="C45" s="2754"/>
      <c r="D45" s="2359" t="s">
        <v>117</v>
      </c>
      <c r="E45" s="2557"/>
      <c r="F45" s="2557"/>
      <c r="G45" s="40" t="s">
        <v>184</v>
      </c>
      <c r="H45" s="2461"/>
      <c r="I45" s="2243">
        <v>27750</v>
      </c>
      <c r="J45" s="2718">
        <v>188133.9</v>
      </c>
      <c r="K45" s="2599"/>
      <c r="L45" s="2064"/>
      <c r="M45" s="2064"/>
      <c r="N45" s="2714"/>
      <c r="O45" s="2766"/>
      <c r="P45" s="2768"/>
      <c r="Q45" s="2001"/>
      <c r="R45" s="2001"/>
      <c r="S45" s="2001"/>
      <c r="T45" s="2001"/>
      <c r="U45" s="2001"/>
      <c r="V45" s="2001"/>
      <c r="W45" s="2001"/>
      <c r="X45" s="2001"/>
      <c r="Y45" s="2001"/>
      <c r="Z45" s="2001"/>
      <c r="AA45" s="2001"/>
      <c r="AB45" s="2001"/>
      <c r="AC45" s="2001"/>
      <c r="AD45" s="2001"/>
    </row>
    <row r="46" ht="16.5" spans="1:30">
      <c r="A46" s="2035" t="s">
        <v>115</v>
      </c>
      <c r="B46" s="2011" t="s">
        <v>185</v>
      </c>
      <c r="C46" s="2754"/>
      <c r="D46" s="2359" t="s">
        <v>117</v>
      </c>
      <c r="E46" s="2557"/>
      <c r="F46" s="2557"/>
      <c r="G46" s="40" t="s">
        <v>186</v>
      </c>
      <c r="H46" s="2461"/>
      <c r="I46" s="2243">
        <v>12000</v>
      </c>
      <c r="J46" s="2718">
        <v>81355.2</v>
      </c>
      <c r="K46" s="2599"/>
      <c r="L46" s="2064"/>
      <c r="M46" s="2064"/>
      <c r="N46" s="2714"/>
      <c r="O46" s="2766"/>
      <c r="P46" s="2768"/>
      <c r="Q46" s="2001"/>
      <c r="R46" s="2001"/>
      <c r="S46" s="2001"/>
      <c r="T46" s="2001"/>
      <c r="U46" s="2001"/>
      <c r="V46" s="2001"/>
      <c r="W46" s="2001"/>
      <c r="X46" s="2001"/>
      <c r="Y46" s="2001"/>
      <c r="Z46" s="2001"/>
      <c r="AA46" s="2001"/>
      <c r="AB46" s="2001"/>
      <c r="AC46" s="2001"/>
      <c r="AD46" s="2001"/>
    </row>
    <row r="47" ht="16.5" customHeight="1" spans="1:30">
      <c r="A47" s="2295" t="s">
        <v>67</v>
      </c>
      <c r="B47" s="2295"/>
      <c r="C47" s="2295"/>
      <c r="D47" s="2040" t="s">
        <v>125</v>
      </c>
      <c r="E47" s="2040"/>
      <c r="F47" s="2040"/>
      <c r="G47" s="2040"/>
      <c r="H47" s="2330"/>
      <c r="I47" s="2049"/>
      <c r="J47" s="2050">
        <f>SUM(J38:J46)</f>
        <v>1759868.91</v>
      </c>
      <c r="K47" s="2066"/>
      <c r="L47" s="2050">
        <v>0</v>
      </c>
      <c r="M47" s="2067">
        <v>0</v>
      </c>
      <c r="N47" s="2067">
        <v>0</v>
      </c>
      <c r="O47" s="2765"/>
      <c r="P47" s="2745"/>
      <c r="Q47" s="2745"/>
      <c r="R47" s="2749"/>
      <c r="S47" s="2749"/>
      <c r="T47" s="2749"/>
      <c r="U47" s="2749"/>
      <c r="V47" s="2749"/>
      <c r="W47" s="2749"/>
      <c r="X47" s="2749"/>
      <c r="Y47" s="2749"/>
      <c r="Z47" s="2749"/>
      <c r="AA47" s="2749"/>
      <c r="AB47" s="2749"/>
      <c r="AC47" s="2749"/>
      <c r="AD47" s="2749"/>
    </row>
    <row r="48" ht="16.5" customHeight="1" spans="1:30">
      <c r="A48" s="2035" t="s">
        <v>115</v>
      </c>
      <c r="B48" s="2011" t="s">
        <v>187</v>
      </c>
      <c r="C48" s="2361"/>
      <c r="D48" s="2359" t="s">
        <v>117</v>
      </c>
      <c r="E48" s="2557"/>
      <c r="F48" s="2757"/>
      <c r="G48" s="2190" t="s">
        <v>127</v>
      </c>
      <c r="H48" s="2758"/>
      <c r="I48" s="2243">
        <v>32396</v>
      </c>
      <c r="J48" s="2517">
        <v>219544.45</v>
      </c>
      <c r="K48" s="2599"/>
      <c r="L48" s="2526"/>
      <c r="M48" s="2546"/>
      <c r="N48" s="2601"/>
      <c r="O48" s="2769"/>
      <c r="P48" s="2770"/>
      <c r="Q48" s="2001"/>
      <c r="R48" s="2001"/>
      <c r="S48" s="2001"/>
      <c r="T48" s="2001"/>
      <c r="U48" s="2001"/>
      <c r="V48" s="2001"/>
      <c r="W48" s="2001"/>
      <c r="X48" s="2001"/>
      <c r="Y48" s="2001"/>
      <c r="Z48" s="2001"/>
      <c r="AA48" s="2001"/>
      <c r="AB48" s="2001"/>
      <c r="AC48" s="2001"/>
      <c r="AD48" s="2001"/>
    </row>
    <row r="49" ht="16.5" spans="1:30">
      <c r="A49" s="2035" t="s">
        <v>115</v>
      </c>
      <c r="B49" s="2011"/>
      <c r="C49" s="2361"/>
      <c r="D49" s="2359" t="s">
        <v>117</v>
      </c>
      <c r="E49" s="2557"/>
      <c r="F49" s="2757"/>
      <c r="G49" s="2190" t="s">
        <v>127</v>
      </c>
      <c r="H49" s="2758"/>
      <c r="I49" s="2243">
        <v>32396</v>
      </c>
      <c r="J49" s="2517">
        <v>219544.45</v>
      </c>
      <c r="K49" s="2599"/>
      <c r="L49" s="2526"/>
      <c r="M49" s="2546"/>
      <c r="N49" s="2601"/>
      <c r="O49" s="2769"/>
      <c r="P49" s="2373"/>
      <c r="Q49" s="2001"/>
      <c r="R49" s="2001"/>
      <c r="S49" s="2001"/>
      <c r="T49" s="2001"/>
      <c r="U49" s="2001"/>
      <c r="V49" s="2001"/>
      <c r="W49" s="2001"/>
      <c r="X49" s="2001"/>
      <c r="Y49" s="2001"/>
      <c r="Z49" s="2001"/>
      <c r="AA49" s="2001"/>
      <c r="AB49" s="2001"/>
      <c r="AC49" s="2001"/>
      <c r="AD49" s="2001"/>
    </row>
    <row r="50" ht="16.5" spans="1:30">
      <c r="A50" s="2035" t="s">
        <v>115</v>
      </c>
      <c r="B50" s="2011"/>
      <c r="C50" s="2361"/>
      <c r="D50" s="2359" t="s">
        <v>117</v>
      </c>
      <c r="E50" s="2557"/>
      <c r="F50" s="2757"/>
      <c r="G50" s="2190" t="s">
        <v>127</v>
      </c>
      <c r="H50" s="2758"/>
      <c r="I50" s="2243">
        <v>32396</v>
      </c>
      <c r="J50" s="2517">
        <v>219544.45</v>
      </c>
      <c r="K50" s="2599"/>
      <c r="L50" s="2526"/>
      <c r="M50" s="2546"/>
      <c r="N50" s="2601"/>
      <c r="O50" s="2769"/>
      <c r="P50" s="2373"/>
      <c r="Q50" s="2001"/>
      <c r="R50" s="2001"/>
      <c r="S50" s="2001"/>
      <c r="T50" s="2001"/>
      <c r="U50" s="2001"/>
      <c r="V50" s="2001"/>
      <c r="W50" s="2001"/>
      <c r="X50" s="2001"/>
      <c r="Y50" s="2001"/>
      <c r="Z50" s="2001"/>
      <c r="AA50" s="2001"/>
      <c r="AB50" s="2001"/>
      <c r="AC50" s="2001"/>
      <c r="AD50" s="2001"/>
    </row>
    <row r="51" ht="16.5" spans="1:30">
      <c r="A51" s="2035" t="s">
        <v>115</v>
      </c>
      <c r="B51" s="2011"/>
      <c r="C51" s="2361"/>
      <c r="D51" s="2359" t="s">
        <v>117</v>
      </c>
      <c r="E51" s="2557"/>
      <c r="F51" s="2757"/>
      <c r="G51" s="2190" t="s">
        <v>127</v>
      </c>
      <c r="H51" s="2758"/>
      <c r="I51" s="2243">
        <v>32396</v>
      </c>
      <c r="J51" s="2517">
        <v>219544.45</v>
      </c>
      <c r="K51" s="2599"/>
      <c r="L51" s="2526"/>
      <c r="M51" s="2546"/>
      <c r="N51" s="2601"/>
      <c r="O51" s="2769"/>
      <c r="P51" s="2373"/>
      <c r="Q51" s="2001"/>
      <c r="R51" s="2001"/>
      <c r="S51" s="2001"/>
      <c r="T51" s="2001"/>
      <c r="U51" s="2001"/>
      <c r="V51" s="2001"/>
      <c r="W51" s="2001"/>
      <c r="X51" s="2001"/>
      <c r="Y51" s="2001"/>
      <c r="Z51" s="2001"/>
      <c r="AA51" s="2001"/>
      <c r="AB51" s="2001"/>
      <c r="AC51" s="2001"/>
      <c r="AD51" s="2001"/>
    </row>
    <row r="52" ht="16.5" spans="1:30">
      <c r="A52" s="2035" t="s">
        <v>115</v>
      </c>
      <c r="B52" s="2011"/>
      <c r="C52" s="2361"/>
      <c r="D52" s="2359" t="s">
        <v>117</v>
      </c>
      <c r="E52" s="2557"/>
      <c r="F52" s="2757"/>
      <c r="G52" s="2190" t="s">
        <v>127</v>
      </c>
      <c r="H52" s="2758"/>
      <c r="I52" s="2243">
        <v>32396</v>
      </c>
      <c r="J52" s="2517">
        <v>219544.45</v>
      </c>
      <c r="K52" s="2599"/>
      <c r="L52" s="2526"/>
      <c r="M52" s="2546"/>
      <c r="N52" s="2601"/>
      <c r="O52" s="2769"/>
      <c r="P52" s="2373"/>
      <c r="Q52" s="2001"/>
      <c r="R52" s="2001"/>
      <c r="S52" s="2001"/>
      <c r="T52" s="2001"/>
      <c r="U52" s="2001"/>
      <c r="V52" s="2001"/>
      <c r="W52" s="2001"/>
      <c r="X52" s="2001"/>
      <c r="Y52" s="2001"/>
      <c r="Z52" s="2001"/>
      <c r="AA52" s="2001"/>
      <c r="AB52" s="2001"/>
      <c r="AC52" s="2001"/>
      <c r="AD52" s="2001"/>
    </row>
    <row r="53" ht="16.5" spans="1:30">
      <c r="A53" s="2035" t="s">
        <v>115</v>
      </c>
      <c r="B53" s="2011"/>
      <c r="C53" s="2361"/>
      <c r="D53" s="2359" t="s">
        <v>117</v>
      </c>
      <c r="E53" s="2557"/>
      <c r="F53" s="2757"/>
      <c r="G53" s="2190" t="s">
        <v>127</v>
      </c>
      <c r="H53" s="2758"/>
      <c r="I53" s="2243">
        <v>32396</v>
      </c>
      <c r="J53" s="2517">
        <v>219544.45</v>
      </c>
      <c r="K53" s="2599"/>
      <c r="L53" s="2526"/>
      <c r="M53" s="2546"/>
      <c r="N53" s="2601"/>
      <c r="O53" s="2769"/>
      <c r="P53" s="2373"/>
      <c r="Q53" s="2001"/>
      <c r="R53" s="2001"/>
      <c r="S53" s="2001"/>
      <c r="T53" s="2001"/>
      <c r="U53" s="2001"/>
      <c r="V53" s="2001"/>
      <c r="W53" s="2001"/>
      <c r="X53" s="2001"/>
      <c r="Y53" s="2001"/>
      <c r="Z53" s="2001"/>
      <c r="AA53" s="2001"/>
      <c r="AB53" s="2001"/>
      <c r="AC53" s="2001"/>
      <c r="AD53" s="2001"/>
    </row>
    <row r="54" ht="16.5" spans="1:30">
      <c r="A54" s="2035" t="s">
        <v>115</v>
      </c>
      <c r="B54" s="2011"/>
      <c r="C54" s="2361"/>
      <c r="D54" s="2359" t="s">
        <v>117</v>
      </c>
      <c r="E54" s="2557"/>
      <c r="F54" s="2757"/>
      <c r="G54" s="2190" t="s">
        <v>127</v>
      </c>
      <c r="H54" s="2758"/>
      <c r="I54" s="2243">
        <v>32396</v>
      </c>
      <c r="J54" s="2517">
        <v>219544.45</v>
      </c>
      <c r="K54" s="2599"/>
      <c r="L54" s="2526"/>
      <c r="M54" s="2546"/>
      <c r="N54" s="2601"/>
      <c r="O54" s="2769"/>
      <c r="P54" s="2373"/>
      <c r="Q54" s="2001"/>
      <c r="R54" s="2001"/>
      <c r="S54" s="2001"/>
      <c r="T54" s="2001"/>
      <c r="U54" s="2001"/>
      <c r="V54" s="2001"/>
      <c r="W54" s="2001"/>
      <c r="X54" s="2001"/>
      <c r="Y54" s="2001"/>
      <c r="Z54" s="2001"/>
      <c r="AA54" s="2001"/>
      <c r="AB54" s="2001"/>
      <c r="AC54" s="2001"/>
      <c r="AD54" s="2001"/>
    </row>
    <row r="55" ht="16.5" spans="1:30">
      <c r="A55" s="2035" t="s">
        <v>115</v>
      </c>
      <c r="B55" s="2011"/>
      <c r="C55" s="2361"/>
      <c r="D55" s="2359" t="s">
        <v>117</v>
      </c>
      <c r="E55" s="2361"/>
      <c r="F55" s="2361"/>
      <c r="G55" s="2190" t="s">
        <v>127</v>
      </c>
      <c r="H55" s="2361"/>
      <c r="I55" s="2243">
        <v>32396</v>
      </c>
      <c r="J55" s="2517">
        <v>219544.45</v>
      </c>
      <c r="K55" s="2599"/>
      <c r="L55" s="2526"/>
      <c r="M55" s="2546"/>
      <c r="N55" s="2601"/>
      <c r="O55" s="2769"/>
      <c r="P55" s="2373"/>
      <c r="Q55" s="2001"/>
      <c r="R55" s="2001"/>
      <c r="S55" s="2001"/>
      <c r="T55" s="2001"/>
      <c r="U55" s="2001"/>
      <c r="V55" s="2001"/>
      <c r="W55" s="2001"/>
      <c r="X55" s="2001"/>
      <c r="Y55" s="2001"/>
      <c r="Z55" s="2001"/>
      <c r="AA55" s="2001"/>
      <c r="AB55" s="2001"/>
      <c r="AC55" s="2001"/>
      <c r="AD55" s="2001"/>
    </row>
    <row r="56" ht="16.5" spans="1:30">
      <c r="A56" s="2035" t="s">
        <v>115</v>
      </c>
      <c r="B56" s="2011"/>
      <c r="C56" s="2361"/>
      <c r="D56" s="2359" t="s">
        <v>117</v>
      </c>
      <c r="E56" s="2361"/>
      <c r="F56" s="2361"/>
      <c r="G56" s="2190" t="s">
        <v>127</v>
      </c>
      <c r="H56" s="2361"/>
      <c r="I56" s="2243">
        <v>32396</v>
      </c>
      <c r="J56" s="2517">
        <v>219544.45</v>
      </c>
      <c r="K56" s="2599"/>
      <c r="L56" s="2526"/>
      <c r="M56" s="2546"/>
      <c r="N56" s="2601"/>
      <c r="O56" s="2769"/>
      <c r="P56" s="2373"/>
      <c r="Q56" s="2001"/>
      <c r="R56" s="2001"/>
      <c r="S56" s="2001"/>
      <c r="T56" s="2001"/>
      <c r="U56" s="2001"/>
      <c r="V56" s="2001"/>
      <c r="W56" s="2001"/>
      <c r="X56" s="2001"/>
      <c r="Y56" s="2001"/>
      <c r="Z56" s="2001"/>
      <c r="AA56" s="2001"/>
      <c r="AB56" s="2001"/>
      <c r="AC56" s="2001"/>
      <c r="AD56" s="2001"/>
    </row>
    <row r="57" ht="16.5" spans="1:30">
      <c r="A57" s="2035" t="s">
        <v>115</v>
      </c>
      <c r="B57" s="2011"/>
      <c r="C57" s="2361"/>
      <c r="D57" s="2359" t="s">
        <v>117</v>
      </c>
      <c r="E57" s="2361"/>
      <c r="F57" s="2361"/>
      <c r="G57" s="2190" t="s">
        <v>127</v>
      </c>
      <c r="H57" s="2361"/>
      <c r="I57" s="2243">
        <v>32396</v>
      </c>
      <c r="J57" s="2517">
        <v>219544.45</v>
      </c>
      <c r="K57" s="2599"/>
      <c r="L57" s="2526"/>
      <c r="M57" s="2546"/>
      <c r="N57" s="2601"/>
      <c r="O57" s="2769"/>
      <c r="P57" s="2373"/>
      <c r="Q57" s="2001"/>
      <c r="R57" s="2001"/>
      <c r="S57" s="2001"/>
      <c r="T57" s="2001"/>
      <c r="U57" s="2001"/>
      <c r="V57" s="2001"/>
      <c r="W57" s="2001"/>
      <c r="X57" s="2001"/>
      <c r="Y57" s="2001"/>
      <c r="Z57" s="2001"/>
      <c r="AA57" s="2001"/>
      <c r="AB57" s="2001"/>
      <c r="AC57" s="2001"/>
      <c r="AD57" s="2001"/>
    </row>
    <row r="58" ht="16.5" spans="1:30">
      <c r="A58" s="2035" t="s">
        <v>115</v>
      </c>
      <c r="B58" s="2011"/>
      <c r="C58" s="2361"/>
      <c r="D58" s="2359" t="s">
        <v>117</v>
      </c>
      <c r="E58" s="2361"/>
      <c r="F58" s="2361"/>
      <c r="G58" s="2190" t="s">
        <v>127</v>
      </c>
      <c r="H58" s="2361"/>
      <c r="I58" s="2243">
        <v>32396</v>
      </c>
      <c r="J58" s="2517">
        <v>219544.45</v>
      </c>
      <c r="K58" s="2599"/>
      <c r="L58" s="2526"/>
      <c r="M58" s="2546"/>
      <c r="N58" s="2601"/>
      <c r="O58" s="2769"/>
      <c r="P58" s="2373"/>
      <c r="Q58" s="2001"/>
      <c r="R58" s="2001"/>
      <c r="S58" s="2001"/>
      <c r="T58" s="2001"/>
      <c r="U58" s="2001"/>
      <c r="V58" s="2001"/>
      <c r="W58" s="2001"/>
      <c r="X58" s="2001"/>
      <c r="Y58" s="2001"/>
      <c r="Z58" s="2001"/>
      <c r="AA58" s="2001"/>
      <c r="AB58" s="2001"/>
      <c r="AC58" s="2001"/>
      <c r="AD58" s="2001"/>
    </row>
    <row r="59" ht="16.5" spans="1:30">
      <c r="A59" s="2035" t="s">
        <v>115</v>
      </c>
      <c r="B59" s="2011"/>
      <c r="C59" s="2361"/>
      <c r="D59" s="2359" t="s">
        <v>117</v>
      </c>
      <c r="E59" s="2361"/>
      <c r="F59" s="2361"/>
      <c r="G59" s="2190" t="s">
        <v>129</v>
      </c>
      <c r="H59" s="2361"/>
      <c r="I59" s="2243">
        <v>32396</v>
      </c>
      <c r="J59" s="2517">
        <v>219544.45</v>
      </c>
      <c r="K59" s="2599"/>
      <c r="L59" s="2526"/>
      <c r="M59" s="2546"/>
      <c r="N59" s="2601"/>
      <c r="O59" s="2769"/>
      <c r="P59" s="2373"/>
      <c r="Q59" s="2001"/>
      <c r="R59" s="2001"/>
      <c r="S59" s="2001"/>
      <c r="T59" s="2001"/>
      <c r="U59" s="2001"/>
      <c r="V59" s="2001"/>
      <c r="W59" s="2001"/>
      <c r="X59" s="2001"/>
      <c r="Y59" s="2001"/>
      <c r="Z59" s="2001"/>
      <c r="AA59" s="2001"/>
      <c r="AB59" s="2001"/>
      <c r="AC59" s="2001"/>
      <c r="AD59" s="2001"/>
    </row>
    <row r="60" ht="16.5" spans="1:30">
      <c r="A60" s="2035" t="s">
        <v>115</v>
      </c>
      <c r="B60" s="2011"/>
      <c r="C60" s="2361"/>
      <c r="D60" s="2359" t="s">
        <v>117</v>
      </c>
      <c r="E60" s="2361"/>
      <c r="F60" s="2361"/>
      <c r="G60" s="2190" t="s">
        <v>188</v>
      </c>
      <c r="H60" s="2361"/>
      <c r="I60" s="2243">
        <v>36300</v>
      </c>
      <c r="J60" s="2517">
        <v>246001.47</v>
      </c>
      <c r="K60" s="2599"/>
      <c r="L60" s="2526"/>
      <c r="M60" s="2546"/>
      <c r="N60" s="2601"/>
      <c r="O60" s="2769"/>
      <c r="P60" s="2373"/>
      <c r="Q60" s="2001"/>
      <c r="R60" s="2001"/>
      <c r="S60" s="2001"/>
      <c r="T60" s="2001"/>
      <c r="U60" s="2001"/>
      <c r="V60" s="2001"/>
      <c r="W60" s="2001"/>
      <c r="X60" s="2001"/>
      <c r="Y60" s="2001"/>
      <c r="Z60" s="2001"/>
      <c r="AA60" s="2001"/>
      <c r="AB60" s="2001"/>
      <c r="AC60" s="2001"/>
      <c r="AD60" s="2001"/>
    </row>
    <row r="61" ht="16.5" spans="1:30">
      <c r="A61" s="2035" t="s">
        <v>115</v>
      </c>
      <c r="B61" s="2011"/>
      <c r="C61" s="2361"/>
      <c r="D61" s="2359" t="s">
        <v>117</v>
      </c>
      <c r="E61" s="2361"/>
      <c r="F61" s="2361"/>
      <c r="G61" s="2190" t="s">
        <v>128</v>
      </c>
      <c r="H61" s="2361"/>
      <c r="I61" s="2243">
        <v>37968</v>
      </c>
      <c r="J61" s="2517">
        <v>257305.34</v>
      </c>
      <c r="K61" s="2599"/>
      <c r="L61" s="2526"/>
      <c r="M61" s="2546"/>
      <c r="N61" s="2601"/>
      <c r="O61" s="2769"/>
      <c r="P61" s="2373"/>
      <c r="Q61" s="2001"/>
      <c r="R61" s="2001"/>
      <c r="S61" s="2001"/>
      <c r="T61" s="2001"/>
      <c r="U61" s="2001"/>
      <c r="V61" s="2001"/>
      <c r="W61" s="2001"/>
      <c r="X61" s="2001"/>
      <c r="Y61" s="2001"/>
      <c r="Z61" s="2001"/>
      <c r="AA61" s="2001"/>
      <c r="AB61" s="2001"/>
      <c r="AC61" s="2001"/>
      <c r="AD61" s="2001"/>
    </row>
    <row r="62" ht="16.5" spans="1:30">
      <c r="A62" s="2035" t="s">
        <v>115</v>
      </c>
      <c r="B62" s="2011"/>
      <c r="C62" s="2361"/>
      <c r="D62" s="2359" t="s">
        <v>117</v>
      </c>
      <c r="E62" s="2361"/>
      <c r="F62" s="2361"/>
      <c r="G62" s="2190" t="s">
        <v>128</v>
      </c>
      <c r="H62" s="2361"/>
      <c r="I62" s="2243">
        <v>37968</v>
      </c>
      <c r="J62" s="2517">
        <v>257305.34</v>
      </c>
      <c r="K62" s="2599"/>
      <c r="L62" s="2526"/>
      <c r="M62" s="2546"/>
      <c r="N62" s="2601"/>
      <c r="O62" s="2769"/>
      <c r="P62" s="2373"/>
      <c r="Q62" s="2001"/>
      <c r="R62" s="2001"/>
      <c r="S62" s="2001"/>
      <c r="T62" s="2001"/>
      <c r="U62" s="2001"/>
      <c r="V62" s="2001"/>
      <c r="W62" s="2001"/>
      <c r="X62" s="2001"/>
      <c r="Y62" s="2001"/>
      <c r="Z62" s="2001"/>
      <c r="AA62" s="2001"/>
      <c r="AB62" s="2001"/>
      <c r="AC62" s="2001"/>
      <c r="AD62" s="2001"/>
    </row>
    <row r="63" ht="16.5" spans="1:30">
      <c r="A63" s="2153" t="s">
        <v>130</v>
      </c>
      <c r="B63" s="40" t="s">
        <v>136</v>
      </c>
      <c r="C63" s="2361"/>
      <c r="D63" s="2359" t="s">
        <v>50</v>
      </c>
      <c r="E63" s="2361"/>
      <c r="F63" s="2361"/>
      <c r="G63" s="40" t="s">
        <v>189</v>
      </c>
      <c r="H63" s="2361"/>
      <c r="I63" s="2243">
        <v>33800</v>
      </c>
      <c r="J63" s="2718">
        <v>229150.48</v>
      </c>
      <c r="K63" s="2599"/>
      <c r="L63" s="2526"/>
      <c r="M63" s="2546"/>
      <c r="N63" s="2601"/>
      <c r="O63" s="2769"/>
      <c r="P63" s="2373"/>
      <c r="Q63" s="2001"/>
      <c r="R63" s="2001"/>
      <c r="S63" s="2001"/>
      <c r="T63" s="2001"/>
      <c r="U63" s="2001"/>
      <c r="V63" s="2001"/>
      <c r="W63" s="2001"/>
      <c r="X63" s="2001"/>
      <c r="Y63" s="2001"/>
      <c r="Z63" s="2001"/>
      <c r="AA63" s="2001"/>
      <c r="AB63" s="2001"/>
      <c r="AC63" s="2001"/>
      <c r="AD63" s="2001"/>
    </row>
    <row r="64" ht="16.5" spans="1:30">
      <c r="A64" s="2153" t="s">
        <v>130</v>
      </c>
      <c r="B64" s="2011" t="s">
        <v>131</v>
      </c>
      <c r="C64" s="2361"/>
      <c r="D64" s="2359" t="s">
        <v>50</v>
      </c>
      <c r="E64" s="2361"/>
      <c r="F64" s="2361"/>
      <c r="G64" s="2011" t="s">
        <v>132</v>
      </c>
      <c r="H64" s="2361"/>
      <c r="I64" s="2583">
        <v>40000</v>
      </c>
      <c r="J64" s="2718">
        <v>271184</v>
      </c>
      <c r="K64" s="2599"/>
      <c r="L64" s="2526"/>
      <c r="M64" s="2546"/>
      <c r="N64" s="2601"/>
      <c r="O64" s="2769"/>
      <c r="P64" s="2373"/>
      <c r="Q64" s="2001"/>
      <c r="R64" s="2001"/>
      <c r="S64" s="2001"/>
      <c r="T64" s="2001"/>
      <c r="U64" s="2001"/>
      <c r="V64" s="2001"/>
      <c r="W64" s="2001"/>
      <c r="X64" s="2001"/>
      <c r="Y64" s="2001"/>
      <c r="Z64" s="2001"/>
      <c r="AA64" s="2001"/>
      <c r="AB64" s="2001"/>
      <c r="AC64" s="2001"/>
      <c r="AD64" s="2001"/>
    </row>
    <row r="65" ht="16.5" customHeight="1" spans="1:30">
      <c r="A65" s="2153" t="s">
        <v>130</v>
      </c>
      <c r="B65" s="201" t="s">
        <v>133</v>
      </c>
      <c r="C65" s="2361" t="s">
        <v>61</v>
      </c>
      <c r="D65" s="2359" t="s">
        <v>50</v>
      </c>
      <c r="E65" s="2361"/>
      <c r="F65" s="2361"/>
      <c r="G65" s="40" t="s">
        <v>134</v>
      </c>
      <c r="H65" s="2361"/>
      <c r="I65" s="99">
        <v>25000</v>
      </c>
      <c r="J65" s="2718">
        <v>169490</v>
      </c>
      <c r="K65" s="2599"/>
      <c r="L65" s="2526"/>
      <c r="M65" s="2373"/>
      <c r="N65" s="2601"/>
      <c r="O65" s="2769"/>
      <c r="P65" s="2373"/>
      <c r="Q65" s="2001"/>
      <c r="R65" s="2001"/>
      <c r="S65" s="2001"/>
      <c r="T65" s="2001"/>
      <c r="U65" s="2001"/>
      <c r="V65" s="2001"/>
      <c r="W65" s="2001"/>
      <c r="X65" s="2001"/>
      <c r="Y65" s="2001"/>
      <c r="Z65" s="2001"/>
      <c r="AA65" s="2001"/>
      <c r="AB65" s="2001"/>
      <c r="AC65" s="2001"/>
      <c r="AD65" s="2001"/>
    </row>
    <row r="66" ht="16.5" customHeight="1" spans="1:30">
      <c r="A66" s="2295" t="s">
        <v>67</v>
      </c>
      <c r="B66" s="2295"/>
      <c r="C66" s="2295"/>
      <c r="D66" s="2040" t="s">
        <v>138</v>
      </c>
      <c r="E66" s="2040"/>
      <c r="F66" s="2040"/>
      <c r="G66" s="2040"/>
      <c r="H66" s="2330"/>
      <c r="I66" s="2049"/>
      <c r="J66" s="2050">
        <f>SUM(J48:J65)</f>
        <v>4064970.03</v>
      </c>
      <c r="K66" s="2066"/>
      <c r="L66" s="2050">
        <v>0</v>
      </c>
      <c r="M66" s="2067">
        <v>0</v>
      </c>
      <c r="N66" s="2067">
        <v>0</v>
      </c>
      <c r="O66" s="2765"/>
      <c r="P66" s="2745"/>
      <c r="Q66" s="2745"/>
      <c r="R66" s="2749"/>
      <c r="S66" s="2749"/>
      <c r="T66" s="2749"/>
      <c r="U66" s="2749"/>
      <c r="V66" s="2749"/>
      <c r="W66" s="2749"/>
      <c r="X66" s="2749"/>
      <c r="Y66" s="2749"/>
      <c r="Z66" s="2749"/>
      <c r="AA66" s="2749"/>
      <c r="AB66" s="2749"/>
      <c r="AC66" s="2749"/>
      <c r="AD66" s="2749"/>
    </row>
    <row r="67" spans="1:30">
      <c r="A67" s="2001"/>
      <c r="B67" s="2001"/>
      <c r="C67" s="2001"/>
      <c r="D67" s="2001"/>
      <c r="E67" s="2001"/>
      <c r="F67" s="2001"/>
      <c r="G67" s="2001"/>
      <c r="H67" s="2001"/>
      <c r="I67" s="2001"/>
      <c r="J67" s="2600">
        <v>2347000</v>
      </c>
      <c r="K67" s="2001"/>
      <c r="L67" s="2001"/>
      <c r="M67" s="2001"/>
      <c r="N67" s="2001"/>
      <c r="O67" s="2001"/>
      <c r="P67" s="2001"/>
      <c r="Q67" s="2001"/>
      <c r="R67" s="2001"/>
      <c r="S67" s="2001"/>
      <c r="T67" s="2001"/>
      <c r="U67" s="2001"/>
      <c r="V67" s="2001"/>
      <c r="W67" s="2001"/>
      <c r="X67" s="2001"/>
      <c r="Y67" s="2001"/>
      <c r="Z67" s="2001"/>
      <c r="AA67" s="2001"/>
      <c r="AB67" s="2001"/>
      <c r="AC67" s="2001"/>
      <c r="AD67" s="2001"/>
    </row>
    <row r="68" spans="1:30">
      <c r="A68" s="2001"/>
      <c r="B68" s="2001"/>
      <c r="C68" s="2001"/>
      <c r="D68" s="2001"/>
      <c r="E68" s="2001"/>
      <c r="F68" s="2001"/>
      <c r="G68" s="2001"/>
      <c r="H68" s="2001"/>
      <c r="I68" s="2001"/>
      <c r="J68" s="2600"/>
      <c r="K68" s="2001"/>
      <c r="L68" s="2001"/>
      <c r="M68" s="2001"/>
      <c r="N68" s="2001"/>
      <c r="O68" s="2001"/>
      <c r="P68" s="2001"/>
      <c r="Q68" s="2001"/>
      <c r="R68" s="2001"/>
      <c r="S68" s="2001"/>
      <c r="T68" s="2001"/>
      <c r="U68" s="2001"/>
      <c r="V68" s="2001"/>
      <c r="W68" s="2001"/>
      <c r="X68" s="2001"/>
      <c r="Y68" s="2001"/>
      <c r="Z68" s="2001"/>
      <c r="AA68" s="2001"/>
      <c r="AB68" s="2001"/>
      <c r="AC68" s="2001"/>
      <c r="AD68" s="2001"/>
    </row>
    <row r="69" spans="1:30">
      <c r="A69" s="2001"/>
      <c r="B69" s="2001"/>
      <c r="C69" s="2001"/>
      <c r="D69" s="2001"/>
      <c r="E69" s="2001"/>
      <c r="F69" s="2001" t="s">
        <v>139</v>
      </c>
      <c r="G69" s="2001" t="s">
        <v>140</v>
      </c>
      <c r="H69" s="2001"/>
      <c r="I69" s="2001" t="s">
        <v>141</v>
      </c>
      <c r="J69" s="2600">
        <v>10768092.94</v>
      </c>
      <c r="K69" s="2001"/>
      <c r="L69" s="2001"/>
      <c r="M69" s="2069">
        <v>2970000</v>
      </c>
      <c r="N69" s="2001"/>
      <c r="O69" s="2069">
        <v>0</v>
      </c>
      <c r="P69" s="2001"/>
      <c r="Q69" s="2001"/>
      <c r="R69" s="2001"/>
      <c r="S69" s="2001"/>
      <c r="T69" s="2001"/>
      <c r="U69" s="2001"/>
      <c r="V69" s="2001"/>
      <c r="W69" s="2001"/>
      <c r="X69" s="2001"/>
      <c r="Y69" s="2001"/>
      <c r="Z69" s="2001"/>
      <c r="AA69" s="2001"/>
      <c r="AB69" s="2001"/>
      <c r="AC69" s="2001"/>
      <c r="AD69" s="2001"/>
    </row>
    <row r="70" spans="1:30">
      <c r="A70" s="2001"/>
      <c r="B70" s="2001"/>
      <c r="C70" s="2001"/>
      <c r="D70" s="2001"/>
      <c r="E70" s="2001"/>
      <c r="F70" s="2001"/>
      <c r="G70" s="2001"/>
      <c r="H70" s="2001"/>
      <c r="I70" s="2001"/>
      <c r="J70" s="2600"/>
      <c r="K70" s="2001"/>
      <c r="L70" s="2001"/>
      <c r="M70" s="2069">
        <v>1837662</v>
      </c>
      <c r="N70" s="2001"/>
      <c r="O70" s="2069">
        <v>248905</v>
      </c>
      <c r="P70" s="2001"/>
      <c r="Q70" s="2001"/>
      <c r="R70" s="2001"/>
      <c r="S70" s="2001"/>
      <c r="T70" s="2001"/>
      <c r="U70" s="2001"/>
      <c r="V70" s="2001"/>
      <c r="W70" s="2001"/>
      <c r="X70" s="2001"/>
      <c r="Y70" s="2001"/>
      <c r="Z70" s="2001"/>
      <c r="AA70" s="2001"/>
      <c r="AB70" s="2001"/>
      <c r="AC70" s="2001"/>
      <c r="AD70" s="2001"/>
    </row>
    <row r="71" spans="1:30">
      <c r="A71" s="2001"/>
      <c r="B71" s="2001"/>
      <c r="C71" s="2001"/>
      <c r="D71" s="2001"/>
      <c r="E71" s="2001"/>
      <c r="F71" s="2001"/>
      <c r="G71" s="2001"/>
      <c r="H71" s="2001"/>
      <c r="I71" s="2001"/>
      <c r="J71" s="2600"/>
      <c r="K71" s="2001"/>
      <c r="L71" s="2001"/>
      <c r="M71" s="2069">
        <v>1895460.91</v>
      </c>
      <c r="N71" s="2001"/>
      <c r="O71" s="2069">
        <v>0</v>
      </c>
      <c r="P71" s="2001"/>
      <c r="Q71" s="2001"/>
      <c r="R71" s="2001"/>
      <c r="S71" s="2001"/>
      <c r="T71" s="2001"/>
      <c r="U71" s="2001"/>
      <c r="V71" s="2001"/>
      <c r="W71" s="2001"/>
      <c r="X71" s="2001"/>
      <c r="Y71" s="2001"/>
      <c r="Z71" s="2001"/>
      <c r="AA71" s="2001"/>
      <c r="AB71" s="2001"/>
      <c r="AC71" s="2001"/>
      <c r="AD71" s="2001"/>
    </row>
    <row r="72" spans="1:30">
      <c r="A72" s="2001"/>
      <c r="B72" s="2001"/>
      <c r="C72" s="2001"/>
      <c r="D72" s="2001"/>
      <c r="E72" s="2001"/>
      <c r="F72" s="2001"/>
      <c r="G72" s="2001"/>
      <c r="H72" s="2001"/>
      <c r="I72" s="2001"/>
      <c r="J72" s="2600"/>
      <c r="K72" s="2001"/>
      <c r="L72" s="2001"/>
      <c r="M72" s="2069">
        <v>4064970.03</v>
      </c>
      <c r="N72" s="2001"/>
      <c r="O72" s="2069">
        <v>0</v>
      </c>
      <c r="P72" s="2001"/>
      <c r="Q72" s="2001"/>
      <c r="R72" s="2001"/>
      <c r="S72" s="2001"/>
      <c r="T72" s="2001"/>
      <c r="U72" s="2001"/>
      <c r="V72" s="2001"/>
      <c r="W72" s="2001"/>
      <c r="X72" s="2001"/>
      <c r="Y72" s="2001"/>
      <c r="Z72" s="2001"/>
      <c r="AA72" s="2001"/>
      <c r="AB72" s="2001"/>
      <c r="AC72" s="2001"/>
      <c r="AD72" s="2001"/>
    </row>
    <row r="73" spans="1:30">
      <c r="A73" s="2001"/>
      <c r="B73" s="2001"/>
      <c r="C73" s="2001"/>
      <c r="D73" s="2001"/>
      <c r="E73" s="2001"/>
      <c r="F73" s="2001"/>
      <c r="G73" s="2001"/>
      <c r="H73" s="2001"/>
      <c r="I73" s="2001"/>
      <c r="J73" s="2600"/>
      <c r="K73" s="2001"/>
      <c r="L73" s="2001"/>
      <c r="M73" s="2069">
        <f>SUM(M69:M72)</f>
        <v>10768092.94</v>
      </c>
      <c r="N73" s="2001"/>
      <c r="O73" s="2069">
        <v>248905</v>
      </c>
      <c r="P73" s="2001"/>
      <c r="Q73" s="2001"/>
      <c r="R73" s="2001"/>
      <c r="S73" s="2001"/>
      <c r="T73" s="2001"/>
      <c r="U73" s="2001"/>
      <c r="V73" s="2001"/>
      <c r="W73" s="2001"/>
      <c r="X73" s="2001"/>
      <c r="Y73" s="2001"/>
      <c r="Z73" s="2001"/>
      <c r="AA73" s="2001"/>
      <c r="AB73" s="2001"/>
      <c r="AC73" s="2001"/>
      <c r="AD73" s="2001"/>
    </row>
    <row r="74" spans="1:30">
      <c r="A74" s="2041"/>
      <c r="B74" s="2041"/>
      <c r="C74" s="2041"/>
      <c r="D74" s="2041"/>
      <c r="E74" s="2041"/>
      <c r="F74" s="2041"/>
      <c r="G74" s="2041"/>
      <c r="H74" s="2041"/>
      <c r="I74" s="2041"/>
      <c r="J74" s="2600"/>
      <c r="K74" s="2041"/>
      <c r="L74" s="2041"/>
      <c r="M74" s="2041"/>
      <c r="N74" s="2041"/>
      <c r="O74" s="2069"/>
      <c r="P74" s="2041"/>
      <c r="Q74" s="2041"/>
      <c r="R74" s="2041"/>
      <c r="S74" s="2041"/>
      <c r="T74" s="2041"/>
      <c r="U74" s="2041"/>
      <c r="V74" s="2041"/>
      <c r="W74" s="2041"/>
      <c r="X74" s="2041"/>
      <c r="Y74" s="2041"/>
      <c r="Z74" s="2041"/>
      <c r="AA74" s="2041"/>
      <c r="AB74" s="2041"/>
      <c r="AC74" s="2041"/>
      <c r="AD74" s="2041"/>
    </row>
    <row r="75" spans="1:30">
      <c r="A75" s="2041"/>
      <c r="B75" s="2041"/>
      <c r="C75" s="2041"/>
      <c r="D75" s="2041"/>
      <c r="E75" s="2041"/>
      <c r="F75" s="2041"/>
      <c r="G75" s="2041"/>
      <c r="H75" s="2041"/>
      <c r="I75" s="2041"/>
      <c r="J75" s="2600"/>
      <c r="K75" s="2041"/>
      <c r="L75" s="2041"/>
      <c r="M75" s="2041"/>
      <c r="N75" s="2041"/>
      <c r="O75" s="2041"/>
      <c r="P75" s="2041"/>
      <c r="Q75" s="2041"/>
      <c r="R75" s="2041"/>
      <c r="S75" s="2041"/>
      <c r="T75" s="2041"/>
      <c r="U75" s="2041"/>
      <c r="V75" s="2041"/>
      <c r="W75" s="2041"/>
      <c r="X75" s="2041"/>
      <c r="Y75" s="2041"/>
      <c r="Z75" s="2041"/>
      <c r="AA75" s="2041"/>
      <c r="AB75" s="2041"/>
      <c r="AC75" s="2041"/>
      <c r="AD75" s="2041"/>
    </row>
    <row r="76" spans="1:30">
      <c r="A76" s="2041"/>
      <c r="B76" s="2041"/>
      <c r="C76" s="2041"/>
      <c r="D76" s="2041"/>
      <c r="E76" s="2041"/>
      <c r="F76" s="2041"/>
      <c r="G76" s="2041"/>
      <c r="H76" s="2041"/>
      <c r="I76" s="2041"/>
      <c r="J76" s="2600"/>
      <c r="K76" s="2041"/>
      <c r="L76" s="2041"/>
      <c r="M76" s="2041"/>
      <c r="N76" s="2041"/>
      <c r="O76" s="2041"/>
      <c r="P76" s="2041"/>
      <c r="Q76" s="2041"/>
      <c r="R76" s="2041"/>
      <c r="S76" s="2041"/>
      <c r="T76" s="2041"/>
      <c r="U76" s="2041"/>
      <c r="V76" s="2041"/>
      <c r="W76" s="2041"/>
      <c r="X76" s="2041"/>
      <c r="Y76" s="2041"/>
      <c r="Z76" s="2041"/>
      <c r="AA76" s="2041"/>
      <c r="AB76" s="2041"/>
      <c r="AC76" s="2041"/>
      <c r="AD76" s="2041"/>
    </row>
    <row r="77" spans="1:30">
      <c r="A77" s="2041"/>
      <c r="B77" s="2041"/>
      <c r="C77" s="2041"/>
      <c r="D77" s="2041"/>
      <c r="E77" s="2041"/>
      <c r="F77" s="2041"/>
      <c r="G77" s="2041"/>
      <c r="H77" s="2041"/>
      <c r="I77" s="2041"/>
      <c r="J77" s="2600"/>
      <c r="K77" s="2041"/>
      <c r="L77" s="2041"/>
      <c r="M77" s="2041"/>
      <c r="N77" s="2041"/>
      <c r="O77" s="2041"/>
      <c r="P77" s="2041"/>
      <c r="Q77" s="2041"/>
      <c r="R77" s="2041"/>
      <c r="S77" s="2041"/>
      <c r="T77" s="2041"/>
      <c r="U77" s="2041"/>
      <c r="V77" s="2041"/>
      <c r="W77" s="2041"/>
      <c r="X77" s="2041"/>
      <c r="Y77" s="2041"/>
      <c r="Z77" s="2041"/>
      <c r="AA77" s="2041"/>
      <c r="AB77" s="2041"/>
      <c r="AC77" s="2041"/>
      <c r="AD77" s="2041"/>
    </row>
    <row r="78" spans="1:30">
      <c r="A78" s="2041"/>
      <c r="B78" s="2041"/>
      <c r="C78" s="2041"/>
      <c r="D78" s="2041"/>
      <c r="E78" s="2041"/>
      <c r="F78" s="2041"/>
      <c r="G78" s="2041"/>
      <c r="H78" s="2041"/>
      <c r="I78" s="2041"/>
      <c r="J78" s="2041"/>
      <c r="K78" s="2041"/>
      <c r="L78" s="2041"/>
      <c r="M78" s="2041"/>
      <c r="N78" s="2041"/>
      <c r="O78" s="2041"/>
      <c r="P78" s="2041"/>
      <c r="Q78" s="2041"/>
      <c r="R78" s="2041"/>
      <c r="S78" s="2041"/>
      <c r="T78" s="2041"/>
      <c r="U78" s="2041"/>
      <c r="V78" s="2041"/>
      <c r="W78" s="2041"/>
      <c r="X78" s="2041"/>
      <c r="Y78" s="2041"/>
      <c r="Z78" s="2041"/>
      <c r="AA78" s="2041"/>
      <c r="AB78" s="2041"/>
      <c r="AC78" s="2041"/>
      <c r="AD78" s="2041"/>
    </row>
    <row r="79" spans="1:30">
      <c r="A79" s="2041"/>
      <c r="B79" s="2041"/>
      <c r="C79" s="2041"/>
      <c r="D79" s="2041"/>
      <c r="E79" s="2041"/>
      <c r="F79" s="2041"/>
      <c r="G79" s="2041"/>
      <c r="H79" s="2041"/>
      <c r="I79" s="2041"/>
      <c r="J79" s="2041"/>
      <c r="K79" s="2041"/>
      <c r="L79" s="2041"/>
      <c r="M79" s="2041"/>
      <c r="N79" s="2041"/>
      <c r="O79" s="2041"/>
      <c r="P79" s="2041"/>
      <c r="Q79" s="2041"/>
      <c r="R79" s="2041"/>
      <c r="S79" s="2041"/>
      <c r="T79" s="2041"/>
      <c r="U79" s="2041"/>
      <c r="V79" s="2041"/>
      <c r="W79" s="2041"/>
      <c r="X79" s="2041"/>
      <c r="Y79" s="2041"/>
      <c r="Z79" s="2041"/>
      <c r="AA79" s="2041"/>
      <c r="AB79" s="2041"/>
      <c r="AC79" s="2041"/>
      <c r="AD79" s="2041"/>
    </row>
    <row r="80" spans="1:30">
      <c r="A80" s="2041"/>
      <c r="B80" s="2041"/>
      <c r="C80" s="2041"/>
      <c r="D80" s="2041"/>
      <c r="E80" s="2041"/>
      <c r="F80" s="2041"/>
      <c r="G80" s="2041"/>
      <c r="H80" s="2041"/>
      <c r="I80" s="2041"/>
      <c r="J80" s="2041"/>
      <c r="K80" s="2041"/>
      <c r="L80" s="2041"/>
      <c r="M80" s="2041"/>
      <c r="N80" s="2041"/>
      <c r="O80" s="2041"/>
      <c r="P80" s="2041"/>
      <c r="Q80" s="2041"/>
      <c r="R80" s="2041"/>
      <c r="S80" s="2041"/>
      <c r="T80" s="2041"/>
      <c r="U80" s="2041"/>
      <c r="V80" s="2041"/>
      <c r="W80" s="2041"/>
      <c r="X80" s="2041"/>
      <c r="Y80" s="2041"/>
      <c r="Z80" s="2041"/>
      <c r="AA80" s="2041"/>
      <c r="AB80" s="2041"/>
      <c r="AC80" s="2041"/>
      <c r="AD80" s="2041"/>
    </row>
    <row r="81" spans="1:30">
      <c r="A81" s="2041"/>
      <c r="B81" s="2041"/>
      <c r="C81" s="2041"/>
      <c r="D81" s="2041"/>
      <c r="E81" s="2041"/>
      <c r="F81" s="2041"/>
      <c r="G81" s="2041"/>
      <c r="H81" s="2041"/>
      <c r="I81" s="2041"/>
      <c r="J81" s="2041"/>
      <c r="K81" s="2041"/>
      <c r="L81" s="2041"/>
      <c r="M81" s="2041"/>
      <c r="N81" s="2041"/>
      <c r="O81" s="2041"/>
      <c r="P81" s="2041"/>
      <c r="Q81" s="2041"/>
      <c r="R81" s="2041"/>
      <c r="S81" s="2041"/>
      <c r="T81" s="2041"/>
      <c r="U81" s="2041"/>
      <c r="V81" s="2041"/>
      <c r="W81" s="2041"/>
      <c r="X81" s="2041"/>
      <c r="Y81" s="2041"/>
      <c r="Z81" s="2041"/>
      <c r="AA81" s="2041"/>
      <c r="AB81" s="2041"/>
      <c r="AC81" s="2041"/>
      <c r="AD81" s="2041"/>
    </row>
  </sheetData>
  <sheetProtection formatCells="0" insertHyperlinks="0" autoFilter="0"/>
  <mergeCells count="17">
    <mergeCell ref="A1:O1"/>
    <mergeCell ref="A22:C22"/>
    <mergeCell ref="D22:G22"/>
    <mergeCell ref="A37:C37"/>
    <mergeCell ref="D37:G37"/>
    <mergeCell ref="A47:C47"/>
    <mergeCell ref="D47:G47"/>
    <mergeCell ref="A66:C66"/>
    <mergeCell ref="D66:G66"/>
    <mergeCell ref="A2:A3"/>
    <mergeCell ref="A4:A7"/>
    <mergeCell ref="A8:A15"/>
    <mergeCell ref="A16:A20"/>
    <mergeCell ref="A28:A32"/>
    <mergeCell ref="A33:A36"/>
    <mergeCell ref="B48:B62"/>
    <mergeCell ref="Q34:Q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G92"/>
  <sheetViews>
    <sheetView workbookViewId="0">
      <selection activeCell="K59" sqref="K59:K76"/>
    </sheetView>
  </sheetViews>
  <sheetFormatPr defaultColWidth="9" defaultRowHeight="13.5"/>
  <cols>
    <col min="1" max="1" width="13.7583333333333" customWidth="1"/>
    <col min="2" max="2" width="37.325" customWidth="1"/>
    <col min="3" max="3" width="12.9166666666667" customWidth="1"/>
    <col min="4" max="4" width="12.225" customWidth="1"/>
    <col min="5" max="5" width="11.9666666666667" customWidth="1"/>
    <col min="6" max="6" width="11.2583333333333" customWidth="1"/>
    <col min="7" max="7" width="13.6083333333333" customWidth="1"/>
    <col min="8" max="8" width="9" style="1934"/>
    <col min="9" max="9" width="12.5" customWidth="1"/>
    <col min="10" max="10" width="15.975" customWidth="1"/>
    <col min="11" max="11" width="24.1666666666667" customWidth="1"/>
    <col min="12" max="12" width="26.6666666666667" customWidth="1"/>
    <col min="13" max="13" width="15.975" customWidth="1"/>
    <col min="14" max="14" width="17.1416666666667" customWidth="1"/>
    <col min="15" max="15" width="13.6083333333333" customWidth="1"/>
    <col min="16" max="16" width="17.3583333333333" customWidth="1"/>
    <col min="18" max="18" width="14.025" customWidth="1"/>
    <col min="19" max="19" width="22.1416666666667" customWidth="1"/>
    <col min="20" max="20" width="13.7583333333333"/>
    <col min="21" max="21" width="26.075" customWidth="1"/>
  </cols>
  <sheetData>
    <row r="1" ht="25.5" customHeight="1" spans="1:33">
      <c r="A1" s="1936" t="s">
        <v>190</v>
      </c>
      <c r="B1" s="1937"/>
      <c r="C1" s="1937"/>
      <c r="D1" s="1937"/>
      <c r="E1" s="1937"/>
      <c r="F1" s="1937"/>
      <c r="G1" s="1937"/>
      <c r="H1" s="1960"/>
      <c r="I1" s="1937"/>
      <c r="J1" s="1937"/>
      <c r="K1" s="1937"/>
      <c r="L1" s="1937"/>
      <c r="M1" s="1937"/>
      <c r="N1" s="1937"/>
      <c r="O1" s="1937"/>
      <c r="P1" s="1937"/>
      <c r="Q1" s="1937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2001"/>
      <c r="AD1" s="2001"/>
      <c r="AE1" s="2001"/>
      <c r="AF1" s="2001"/>
      <c r="AG1" s="2001"/>
    </row>
    <row r="2" ht="27" customHeight="1" spans="1:33">
      <c r="A2" s="1938" t="s">
        <v>1</v>
      </c>
      <c r="B2" s="1939" t="s">
        <v>2</v>
      </c>
      <c r="C2" s="1939" t="s">
        <v>3</v>
      </c>
      <c r="D2" s="2003" t="s">
        <v>4</v>
      </c>
      <c r="E2" s="1939" t="s">
        <v>5</v>
      </c>
      <c r="F2" s="1940" t="s">
        <v>6</v>
      </c>
      <c r="G2" s="1940" t="s">
        <v>7</v>
      </c>
      <c r="H2" s="1962" t="s">
        <v>8</v>
      </c>
      <c r="I2" s="1963" t="s">
        <v>191</v>
      </c>
      <c r="J2" s="2574" t="s">
        <v>10</v>
      </c>
      <c r="K2" s="2637" t="s">
        <v>192</v>
      </c>
      <c r="L2" s="2637" t="s">
        <v>193</v>
      </c>
      <c r="M2" s="2637" t="s">
        <v>194</v>
      </c>
      <c r="N2" s="1978" t="s">
        <v>11</v>
      </c>
      <c r="O2" s="1979" t="s">
        <v>12</v>
      </c>
      <c r="P2" s="1979" t="s">
        <v>13</v>
      </c>
      <c r="Q2" s="1980" t="s">
        <v>14</v>
      </c>
      <c r="R2" s="2003" t="s">
        <v>15</v>
      </c>
      <c r="S2" s="2004" t="s">
        <v>16</v>
      </c>
      <c r="T2" s="2004" t="s">
        <v>17</v>
      </c>
      <c r="U2" s="2004" t="s">
        <v>18</v>
      </c>
      <c r="V2" s="2004" t="s">
        <v>19</v>
      </c>
      <c r="W2" s="2021" t="s">
        <v>20</v>
      </c>
      <c r="X2" s="2021" t="s">
        <v>21</v>
      </c>
      <c r="Y2" s="2004" t="s">
        <v>22</v>
      </c>
      <c r="Z2" s="2004" t="s">
        <v>23</v>
      </c>
      <c r="AA2" s="2004" t="s">
        <v>24</v>
      </c>
      <c r="AB2" s="2004" t="s">
        <v>25</v>
      </c>
      <c r="AC2" s="2004" t="s">
        <v>26</v>
      </c>
      <c r="AD2" s="2004" t="s">
        <v>27</v>
      </c>
      <c r="AE2" s="2004" t="s">
        <v>28</v>
      </c>
      <c r="AF2" s="2026" t="s">
        <v>26</v>
      </c>
      <c r="AG2" s="2027" t="s">
        <v>27</v>
      </c>
    </row>
    <row r="3" ht="30" customHeight="1" spans="1:33">
      <c r="A3" s="1938"/>
      <c r="B3" s="1939"/>
      <c r="C3" s="1939"/>
      <c r="D3" s="2003"/>
      <c r="E3" s="1939"/>
      <c r="F3" s="1940"/>
      <c r="G3" s="1940"/>
      <c r="H3" s="1962"/>
      <c r="I3" s="1963"/>
      <c r="J3" s="2574"/>
      <c r="K3" s="2637"/>
      <c r="L3" s="2637" t="s">
        <v>195</v>
      </c>
      <c r="M3" s="2637" t="s">
        <v>196</v>
      </c>
      <c r="N3" s="1978"/>
      <c r="O3" s="1979"/>
      <c r="P3" s="1979"/>
      <c r="Q3" s="1980"/>
      <c r="R3" s="2528"/>
      <c r="S3" s="2529"/>
      <c r="T3" s="2529"/>
      <c r="U3" s="2529"/>
      <c r="V3" s="2529"/>
      <c r="W3" s="2547"/>
      <c r="X3" s="2547"/>
      <c r="Y3" s="2529"/>
      <c r="Z3" s="2529"/>
      <c r="AA3" s="2529"/>
      <c r="AB3" s="2529"/>
      <c r="AC3" s="2529"/>
      <c r="AD3" s="2529"/>
      <c r="AE3" s="2529"/>
      <c r="AF3" s="2529"/>
      <c r="AG3" s="2529"/>
    </row>
    <row r="4" ht="32.5" customHeight="1" spans="1:33">
      <c r="A4" s="2171" t="s">
        <v>38</v>
      </c>
      <c r="B4" s="2459" t="s">
        <v>197</v>
      </c>
      <c r="C4" s="2459" t="s">
        <v>198</v>
      </c>
      <c r="D4" s="2460" t="s">
        <v>199</v>
      </c>
      <c r="E4" s="2459"/>
      <c r="F4" s="2459"/>
      <c r="G4" s="2459" t="s">
        <v>200</v>
      </c>
      <c r="H4" s="2473">
        <v>109</v>
      </c>
      <c r="I4" s="2459"/>
      <c r="J4" s="2638">
        <v>600000</v>
      </c>
      <c r="K4" s="2638"/>
      <c r="L4" s="2638"/>
      <c r="M4" s="2638">
        <v>600000</v>
      </c>
      <c r="N4" s="2494"/>
      <c r="O4" s="2495"/>
      <c r="P4" s="2495"/>
      <c r="Q4" s="2530"/>
      <c r="R4" s="2459"/>
      <c r="S4" s="2459"/>
      <c r="T4" s="2459" t="s">
        <v>140</v>
      </c>
      <c r="U4" s="2459"/>
      <c r="V4" s="2459"/>
      <c r="W4" s="2459"/>
      <c r="X4" s="2459"/>
      <c r="Y4" s="2459"/>
      <c r="Z4" s="2459"/>
      <c r="AA4" s="2459"/>
      <c r="AB4" s="2459"/>
      <c r="AC4" s="2459"/>
      <c r="AD4" s="2459"/>
      <c r="AE4" s="2459"/>
      <c r="AF4" s="2459"/>
      <c r="AG4" s="2459"/>
    </row>
    <row r="5" ht="15" customHeight="1" spans="1:33">
      <c r="A5" s="2171"/>
      <c r="B5" s="2310" t="s">
        <v>201</v>
      </c>
      <c r="C5" s="2461" t="s">
        <v>198</v>
      </c>
      <c r="D5" s="2462" t="s">
        <v>199</v>
      </c>
      <c r="E5" s="2461"/>
      <c r="F5" s="2461"/>
      <c r="G5" s="2461" t="s">
        <v>178</v>
      </c>
      <c r="H5" s="2474">
        <v>65</v>
      </c>
      <c r="I5" s="2461"/>
      <c r="J5" s="2639">
        <v>230000</v>
      </c>
      <c r="K5" s="2639"/>
      <c r="L5" s="2639"/>
      <c r="M5" s="2543">
        <v>530000</v>
      </c>
      <c r="N5" s="2497"/>
      <c r="O5" s="2498"/>
      <c r="P5" s="2498"/>
      <c r="Q5" s="2531"/>
      <c r="R5" s="2171"/>
      <c r="S5" s="2171"/>
      <c r="T5" s="2171"/>
      <c r="U5" s="2171"/>
      <c r="V5" s="2171"/>
      <c r="W5" s="2171"/>
      <c r="X5" s="2171"/>
      <c r="Y5" s="2171"/>
      <c r="Z5" s="2171"/>
      <c r="AA5" s="2171"/>
      <c r="AB5" s="2171"/>
      <c r="AC5" s="2171"/>
      <c r="AD5" s="2171"/>
      <c r="AE5" s="2171"/>
      <c r="AF5" s="2171"/>
      <c r="AG5" s="2001"/>
    </row>
    <row r="6" ht="16.5" customHeight="1" spans="1:33">
      <c r="A6" s="2171"/>
      <c r="B6" s="2603"/>
      <c r="C6" s="2461" t="s">
        <v>198</v>
      </c>
      <c r="D6" s="2462" t="s">
        <v>199</v>
      </c>
      <c r="E6" s="2608"/>
      <c r="F6" s="2608"/>
      <c r="G6" s="2622" t="s">
        <v>179</v>
      </c>
      <c r="H6" s="2623">
        <v>44</v>
      </c>
      <c r="I6" s="2608"/>
      <c r="J6" s="2640">
        <v>300000</v>
      </c>
      <c r="K6" s="2641"/>
      <c r="L6" s="2641"/>
      <c r="M6" s="2645"/>
      <c r="N6" s="2526"/>
      <c r="O6" s="2655"/>
      <c r="P6" s="2655"/>
      <c r="Q6" s="2665"/>
      <c r="R6" s="2666"/>
      <c r="S6" s="2666"/>
      <c r="T6" s="2666"/>
      <c r="U6" s="2666"/>
      <c r="V6" s="2666"/>
      <c r="W6" s="2666"/>
      <c r="X6" s="2666"/>
      <c r="Y6" s="2666"/>
      <c r="Z6" s="2666"/>
      <c r="AA6" s="2666"/>
      <c r="AB6" s="2666"/>
      <c r="AC6" s="2666"/>
      <c r="AD6" s="2666"/>
      <c r="AE6" s="2666"/>
      <c r="AF6" s="2666"/>
      <c r="AG6" s="2666"/>
    </row>
    <row r="7" ht="16.5" customHeight="1" spans="1:33">
      <c r="A7" s="2171"/>
      <c r="B7" s="2475" t="s">
        <v>202</v>
      </c>
      <c r="C7" s="2604" t="s">
        <v>198</v>
      </c>
      <c r="D7" s="2552" t="s">
        <v>203</v>
      </c>
      <c r="E7" s="2475"/>
      <c r="F7" s="2475"/>
      <c r="G7" s="2476"/>
      <c r="H7" s="2477"/>
      <c r="I7" s="2476"/>
      <c r="J7" s="2642">
        <v>300000</v>
      </c>
      <c r="K7" s="2643">
        <v>300000</v>
      </c>
      <c r="L7" s="2641"/>
      <c r="M7" s="2641"/>
      <c r="N7" s="2526"/>
      <c r="O7" s="2656"/>
      <c r="P7" s="2656"/>
      <c r="Q7" s="2667"/>
      <c r="R7" s="2608"/>
      <c r="S7" s="2608"/>
      <c r="T7" s="2608"/>
      <c r="U7" s="2608"/>
      <c r="V7" s="2608"/>
      <c r="W7" s="2608"/>
      <c r="X7" s="2608"/>
      <c r="Y7" s="2608"/>
      <c r="Z7" s="2608"/>
      <c r="AA7" s="2608"/>
      <c r="AB7" s="2608"/>
      <c r="AC7" s="2608"/>
      <c r="AD7" s="2608"/>
      <c r="AE7" s="2608"/>
      <c r="AF7" s="2608"/>
      <c r="AG7" s="2608"/>
    </row>
    <row r="8" ht="16.5" customHeight="1" spans="1:33">
      <c r="A8" s="2171"/>
      <c r="B8" s="2603" t="s">
        <v>204</v>
      </c>
      <c r="C8" s="2605" t="s">
        <v>198</v>
      </c>
      <c r="D8" s="2606"/>
      <c r="E8" s="2603"/>
      <c r="F8" s="2603"/>
      <c r="G8" s="2624" t="s">
        <v>205</v>
      </c>
      <c r="H8" s="2625"/>
      <c r="I8" s="2624"/>
      <c r="J8" s="2644">
        <v>270000</v>
      </c>
      <c r="K8" s="2645"/>
      <c r="L8" s="2641">
        <v>270000</v>
      </c>
      <c r="M8" s="2641"/>
      <c r="N8" s="2526"/>
      <c r="O8" s="2656"/>
      <c r="P8" s="2656"/>
      <c r="Q8" s="2667"/>
      <c r="R8" s="2608"/>
      <c r="S8" s="2608"/>
      <c r="T8" s="2608"/>
      <c r="U8" s="2608"/>
      <c r="V8" s="2608"/>
      <c r="W8" s="2608"/>
      <c r="X8" s="2608"/>
      <c r="Y8" s="2608"/>
      <c r="Z8" s="2608"/>
      <c r="AA8" s="2608"/>
      <c r="AB8" s="2608"/>
      <c r="AC8" s="2608"/>
      <c r="AD8" s="2608"/>
      <c r="AE8" s="2608"/>
      <c r="AF8" s="2608"/>
      <c r="AG8" s="2608"/>
    </row>
    <row r="9" ht="16.5" customHeight="1" spans="1:33">
      <c r="A9" s="2171"/>
      <c r="B9" s="2603" t="s">
        <v>145</v>
      </c>
      <c r="C9" s="2461" t="s">
        <v>198</v>
      </c>
      <c r="D9" s="2607" t="s">
        <v>203</v>
      </c>
      <c r="E9" s="2608"/>
      <c r="F9" s="2608"/>
      <c r="G9" s="2622"/>
      <c r="H9" s="2623"/>
      <c r="I9" s="2622"/>
      <c r="J9" s="2640">
        <v>150000</v>
      </c>
      <c r="K9" s="2641"/>
      <c r="L9" s="2641">
        <v>150000</v>
      </c>
      <c r="M9" s="2641"/>
      <c r="N9" s="2526"/>
      <c r="O9" s="2656"/>
      <c r="P9" s="2656"/>
      <c r="Q9" s="2667"/>
      <c r="R9" s="2608"/>
      <c r="S9" s="2608"/>
      <c r="T9" s="2608"/>
      <c r="U9" s="2608"/>
      <c r="V9" s="2608"/>
      <c r="W9" s="2608"/>
      <c r="X9" s="2608"/>
      <c r="Y9" s="2608"/>
      <c r="Z9" s="2608"/>
      <c r="AA9" s="2608"/>
      <c r="AB9" s="2608"/>
      <c r="AC9" s="2608"/>
      <c r="AD9" s="2608"/>
      <c r="AE9" s="2608"/>
      <c r="AF9" s="2608"/>
      <c r="AG9" s="2608"/>
    </row>
    <row r="10" ht="16.5" customHeight="1" spans="1:33">
      <c r="A10" s="2171"/>
      <c r="B10" s="2603" t="s">
        <v>53</v>
      </c>
      <c r="C10" s="2461" t="s">
        <v>198</v>
      </c>
      <c r="D10" s="2607" t="s">
        <v>203</v>
      </c>
      <c r="E10" s="2608"/>
      <c r="F10" s="2608"/>
      <c r="G10" s="2622" t="s">
        <v>206</v>
      </c>
      <c r="H10" s="2623"/>
      <c r="I10" s="2622"/>
      <c r="J10" s="2640">
        <v>300000</v>
      </c>
      <c r="K10" s="2641"/>
      <c r="L10" s="2641">
        <v>300000</v>
      </c>
      <c r="M10" s="2641"/>
      <c r="N10" s="2526"/>
      <c r="O10" s="2656"/>
      <c r="P10" s="2656"/>
      <c r="Q10" s="2667"/>
      <c r="R10" s="2608"/>
      <c r="S10" s="2608"/>
      <c r="T10" s="2608"/>
      <c r="U10" s="2608"/>
      <c r="V10" s="2608"/>
      <c r="W10" s="2608"/>
      <c r="X10" s="2608"/>
      <c r="Y10" s="2608"/>
      <c r="Z10" s="2608"/>
      <c r="AA10" s="2608"/>
      <c r="AB10" s="2608"/>
      <c r="AC10" s="2608"/>
      <c r="AD10" s="2608"/>
      <c r="AE10" s="2608"/>
      <c r="AF10" s="2608"/>
      <c r="AG10" s="2608"/>
    </row>
    <row r="11" ht="16.5" customHeight="1" spans="1:33">
      <c r="A11" s="2461"/>
      <c r="B11" s="2608" t="s">
        <v>207</v>
      </c>
      <c r="C11" s="2461" t="s">
        <v>198</v>
      </c>
      <c r="D11" s="2609" t="s">
        <v>208</v>
      </c>
      <c r="E11" s="2608"/>
      <c r="F11" s="2608"/>
      <c r="G11" s="2622" t="s">
        <v>127</v>
      </c>
      <c r="H11" s="2623">
        <v>25</v>
      </c>
      <c r="I11" s="2622"/>
      <c r="J11" s="2646">
        <v>90000</v>
      </c>
      <c r="K11" s="2641"/>
      <c r="L11" s="2641"/>
      <c r="M11" s="2641">
        <v>100000</v>
      </c>
      <c r="N11" s="2526"/>
      <c r="O11" s="2656"/>
      <c r="P11" s="2656"/>
      <c r="Q11" s="2667"/>
      <c r="R11" s="2608"/>
      <c r="S11" s="2608"/>
      <c r="T11" s="2608"/>
      <c r="U11" s="2608"/>
      <c r="V11" s="2608"/>
      <c r="W11" s="2608"/>
      <c r="X11" s="2608"/>
      <c r="Y11" s="2608"/>
      <c r="Z11" s="2608"/>
      <c r="AA11" s="2608"/>
      <c r="AB11" s="2608"/>
      <c r="AC11" s="2608"/>
      <c r="AD11" s="2608"/>
      <c r="AE11" s="2608"/>
      <c r="AF11" s="2608"/>
      <c r="AG11" s="2608"/>
    </row>
    <row r="12" ht="16.5" spans="1:33">
      <c r="A12" s="2554" t="s">
        <v>209</v>
      </c>
      <c r="B12" s="2610" t="s">
        <v>151</v>
      </c>
      <c r="C12" s="2031"/>
      <c r="D12" s="2031" t="s">
        <v>50</v>
      </c>
      <c r="E12" s="2557"/>
      <c r="F12" s="2557"/>
      <c r="G12" s="2175"/>
      <c r="H12" s="2626"/>
      <c r="I12" s="2557"/>
      <c r="J12" s="2582">
        <v>200000</v>
      </c>
      <c r="K12" s="2582"/>
      <c r="L12" s="2582">
        <v>200000</v>
      </c>
      <c r="M12" s="2582"/>
      <c r="N12" s="2578"/>
      <c r="O12" s="2579"/>
      <c r="P12" s="2657"/>
      <c r="Q12" s="2668"/>
      <c r="R12" s="2020"/>
      <c r="S12" s="2020"/>
      <c r="T12" s="2020"/>
      <c r="U12" s="2020"/>
      <c r="V12" s="2020"/>
      <c r="W12" s="2020"/>
      <c r="X12" s="2020"/>
      <c r="Y12" s="2020"/>
      <c r="Z12" s="2020"/>
      <c r="AA12" s="2020"/>
      <c r="AB12" s="2020"/>
      <c r="AC12" s="2020"/>
      <c r="AD12" s="2020"/>
      <c r="AE12" s="2020"/>
      <c r="AF12" s="2020"/>
      <c r="AG12" s="2020"/>
    </row>
    <row r="13" s="23" customFormat="1" ht="16.5" spans="1:33">
      <c r="A13" s="2463"/>
      <c r="B13" s="2464" t="s">
        <v>148</v>
      </c>
      <c r="C13" s="2465" t="s">
        <v>210</v>
      </c>
      <c r="D13" s="2465" t="s">
        <v>208</v>
      </c>
      <c r="E13" s="2475"/>
      <c r="F13" s="2476"/>
      <c r="G13" s="1946"/>
      <c r="H13" s="2478"/>
      <c r="I13" s="2475"/>
      <c r="J13" s="2499">
        <v>450000</v>
      </c>
      <c r="K13" s="2499">
        <v>450000</v>
      </c>
      <c r="L13" s="2499"/>
      <c r="M13" s="2499"/>
      <c r="N13" s="2500">
        <v>6.59</v>
      </c>
      <c r="O13" s="2501"/>
      <c r="P13" s="2532"/>
      <c r="Q13" s="2419"/>
      <c r="R13" s="1946"/>
      <c r="S13" s="1946"/>
      <c r="T13" s="1946"/>
      <c r="U13" s="1946"/>
      <c r="V13" s="1946"/>
      <c r="W13" s="1946"/>
      <c r="X13" s="1946"/>
      <c r="Y13" s="1946"/>
      <c r="Z13" s="1946"/>
      <c r="AA13" s="1946"/>
      <c r="AB13" s="1946"/>
      <c r="AC13" s="1946"/>
      <c r="AD13" s="1946"/>
      <c r="AE13" s="1946"/>
      <c r="AF13" s="1946"/>
      <c r="AG13" s="1946"/>
    </row>
    <row r="14" s="23" customFormat="1" ht="16.5" spans="1:33">
      <c r="A14" s="2463"/>
      <c r="B14" s="2465" t="s">
        <v>149</v>
      </c>
      <c r="C14" s="2604" t="s">
        <v>198</v>
      </c>
      <c r="D14" s="2465" t="s">
        <v>208</v>
      </c>
      <c r="E14" s="2475"/>
      <c r="F14" s="2476"/>
      <c r="G14" s="1946"/>
      <c r="H14" s="2478"/>
      <c r="I14" s="2475">
        <v>30000</v>
      </c>
      <c r="J14" s="2499">
        <f>N14*I14</f>
        <v>197700</v>
      </c>
      <c r="K14" s="2499">
        <v>197700</v>
      </c>
      <c r="L14" s="2499"/>
      <c r="M14" s="2499"/>
      <c r="N14" s="2500">
        <v>6.59</v>
      </c>
      <c r="O14" s="2501"/>
      <c r="P14" s="2532"/>
      <c r="Q14" s="2419"/>
      <c r="R14" s="1946"/>
      <c r="S14" s="1946"/>
      <c r="T14" s="1946"/>
      <c r="U14" s="1946"/>
      <c r="V14" s="1946"/>
      <c r="W14" s="1946"/>
      <c r="X14" s="1946"/>
      <c r="Y14" s="1946"/>
      <c r="Z14" s="1946"/>
      <c r="AA14" s="1946"/>
      <c r="AB14" s="1946"/>
      <c r="AC14" s="1946"/>
      <c r="AD14" s="1946"/>
      <c r="AE14" s="1946"/>
      <c r="AF14" s="1946"/>
      <c r="AG14" s="1946"/>
    </row>
    <row r="15" s="23" customFormat="1" ht="16.5" spans="1:33">
      <c r="A15" s="2464"/>
      <c r="B15" s="2465" t="s">
        <v>211</v>
      </c>
      <c r="C15" s="2465" t="s">
        <v>210</v>
      </c>
      <c r="D15" s="2465" t="s">
        <v>208</v>
      </c>
      <c r="E15" s="2475"/>
      <c r="F15" s="2476"/>
      <c r="G15" s="1946"/>
      <c r="H15" s="2478"/>
      <c r="I15" s="2475">
        <v>14000</v>
      </c>
      <c r="J15" s="2499">
        <f>I15*N15</f>
        <v>92260</v>
      </c>
      <c r="K15" s="2499">
        <v>92260</v>
      </c>
      <c r="L15" s="2499"/>
      <c r="M15" s="2499"/>
      <c r="N15" s="2500">
        <v>6.59</v>
      </c>
      <c r="O15" s="2501"/>
      <c r="P15" s="2532"/>
      <c r="Q15" s="2419"/>
      <c r="R15" s="1946"/>
      <c r="S15" s="1946"/>
      <c r="T15" s="1946"/>
      <c r="U15" s="1946"/>
      <c r="V15" s="1946"/>
      <c r="W15" s="1946"/>
      <c r="X15" s="1946"/>
      <c r="Y15" s="1946"/>
      <c r="Z15" s="1946"/>
      <c r="AA15" s="1946"/>
      <c r="AB15" s="1946"/>
      <c r="AC15" s="1946"/>
      <c r="AD15" s="1946"/>
      <c r="AE15" s="1946"/>
      <c r="AF15" s="1946"/>
      <c r="AG15" s="1946"/>
    </row>
    <row r="16" ht="16.5" spans="1:33">
      <c r="A16" s="2280" t="s">
        <v>36</v>
      </c>
      <c r="B16" s="2361" t="s">
        <v>212</v>
      </c>
      <c r="C16" s="2361" t="s">
        <v>210</v>
      </c>
      <c r="D16" s="2611"/>
      <c r="E16" s="2627"/>
      <c r="F16" s="2627"/>
      <c r="G16" s="2628"/>
      <c r="H16" s="2629"/>
      <c r="I16" s="2647">
        <v>341455</v>
      </c>
      <c r="J16" s="2582">
        <f>I16*N17</f>
        <v>2250188.45</v>
      </c>
      <c r="K16" s="2582"/>
      <c r="L16" s="2582"/>
      <c r="M16" s="2582">
        <v>2250188</v>
      </c>
      <c r="N16" s="2658"/>
      <c r="O16" s="2579"/>
      <c r="P16" s="2659"/>
      <c r="Q16" s="2542"/>
      <c r="R16" s="2540"/>
      <c r="S16" s="2540"/>
      <c r="T16" s="2548" t="s">
        <v>213</v>
      </c>
      <c r="U16" s="2020" t="s">
        <v>214</v>
      </c>
      <c r="V16" s="2020"/>
      <c r="W16" s="2020"/>
      <c r="X16" s="2020"/>
      <c r="Y16" s="2020"/>
      <c r="Z16" s="2020"/>
      <c r="AA16" s="2020"/>
      <c r="AB16" s="2020"/>
      <c r="AC16" s="2020"/>
      <c r="AD16" s="2020"/>
      <c r="AE16" s="2020"/>
      <c r="AF16" s="2020"/>
      <c r="AG16" s="2020"/>
    </row>
    <row r="17" s="23" customFormat="1" ht="16.5" spans="1:33">
      <c r="A17" s="2463"/>
      <c r="B17" s="2464" t="s">
        <v>215</v>
      </c>
      <c r="C17" s="2465"/>
      <c r="D17" s="2465"/>
      <c r="E17" s="2475"/>
      <c r="F17" s="2476"/>
      <c r="G17" s="1946"/>
      <c r="H17" s="2630"/>
      <c r="I17" s="2475">
        <v>14273</v>
      </c>
      <c r="J17" s="2499">
        <f>N17*I17</f>
        <v>94059.07</v>
      </c>
      <c r="K17" s="2499">
        <v>94059.07</v>
      </c>
      <c r="L17" s="2499"/>
      <c r="M17" s="2499"/>
      <c r="N17" s="2500">
        <v>6.59</v>
      </c>
      <c r="O17" s="2501"/>
      <c r="P17" s="2532"/>
      <c r="Q17" s="2419"/>
      <c r="R17" s="2475"/>
      <c r="S17" s="2595"/>
      <c r="T17" s="2595"/>
      <c r="U17" s="2595"/>
      <c r="V17" s="2595"/>
      <c r="W17" s="2595"/>
      <c r="X17" s="2595"/>
      <c r="Y17" s="2595"/>
      <c r="Z17" s="2595"/>
      <c r="AA17" s="2595"/>
      <c r="AB17" s="2595"/>
      <c r="AC17" s="2595"/>
      <c r="AD17" s="2595"/>
      <c r="AE17" s="2595"/>
      <c r="AF17" s="2595"/>
      <c r="AG17" s="2595"/>
    </row>
    <row r="18" s="23" customFormat="1" ht="16.5" spans="1:33">
      <c r="A18" s="2463"/>
      <c r="B18" s="2464" t="s">
        <v>216</v>
      </c>
      <c r="C18" s="2465"/>
      <c r="D18" s="2465"/>
      <c r="E18" s="2475"/>
      <c r="F18" s="2476"/>
      <c r="G18" s="1946"/>
      <c r="H18" s="2478"/>
      <c r="I18" s="2475">
        <v>40145</v>
      </c>
      <c r="J18" s="2499">
        <f>I18*N17</f>
        <v>264555.55</v>
      </c>
      <c r="K18" s="2499">
        <v>264555.55</v>
      </c>
      <c r="L18" s="2499"/>
      <c r="M18" s="2499"/>
      <c r="N18" s="2500">
        <v>6.59</v>
      </c>
      <c r="O18" s="2501"/>
      <c r="P18" s="2532"/>
      <c r="Q18" s="2419"/>
      <c r="R18" s="1946"/>
      <c r="S18" s="1946"/>
      <c r="T18" s="1946"/>
      <c r="U18" s="1946"/>
      <c r="V18" s="1946"/>
      <c r="W18" s="1946"/>
      <c r="X18" s="1946"/>
      <c r="Y18" s="1946"/>
      <c r="Z18" s="1946"/>
      <c r="AA18" s="1946"/>
      <c r="AB18" s="1946"/>
      <c r="AC18" s="1946"/>
      <c r="AD18" s="1946"/>
      <c r="AE18" s="1946"/>
      <c r="AF18" s="1946"/>
      <c r="AG18" s="1946"/>
    </row>
    <row r="19" s="23" customFormat="1" ht="16.5" spans="1:33">
      <c r="A19" s="2463"/>
      <c r="B19" s="2463" t="s">
        <v>162</v>
      </c>
      <c r="C19" s="2467"/>
      <c r="D19" s="2467"/>
      <c r="E19" s="2099"/>
      <c r="F19" s="2100"/>
      <c r="G19" s="1946"/>
      <c r="H19" s="2098"/>
      <c r="I19" s="2099">
        <v>15518</v>
      </c>
      <c r="J19" s="2502">
        <f>I19*N17</f>
        <v>102263.62</v>
      </c>
      <c r="K19" s="2502">
        <v>102263.62</v>
      </c>
      <c r="L19" s="2502"/>
      <c r="M19" s="2502"/>
      <c r="N19" s="2503">
        <v>6.59</v>
      </c>
      <c r="O19" s="2504"/>
      <c r="P19" s="2535"/>
      <c r="Q19" s="2536"/>
      <c r="R19" s="1946"/>
      <c r="S19" s="1946"/>
      <c r="T19" s="1946"/>
      <c r="U19" s="1946"/>
      <c r="V19" s="1946"/>
      <c r="W19" s="1946"/>
      <c r="X19" s="1946"/>
      <c r="Y19" s="1946"/>
      <c r="Z19" s="1946"/>
      <c r="AA19" s="1946"/>
      <c r="AB19" s="1946"/>
      <c r="AC19" s="1946"/>
      <c r="AD19" s="1946"/>
      <c r="AE19" s="1946"/>
      <c r="AF19" s="1946"/>
      <c r="AG19" s="1946"/>
    </row>
    <row r="20" s="23" customFormat="1" ht="16.5" spans="1:33">
      <c r="A20" s="2463"/>
      <c r="B20" s="2463" t="s">
        <v>217</v>
      </c>
      <c r="C20" s="2467"/>
      <c r="D20" s="2467"/>
      <c r="E20" s="2099"/>
      <c r="F20" s="2100"/>
      <c r="G20" s="2100"/>
      <c r="H20" s="2098"/>
      <c r="I20" s="2099">
        <v>15220</v>
      </c>
      <c r="J20" s="2512">
        <f>I20*6.59</f>
        <v>100299.8</v>
      </c>
      <c r="K20" s="2502">
        <v>100299.8</v>
      </c>
      <c r="L20" s="2502"/>
      <c r="M20" s="2502"/>
      <c r="N20" s="2503">
        <v>6.59</v>
      </c>
      <c r="O20" s="2504"/>
      <c r="P20" s="2535"/>
      <c r="Q20" s="2536"/>
      <c r="R20" s="2669"/>
      <c r="S20" s="2669"/>
      <c r="T20" s="2669"/>
      <c r="U20" s="2669"/>
      <c r="V20" s="2669"/>
      <c r="W20" s="2669"/>
      <c r="X20" s="2669"/>
      <c r="Y20" s="2669"/>
      <c r="Z20" s="2669"/>
      <c r="AA20" s="2669"/>
      <c r="AB20" s="2669"/>
      <c r="AC20" s="2669"/>
      <c r="AD20" s="2669"/>
      <c r="AE20" s="2669"/>
      <c r="AF20" s="2669"/>
      <c r="AG20" s="2669"/>
    </row>
    <row r="21" ht="16.5" spans="1:33">
      <c r="A21" s="2554"/>
      <c r="B21" s="2554" t="s">
        <v>156</v>
      </c>
      <c r="C21" s="2251"/>
      <c r="D21" s="2251"/>
      <c r="E21" s="2310"/>
      <c r="F21" s="2310"/>
      <c r="G21" s="2175"/>
      <c r="H21" s="2379"/>
      <c r="I21" s="2310">
        <v>9053</v>
      </c>
      <c r="J21" s="2648">
        <f>I21*N17</f>
        <v>59659.27</v>
      </c>
      <c r="K21" s="2264"/>
      <c r="L21" s="2264"/>
      <c r="M21" s="2264"/>
      <c r="N21" s="2198"/>
      <c r="O21" s="2660"/>
      <c r="P21" s="2661"/>
      <c r="Q21" s="2670"/>
      <c r="R21" s="2253"/>
      <c r="S21" s="2253"/>
      <c r="T21" s="2253" t="s">
        <v>218</v>
      </c>
      <c r="U21" s="2253" t="s">
        <v>219</v>
      </c>
      <c r="V21" s="2253"/>
      <c r="W21" s="2253"/>
      <c r="X21" s="2253"/>
      <c r="Y21" s="2253"/>
      <c r="Z21" s="2253"/>
      <c r="AA21" s="2253"/>
      <c r="AB21" s="2253"/>
      <c r="AC21" s="2253"/>
      <c r="AD21" s="2253"/>
      <c r="AE21" s="2253"/>
      <c r="AF21" s="2253"/>
      <c r="AG21" s="2253"/>
    </row>
    <row r="22" s="2602" customFormat="1" ht="16.5" spans="1:33">
      <c r="A22" s="2612" t="s">
        <v>220</v>
      </c>
      <c r="B22" s="2613" t="s">
        <v>221</v>
      </c>
      <c r="C22" s="2614" t="s">
        <v>210</v>
      </c>
      <c r="D22" s="2614" t="s">
        <v>147</v>
      </c>
      <c r="E22" s="2631"/>
      <c r="F22" s="2631"/>
      <c r="G22" s="2632"/>
      <c r="H22" s="2633"/>
      <c r="I22" s="2631"/>
      <c r="J22" s="2649">
        <v>120000</v>
      </c>
      <c r="K22" s="2499">
        <v>120000</v>
      </c>
      <c r="L22" s="2499"/>
      <c r="M22" s="2499"/>
      <c r="N22" s="2500">
        <v>6.59</v>
      </c>
      <c r="O22" s="2662"/>
      <c r="P22" s="2663"/>
      <c r="Q22" s="2671"/>
      <c r="R22" s="1946"/>
      <c r="S22" s="1946"/>
      <c r="T22" s="2669" t="s">
        <v>222</v>
      </c>
      <c r="U22" s="1946"/>
      <c r="V22" s="1946"/>
      <c r="W22" s="1946"/>
      <c r="X22" s="1946"/>
      <c r="Y22" s="1946"/>
      <c r="Z22" s="1946"/>
      <c r="AA22" s="1946"/>
      <c r="AB22" s="1946"/>
      <c r="AC22" s="1946"/>
      <c r="AD22" s="1946"/>
      <c r="AE22" s="1946"/>
      <c r="AF22" s="1946"/>
      <c r="AG22" s="1946"/>
    </row>
    <row r="23" ht="16.5" customHeight="1" spans="1:33">
      <c r="A23" s="2469" t="s">
        <v>67</v>
      </c>
      <c r="B23" s="2469"/>
      <c r="C23" s="2469"/>
      <c r="D23" s="2615" t="s">
        <v>68</v>
      </c>
      <c r="E23" s="2615"/>
      <c r="F23" s="2615"/>
      <c r="G23" s="2615"/>
      <c r="H23" s="2634"/>
      <c r="I23" s="2650"/>
      <c r="J23" s="2651">
        <f>SUM(J4:J22)</f>
        <v>6170985.76</v>
      </c>
      <c r="K23" s="2651">
        <f>SUM(K4:K22)</f>
        <v>1721138.04</v>
      </c>
      <c r="L23" s="2651">
        <f>SUM(L4:L22)</f>
        <v>920000</v>
      </c>
      <c r="M23" s="2651">
        <f>SUM(M4:M22)</f>
        <v>3480188</v>
      </c>
      <c r="N23" s="2664" t="s">
        <v>223</v>
      </c>
      <c r="O23" s="2651">
        <v>0</v>
      </c>
      <c r="P23" s="2651">
        <v>0</v>
      </c>
      <c r="Q23" s="2672">
        <v>0</v>
      </c>
      <c r="R23" s="2673"/>
      <c r="S23" s="2009"/>
      <c r="T23" s="2009"/>
      <c r="U23" s="2226"/>
      <c r="V23" s="2226"/>
      <c r="W23" s="2226"/>
      <c r="X23" s="2226"/>
      <c r="Y23" s="2226"/>
      <c r="Z23" s="2226"/>
      <c r="AA23" s="2226"/>
      <c r="AB23" s="2226"/>
      <c r="AC23" s="2226"/>
      <c r="AD23" s="2226"/>
      <c r="AE23" s="2226"/>
      <c r="AF23" s="2226"/>
      <c r="AG23" s="2226"/>
    </row>
    <row r="24" s="417" customFormat="1" ht="16.5" customHeight="1" spans="1:33">
      <c r="A24" s="1397" t="s">
        <v>224</v>
      </c>
      <c r="B24" s="2470" t="s">
        <v>225</v>
      </c>
      <c r="C24" s="2133" t="s">
        <v>226</v>
      </c>
      <c r="D24" s="2616"/>
      <c r="E24" s="2088"/>
      <c r="F24" s="2088" t="s">
        <v>227</v>
      </c>
      <c r="G24" s="23"/>
      <c r="H24" s="2635"/>
      <c r="I24" s="2177"/>
      <c r="J24" s="2652">
        <v>100000</v>
      </c>
      <c r="K24" s="2652">
        <v>100000</v>
      </c>
      <c r="L24" s="2652"/>
      <c r="M24" s="2652"/>
      <c r="N24" s="2104"/>
      <c r="O24" s="2652"/>
      <c r="P24" s="2652">
        <v>100000</v>
      </c>
      <c r="Q24" s="380"/>
      <c r="R24" s="364"/>
      <c r="S24" s="2111"/>
      <c r="T24" s="2111"/>
      <c r="U24" s="1414" t="s">
        <v>228</v>
      </c>
      <c r="V24" s="280"/>
      <c r="W24" s="280"/>
      <c r="X24" s="280"/>
      <c r="Y24" s="280"/>
      <c r="Z24" s="280"/>
      <c r="AA24" s="280"/>
      <c r="AB24" s="280"/>
      <c r="AC24" s="280"/>
      <c r="AD24" s="280"/>
      <c r="AE24" s="280"/>
      <c r="AF24" s="280"/>
      <c r="AG24" s="280"/>
    </row>
    <row r="25" s="417" customFormat="1" ht="16.5" customHeight="1" spans="1:33">
      <c r="A25" s="1397"/>
      <c r="B25" s="2470" t="s">
        <v>229</v>
      </c>
      <c r="C25" s="2133" t="s">
        <v>226</v>
      </c>
      <c r="D25" s="2616"/>
      <c r="E25" s="2088"/>
      <c r="F25" s="2088" t="s">
        <v>230</v>
      </c>
      <c r="G25" s="23"/>
      <c r="H25" s="2635"/>
      <c r="I25" s="2177"/>
      <c r="J25" s="2652">
        <v>90000</v>
      </c>
      <c r="K25" s="2652">
        <v>90000</v>
      </c>
      <c r="L25" s="2652"/>
      <c r="M25" s="2652"/>
      <c r="N25" s="2104"/>
      <c r="O25" s="2652">
        <v>90000</v>
      </c>
      <c r="P25" s="380"/>
      <c r="Q25" s="380"/>
      <c r="R25" s="364"/>
      <c r="S25" s="2111"/>
      <c r="T25" s="2111"/>
      <c r="U25" s="1414" t="s">
        <v>228</v>
      </c>
      <c r="V25" s="280"/>
      <c r="W25" s="280"/>
      <c r="X25" s="280"/>
      <c r="Y25" s="280"/>
      <c r="Z25" s="280"/>
      <c r="AA25" s="280"/>
      <c r="AB25" s="280"/>
      <c r="AC25" s="280"/>
      <c r="AD25" s="280"/>
      <c r="AE25" s="280"/>
      <c r="AF25" s="280"/>
      <c r="AG25" s="280"/>
    </row>
    <row r="26" s="417" customFormat="1" ht="16.5" customHeight="1" spans="1:33">
      <c r="A26" s="1397"/>
      <c r="B26" s="2405" t="s">
        <v>231</v>
      </c>
      <c r="C26" s="2604" t="s">
        <v>198</v>
      </c>
      <c r="D26" s="2617"/>
      <c r="E26" s="2617"/>
      <c r="F26" s="2617" t="s">
        <v>232</v>
      </c>
      <c r="G26" s="23"/>
      <c r="H26" s="2635"/>
      <c r="I26" s="2177"/>
      <c r="J26" s="2652">
        <v>200000</v>
      </c>
      <c r="K26" s="2652">
        <v>200000</v>
      </c>
      <c r="L26" s="2652"/>
      <c r="M26" s="2652"/>
      <c r="N26" s="2104"/>
      <c r="O26" s="2652">
        <v>200000</v>
      </c>
      <c r="P26" s="380"/>
      <c r="Q26" s="380"/>
      <c r="R26" s="364"/>
      <c r="S26" s="2111"/>
      <c r="T26" s="2111"/>
      <c r="U26" s="1414" t="s">
        <v>228</v>
      </c>
      <c r="V26" s="280"/>
      <c r="W26" s="280"/>
      <c r="X26" s="280"/>
      <c r="Y26" s="280"/>
      <c r="Z26" s="280"/>
      <c r="AA26" s="280"/>
      <c r="AB26" s="280"/>
      <c r="AC26" s="280"/>
      <c r="AD26" s="280"/>
      <c r="AE26" s="280"/>
      <c r="AF26" s="280"/>
      <c r="AG26" s="280"/>
    </row>
    <row r="27" s="417" customFormat="1" ht="16.5" customHeight="1" spans="1:33">
      <c r="A27" s="1397"/>
      <c r="B27" s="2618" t="s">
        <v>233</v>
      </c>
      <c r="C27" s="2617" t="s">
        <v>159</v>
      </c>
      <c r="D27" s="2617"/>
      <c r="E27" s="2617"/>
      <c r="F27" s="2617" t="s">
        <v>234</v>
      </c>
      <c r="G27" s="23"/>
      <c r="H27" s="2635"/>
      <c r="I27" s="2177"/>
      <c r="J27" s="2652">
        <v>20000</v>
      </c>
      <c r="K27" s="2652">
        <v>20000</v>
      </c>
      <c r="L27" s="2652"/>
      <c r="M27" s="2652"/>
      <c r="N27" s="2104"/>
      <c r="O27" s="2652">
        <v>20000</v>
      </c>
      <c r="P27" s="380"/>
      <c r="Q27" s="380"/>
      <c r="R27" s="364"/>
      <c r="S27" s="2111"/>
      <c r="T27" s="2111"/>
      <c r="U27" s="1414" t="s">
        <v>228</v>
      </c>
      <c r="V27" s="280"/>
      <c r="W27" s="280"/>
      <c r="X27" s="280"/>
      <c r="Y27" s="280"/>
      <c r="Z27" s="280"/>
      <c r="AA27" s="280"/>
      <c r="AB27" s="280"/>
      <c r="AC27" s="280"/>
      <c r="AD27" s="280"/>
      <c r="AE27" s="280"/>
      <c r="AF27" s="280"/>
      <c r="AG27" s="280"/>
    </row>
    <row r="28" s="417" customFormat="1" ht="16.5" customHeight="1" spans="1:33">
      <c r="A28" s="1397"/>
      <c r="B28" s="2405" t="s">
        <v>235</v>
      </c>
      <c r="C28" s="2604" t="s">
        <v>198</v>
      </c>
      <c r="D28" s="2617"/>
      <c r="E28" s="2617"/>
      <c r="F28" s="2617" t="s">
        <v>236</v>
      </c>
      <c r="G28" s="23"/>
      <c r="H28" s="2635"/>
      <c r="I28" s="2177"/>
      <c r="J28" s="2652">
        <v>400000</v>
      </c>
      <c r="K28" s="2652">
        <v>400000</v>
      </c>
      <c r="L28" s="2652"/>
      <c r="M28" s="2652"/>
      <c r="N28" s="2104"/>
      <c r="O28" s="2652">
        <v>400000</v>
      </c>
      <c r="P28" s="380"/>
      <c r="Q28" s="380"/>
      <c r="R28" s="364"/>
      <c r="S28" s="2111"/>
      <c r="T28" s="2111"/>
      <c r="U28" s="2620" t="s">
        <v>228</v>
      </c>
      <c r="V28" s="280"/>
      <c r="W28" s="280"/>
      <c r="X28" s="280"/>
      <c r="Y28" s="280"/>
      <c r="Z28" s="280"/>
      <c r="AA28" s="280"/>
      <c r="AB28" s="280"/>
      <c r="AC28" s="280"/>
      <c r="AD28" s="280"/>
      <c r="AE28" s="280"/>
      <c r="AF28" s="280"/>
      <c r="AG28" s="280"/>
    </row>
    <row r="29" s="417" customFormat="1" ht="16.5" customHeight="1" spans="1:33">
      <c r="A29" s="1397"/>
      <c r="B29" s="2619" t="s">
        <v>237</v>
      </c>
      <c r="C29" s="2605" t="s">
        <v>198</v>
      </c>
      <c r="D29" s="2620"/>
      <c r="E29" s="2620"/>
      <c r="F29" s="2620" t="s">
        <v>238</v>
      </c>
      <c r="H29" s="879"/>
      <c r="I29" s="349"/>
      <c r="J29" s="2653">
        <v>250000</v>
      </c>
      <c r="K29" s="2653"/>
      <c r="L29" s="2653">
        <v>250000</v>
      </c>
      <c r="M29" s="2653"/>
      <c r="N29" s="1993"/>
      <c r="O29" s="2653">
        <v>250000</v>
      </c>
      <c r="P29" s="380"/>
      <c r="Q29" s="380"/>
      <c r="R29" s="364"/>
      <c r="S29" s="2111"/>
      <c r="T29" s="2111"/>
      <c r="U29" s="2620" t="s">
        <v>239</v>
      </c>
      <c r="V29" s="280"/>
      <c r="W29" s="280"/>
      <c r="X29" s="280"/>
      <c r="Y29" s="280"/>
      <c r="Z29" s="280"/>
      <c r="AA29" s="280"/>
      <c r="AB29" s="280"/>
      <c r="AC29" s="280"/>
      <c r="AD29" s="280"/>
      <c r="AE29" s="280"/>
      <c r="AF29" s="280"/>
      <c r="AG29" s="280"/>
    </row>
    <row r="30" s="417" customFormat="1" ht="16.5" customHeight="1" spans="1:33">
      <c r="A30" s="1397"/>
      <c r="B30" s="2619" t="s">
        <v>240</v>
      </c>
      <c r="C30" s="2620" t="s">
        <v>159</v>
      </c>
      <c r="D30" s="2620"/>
      <c r="E30" s="2620"/>
      <c r="F30" s="2620" t="s">
        <v>241</v>
      </c>
      <c r="H30" s="879"/>
      <c r="I30" s="349"/>
      <c r="J30" s="2653">
        <v>400000</v>
      </c>
      <c r="K30" s="2653"/>
      <c r="L30" s="2653">
        <v>400000</v>
      </c>
      <c r="M30" s="2653"/>
      <c r="N30" s="1993"/>
      <c r="O30" s="2653">
        <v>400000</v>
      </c>
      <c r="P30" s="380"/>
      <c r="Q30" s="380"/>
      <c r="R30" s="364"/>
      <c r="S30" s="2111"/>
      <c r="T30" s="2111"/>
      <c r="U30" s="2620" t="s">
        <v>239</v>
      </c>
      <c r="V30" s="280"/>
      <c r="W30" s="280"/>
      <c r="X30" s="280"/>
      <c r="Y30" s="280"/>
      <c r="Z30" s="280"/>
      <c r="AA30" s="280"/>
      <c r="AB30" s="280"/>
      <c r="AC30" s="280"/>
      <c r="AD30" s="280"/>
      <c r="AE30" s="280"/>
      <c r="AF30" s="280"/>
      <c r="AG30" s="280"/>
    </row>
    <row r="31" s="23" customFormat="1" ht="18" spans="1:33">
      <c r="A31" s="1946" t="s">
        <v>42</v>
      </c>
      <c r="B31" s="2550" t="s">
        <v>165</v>
      </c>
      <c r="C31" s="1946" t="s">
        <v>198</v>
      </c>
      <c r="D31" s="2621" t="s">
        <v>203</v>
      </c>
      <c r="E31" s="1946"/>
      <c r="F31" s="1946"/>
      <c r="G31" s="2406" t="s">
        <v>242</v>
      </c>
      <c r="H31" s="2408"/>
      <c r="I31" s="2654"/>
      <c r="J31" s="2643">
        <v>550000</v>
      </c>
      <c r="K31" s="2643">
        <v>550000</v>
      </c>
      <c r="L31" s="2643"/>
      <c r="M31" s="2643"/>
      <c r="N31" s="2420"/>
      <c r="O31" s="2272"/>
      <c r="P31" s="2272"/>
      <c r="Q31" s="2421"/>
      <c r="R31" s="2356"/>
      <c r="S31" s="2356"/>
      <c r="T31" s="2674"/>
      <c r="U31" s="1946"/>
      <c r="V31" s="1946"/>
      <c r="W31" s="1946"/>
      <c r="X31" s="1946"/>
      <c r="Y31" s="1946"/>
      <c r="Z31" s="1946"/>
      <c r="AA31" s="1946"/>
      <c r="AB31" s="1946"/>
      <c r="AC31" s="1946"/>
      <c r="AD31" s="1946"/>
      <c r="AE31" s="1946"/>
      <c r="AF31" s="1946"/>
      <c r="AG31" s="1946"/>
    </row>
    <row r="32" ht="18" customHeight="1" spans="1:33">
      <c r="A32" s="2011" t="s">
        <v>29</v>
      </c>
      <c r="B32" s="2550" t="s">
        <v>167</v>
      </c>
      <c r="C32" s="1946"/>
      <c r="D32" s="2621"/>
      <c r="E32" s="1946"/>
      <c r="F32" s="1946"/>
      <c r="G32" s="2636"/>
      <c r="H32" s="2408"/>
      <c r="I32" s="2177">
        <v>32412</v>
      </c>
      <c r="J32" s="1984">
        <f>I32*N35</f>
        <v>213595.08</v>
      </c>
      <c r="K32" s="1984">
        <f>I32*6.59</f>
        <v>213595.08</v>
      </c>
      <c r="L32" s="1984"/>
      <c r="M32" s="1984"/>
      <c r="N32" s="2508">
        <v>6.59</v>
      </c>
      <c r="O32" s="73"/>
      <c r="P32" s="2097"/>
      <c r="Q32" s="2539"/>
      <c r="R32" s="2540"/>
      <c r="S32" s="2540"/>
      <c r="T32" s="2548"/>
      <c r="U32" s="2020"/>
      <c r="V32" s="2020"/>
      <c r="W32" s="2020"/>
      <c r="X32" s="2020"/>
      <c r="Y32" s="2020"/>
      <c r="Z32" s="2020"/>
      <c r="AA32" s="2020"/>
      <c r="AB32" s="2020"/>
      <c r="AC32" s="2020"/>
      <c r="AD32" s="2020"/>
      <c r="AE32" s="2020"/>
      <c r="AF32" s="2020"/>
      <c r="AG32" s="2020"/>
    </row>
    <row r="33" ht="16.5" spans="1:33">
      <c r="A33" s="2011"/>
      <c r="B33" s="2675" t="s">
        <v>169</v>
      </c>
      <c r="C33" s="2133"/>
      <c r="D33" s="2676"/>
      <c r="E33" s="2131"/>
      <c r="F33" s="2131"/>
      <c r="G33" s="2676"/>
      <c r="H33" s="2406"/>
      <c r="I33" s="2694">
        <v>14695</v>
      </c>
      <c r="J33" s="1984">
        <f>I33*N35</f>
        <v>96840.05</v>
      </c>
      <c r="K33" s="1984">
        <f>I33*6.59</f>
        <v>96840.05</v>
      </c>
      <c r="L33" s="1984"/>
      <c r="M33" s="1984"/>
      <c r="N33" s="2581"/>
      <c r="O33" s="73"/>
      <c r="P33" s="2541"/>
      <c r="Q33" s="2542"/>
      <c r="R33" s="2540"/>
      <c r="S33" s="2540"/>
      <c r="T33" s="2548"/>
      <c r="U33" s="2020"/>
      <c r="V33" s="2020"/>
      <c r="W33" s="2020"/>
      <c r="X33" s="2020"/>
      <c r="Y33" s="2020"/>
      <c r="Z33" s="2020"/>
      <c r="AA33" s="2020"/>
      <c r="AB33" s="2020"/>
      <c r="AC33" s="2020"/>
      <c r="AD33" s="2020"/>
      <c r="AE33" s="2020"/>
      <c r="AF33" s="2020"/>
      <c r="AG33" s="2020"/>
    </row>
    <row r="34" ht="16.5" spans="1:33">
      <c r="A34" s="2011"/>
      <c r="B34" s="2675" t="s">
        <v>168</v>
      </c>
      <c r="C34" s="2133"/>
      <c r="D34" s="2676"/>
      <c r="E34" s="2131"/>
      <c r="F34" s="2131"/>
      <c r="G34" s="2676"/>
      <c r="H34" s="2406"/>
      <c r="I34" s="2177">
        <v>11690</v>
      </c>
      <c r="J34" s="1984">
        <f>I34*N35</f>
        <v>77037.1</v>
      </c>
      <c r="K34" s="1984">
        <f>I34*6.59</f>
        <v>77037.1</v>
      </c>
      <c r="L34" s="1984"/>
      <c r="M34" s="1984"/>
      <c r="N34" s="2581"/>
      <c r="O34" s="73"/>
      <c r="P34" s="2541"/>
      <c r="Q34" s="2542"/>
      <c r="R34" s="2540"/>
      <c r="S34" s="2540"/>
      <c r="T34" s="2548"/>
      <c r="U34" s="2020"/>
      <c r="V34" s="2020"/>
      <c r="W34" s="2020"/>
      <c r="X34" s="2020"/>
      <c r="Y34" s="2020"/>
      <c r="Z34" s="2020"/>
      <c r="AA34" s="2020"/>
      <c r="AB34" s="2020"/>
      <c r="AC34" s="2020"/>
      <c r="AD34" s="2020"/>
      <c r="AE34" s="2020"/>
      <c r="AF34" s="2020"/>
      <c r="AG34" s="2020"/>
    </row>
    <row r="35" ht="16.5" spans="1:33">
      <c r="A35" s="2011"/>
      <c r="B35" s="2559" t="s">
        <v>243</v>
      </c>
      <c r="C35" s="2560"/>
      <c r="D35" s="2677"/>
      <c r="E35" s="2684"/>
      <c r="F35" s="2684"/>
      <c r="G35" s="2677"/>
      <c r="H35" s="2685"/>
      <c r="I35" s="1998">
        <v>25751</v>
      </c>
      <c r="J35" s="1986">
        <f>N35*I35</f>
        <v>169699.09</v>
      </c>
      <c r="K35" s="2501">
        <f>I35*6.59</f>
        <v>169699.09</v>
      </c>
      <c r="L35" s="2501"/>
      <c r="M35" s="2501"/>
      <c r="N35" s="2658">
        <v>6.59</v>
      </c>
      <c r="O35" s="2579"/>
      <c r="P35" s="2659"/>
      <c r="Q35" s="2542"/>
      <c r="R35" s="2540"/>
      <c r="S35" s="2540"/>
      <c r="T35" s="2548"/>
      <c r="U35" s="2020"/>
      <c r="V35" s="2020"/>
      <c r="W35" s="2020"/>
      <c r="X35" s="2020"/>
      <c r="Y35" s="2020"/>
      <c r="Z35" s="2020"/>
      <c r="AA35" s="2020"/>
      <c r="AB35" s="2020"/>
      <c r="AC35" s="2020"/>
      <c r="AD35" s="2020"/>
      <c r="AE35" s="2020"/>
      <c r="AF35" s="2020"/>
      <c r="AG35" s="2020"/>
    </row>
    <row r="36" ht="16.5" spans="1:33">
      <c r="A36" s="2011"/>
      <c r="B36" s="2678" t="s">
        <v>97</v>
      </c>
      <c r="C36" s="2226"/>
      <c r="D36" s="2679"/>
      <c r="E36" s="2686"/>
      <c r="F36" s="2686"/>
      <c r="G36" s="2679"/>
      <c r="H36" s="2687"/>
      <c r="I36" s="2695">
        <v>7813</v>
      </c>
      <c r="J36" s="2696">
        <f>I36*N35</f>
        <v>51487.67</v>
      </c>
      <c r="K36" s="2579"/>
      <c r="L36" s="2579">
        <f>I36*6.59</f>
        <v>51487.67</v>
      </c>
      <c r="M36" s="2579"/>
      <c r="N36" s="2658"/>
      <c r="O36" s="2579"/>
      <c r="P36" s="2659"/>
      <c r="Q36" s="2542"/>
      <c r="R36" s="2540"/>
      <c r="S36" s="2540"/>
      <c r="T36" s="2548"/>
      <c r="U36" s="2020" t="s">
        <v>244</v>
      </c>
      <c r="V36" s="2020"/>
      <c r="W36" s="2020"/>
      <c r="X36" s="2020"/>
      <c r="Y36" s="2020"/>
      <c r="Z36" s="2020"/>
      <c r="AA36" s="2020"/>
      <c r="AB36" s="2020"/>
      <c r="AC36" s="2020"/>
      <c r="AD36" s="2020"/>
      <c r="AE36" s="2020"/>
      <c r="AF36" s="2020"/>
      <c r="AG36" s="2020"/>
    </row>
    <row r="37" ht="16.5" spans="1:33">
      <c r="A37" s="2011"/>
      <c r="B37" s="2559" t="s">
        <v>166</v>
      </c>
      <c r="C37" s="2560"/>
      <c r="D37" s="2677"/>
      <c r="E37" s="2684"/>
      <c r="F37" s="2684"/>
      <c r="G37" s="2677"/>
      <c r="H37" s="2685"/>
      <c r="I37" s="1998">
        <v>20098</v>
      </c>
      <c r="J37" s="1986">
        <f>I37*N35</f>
        <v>132445.82</v>
      </c>
      <c r="K37" s="2501">
        <f>I37*6.59</f>
        <v>132445.82</v>
      </c>
      <c r="L37" s="2501"/>
      <c r="M37" s="2501"/>
      <c r="N37" s="2658"/>
      <c r="O37" s="2579"/>
      <c r="P37" s="2659"/>
      <c r="Q37" s="2542"/>
      <c r="R37" s="2540"/>
      <c r="S37" s="2540"/>
      <c r="T37" s="2548"/>
      <c r="U37" s="2020"/>
      <c r="V37" s="2020"/>
      <c r="W37" s="2020"/>
      <c r="X37" s="2020"/>
      <c r="Y37" s="2020"/>
      <c r="Z37" s="2020"/>
      <c r="AA37" s="2020"/>
      <c r="AB37" s="2020"/>
      <c r="AC37" s="2020"/>
      <c r="AD37" s="2020"/>
      <c r="AE37" s="2020"/>
      <c r="AF37" s="2020"/>
      <c r="AG37" s="2020"/>
    </row>
    <row r="38" ht="16.5" spans="1:33">
      <c r="A38" s="2472" t="s">
        <v>245</v>
      </c>
      <c r="B38" s="2559" t="s">
        <v>112</v>
      </c>
      <c r="C38" s="2008" t="s">
        <v>198</v>
      </c>
      <c r="D38" s="2560" t="s">
        <v>203</v>
      </c>
      <c r="E38" s="2560"/>
      <c r="F38" s="2560"/>
      <c r="G38" s="2560"/>
      <c r="H38" s="2230"/>
      <c r="I38" s="1998"/>
      <c r="J38" s="1975">
        <v>116000</v>
      </c>
      <c r="K38" s="2697">
        <v>116000</v>
      </c>
      <c r="L38" s="2697"/>
      <c r="M38" s="2697"/>
      <c r="N38" s="2578"/>
      <c r="O38" s="2579"/>
      <c r="P38" s="2579"/>
      <c r="Q38" s="2668"/>
      <c r="R38" s="2544"/>
      <c r="S38" s="2540"/>
      <c r="T38" s="2548"/>
      <c r="U38" s="2020"/>
      <c r="V38" s="2020"/>
      <c r="W38" s="2020"/>
      <c r="X38" s="2020"/>
      <c r="Y38" s="2020"/>
      <c r="Z38" s="2020"/>
      <c r="AA38" s="2020"/>
      <c r="AB38" s="2020"/>
      <c r="AC38" s="2020"/>
      <c r="AD38" s="2020"/>
      <c r="AE38" s="2020"/>
      <c r="AF38" s="2020"/>
      <c r="AG38" s="2020"/>
    </row>
    <row r="39" ht="16.5" spans="1:33">
      <c r="A39" s="2472"/>
      <c r="B39" s="2675" t="s">
        <v>175</v>
      </c>
      <c r="C39" s="1946" t="s">
        <v>198</v>
      </c>
      <c r="D39" s="2133" t="s">
        <v>203</v>
      </c>
      <c r="E39" s="2133"/>
      <c r="F39" s="2133"/>
      <c r="G39" s="2133"/>
      <c r="H39" s="245"/>
      <c r="I39" s="2177"/>
      <c r="J39" s="2698">
        <v>190000</v>
      </c>
      <c r="K39" s="2697">
        <v>190000</v>
      </c>
      <c r="L39" s="2697"/>
      <c r="M39" s="2697"/>
      <c r="N39" s="2578"/>
      <c r="O39" s="2579"/>
      <c r="P39" s="2579"/>
      <c r="Q39" s="2668"/>
      <c r="R39" s="2544"/>
      <c r="S39" s="2540"/>
      <c r="T39" s="2548"/>
      <c r="U39" s="2020"/>
      <c r="V39" s="2020"/>
      <c r="W39" s="2020"/>
      <c r="X39" s="2020"/>
      <c r="Y39" s="2020"/>
      <c r="Z39" s="2020"/>
      <c r="AA39" s="2020"/>
      <c r="AB39" s="2020"/>
      <c r="AC39" s="2020"/>
      <c r="AD39" s="2020"/>
      <c r="AE39" s="2020"/>
      <c r="AF39" s="2020"/>
      <c r="AG39" s="2020"/>
    </row>
    <row r="40" ht="16.5" spans="1:33">
      <c r="A40" s="2472"/>
      <c r="B40" s="2675" t="s">
        <v>246</v>
      </c>
      <c r="C40" s="1946" t="s">
        <v>210</v>
      </c>
      <c r="D40" s="2133" t="s">
        <v>203</v>
      </c>
      <c r="E40" s="2133"/>
      <c r="F40" s="2133"/>
      <c r="G40" s="2133"/>
      <c r="H40" s="245"/>
      <c r="I40" s="2177"/>
      <c r="J40" s="2698">
        <v>100000</v>
      </c>
      <c r="K40" s="2697">
        <v>100000</v>
      </c>
      <c r="L40" s="2697"/>
      <c r="M40" s="2697"/>
      <c r="N40" s="2578"/>
      <c r="O40" s="2579"/>
      <c r="P40" s="2579"/>
      <c r="Q40" s="2668"/>
      <c r="R40" s="2544"/>
      <c r="S40" s="2540"/>
      <c r="T40" s="2548"/>
      <c r="U40" s="2020"/>
      <c r="V40" s="2020"/>
      <c r="W40" s="2020"/>
      <c r="X40" s="2020"/>
      <c r="Y40" s="2020"/>
      <c r="Z40" s="2020"/>
      <c r="AA40" s="2020"/>
      <c r="AB40" s="2020"/>
      <c r="AC40" s="2020"/>
      <c r="AD40" s="2020"/>
      <c r="AE40" s="2020"/>
      <c r="AF40" s="2020"/>
      <c r="AG40" s="2020"/>
    </row>
    <row r="41" ht="16.5" spans="1:33">
      <c r="A41" s="2472"/>
      <c r="B41" s="2675" t="s">
        <v>247</v>
      </c>
      <c r="C41" s="2465" t="s">
        <v>248</v>
      </c>
      <c r="D41" s="2560" t="s">
        <v>203</v>
      </c>
      <c r="E41" s="2560"/>
      <c r="F41" s="2560"/>
      <c r="G41" s="2465"/>
      <c r="H41" s="2688"/>
      <c r="I41" s="2699"/>
      <c r="J41" s="2697">
        <v>250000</v>
      </c>
      <c r="K41" s="2697">
        <v>250000</v>
      </c>
      <c r="L41" s="2697"/>
      <c r="M41" s="2697"/>
      <c r="N41" s="2578"/>
      <c r="O41" s="2579"/>
      <c r="P41" s="2579"/>
      <c r="Q41" s="2668"/>
      <c r="R41" s="2544"/>
      <c r="S41" s="2540"/>
      <c r="T41" s="2548"/>
      <c r="U41" s="2020"/>
      <c r="V41" s="2020"/>
      <c r="W41" s="2020"/>
      <c r="X41" s="2020"/>
      <c r="Y41" s="2020"/>
      <c r="Z41" s="2020"/>
      <c r="AA41" s="2020"/>
      <c r="AB41" s="2020"/>
      <c r="AC41" s="2020"/>
      <c r="AD41" s="2020"/>
      <c r="AE41" s="2020"/>
      <c r="AF41" s="2020"/>
      <c r="AG41" s="2020"/>
    </row>
    <row r="42" ht="16.5" customHeight="1" spans="1:33">
      <c r="A42" s="2472"/>
      <c r="B42" s="2680" t="s">
        <v>249</v>
      </c>
      <c r="C42" s="1946" t="s">
        <v>198</v>
      </c>
      <c r="D42" s="2621" t="s">
        <v>250</v>
      </c>
      <c r="E42" s="2676" t="s">
        <v>251</v>
      </c>
      <c r="F42" s="2133"/>
      <c r="G42" s="2689" t="s">
        <v>252</v>
      </c>
      <c r="H42" s="2690"/>
      <c r="I42" s="2700"/>
      <c r="J42" s="2577">
        <v>90000</v>
      </c>
      <c r="K42" s="2577"/>
      <c r="L42" s="2577"/>
      <c r="M42" s="2577">
        <v>90000</v>
      </c>
      <c r="N42" s="2578"/>
      <c r="O42" s="2579"/>
      <c r="P42" s="2579"/>
      <c r="Q42" s="2539"/>
      <c r="R42" s="2555"/>
      <c r="S42" s="2713">
        <v>44191</v>
      </c>
      <c r="T42" s="2568"/>
      <c r="U42" s="2011"/>
      <c r="V42" s="2011"/>
      <c r="W42" s="2011"/>
      <c r="X42" s="2011"/>
      <c r="Y42" s="2011"/>
      <c r="Z42" s="2011"/>
      <c r="AA42" s="2011"/>
      <c r="AB42" s="2011"/>
      <c r="AC42" s="2011"/>
      <c r="AD42" s="2011"/>
      <c r="AE42" s="2011"/>
      <c r="AF42" s="2011"/>
      <c r="AG42" s="2011"/>
    </row>
    <row r="43" ht="16.5" spans="1:33">
      <c r="A43" s="2472"/>
      <c r="B43" s="2680" t="s">
        <v>249</v>
      </c>
      <c r="C43" s="1946"/>
      <c r="D43" s="2621" t="s">
        <v>253</v>
      </c>
      <c r="E43" s="2676" t="s">
        <v>254</v>
      </c>
      <c r="F43" s="2133"/>
      <c r="G43" s="2689" t="s">
        <v>255</v>
      </c>
      <c r="H43" s="2690">
        <v>25</v>
      </c>
      <c r="I43" s="2700"/>
      <c r="J43" s="2577">
        <v>60000</v>
      </c>
      <c r="K43" s="2577"/>
      <c r="L43" s="2577"/>
      <c r="M43" s="2577">
        <v>60000</v>
      </c>
      <c r="N43" s="2578"/>
      <c r="O43" s="2579"/>
      <c r="P43" s="2579"/>
      <c r="Q43" s="2539"/>
      <c r="R43" s="2555"/>
      <c r="S43" s="2713">
        <v>44193</v>
      </c>
      <c r="T43" s="2568"/>
      <c r="U43" s="2011"/>
      <c r="V43" s="2011"/>
      <c r="W43" s="2011"/>
      <c r="X43" s="2011"/>
      <c r="Y43" s="2011"/>
      <c r="Z43" s="2011"/>
      <c r="AA43" s="2011"/>
      <c r="AB43" s="2011"/>
      <c r="AC43" s="2011"/>
      <c r="AD43" s="2011"/>
      <c r="AE43" s="2011"/>
      <c r="AF43" s="2011"/>
      <c r="AG43" s="2011"/>
    </row>
    <row r="44" ht="16.5" spans="1:33">
      <c r="A44" s="2472"/>
      <c r="B44" s="2675" t="s">
        <v>256</v>
      </c>
      <c r="C44" s="2465" t="s">
        <v>248</v>
      </c>
      <c r="D44" s="2128"/>
      <c r="E44" s="2676"/>
      <c r="F44" s="2133"/>
      <c r="G44" s="2689" t="s">
        <v>203</v>
      </c>
      <c r="H44" s="2690">
        <v>87</v>
      </c>
      <c r="I44" s="2700"/>
      <c r="J44" s="2577">
        <v>207000</v>
      </c>
      <c r="K44" s="2577">
        <v>207000</v>
      </c>
      <c r="L44" s="2577"/>
      <c r="M44" s="2577"/>
      <c r="N44" s="2578"/>
      <c r="O44" s="2579"/>
      <c r="P44" s="2579"/>
      <c r="Q44" s="2539"/>
      <c r="R44" s="2555"/>
      <c r="S44" s="2713"/>
      <c r="T44" s="2568"/>
      <c r="U44" s="2011"/>
      <c r="V44" s="2011"/>
      <c r="W44" s="2011"/>
      <c r="X44" s="2011"/>
      <c r="Y44" s="2011"/>
      <c r="Z44" s="2011"/>
      <c r="AA44" s="2011"/>
      <c r="AB44" s="2011"/>
      <c r="AC44" s="2011"/>
      <c r="AD44" s="2011"/>
      <c r="AE44" s="2011"/>
      <c r="AF44" s="2011"/>
      <c r="AG44" s="2011"/>
    </row>
    <row r="45" ht="16.5" customHeight="1" spans="1:33">
      <c r="A45" s="2469" t="s">
        <v>67</v>
      </c>
      <c r="B45" s="2469"/>
      <c r="C45" s="2039"/>
      <c r="D45" s="2077" t="s">
        <v>114</v>
      </c>
      <c r="E45" s="2077"/>
      <c r="F45" s="2077"/>
      <c r="G45" s="2040"/>
      <c r="H45" s="2048"/>
      <c r="I45" s="2049"/>
      <c r="J45" s="2701">
        <f>SUM(J31:J44)</f>
        <v>2304104.81</v>
      </c>
      <c r="K45" s="2701">
        <f>SUM(K24:K44)</f>
        <v>2912617.14</v>
      </c>
      <c r="L45" s="2701">
        <f>SUM(L24:L44)</f>
        <v>701487.67</v>
      </c>
      <c r="M45" s="2701">
        <f>SUM(M24:M44)</f>
        <v>150000</v>
      </c>
      <c r="N45" s="2708" t="s">
        <v>257</v>
      </c>
      <c r="O45" s="2050">
        <v>248905</v>
      </c>
      <c r="P45" s="2067">
        <v>0</v>
      </c>
      <c r="Q45" s="2068">
        <v>0</v>
      </c>
      <c r="R45" s="474"/>
      <c r="S45" s="474"/>
      <c r="T45" s="474"/>
      <c r="U45" s="2011"/>
      <c r="V45" s="2011"/>
      <c r="W45" s="2011"/>
      <c r="X45" s="2011"/>
      <c r="Y45" s="2011"/>
      <c r="Z45" s="2011"/>
      <c r="AA45" s="2011"/>
      <c r="AB45" s="2011"/>
      <c r="AC45" s="2011"/>
      <c r="AD45" s="2011"/>
      <c r="AE45" s="2011"/>
      <c r="AF45" s="2011"/>
      <c r="AG45" s="2011"/>
    </row>
    <row r="46" ht="16.5" spans="1:33">
      <c r="A46" s="2011" t="s">
        <v>115</v>
      </c>
      <c r="B46" s="2133" t="s">
        <v>183</v>
      </c>
      <c r="C46" s="2465" t="s">
        <v>198</v>
      </c>
      <c r="D46" s="2681"/>
      <c r="E46" s="2475"/>
      <c r="F46" s="2475"/>
      <c r="G46" s="2691"/>
      <c r="H46" s="2550"/>
      <c r="I46" s="2694">
        <v>32892</v>
      </c>
      <c r="J46" s="2702">
        <v>215442.6</v>
      </c>
      <c r="K46" s="2702">
        <v>215442.6</v>
      </c>
      <c r="L46" s="2703"/>
      <c r="M46" s="2703"/>
      <c r="N46" s="2599">
        <v>6.55</v>
      </c>
      <c r="O46" s="2709"/>
      <c r="P46" s="2064"/>
      <c r="Q46" s="2714"/>
      <c r="R46" s="2017"/>
      <c r="S46" s="2017"/>
      <c r="T46" s="2020"/>
      <c r="U46" s="2020" t="s">
        <v>228</v>
      </c>
      <c r="V46" s="2020"/>
      <c r="W46" s="2020"/>
      <c r="X46" s="2020"/>
      <c r="Y46" s="2020"/>
      <c r="Z46" s="2020"/>
      <c r="AA46" s="2020"/>
      <c r="AB46" s="2020"/>
      <c r="AC46" s="2020"/>
      <c r="AD46" s="2020"/>
      <c r="AE46" s="2020"/>
      <c r="AF46" s="2020"/>
      <c r="AG46" s="2020"/>
    </row>
    <row r="47" ht="16.5" spans="1:33">
      <c r="A47" s="2011" t="s">
        <v>115</v>
      </c>
      <c r="B47" s="2133" t="s">
        <v>183</v>
      </c>
      <c r="C47" s="2465" t="s">
        <v>198</v>
      </c>
      <c r="D47" s="2681"/>
      <c r="E47" s="2475"/>
      <c r="F47" s="2475"/>
      <c r="G47" s="2691"/>
      <c r="H47" s="2604"/>
      <c r="I47" s="2694">
        <v>33600</v>
      </c>
      <c r="J47" s="2702">
        <v>220080</v>
      </c>
      <c r="K47" s="2702">
        <v>220080</v>
      </c>
      <c r="L47" s="2703"/>
      <c r="M47" s="2703"/>
      <c r="N47" s="2599">
        <v>6.55</v>
      </c>
      <c r="O47" s="2710"/>
      <c r="P47" s="2064"/>
      <c r="Q47" s="2714"/>
      <c r="R47" s="2017"/>
      <c r="S47" s="2017"/>
      <c r="T47" s="2020"/>
      <c r="U47" s="2020" t="s">
        <v>228</v>
      </c>
      <c r="V47" s="2020"/>
      <c r="W47" s="2020"/>
      <c r="X47" s="2020"/>
      <c r="Y47" s="2020"/>
      <c r="Z47" s="2020"/>
      <c r="AA47" s="2020"/>
      <c r="AB47" s="2020"/>
      <c r="AC47" s="2020"/>
      <c r="AD47" s="2020"/>
      <c r="AE47" s="2020"/>
      <c r="AF47" s="2020"/>
      <c r="AG47" s="2020"/>
    </row>
    <row r="48" ht="16.5" spans="1:33">
      <c r="A48" s="2011" t="s">
        <v>115</v>
      </c>
      <c r="B48" s="677" t="s">
        <v>258</v>
      </c>
      <c r="C48" s="2465" t="s">
        <v>198</v>
      </c>
      <c r="D48" s="2681"/>
      <c r="E48" s="2475"/>
      <c r="F48" s="2475"/>
      <c r="G48" s="2691"/>
      <c r="H48" s="2604"/>
      <c r="I48" s="2694">
        <v>36080</v>
      </c>
      <c r="J48" s="2702">
        <v>236324</v>
      </c>
      <c r="K48" s="2702">
        <v>236324</v>
      </c>
      <c r="L48" s="2703"/>
      <c r="M48" s="2703"/>
      <c r="N48" s="2599">
        <v>6.55</v>
      </c>
      <c r="O48" s="2064"/>
      <c r="P48" s="2064"/>
      <c r="Q48" s="2714"/>
      <c r="R48" s="2017"/>
      <c r="S48" s="2017"/>
      <c r="T48" s="2020"/>
      <c r="U48" s="2020" t="s">
        <v>228</v>
      </c>
      <c r="V48" s="2020"/>
      <c r="W48" s="2020"/>
      <c r="X48" s="2020"/>
      <c r="Y48" s="2020"/>
      <c r="Z48" s="2020"/>
      <c r="AA48" s="2020"/>
      <c r="AB48" s="2020"/>
      <c r="AC48" s="2020"/>
      <c r="AD48" s="2020"/>
      <c r="AE48" s="2020"/>
      <c r="AF48" s="2020"/>
      <c r="AG48" s="2020"/>
    </row>
    <row r="49" ht="16.5" spans="1:33">
      <c r="A49" s="2035" t="s">
        <v>115</v>
      </c>
      <c r="B49" s="677" t="s">
        <v>259</v>
      </c>
      <c r="C49" s="2465" t="s">
        <v>198</v>
      </c>
      <c r="D49" s="2681"/>
      <c r="E49" s="2475"/>
      <c r="F49" s="2475"/>
      <c r="G49" s="2133"/>
      <c r="H49" s="2604"/>
      <c r="I49" s="2694">
        <v>91834</v>
      </c>
      <c r="J49" s="2702">
        <v>601512.7</v>
      </c>
      <c r="K49" s="2702">
        <v>601512.7</v>
      </c>
      <c r="L49" s="2703"/>
      <c r="M49" s="2703"/>
      <c r="N49" s="2599">
        <v>6.55</v>
      </c>
      <c r="O49" s="2064"/>
      <c r="P49" s="2064"/>
      <c r="Q49" s="2714"/>
      <c r="R49" s="2017"/>
      <c r="S49" s="2017"/>
      <c r="T49" s="2020"/>
      <c r="U49" s="2020" t="s">
        <v>228</v>
      </c>
      <c r="V49" s="2020"/>
      <c r="W49" s="2020"/>
      <c r="X49" s="2020"/>
      <c r="Y49" s="2020"/>
      <c r="Z49" s="2020"/>
      <c r="AA49" s="2020"/>
      <c r="AB49" s="2020"/>
      <c r="AC49" s="2020"/>
      <c r="AD49" s="2020"/>
      <c r="AE49" s="2020"/>
      <c r="AF49" s="2020"/>
      <c r="AG49" s="2020"/>
    </row>
    <row r="50" ht="16.5" spans="1:33">
      <c r="A50" s="2391" t="s">
        <v>115</v>
      </c>
      <c r="B50" s="677" t="s">
        <v>260</v>
      </c>
      <c r="C50" s="2465" t="s">
        <v>198</v>
      </c>
      <c r="D50" s="2084"/>
      <c r="E50" s="2099"/>
      <c r="F50" s="2099"/>
      <c r="G50" s="2692"/>
      <c r="H50" s="2085"/>
      <c r="I50" s="2694">
        <v>34505</v>
      </c>
      <c r="J50" s="2702">
        <v>226007.75</v>
      </c>
      <c r="K50" s="2702">
        <v>226007.75</v>
      </c>
      <c r="L50" s="2704"/>
      <c r="M50" s="2704"/>
      <c r="N50" s="2711">
        <v>6.55</v>
      </c>
      <c r="O50" s="2712"/>
      <c r="P50" s="2712"/>
      <c r="Q50" s="2715"/>
      <c r="R50" s="2716"/>
      <c r="S50" s="2716"/>
      <c r="T50" s="2253"/>
      <c r="U50" s="2020" t="s">
        <v>228</v>
      </c>
      <c r="V50" s="2253"/>
      <c r="W50" s="2253"/>
      <c r="X50" s="2253"/>
      <c r="Y50" s="2253"/>
      <c r="Z50" s="2253"/>
      <c r="AA50" s="2253"/>
      <c r="AB50" s="2253"/>
      <c r="AC50" s="2253"/>
      <c r="AD50" s="2253"/>
      <c r="AE50" s="2253"/>
      <c r="AF50" s="2253"/>
      <c r="AG50" s="2253"/>
    </row>
    <row r="51" s="259" customFormat="1" ht="16.5" spans="1:33">
      <c r="A51" s="2391" t="s">
        <v>115</v>
      </c>
      <c r="B51" s="1959" t="s">
        <v>261</v>
      </c>
      <c r="C51" s="2361" t="s">
        <v>198</v>
      </c>
      <c r="D51" s="1959"/>
      <c r="E51" s="2020"/>
      <c r="F51" s="2020"/>
      <c r="G51" s="2485"/>
      <c r="H51" s="2020"/>
      <c r="I51" s="2243">
        <v>25214</v>
      </c>
      <c r="J51" s="2705">
        <v>165151.7</v>
      </c>
      <c r="K51" s="2705">
        <v>165151.7</v>
      </c>
      <c r="L51" s="2706"/>
      <c r="M51" s="2706"/>
      <c r="N51" s="2508"/>
      <c r="O51" s="2326"/>
      <c r="P51" s="2326"/>
      <c r="Q51" s="2717"/>
      <c r="R51" s="2017"/>
      <c r="S51" s="2017"/>
      <c r="T51" s="2020"/>
      <c r="U51" s="2020"/>
      <c r="V51" s="2020"/>
      <c r="W51" s="2020"/>
      <c r="X51" s="2020"/>
      <c r="Y51" s="2020"/>
      <c r="Z51" s="2020"/>
      <c r="AA51" s="2020"/>
      <c r="AB51" s="2020"/>
      <c r="AC51" s="2020"/>
      <c r="AD51" s="2020"/>
      <c r="AE51" s="2020"/>
      <c r="AF51" s="2020"/>
      <c r="AG51" s="2020"/>
    </row>
    <row r="52" s="259" customFormat="1" ht="16.5" spans="1:33">
      <c r="A52" s="2391" t="s">
        <v>115</v>
      </c>
      <c r="B52" s="1959" t="s">
        <v>262</v>
      </c>
      <c r="C52" s="2361" t="s">
        <v>198</v>
      </c>
      <c r="D52" s="1959"/>
      <c r="E52" s="2020"/>
      <c r="F52" s="2020"/>
      <c r="G52" s="2485"/>
      <c r="H52" s="2020"/>
      <c r="I52" s="2243">
        <v>81777</v>
      </c>
      <c r="J52" s="2705">
        <v>535639.35</v>
      </c>
      <c r="K52" s="2705">
        <v>535639.35</v>
      </c>
      <c r="L52" s="2706"/>
      <c r="M52" s="2706"/>
      <c r="N52" s="2508"/>
      <c r="O52" s="2326"/>
      <c r="P52" s="2326"/>
      <c r="Q52" s="2717"/>
      <c r="R52" s="2017"/>
      <c r="S52" s="2017"/>
      <c r="T52" s="2020"/>
      <c r="U52" s="2020"/>
      <c r="V52" s="2020"/>
      <c r="W52" s="2020"/>
      <c r="X52" s="2020"/>
      <c r="Y52" s="2020"/>
      <c r="Z52" s="2020"/>
      <c r="AA52" s="2020"/>
      <c r="AB52" s="2020"/>
      <c r="AC52" s="2020"/>
      <c r="AD52" s="2020"/>
      <c r="AE52" s="2020"/>
      <c r="AF52" s="2020"/>
      <c r="AG52" s="2020"/>
    </row>
    <row r="53" s="259" customFormat="1" ht="16.5" spans="1:33">
      <c r="A53" s="2391" t="s">
        <v>115</v>
      </c>
      <c r="B53" s="1959" t="s">
        <v>263</v>
      </c>
      <c r="C53" s="2682" t="s">
        <v>210</v>
      </c>
      <c r="D53" s="1959"/>
      <c r="E53" s="2020"/>
      <c r="F53" s="2020"/>
      <c r="G53" s="2485"/>
      <c r="H53" s="2020"/>
      <c r="I53" s="2243">
        <v>20457</v>
      </c>
      <c r="J53" s="2705">
        <v>133993.35</v>
      </c>
      <c r="K53" s="2705">
        <v>133993.35</v>
      </c>
      <c r="L53" s="2706"/>
      <c r="M53" s="2706"/>
      <c r="N53" s="2508"/>
      <c r="O53" s="2326"/>
      <c r="P53" s="2326"/>
      <c r="Q53" s="2717"/>
      <c r="R53" s="2017"/>
      <c r="S53" s="2017"/>
      <c r="T53" s="2020"/>
      <c r="U53" s="2020"/>
      <c r="V53" s="2020"/>
      <c r="W53" s="2020"/>
      <c r="X53" s="2020"/>
      <c r="Y53" s="2020"/>
      <c r="Z53" s="2020"/>
      <c r="AA53" s="2020"/>
      <c r="AB53" s="2020"/>
      <c r="AC53" s="2020"/>
      <c r="AD53" s="2020"/>
      <c r="AE53" s="2020"/>
      <c r="AF53" s="2020"/>
      <c r="AG53" s="2020"/>
    </row>
    <row r="54" s="259" customFormat="1" ht="16.5" spans="1:33">
      <c r="A54" s="2391" t="s">
        <v>115</v>
      </c>
      <c r="B54" s="724" t="s">
        <v>264</v>
      </c>
      <c r="C54" s="2682" t="s">
        <v>210</v>
      </c>
      <c r="D54" s="1959"/>
      <c r="E54" s="2020"/>
      <c r="F54" s="2020"/>
      <c r="G54" s="2485"/>
      <c r="H54" s="2020"/>
      <c r="I54" s="2250">
        <v>14940</v>
      </c>
      <c r="J54" s="2705">
        <v>97857</v>
      </c>
      <c r="K54" s="2705">
        <v>97857</v>
      </c>
      <c r="L54" s="2706"/>
      <c r="M54" s="2706"/>
      <c r="N54" s="2508"/>
      <c r="O54" s="2326"/>
      <c r="P54" s="2326"/>
      <c r="Q54" s="2717"/>
      <c r="R54" s="2017"/>
      <c r="S54" s="2017"/>
      <c r="T54" s="2020"/>
      <c r="U54" s="2020"/>
      <c r="V54" s="2020"/>
      <c r="W54" s="2020"/>
      <c r="X54" s="2020"/>
      <c r="Y54" s="2020"/>
      <c r="Z54" s="2020"/>
      <c r="AA54" s="2020"/>
      <c r="AB54" s="2020"/>
      <c r="AC54" s="2020"/>
      <c r="AD54" s="2020"/>
      <c r="AE54" s="2020"/>
      <c r="AF54" s="2020"/>
      <c r="AG54" s="2020"/>
    </row>
    <row r="55" s="259" customFormat="1" ht="16.5" spans="1:33">
      <c r="A55" s="2391" t="s">
        <v>115</v>
      </c>
      <c r="B55" s="1959" t="s">
        <v>265</v>
      </c>
      <c r="C55" s="2682" t="s">
        <v>210</v>
      </c>
      <c r="D55" s="1959"/>
      <c r="E55" s="2020"/>
      <c r="F55" s="2020"/>
      <c r="G55" s="2485"/>
      <c r="H55" s="2020"/>
      <c r="I55" s="2243">
        <v>16050</v>
      </c>
      <c r="J55" s="2705">
        <v>105127.5</v>
      </c>
      <c r="K55" s="2705">
        <v>105127.5</v>
      </c>
      <c r="L55" s="2706"/>
      <c r="M55" s="2706"/>
      <c r="N55" s="2508"/>
      <c r="O55" s="2326"/>
      <c r="P55" s="2326"/>
      <c r="Q55" s="2717"/>
      <c r="R55" s="2017"/>
      <c r="S55" s="2017"/>
      <c r="T55" s="2020"/>
      <c r="U55" s="2020"/>
      <c r="V55" s="2020"/>
      <c r="W55" s="2020"/>
      <c r="X55" s="2020"/>
      <c r="Y55" s="2020"/>
      <c r="Z55" s="2020"/>
      <c r="AA55" s="2020"/>
      <c r="AB55" s="2020"/>
      <c r="AC55" s="2020"/>
      <c r="AD55" s="2020"/>
      <c r="AE55" s="2020"/>
      <c r="AF55" s="2020"/>
      <c r="AG55" s="2020"/>
    </row>
    <row r="56" s="259" customFormat="1" ht="16.5" spans="1:33">
      <c r="A56" s="2391" t="s">
        <v>115</v>
      </c>
      <c r="B56" s="724" t="s">
        <v>266</v>
      </c>
      <c r="C56" s="2682" t="s">
        <v>210</v>
      </c>
      <c r="D56" s="1959"/>
      <c r="E56" s="2020"/>
      <c r="F56" s="2020"/>
      <c r="G56" s="2485"/>
      <c r="H56" s="2020"/>
      <c r="I56" s="2250">
        <v>12545</v>
      </c>
      <c r="J56" s="2705">
        <v>82169.75</v>
      </c>
      <c r="K56" s="2705">
        <v>82169.75</v>
      </c>
      <c r="L56" s="2706"/>
      <c r="M56" s="2706"/>
      <c r="N56" s="2508"/>
      <c r="O56" s="2326"/>
      <c r="P56" s="2326"/>
      <c r="Q56" s="2717"/>
      <c r="R56" s="2017"/>
      <c r="S56" s="2017"/>
      <c r="T56" s="2020"/>
      <c r="U56" s="2020"/>
      <c r="V56" s="2020"/>
      <c r="W56" s="2020"/>
      <c r="X56" s="2020"/>
      <c r="Y56" s="2020"/>
      <c r="Z56" s="2020"/>
      <c r="AA56" s="2020"/>
      <c r="AB56" s="2020"/>
      <c r="AC56" s="2020"/>
      <c r="AD56" s="2020"/>
      <c r="AE56" s="2020"/>
      <c r="AF56" s="2020"/>
      <c r="AG56" s="2020"/>
    </row>
    <row r="57" s="259" customFormat="1" ht="16.5" spans="1:33">
      <c r="A57" s="2391" t="s">
        <v>115</v>
      </c>
      <c r="B57" s="724" t="s">
        <v>267</v>
      </c>
      <c r="C57" s="2682" t="s">
        <v>198</v>
      </c>
      <c r="D57" s="1959"/>
      <c r="E57" s="2020"/>
      <c r="F57" s="2020"/>
      <c r="H57" s="2020"/>
      <c r="I57" s="2243">
        <v>20000</v>
      </c>
      <c r="J57" s="2705">
        <v>131000</v>
      </c>
      <c r="K57" s="2705">
        <v>131000</v>
      </c>
      <c r="L57" s="2706"/>
      <c r="M57" s="2706"/>
      <c r="N57" s="2508"/>
      <c r="O57" s="2326"/>
      <c r="P57" s="2326"/>
      <c r="Q57" s="2717"/>
      <c r="R57" s="2017"/>
      <c r="S57" s="2017"/>
      <c r="T57" s="2020"/>
      <c r="U57" s="2020"/>
      <c r="V57" s="2020"/>
      <c r="W57" s="2020"/>
      <c r="X57" s="2020"/>
      <c r="Y57" s="2020"/>
      <c r="Z57" s="2020"/>
      <c r="AA57" s="2020"/>
      <c r="AB57" s="2020"/>
      <c r="AC57" s="2020"/>
      <c r="AD57" s="2020"/>
      <c r="AE57" s="2020"/>
      <c r="AF57" s="2020"/>
      <c r="AG57" s="2020"/>
    </row>
    <row r="58" s="259" customFormat="1" ht="16.5" spans="1:33">
      <c r="A58" s="2391" t="s">
        <v>115</v>
      </c>
      <c r="B58" s="1959" t="s">
        <v>268</v>
      </c>
      <c r="C58" s="2682" t="s">
        <v>198</v>
      </c>
      <c r="D58" s="1959"/>
      <c r="E58" s="2020"/>
      <c r="F58" s="2020"/>
      <c r="G58" s="2485"/>
      <c r="H58" s="2020"/>
      <c r="I58" s="2243">
        <v>25214</v>
      </c>
      <c r="J58" s="2705">
        <v>165151.7</v>
      </c>
      <c r="K58" s="2705">
        <v>165151.7</v>
      </c>
      <c r="L58" s="2706"/>
      <c r="M58" s="2706"/>
      <c r="N58" s="2508"/>
      <c r="O58" s="2326"/>
      <c r="P58" s="2326"/>
      <c r="Q58" s="2717"/>
      <c r="R58" s="2017"/>
      <c r="S58" s="2017"/>
      <c r="T58" s="2020"/>
      <c r="U58" s="2020"/>
      <c r="V58" s="2020"/>
      <c r="W58" s="2020"/>
      <c r="X58" s="2020"/>
      <c r="Y58" s="2020"/>
      <c r="Z58" s="2020"/>
      <c r="AA58" s="2020"/>
      <c r="AB58" s="2020"/>
      <c r="AC58" s="2020"/>
      <c r="AD58" s="2020"/>
      <c r="AE58" s="2020"/>
      <c r="AF58" s="2020"/>
      <c r="AG58" s="2020"/>
    </row>
    <row r="59" ht="16.5" customHeight="1" spans="1:33">
      <c r="A59" s="2469" t="s">
        <v>67</v>
      </c>
      <c r="B59" s="2469"/>
      <c r="C59" s="2039"/>
      <c r="D59" s="2077" t="s">
        <v>125</v>
      </c>
      <c r="E59" s="1951"/>
      <c r="F59" s="1951"/>
      <c r="G59" s="2077"/>
      <c r="H59" s="2048"/>
      <c r="I59" s="2049"/>
      <c r="J59" s="2050">
        <f>SUM(J46:J58)</f>
        <v>2915457.4</v>
      </c>
      <c r="K59" s="2050"/>
      <c r="L59" s="2050"/>
      <c r="M59" s="2050"/>
      <c r="N59" s="2708"/>
      <c r="O59" s="2050">
        <v>0</v>
      </c>
      <c r="P59" s="2067">
        <v>0</v>
      </c>
      <c r="Q59" s="2068">
        <v>0</v>
      </c>
      <c r="R59" s="2009"/>
      <c r="S59" s="2009"/>
      <c r="T59" s="2009"/>
      <c r="U59" s="2226"/>
      <c r="V59" s="2226"/>
      <c r="W59" s="2226"/>
      <c r="X59" s="2226"/>
      <c r="Y59" s="2226"/>
      <c r="Z59" s="2226"/>
      <c r="AA59" s="2226"/>
      <c r="AB59" s="2226"/>
      <c r="AC59" s="2226"/>
      <c r="AD59" s="2226"/>
      <c r="AE59" s="2226"/>
      <c r="AF59" s="2226"/>
      <c r="AG59" s="2226"/>
    </row>
    <row r="60" ht="16.5" customHeight="1" spans="1:33">
      <c r="A60" s="2011" t="s">
        <v>115</v>
      </c>
      <c r="B60" s="2133" t="s">
        <v>269</v>
      </c>
      <c r="C60" s="2465" t="s">
        <v>61</v>
      </c>
      <c r="D60" s="2683" t="s">
        <v>117</v>
      </c>
      <c r="E60" s="1946"/>
      <c r="F60" s="2693"/>
      <c r="G60" s="2088" t="s">
        <v>127</v>
      </c>
      <c r="H60" s="2690"/>
      <c r="I60" s="2694">
        <v>32851</v>
      </c>
      <c r="J60" s="2698">
        <v>216488.09</v>
      </c>
      <c r="K60" s="2698">
        <v>216488.09</v>
      </c>
      <c r="L60" s="2707"/>
      <c r="M60" s="2707"/>
      <c r="N60" s="2599">
        <v>6.8</v>
      </c>
      <c r="O60" s="2526"/>
      <c r="P60" s="2546"/>
      <c r="Q60" s="2601"/>
      <c r="R60" s="2020"/>
      <c r="S60" s="2369"/>
      <c r="T60" s="2020"/>
      <c r="U60" s="2020"/>
      <c r="V60" s="2020"/>
      <c r="W60" s="2020"/>
      <c r="X60" s="2020"/>
      <c r="Y60" s="2020"/>
      <c r="Z60" s="2020"/>
      <c r="AA60" s="2020"/>
      <c r="AB60" s="2020"/>
      <c r="AC60" s="2020"/>
      <c r="AD60" s="2020"/>
      <c r="AE60" s="2020"/>
      <c r="AF60" s="2020"/>
      <c r="AG60" s="2020"/>
    </row>
    <row r="61" ht="16.5" spans="1:33">
      <c r="A61" s="2011" t="s">
        <v>115</v>
      </c>
      <c r="B61" s="2133" t="s">
        <v>269</v>
      </c>
      <c r="C61" s="2465" t="s">
        <v>61</v>
      </c>
      <c r="D61" s="2683" t="s">
        <v>117</v>
      </c>
      <c r="E61" s="1946"/>
      <c r="F61" s="2693"/>
      <c r="G61" s="2088" t="s">
        <v>127</v>
      </c>
      <c r="H61" s="2690"/>
      <c r="I61" s="2694">
        <v>32851</v>
      </c>
      <c r="J61" s="2698">
        <v>216488.09</v>
      </c>
      <c r="K61" s="2698">
        <v>216488.09</v>
      </c>
      <c r="L61" s="2707"/>
      <c r="M61" s="2707"/>
      <c r="N61" s="2599">
        <v>6.8</v>
      </c>
      <c r="O61" s="2526"/>
      <c r="P61" s="2546"/>
      <c r="Q61" s="2601"/>
      <c r="R61" s="2020"/>
      <c r="S61" s="2369"/>
      <c r="T61" s="2020"/>
      <c r="U61" s="2020"/>
      <c r="V61" s="2020"/>
      <c r="W61" s="2020"/>
      <c r="X61" s="2020"/>
      <c r="Y61" s="2020"/>
      <c r="Z61" s="2020"/>
      <c r="AA61" s="2020"/>
      <c r="AB61" s="2020"/>
      <c r="AC61" s="2020"/>
      <c r="AD61" s="2020"/>
      <c r="AE61" s="2020"/>
      <c r="AF61" s="2020"/>
      <c r="AG61" s="2020"/>
    </row>
    <row r="62" ht="16.5" spans="1:33">
      <c r="A62" s="2011" t="s">
        <v>115</v>
      </c>
      <c r="B62" s="2133" t="s">
        <v>269</v>
      </c>
      <c r="C62" s="2465" t="s">
        <v>61</v>
      </c>
      <c r="D62" s="2683" t="s">
        <v>117</v>
      </c>
      <c r="E62" s="1946"/>
      <c r="F62" s="2693"/>
      <c r="G62" s="2088" t="s">
        <v>127</v>
      </c>
      <c r="H62" s="2690"/>
      <c r="I62" s="2694">
        <v>32851</v>
      </c>
      <c r="J62" s="2698">
        <v>216488.09</v>
      </c>
      <c r="K62" s="2698">
        <v>216488.09</v>
      </c>
      <c r="L62" s="2707"/>
      <c r="M62" s="2707"/>
      <c r="N62" s="2599">
        <v>6.8</v>
      </c>
      <c r="O62" s="2526"/>
      <c r="P62" s="2546"/>
      <c r="Q62" s="2601"/>
      <c r="R62" s="2020"/>
      <c r="S62" s="2369"/>
      <c r="T62" s="2020"/>
      <c r="U62" s="2020"/>
      <c r="V62" s="2020"/>
      <c r="W62" s="2020"/>
      <c r="X62" s="2020"/>
      <c r="Y62" s="2020"/>
      <c r="Z62" s="2020"/>
      <c r="AA62" s="2020"/>
      <c r="AB62" s="2020"/>
      <c r="AC62" s="2020"/>
      <c r="AD62" s="2020"/>
      <c r="AE62" s="2020"/>
      <c r="AF62" s="2020"/>
      <c r="AG62" s="2020"/>
    </row>
    <row r="63" ht="16.5" spans="1:33">
      <c r="A63" s="2011" t="s">
        <v>115</v>
      </c>
      <c r="B63" s="2133" t="s">
        <v>269</v>
      </c>
      <c r="C63" s="2465" t="s">
        <v>61</v>
      </c>
      <c r="D63" s="2683" t="s">
        <v>117</v>
      </c>
      <c r="E63" s="1946"/>
      <c r="F63" s="2693"/>
      <c r="G63" s="2088" t="s">
        <v>127</v>
      </c>
      <c r="H63" s="2690"/>
      <c r="I63" s="2694">
        <v>32851</v>
      </c>
      <c r="J63" s="2698">
        <v>216488.09</v>
      </c>
      <c r="K63" s="2698">
        <v>216488.09</v>
      </c>
      <c r="L63" s="2707"/>
      <c r="M63" s="2707"/>
      <c r="N63" s="2599">
        <v>6.8</v>
      </c>
      <c r="O63" s="2526"/>
      <c r="P63" s="2546"/>
      <c r="Q63" s="2601"/>
      <c r="R63" s="2020"/>
      <c r="S63" s="2369"/>
      <c r="T63" s="2020"/>
      <c r="U63" s="2020"/>
      <c r="V63" s="2020"/>
      <c r="W63" s="2020"/>
      <c r="X63" s="2020"/>
      <c r="Y63" s="2020"/>
      <c r="Z63" s="2020"/>
      <c r="AA63" s="2020"/>
      <c r="AB63" s="2020"/>
      <c r="AC63" s="2020"/>
      <c r="AD63" s="2020"/>
      <c r="AE63" s="2020"/>
      <c r="AF63" s="2020"/>
      <c r="AG63" s="2020"/>
    </row>
    <row r="64" ht="16.5" spans="1:33">
      <c r="A64" s="2011" t="s">
        <v>115</v>
      </c>
      <c r="B64" s="2133" t="s">
        <v>269</v>
      </c>
      <c r="C64" s="2465" t="s">
        <v>61</v>
      </c>
      <c r="D64" s="2683" t="s">
        <v>117</v>
      </c>
      <c r="E64" s="1946"/>
      <c r="F64" s="2693"/>
      <c r="G64" s="2088" t="s">
        <v>127</v>
      </c>
      <c r="H64" s="2690"/>
      <c r="I64" s="2694">
        <v>32851</v>
      </c>
      <c r="J64" s="2698">
        <v>216488.09</v>
      </c>
      <c r="K64" s="2698">
        <v>216488.09</v>
      </c>
      <c r="L64" s="2707"/>
      <c r="M64" s="2707"/>
      <c r="N64" s="2599">
        <v>6.8</v>
      </c>
      <c r="O64" s="2526"/>
      <c r="P64" s="2546"/>
      <c r="Q64" s="2601"/>
      <c r="R64" s="2020"/>
      <c r="S64" s="2369"/>
      <c r="T64" s="2020"/>
      <c r="U64" s="2020"/>
      <c r="V64" s="2020"/>
      <c r="W64" s="2020"/>
      <c r="X64" s="2020"/>
      <c r="Y64" s="2020"/>
      <c r="Z64" s="2020"/>
      <c r="AA64" s="2020"/>
      <c r="AB64" s="2020"/>
      <c r="AC64" s="2020"/>
      <c r="AD64" s="2020"/>
      <c r="AE64" s="2020"/>
      <c r="AF64" s="2020"/>
      <c r="AG64" s="2020"/>
    </row>
    <row r="65" ht="16.5" spans="1:33">
      <c r="A65" s="2011" t="s">
        <v>115</v>
      </c>
      <c r="B65" s="2133" t="s">
        <v>269</v>
      </c>
      <c r="C65" s="2465" t="s">
        <v>61</v>
      </c>
      <c r="D65" s="2683" t="s">
        <v>117</v>
      </c>
      <c r="E65" s="1946"/>
      <c r="F65" s="2693"/>
      <c r="G65" s="2088" t="s">
        <v>127</v>
      </c>
      <c r="H65" s="2690"/>
      <c r="I65" s="2694">
        <v>32851</v>
      </c>
      <c r="J65" s="2698">
        <v>216488.09</v>
      </c>
      <c r="K65" s="2698">
        <v>216488.09</v>
      </c>
      <c r="L65" s="2707"/>
      <c r="M65" s="2707"/>
      <c r="N65" s="2599">
        <v>6.8</v>
      </c>
      <c r="O65" s="2526"/>
      <c r="P65" s="2546"/>
      <c r="Q65" s="2601"/>
      <c r="R65" s="2020"/>
      <c r="S65" s="2369"/>
      <c r="T65" s="2020"/>
      <c r="U65" s="2020"/>
      <c r="V65" s="2020"/>
      <c r="W65" s="2020"/>
      <c r="X65" s="2020"/>
      <c r="Y65" s="2020"/>
      <c r="Z65" s="2020"/>
      <c r="AA65" s="2020"/>
      <c r="AB65" s="2020"/>
      <c r="AC65" s="2020"/>
      <c r="AD65" s="2020"/>
      <c r="AE65" s="2020"/>
      <c r="AF65" s="2020"/>
      <c r="AG65" s="2020"/>
    </row>
    <row r="66" ht="16.5" spans="1:33">
      <c r="A66" s="2011" t="s">
        <v>115</v>
      </c>
      <c r="B66" s="2133" t="s">
        <v>269</v>
      </c>
      <c r="C66" s="2465" t="s">
        <v>61</v>
      </c>
      <c r="D66" s="2683" t="s">
        <v>117</v>
      </c>
      <c r="E66" s="1946"/>
      <c r="F66" s="2693"/>
      <c r="G66" s="2088" t="s">
        <v>127</v>
      </c>
      <c r="H66" s="2690"/>
      <c r="I66" s="2694">
        <v>32851</v>
      </c>
      <c r="J66" s="2698">
        <v>216488.09</v>
      </c>
      <c r="K66" s="2698">
        <v>216488.09</v>
      </c>
      <c r="L66" s="2707"/>
      <c r="M66" s="2707"/>
      <c r="N66" s="2599"/>
      <c r="O66" s="2526"/>
      <c r="P66" s="2546"/>
      <c r="Q66" s="2601"/>
      <c r="R66" s="2020"/>
      <c r="S66" s="2369"/>
      <c r="T66" s="2020"/>
      <c r="U66" s="2020"/>
      <c r="V66" s="2020"/>
      <c r="W66" s="2020"/>
      <c r="X66" s="2020"/>
      <c r="Y66" s="2020"/>
      <c r="Z66" s="2020"/>
      <c r="AA66" s="2020"/>
      <c r="AB66" s="2020"/>
      <c r="AC66" s="2020"/>
      <c r="AD66" s="2020"/>
      <c r="AE66" s="2020"/>
      <c r="AF66" s="2020"/>
      <c r="AG66" s="2020"/>
    </row>
    <row r="67" ht="16.5" spans="1:33">
      <c r="A67" s="2011" t="s">
        <v>115</v>
      </c>
      <c r="B67" s="2133" t="s">
        <v>269</v>
      </c>
      <c r="C67" s="2465" t="s">
        <v>61</v>
      </c>
      <c r="D67" s="2683" t="s">
        <v>117</v>
      </c>
      <c r="E67" s="1946"/>
      <c r="F67" s="2693"/>
      <c r="G67" s="2088" t="s">
        <v>127</v>
      </c>
      <c r="H67" s="2690"/>
      <c r="I67" s="2694">
        <v>32851</v>
      </c>
      <c r="J67" s="2698">
        <v>216488.09</v>
      </c>
      <c r="K67" s="2698">
        <v>216488.09</v>
      </c>
      <c r="L67" s="2707"/>
      <c r="M67" s="2707"/>
      <c r="N67" s="2599"/>
      <c r="O67" s="2526"/>
      <c r="P67" s="2546"/>
      <c r="Q67" s="2601"/>
      <c r="R67" s="2020"/>
      <c r="S67" s="2369"/>
      <c r="T67" s="2020"/>
      <c r="U67" s="2020"/>
      <c r="V67" s="2020"/>
      <c r="W67" s="2020"/>
      <c r="X67" s="2020"/>
      <c r="Y67" s="2020"/>
      <c r="Z67" s="2020"/>
      <c r="AA67" s="2020"/>
      <c r="AB67" s="2020"/>
      <c r="AC67" s="2020"/>
      <c r="AD67" s="2020"/>
      <c r="AE67" s="2020"/>
      <c r="AF67" s="2020"/>
      <c r="AG67" s="2020"/>
    </row>
    <row r="68" ht="16.5" spans="1:33">
      <c r="A68" s="2011" t="s">
        <v>115</v>
      </c>
      <c r="B68" s="2133" t="s">
        <v>269</v>
      </c>
      <c r="C68" s="2465" t="s">
        <v>61</v>
      </c>
      <c r="D68" s="2683" t="s">
        <v>117</v>
      </c>
      <c r="E68" s="1946"/>
      <c r="F68" s="2693"/>
      <c r="G68" s="2088" t="s">
        <v>128</v>
      </c>
      <c r="H68" s="2690"/>
      <c r="I68" s="2694">
        <v>37968</v>
      </c>
      <c r="J68" s="2698">
        <v>250209.12</v>
      </c>
      <c r="K68" s="2698">
        <v>250209.12</v>
      </c>
      <c r="L68" s="2707"/>
      <c r="M68" s="2707"/>
      <c r="N68" s="2599">
        <v>6.8</v>
      </c>
      <c r="O68" s="2526"/>
      <c r="P68" s="2546"/>
      <c r="Q68" s="2601"/>
      <c r="R68" s="2020"/>
      <c r="S68" s="2369"/>
      <c r="T68" s="2020"/>
      <c r="U68" s="2020"/>
      <c r="V68" s="2020"/>
      <c r="W68" s="2020"/>
      <c r="X68" s="2020"/>
      <c r="Y68" s="2020"/>
      <c r="Z68" s="2020"/>
      <c r="AA68" s="2020"/>
      <c r="AB68" s="2020"/>
      <c r="AC68" s="2020"/>
      <c r="AD68" s="2020"/>
      <c r="AE68" s="2020"/>
      <c r="AF68" s="2020"/>
      <c r="AG68" s="2020"/>
    </row>
    <row r="69" ht="16.5" spans="1:33">
      <c r="A69" s="2011" t="s">
        <v>270</v>
      </c>
      <c r="B69" s="2011" t="s">
        <v>269</v>
      </c>
      <c r="C69" s="2361" t="s">
        <v>61</v>
      </c>
      <c r="D69" s="2333" t="s">
        <v>117</v>
      </c>
      <c r="E69" s="2361"/>
      <c r="F69" s="2361"/>
      <c r="G69" s="1959" t="s">
        <v>188</v>
      </c>
      <c r="H69" s="2490"/>
      <c r="I69" s="2243">
        <v>36300</v>
      </c>
      <c r="J69" s="2517">
        <v>239217</v>
      </c>
      <c r="K69" s="2517">
        <v>239217</v>
      </c>
      <c r="L69" s="2707"/>
      <c r="M69" s="2707"/>
      <c r="N69" s="2599">
        <v>6.8</v>
      </c>
      <c r="O69" s="2526"/>
      <c r="P69" s="2546"/>
      <c r="Q69" s="2601"/>
      <c r="R69" s="2020"/>
      <c r="S69" s="2369"/>
      <c r="T69" s="2020"/>
      <c r="U69" s="2020"/>
      <c r="V69" s="2020"/>
      <c r="W69" s="2020"/>
      <c r="X69" s="2020"/>
      <c r="Y69" s="2020"/>
      <c r="Z69" s="2020"/>
      <c r="AA69" s="2020"/>
      <c r="AB69" s="2020"/>
      <c r="AC69" s="2020"/>
      <c r="AD69" s="2020"/>
      <c r="AE69" s="2020"/>
      <c r="AF69" s="2020"/>
      <c r="AG69" s="2020"/>
    </row>
    <row r="70" ht="16.5" spans="1:33">
      <c r="A70" s="2011" t="s">
        <v>270</v>
      </c>
      <c r="B70" s="2133" t="s">
        <v>136</v>
      </c>
      <c r="C70" s="2465" t="s">
        <v>61</v>
      </c>
      <c r="D70" s="2683" t="s">
        <v>117</v>
      </c>
      <c r="E70" s="2465"/>
      <c r="F70" s="2465"/>
      <c r="G70" s="2133" t="s">
        <v>271</v>
      </c>
      <c r="H70" s="2688"/>
      <c r="I70" s="2694">
        <v>33800</v>
      </c>
      <c r="J70" s="2698">
        <v>222742</v>
      </c>
      <c r="K70" s="2698">
        <v>222742</v>
      </c>
      <c r="L70" s="2707"/>
      <c r="M70" s="2707"/>
      <c r="N70" s="2599">
        <v>6.8</v>
      </c>
      <c r="O70" s="2526"/>
      <c r="P70" s="2546"/>
      <c r="Q70" s="2601"/>
      <c r="R70" s="2020"/>
      <c r="S70" s="2369"/>
      <c r="T70" s="2020"/>
      <c r="U70" s="2020"/>
      <c r="V70" s="2020"/>
      <c r="W70" s="2020"/>
      <c r="X70" s="2020"/>
      <c r="Y70" s="2020"/>
      <c r="Z70" s="2020"/>
      <c r="AA70" s="2020"/>
      <c r="AB70" s="2020"/>
      <c r="AC70" s="2020"/>
      <c r="AD70" s="2020"/>
      <c r="AE70" s="2020"/>
      <c r="AF70" s="2020"/>
      <c r="AG70" s="2020"/>
    </row>
    <row r="71" ht="16.5" spans="1:33">
      <c r="A71" s="2011" t="s">
        <v>270</v>
      </c>
      <c r="B71" s="40" t="s">
        <v>136</v>
      </c>
      <c r="C71" s="2361" t="s">
        <v>61</v>
      </c>
      <c r="D71" s="2333" t="s">
        <v>117</v>
      </c>
      <c r="E71" s="2361"/>
      <c r="F71" s="2361"/>
      <c r="G71" s="40" t="s">
        <v>272</v>
      </c>
      <c r="H71" s="2490"/>
      <c r="I71" s="2243">
        <v>33000</v>
      </c>
      <c r="J71" s="2517">
        <v>217470</v>
      </c>
      <c r="K71" s="2517">
        <v>217470</v>
      </c>
      <c r="L71" s="2707"/>
      <c r="M71" s="2707"/>
      <c r="N71" s="2599"/>
      <c r="O71" s="2526"/>
      <c r="P71" s="2546"/>
      <c r="Q71" s="2601"/>
      <c r="R71" s="2020"/>
      <c r="S71" s="2369"/>
      <c r="T71" s="2020"/>
      <c r="U71" s="2020"/>
      <c r="V71" s="2020"/>
      <c r="W71" s="2020"/>
      <c r="X71" s="2020"/>
      <c r="Y71" s="2020"/>
      <c r="Z71" s="2020"/>
      <c r="AA71" s="2020"/>
      <c r="AB71" s="2020"/>
      <c r="AC71" s="2020"/>
      <c r="AD71" s="2020"/>
      <c r="AE71" s="2020"/>
      <c r="AF71" s="2020"/>
      <c r="AG71" s="2020"/>
    </row>
    <row r="72" ht="16.5" spans="1:33">
      <c r="A72" s="2011" t="s">
        <v>270</v>
      </c>
      <c r="B72" s="235" t="s">
        <v>133</v>
      </c>
      <c r="C72" s="2465" t="s">
        <v>61</v>
      </c>
      <c r="D72" s="2683" t="s">
        <v>117</v>
      </c>
      <c r="E72" s="2465"/>
      <c r="F72" s="2465"/>
      <c r="G72" s="2133" t="s">
        <v>273</v>
      </c>
      <c r="H72" s="2688"/>
      <c r="I72" s="2177">
        <v>50699</v>
      </c>
      <c r="J72" s="2698">
        <v>334106.41</v>
      </c>
      <c r="K72" s="2698">
        <v>334106.41</v>
      </c>
      <c r="L72" s="2707"/>
      <c r="M72" s="2707"/>
      <c r="N72" s="2599"/>
      <c r="O72" s="2526"/>
      <c r="P72" s="2546"/>
      <c r="Q72" s="2601"/>
      <c r="R72" s="2020"/>
      <c r="S72" s="2369"/>
      <c r="T72" s="2020"/>
      <c r="U72" s="2020"/>
      <c r="V72" s="2020"/>
      <c r="W72" s="2020"/>
      <c r="X72" s="2020"/>
      <c r="Y72" s="2020"/>
      <c r="Z72" s="2020"/>
      <c r="AA72" s="2020"/>
      <c r="AB72" s="2020"/>
      <c r="AC72" s="2020"/>
      <c r="AD72" s="2020"/>
      <c r="AE72" s="2020"/>
      <c r="AF72" s="2020"/>
      <c r="AG72" s="2020"/>
    </row>
    <row r="73" ht="16.5" spans="1:33">
      <c r="A73" s="2011" t="s">
        <v>270</v>
      </c>
      <c r="B73" s="201" t="s">
        <v>133</v>
      </c>
      <c r="C73" s="2361" t="s">
        <v>61</v>
      </c>
      <c r="D73" s="2333" t="s">
        <v>117</v>
      </c>
      <c r="E73" s="2361"/>
      <c r="F73" s="2361"/>
      <c r="G73" s="40"/>
      <c r="H73" s="2490"/>
      <c r="I73" s="99">
        <v>28320</v>
      </c>
      <c r="J73" s="2517">
        <v>186628.8</v>
      </c>
      <c r="K73" s="2517">
        <v>186628.8</v>
      </c>
      <c r="L73" s="2707"/>
      <c r="M73" s="2707"/>
      <c r="N73" s="2599"/>
      <c r="O73" s="2526"/>
      <c r="P73" s="2546"/>
      <c r="Q73" s="2601"/>
      <c r="R73" s="2020"/>
      <c r="S73" s="2369"/>
      <c r="T73" s="2020"/>
      <c r="U73" s="2020"/>
      <c r="V73" s="2020"/>
      <c r="W73" s="2020"/>
      <c r="X73" s="2020"/>
      <c r="Y73" s="2020"/>
      <c r="Z73" s="2020"/>
      <c r="AA73" s="2020"/>
      <c r="AB73" s="2020"/>
      <c r="AC73" s="2020"/>
      <c r="AD73" s="2020"/>
      <c r="AE73" s="2020"/>
      <c r="AF73" s="2020"/>
      <c r="AG73" s="2020"/>
    </row>
    <row r="74" ht="16.5" spans="1:33">
      <c r="A74" s="2011" t="s">
        <v>270</v>
      </c>
      <c r="B74" s="1959" t="s">
        <v>274</v>
      </c>
      <c r="C74" s="2361" t="s">
        <v>61</v>
      </c>
      <c r="D74" s="2333" t="s">
        <v>117</v>
      </c>
      <c r="E74" s="2361"/>
      <c r="F74" s="2361"/>
      <c r="G74" s="1959"/>
      <c r="H74" s="2490"/>
      <c r="I74" s="99">
        <v>6861</v>
      </c>
      <c r="J74" s="2517">
        <v>45213.99</v>
      </c>
      <c r="K74" s="2517">
        <v>45213.99</v>
      </c>
      <c r="L74" s="2707"/>
      <c r="M74" s="2707"/>
      <c r="N74" s="2599"/>
      <c r="O74" s="2526"/>
      <c r="P74" s="2546"/>
      <c r="Q74" s="2601"/>
      <c r="R74" s="2020"/>
      <c r="S74" s="2369"/>
      <c r="T74" s="2020"/>
      <c r="U74" s="2020"/>
      <c r="V74" s="2020"/>
      <c r="W74" s="2020"/>
      <c r="X74" s="2020"/>
      <c r="Y74" s="2020"/>
      <c r="Z74" s="2020"/>
      <c r="AA74" s="2020"/>
      <c r="AB74" s="2020"/>
      <c r="AC74" s="2020"/>
      <c r="AD74" s="2020"/>
      <c r="AE74" s="2020"/>
      <c r="AF74" s="2020"/>
      <c r="AG74" s="2020"/>
    </row>
    <row r="75" ht="16.5" spans="1:33">
      <c r="A75" s="2011"/>
      <c r="B75" s="2011"/>
      <c r="C75" s="2361"/>
      <c r="D75" s="2333"/>
      <c r="E75" s="2361"/>
      <c r="F75" s="2361"/>
      <c r="G75" s="40"/>
      <c r="H75" s="2490"/>
      <c r="I75" s="2243"/>
      <c r="J75" s="2517"/>
      <c r="K75" s="2707"/>
      <c r="L75" s="2707"/>
      <c r="M75" s="2707"/>
      <c r="N75" s="2599"/>
      <c r="O75" s="2526"/>
      <c r="P75" s="2546"/>
      <c r="Q75" s="2601"/>
      <c r="R75" s="2020"/>
      <c r="S75" s="2369"/>
      <c r="T75" s="2020"/>
      <c r="U75" s="2020"/>
      <c r="V75" s="2020"/>
      <c r="W75" s="2020"/>
      <c r="X75" s="2020"/>
      <c r="Y75" s="2020"/>
      <c r="Z75" s="2020"/>
      <c r="AA75" s="2020"/>
      <c r="AB75" s="2020"/>
      <c r="AC75" s="2020"/>
      <c r="AD75" s="2020"/>
      <c r="AE75" s="2020"/>
      <c r="AF75" s="2020"/>
      <c r="AG75" s="2020"/>
    </row>
    <row r="76" ht="16.5" customHeight="1" spans="1:33">
      <c r="A76" s="2011"/>
      <c r="B76" s="201"/>
      <c r="C76" s="2361"/>
      <c r="D76" s="2359"/>
      <c r="E76" s="2361"/>
      <c r="F76" s="2361"/>
      <c r="G76" s="40"/>
      <c r="H76" s="2490"/>
      <c r="I76" s="99"/>
      <c r="J76" s="2718"/>
      <c r="K76" s="2719"/>
      <c r="L76" s="2719"/>
      <c r="M76" s="2719"/>
      <c r="N76" s="2599"/>
      <c r="O76" s="2526"/>
      <c r="P76" s="2373"/>
      <c r="Q76" s="2601"/>
      <c r="R76" s="2020"/>
      <c r="S76" s="2369"/>
      <c r="T76" s="2020"/>
      <c r="U76" s="2020"/>
      <c r="V76" s="2020"/>
      <c r="W76" s="2020"/>
      <c r="X76" s="2020"/>
      <c r="Y76" s="2020"/>
      <c r="Z76" s="2020"/>
      <c r="AA76" s="2020"/>
      <c r="AB76" s="2020"/>
      <c r="AC76" s="2020"/>
      <c r="AD76" s="2020"/>
      <c r="AE76" s="2020"/>
      <c r="AF76" s="2020"/>
      <c r="AG76" s="2020"/>
    </row>
    <row r="77" ht="16.5" customHeight="1" spans="1:33">
      <c r="A77" s="2039" t="s">
        <v>67</v>
      </c>
      <c r="B77" s="2039"/>
      <c r="C77" s="2295"/>
      <c r="D77" s="2040" t="s">
        <v>138</v>
      </c>
      <c r="E77" s="2040"/>
      <c r="F77" s="2040"/>
      <c r="G77" s="2040"/>
      <c r="H77" s="2048"/>
      <c r="I77" s="2049"/>
      <c r="J77" s="2050">
        <f>SUM(J60:J76)</f>
        <v>3227492.04</v>
      </c>
      <c r="K77" s="2050">
        <f>SUM(K60:K76)</f>
        <v>3227492.04</v>
      </c>
      <c r="L77" s="2050"/>
      <c r="M77" s="2050"/>
      <c r="N77" s="2066"/>
      <c r="O77" s="2050">
        <v>0</v>
      </c>
      <c r="P77" s="2067">
        <v>0</v>
      </c>
      <c r="Q77" s="2068">
        <v>0</v>
      </c>
      <c r="R77" s="474"/>
      <c r="S77" s="474"/>
      <c r="T77" s="474"/>
      <c r="U77" s="2011"/>
      <c r="V77" s="2011"/>
      <c r="W77" s="2011"/>
      <c r="X77" s="2011"/>
      <c r="Y77" s="2011"/>
      <c r="Z77" s="2011"/>
      <c r="AA77" s="2011"/>
      <c r="AB77" s="2011"/>
      <c r="AC77" s="2011"/>
      <c r="AD77" s="2011"/>
      <c r="AE77" s="2011"/>
      <c r="AF77" s="2011"/>
      <c r="AG77" s="2011"/>
    </row>
    <row r="78" spans="1:33">
      <c r="A78" s="2001"/>
      <c r="B78" s="2001"/>
      <c r="C78" s="2001"/>
      <c r="D78" s="2001"/>
      <c r="E78" s="2001"/>
      <c r="F78" s="2001"/>
      <c r="G78" s="2001"/>
      <c r="H78" s="2051"/>
      <c r="I78" s="2001"/>
      <c r="J78" s="2600"/>
      <c r="K78" s="2600"/>
      <c r="L78" s="2600"/>
      <c r="M78" s="2600"/>
      <c r="N78" s="2001"/>
      <c r="O78" s="2001"/>
      <c r="P78" s="2001"/>
      <c r="Q78" s="2001"/>
      <c r="R78" s="2001"/>
      <c r="S78" s="2001"/>
      <c r="T78" s="2001"/>
      <c r="U78" s="2001"/>
      <c r="V78" s="2001"/>
      <c r="W78" s="2001"/>
      <c r="X78" s="2001"/>
      <c r="Y78" s="2001"/>
      <c r="Z78" s="2001"/>
      <c r="AA78" s="2001"/>
      <c r="AB78" s="2001"/>
      <c r="AC78" s="2001"/>
      <c r="AD78" s="2001"/>
      <c r="AE78" s="2001"/>
      <c r="AF78" s="2001"/>
      <c r="AG78" s="2001"/>
    </row>
    <row r="79" spans="1:33">
      <c r="A79" s="2001"/>
      <c r="B79" s="2001"/>
      <c r="C79" s="2001"/>
      <c r="D79" s="2001"/>
      <c r="E79" s="2001"/>
      <c r="F79" s="2001"/>
      <c r="G79" s="2001"/>
      <c r="H79" s="2051"/>
      <c r="I79" s="2001"/>
      <c r="J79" s="2600"/>
      <c r="K79" s="2600"/>
      <c r="L79" s="2600"/>
      <c r="M79" s="2600"/>
      <c r="N79" s="2001"/>
      <c r="O79" s="2001"/>
      <c r="P79" s="2001"/>
      <c r="Q79" s="2001"/>
      <c r="R79" s="2001"/>
      <c r="S79" s="2001"/>
      <c r="T79" s="2001"/>
      <c r="U79" s="2001"/>
      <c r="V79" s="2001"/>
      <c r="W79" s="2001"/>
      <c r="X79" s="2001"/>
      <c r="Y79" s="2001"/>
      <c r="Z79" s="2001"/>
      <c r="AA79" s="2001"/>
      <c r="AB79" s="2001"/>
      <c r="AC79" s="2001"/>
      <c r="AD79" s="2001"/>
      <c r="AE79" s="2001"/>
      <c r="AF79" s="2001"/>
      <c r="AG79" s="2001"/>
    </row>
    <row r="80" spans="1:33">
      <c r="A80" s="2001"/>
      <c r="B80" s="2001"/>
      <c r="C80" s="2001"/>
      <c r="D80" s="2001"/>
      <c r="E80" s="2001"/>
      <c r="F80" s="2001" t="s">
        <v>139</v>
      </c>
      <c r="G80" s="2001" t="s">
        <v>140</v>
      </c>
      <c r="H80" s="2051"/>
      <c r="I80" s="2001" t="s">
        <v>141</v>
      </c>
      <c r="J80" s="2600">
        <v>13830249.7</v>
      </c>
      <c r="K80" s="2600">
        <f>K23+K45+K59+K77</f>
        <v>7861247.22</v>
      </c>
      <c r="L80" s="2600">
        <f>L23+L45+L59+L77</f>
        <v>1621487.67</v>
      </c>
      <c r="M80" s="2600"/>
      <c r="N80" s="2001"/>
      <c r="O80" s="2001"/>
      <c r="P80" s="2069">
        <v>6150000</v>
      </c>
      <c r="Q80" s="2001"/>
      <c r="R80" s="2069">
        <v>0</v>
      </c>
      <c r="S80" s="2001"/>
      <c r="T80" s="2001"/>
      <c r="U80" s="2001"/>
      <c r="V80" s="2001"/>
      <c r="W80" s="2001"/>
      <c r="X80" s="2001"/>
      <c r="Y80" s="2001"/>
      <c r="Z80" s="2001"/>
      <c r="AA80" s="2001"/>
      <c r="AB80" s="2001"/>
      <c r="AC80" s="2001"/>
      <c r="AD80" s="2001"/>
      <c r="AE80" s="2001"/>
      <c r="AF80" s="2001"/>
      <c r="AG80" s="2001"/>
    </row>
    <row r="81" spans="1:33">
      <c r="A81" s="2001"/>
      <c r="B81" s="2001"/>
      <c r="C81" s="2001"/>
      <c r="D81" s="2001"/>
      <c r="E81" s="2001"/>
      <c r="F81" s="2001"/>
      <c r="G81" s="2001"/>
      <c r="H81" s="2051"/>
      <c r="I81" s="2001"/>
      <c r="J81" s="2600"/>
      <c r="K81" s="2600"/>
      <c r="L81" s="2600"/>
      <c r="M81" s="2600"/>
      <c r="N81" s="2001"/>
      <c r="O81" s="2001"/>
      <c r="P81" s="2069">
        <v>2904947</v>
      </c>
      <c r="Q81" s="2001"/>
      <c r="R81" s="2069">
        <v>248905</v>
      </c>
      <c r="S81" s="2001"/>
      <c r="T81" s="2001"/>
      <c r="U81" s="2001"/>
      <c r="V81" s="2001"/>
      <c r="W81" s="2001"/>
      <c r="X81" s="2001"/>
      <c r="Y81" s="2001"/>
      <c r="Z81" s="2001"/>
      <c r="AA81" s="2001"/>
      <c r="AB81" s="2001"/>
      <c r="AC81" s="2001"/>
      <c r="AD81" s="2001"/>
      <c r="AE81" s="2001"/>
      <c r="AF81" s="2001"/>
      <c r="AG81" s="2001"/>
    </row>
    <row r="82" spans="1:33">
      <c r="A82" s="2001"/>
      <c r="B82" s="2001"/>
      <c r="C82" s="2001"/>
      <c r="D82" s="2001"/>
      <c r="E82" s="2001"/>
      <c r="F82" s="2001"/>
      <c r="G82" s="2001"/>
      <c r="H82" s="2051"/>
      <c r="I82" s="2001"/>
      <c r="J82" s="2600"/>
      <c r="K82" s="2600"/>
      <c r="L82" s="2600"/>
      <c r="M82" s="2600"/>
      <c r="N82" s="2001"/>
      <c r="O82" s="2001"/>
      <c r="P82" s="2069">
        <v>2715800.3</v>
      </c>
      <c r="Q82" s="2001"/>
      <c r="R82" s="2069">
        <v>0</v>
      </c>
      <c r="S82" s="2001"/>
      <c r="T82" s="2001"/>
      <c r="U82" s="2001"/>
      <c r="V82" s="2001"/>
      <c r="W82" s="2001"/>
      <c r="X82" s="2001"/>
      <c r="Y82" s="2001"/>
      <c r="Z82" s="2001"/>
      <c r="AA82" s="2001"/>
      <c r="AB82" s="2001"/>
      <c r="AC82" s="2001"/>
      <c r="AD82" s="2001"/>
      <c r="AE82" s="2001"/>
      <c r="AF82" s="2001"/>
      <c r="AG82" s="2001"/>
    </row>
    <row r="83" spans="1:33">
      <c r="A83" s="2001"/>
      <c r="B83" s="2001"/>
      <c r="C83" s="2001"/>
      <c r="D83" s="2001"/>
      <c r="E83" s="2001"/>
      <c r="F83" s="2001"/>
      <c r="G83" s="2001"/>
      <c r="H83" s="2051"/>
      <c r="I83" s="2001" t="s">
        <v>275</v>
      </c>
      <c r="J83" s="2600" t="s">
        <v>276</v>
      </c>
      <c r="K83" s="2720">
        <f>K80/33430000</f>
        <v>0.235155465749327</v>
      </c>
      <c r="L83" s="2600" t="s">
        <v>160</v>
      </c>
      <c r="M83" s="2600"/>
      <c r="N83" s="2001"/>
      <c r="O83" s="2001"/>
      <c r="P83" s="2069">
        <v>2059502.4</v>
      </c>
      <c r="Q83" s="2001"/>
      <c r="R83" s="2069">
        <v>0</v>
      </c>
      <c r="S83" s="2001"/>
      <c r="T83" s="2001"/>
      <c r="U83" s="2001"/>
      <c r="V83" s="2001"/>
      <c r="W83" s="2001"/>
      <c r="X83" s="2001"/>
      <c r="Y83" s="2001"/>
      <c r="Z83" s="2001"/>
      <c r="AA83" s="2001"/>
      <c r="AB83" s="2001"/>
      <c r="AC83" s="2001"/>
      <c r="AD83" s="2001"/>
      <c r="AE83" s="2001"/>
      <c r="AF83" s="2001"/>
      <c r="AG83" s="2001"/>
    </row>
    <row r="84" spans="1:33">
      <c r="A84" s="2001"/>
      <c r="B84" s="2001"/>
      <c r="C84" s="2001"/>
      <c r="D84" s="2001"/>
      <c r="E84" s="2001"/>
      <c r="F84" s="2001"/>
      <c r="G84" s="2001"/>
      <c r="H84" s="2051"/>
      <c r="I84" s="2001"/>
      <c r="J84" s="2600" t="s">
        <v>277</v>
      </c>
      <c r="K84" s="2720">
        <f>K80/14700000</f>
        <v>0.53477872244898</v>
      </c>
      <c r="L84" s="2600"/>
      <c r="M84" s="2600"/>
      <c r="N84" s="2001"/>
      <c r="O84" s="2001"/>
      <c r="P84" s="2069">
        <f>SUM(P80:P83)</f>
        <v>13830249.7</v>
      </c>
      <c r="Q84" s="2001"/>
      <c r="R84" s="2069">
        <v>248905</v>
      </c>
      <c r="S84" s="2001"/>
      <c r="T84" s="2001"/>
      <c r="U84" s="2001"/>
      <c r="V84" s="2001"/>
      <c r="W84" s="2001"/>
      <c r="X84" s="2001"/>
      <c r="Y84" s="2001"/>
      <c r="Z84" s="2001"/>
      <c r="AA84" s="2001"/>
      <c r="AB84" s="2001"/>
      <c r="AC84" s="2001"/>
      <c r="AD84" s="2001"/>
      <c r="AE84" s="2001"/>
      <c r="AF84" s="2001"/>
      <c r="AG84" s="2001"/>
    </row>
    <row r="85" spans="1:33">
      <c r="A85" s="2041"/>
      <c r="B85" s="2041"/>
      <c r="C85" s="2041"/>
      <c r="D85" s="2041"/>
      <c r="E85" s="2041"/>
      <c r="F85" s="2041"/>
      <c r="G85" s="2041"/>
      <c r="H85" s="2051"/>
      <c r="I85" s="2041"/>
      <c r="J85" s="2600"/>
      <c r="K85" s="2600"/>
      <c r="L85" s="2600"/>
      <c r="M85" s="2600"/>
      <c r="N85" s="2041"/>
      <c r="O85" s="2041"/>
      <c r="P85" s="2041"/>
      <c r="Q85" s="2041"/>
      <c r="R85" s="2069"/>
      <c r="S85" s="2041"/>
      <c r="T85" s="2041"/>
      <c r="U85" s="2041"/>
      <c r="V85" s="2041"/>
      <c r="W85" s="2041"/>
      <c r="X85" s="2041"/>
      <c r="Y85" s="2041"/>
      <c r="Z85" s="2041"/>
      <c r="AA85" s="2041"/>
      <c r="AB85" s="2041"/>
      <c r="AC85" s="2041"/>
      <c r="AD85" s="2041"/>
      <c r="AE85" s="2041"/>
      <c r="AF85" s="2041"/>
      <c r="AG85" s="2041"/>
    </row>
    <row r="86" spans="1:33">
      <c r="A86" s="2041"/>
      <c r="B86" s="2041"/>
      <c r="C86" s="2041"/>
      <c r="D86" s="2041"/>
      <c r="E86" s="2041"/>
      <c r="F86" s="2041"/>
      <c r="G86" s="2041"/>
      <c r="H86" s="2051"/>
      <c r="I86" s="2041"/>
      <c r="J86" s="2600"/>
      <c r="K86" s="2600"/>
      <c r="L86" s="2600"/>
      <c r="M86" s="2600"/>
      <c r="N86" s="2041"/>
      <c r="O86" s="2041"/>
      <c r="P86" s="2041"/>
      <c r="Q86" s="2041"/>
      <c r="R86" s="2041"/>
      <c r="S86" s="2041"/>
      <c r="T86" s="2041"/>
      <c r="U86" s="2041"/>
      <c r="V86" s="2041"/>
      <c r="W86" s="2041"/>
      <c r="X86" s="2041"/>
      <c r="Y86" s="2041"/>
      <c r="Z86" s="2041"/>
      <c r="AA86" s="2041"/>
      <c r="AB86" s="2041"/>
      <c r="AC86" s="2041"/>
      <c r="AD86" s="2041"/>
      <c r="AE86" s="2041"/>
      <c r="AF86" s="2041"/>
      <c r="AG86" s="2041"/>
    </row>
    <row r="87" spans="1:33">
      <c r="A87" s="2041"/>
      <c r="B87" s="2041"/>
      <c r="C87" s="2041"/>
      <c r="D87" s="2041"/>
      <c r="E87" s="2041"/>
      <c r="F87" s="2041"/>
      <c r="G87" s="2041"/>
      <c r="H87" s="2051"/>
      <c r="I87" s="2041"/>
      <c r="J87" s="2600"/>
      <c r="K87" s="2600"/>
      <c r="L87" s="2600"/>
      <c r="M87" s="2600"/>
      <c r="N87" s="2041"/>
      <c r="O87" s="2041"/>
      <c r="P87" s="2041"/>
      <c r="Q87" s="2041"/>
      <c r="R87" s="2041"/>
      <c r="S87" s="2041"/>
      <c r="T87" s="2041"/>
      <c r="U87" s="2041"/>
      <c r="V87" s="2041"/>
      <c r="W87" s="2041"/>
      <c r="X87" s="2041"/>
      <c r="Y87" s="2041"/>
      <c r="Z87" s="2041"/>
      <c r="AA87" s="2041"/>
      <c r="AB87" s="2041"/>
      <c r="AC87" s="2041"/>
      <c r="AD87" s="2041"/>
      <c r="AE87" s="2041"/>
      <c r="AF87" s="2041"/>
      <c r="AG87" s="2041"/>
    </row>
    <row r="88" spans="1:33">
      <c r="A88" s="2041"/>
      <c r="B88" s="2041"/>
      <c r="C88" s="2041"/>
      <c r="D88" s="2041"/>
      <c r="E88" s="2041"/>
      <c r="F88" s="2041"/>
      <c r="G88" s="2041"/>
      <c r="H88" s="2051"/>
      <c r="I88" s="2041"/>
      <c r="J88" s="2600"/>
      <c r="K88" s="2600"/>
      <c r="L88" s="2600"/>
      <c r="M88" s="2600"/>
      <c r="N88" s="2041"/>
      <c r="O88" s="2041"/>
      <c r="P88" s="2041"/>
      <c r="Q88" s="2041"/>
      <c r="R88" s="2041"/>
      <c r="S88" s="2041"/>
      <c r="T88" s="2041"/>
      <c r="U88" s="2041"/>
      <c r="V88" s="2041"/>
      <c r="W88" s="2041"/>
      <c r="X88" s="2041"/>
      <c r="Y88" s="2041"/>
      <c r="Z88" s="2041"/>
      <c r="AA88" s="2041"/>
      <c r="AB88" s="2041"/>
      <c r="AC88" s="2041"/>
      <c r="AD88" s="2041"/>
      <c r="AE88" s="2041"/>
      <c r="AF88" s="2041"/>
      <c r="AG88" s="2041"/>
    </row>
    <row r="89" spans="1:33">
      <c r="A89" s="2041"/>
      <c r="B89" s="2041"/>
      <c r="C89" s="2041"/>
      <c r="D89" s="2041"/>
      <c r="E89" s="2041"/>
      <c r="F89" s="2041"/>
      <c r="G89" s="2041"/>
      <c r="H89" s="2051"/>
      <c r="I89" s="2041"/>
      <c r="J89" s="2041"/>
      <c r="K89" s="2041"/>
      <c r="L89" s="2041"/>
      <c r="M89" s="2041"/>
      <c r="N89" s="2041"/>
      <c r="O89" s="2041"/>
      <c r="P89" s="2041"/>
      <c r="Q89" s="2041"/>
      <c r="R89" s="2041"/>
      <c r="S89" s="2041"/>
      <c r="T89" s="2041"/>
      <c r="U89" s="2041"/>
      <c r="V89" s="2041"/>
      <c r="W89" s="2041"/>
      <c r="X89" s="2041"/>
      <c r="Y89" s="2041"/>
      <c r="Z89" s="2041"/>
      <c r="AA89" s="2041"/>
      <c r="AB89" s="2041"/>
      <c r="AC89" s="2041"/>
      <c r="AD89" s="2041"/>
      <c r="AE89" s="2041"/>
      <c r="AF89" s="2041"/>
      <c r="AG89" s="2041"/>
    </row>
    <row r="90" spans="1:33">
      <c r="A90" s="2041"/>
      <c r="B90" s="2041"/>
      <c r="C90" s="2041"/>
      <c r="D90" s="2041"/>
      <c r="E90" s="2041"/>
      <c r="F90" s="2041"/>
      <c r="G90" s="2041"/>
      <c r="H90" s="2051"/>
      <c r="I90" s="2041"/>
      <c r="J90" s="2041"/>
      <c r="K90" s="2041"/>
      <c r="L90" s="2041"/>
      <c r="M90" s="2041"/>
      <c r="N90" s="2041"/>
      <c r="O90" s="2041"/>
      <c r="P90" s="2041"/>
      <c r="Q90" s="2041"/>
      <c r="R90" s="2041"/>
      <c r="S90" s="2041"/>
      <c r="T90" s="2041"/>
      <c r="U90" s="2041"/>
      <c r="V90" s="2041"/>
      <c r="W90" s="2041"/>
      <c r="X90" s="2041"/>
      <c r="Y90" s="2041"/>
      <c r="Z90" s="2041"/>
      <c r="AA90" s="2041"/>
      <c r="AB90" s="2041"/>
      <c r="AC90" s="2041"/>
      <c r="AD90" s="2041"/>
      <c r="AE90" s="2041"/>
      <c r="AF90" s="2041"/>
      <c r="AG90" s="2041"/>
    </row>
    <row r="91" spans="1:33">
      <c r="A91" s="2041"/>
      <c r="B91" s="2041"/>
      <c r="C91" s="2041"/>
      <c r="D91" s="2041"/>
      <c r="E91" s="2041"/>
      <c r="F91" s="2041"/>
      <c r="G91" s="2041"/>
      <c r="H91" s="2051"/>
      <c r="I91" s="2041"/>
      <c r="J91" s="2041"/>
      <c r="K91" s="2041"/>
      <c r="L91" s="2041"/>
      <c r="M91" s="2041"/>
      <c r="N91" s="2041"/>
      <c r="O91" s="2041"/>
      <c r="P91" s="2041"/>
      <c r="Q91" s="2041"/>
      <c r="R91" s="2041"/>
      <c r="S91" s="2041"/>
      <c r="T91" s="2041"/>
      <c r="U91" s="2041"/>
      <c r="V91" s="2041"/>
      <c r="W91" s="2041"/>
      <c r="X91" s="2041"/>
      <c r="Y91" s="2041"/>
      <c r="Z91" s="2041"/>
      <c r="AA91" s="2041"/>
      <c r="AB91" s="2041"/>
      <c r="AC91" s="2041"/>
      <c r="AD91" s="2041"/>
      <c r="AE91" s="2041"/>
      <c r="AF91" s="2041"/>
      <c r="AG91" s="2041"/>
    </row>
    <row r="92" spans="8:33">
      <c r="H92" s="2051"/>
      <c r="I92" s="2041"/>
      <c r="J92" s="2041"/>
      <c r="K92" s="2041"/>
      <c r="L92" s="2041"/>
      <c r="M92" s="2041"/>
      <c r="N92" s="2041"/>
      <c r="O92" s="2041"/>
      <c r="P92" s="2041"/>
      <c r="Q92" s="2041"/>
      <c r="R92" s="2041"/>
      <c r="S92" s="2041"/>
      <c r="T92" s="2041"/>
      <c r="U92" s="2041"/>
      <c r="V92" s="2041"/>
      <c r="W92" s="2041"/>
      <c r="X92" s="2041"/>
      <c r="Y92" s="2041"/>
      <c r="Z92" s="2041"/>
      <c r="AA92" s="2041"/>
      <c r="AB92" s="2041"/>
      <c r="AC92" s="2041"/>
      <c r="AD92" s="2041"/>
      <c r="AE92" s="2041"/>
      <c r="AF92" s="2041"/>
      <c r="AG92" s="2041"/>
    </row>
  </sheetData>
  <sheetProtection formatCells="0" insertHyperlinks="0" autoFilter="0"/>
  <mergeCells count="21">
    <mergeCell ref="A1:R1"/>
    <mergeCell ref="A23:C23"/>
    <mergeCell ref="D23:G23"/>
    <mergeCell ref="A45:C45"/>
    <mergeCell ref="D45:G45"/>
    <mergeCell ref="A59:C59"/>
    <mergeCell ref="D59:G59"/>
    <mergeCell ref="A77:C77"/>
    <mergeCell ref="D77:G77"/>
    <mergeCell ref="A2:A3"/>
    <mergeCell ref="A4:A11"/>
    <mergeCell ref="A12:A15"/>
    <mergeCell ref="A16:A18"/>
    <mergeCell ref="A24:A30"/>
    <mergeCell ref="A32:A37"/>
    <mergeCell ref="A38:A44"/>
    <mergeCell ref="B5:B6"/>
    <mergeCell ref="C42:C43"/>
    <mergeCell ref="I83:I84"/>
    <mergeCell ref="M5:M6"/>
    <mergeCell ref="T42:T4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D70"/>
  <sheetViews>
    <sheetView zoomScale="80" zoomScaleNormal="80" workbookViewId="0">
      <selection activeCell="J25" sqref="J25"/>
    </sheetView>
  </sheetViews>
  <sheetFormatPr defaultColWidth="9" defaultRowHeight="13.5"/>
  <cols>
    <col min="1" max="1" width="11.875" customWidth="1"/>
    <col min="2" max="2" width="17.625" customWidth="1"/>
    <col min="3" max="3" width="10.5333333333333" customWidth="1"/>
    <col min="4" max="4" width="15" customWidth="1"/>
    <col min="5" max="5" width="8" customWidth="1"/>
    <col min="6" max="6" width="20.1083333333333" customWidth="1"/>
    <col min="7" max="7" width="13.6083333333333" customWidth="1"/>
    <col min="8" max="8" width="10.375" style="1934"/>
    <col min="9" max="9" width="12.5" customWidth="1"/>
    <col min="10" max="10" width="15.975" customWidth="1"/>
    <col min="11" max="11" width="13.7583333333333"/>
    <col min="12" max="12" width="13.6083333333333" customWidth="1"/>
    <col min="13" max="13" width="17.3583333333333" customWidth="1"/>
    <col min="14" max="14" width="12.625"/>
    <col min="15" max="15" width="16.7166666666667" customWidth="1"/>
    <col min="16" max="16" width="22.1416666666667" customWidth="1"/>
  </cols>
  <sheetData>
    <row r="1" ht="24.75" customHeight="1" spans="1:30">
      <c r="A1" s="1936" t="s">
        <v>278</v>
      </c>
      <c r="B1" s="1937"/>
      <c r="C1" s="1937"/>
      <c r="D1" s="1937"/>
      <c r="E1" s="1937"/>
      <c r="F1" s="1937"/>
      <c r="G1" s="1937"/>
      <c r="H1" s="1960"/>
      <c r="I1" s="1937"/>
      <c r="J1" s="1937"/>
      <c r="K1" s="1937"/>
      <c r="L1" s="1937"/>
      <c r="M1" s="1937"/>
      <c r="N1" s="1937"/>
      <c r="O1" s="1937"/>
      <c r="P1" s="2001"/>
      <c r="Q1" s="2001"/>
      <c r="R1" s="2001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2001"/>
      <c r="AD1" s="2001"/>
    </row>
    <row r="2" ht="27" customHeight="1" spans="1:30">
      <c r="A2" s="1938" t="s">
        <v>1</v>
      </c>
      <c r="B2" s="1939" t="s">
        <v>2</v>
      </c>
      <c r="C2" s="1939" t="s">
        <v>3</v>
      </c>
      <c r="D2" s="2003" t="s">
        <v>4</v>
      </c>
      <c r="E2" s="1939" t="s">
        <v>5</v>
      </c>
      <c r="F2" s="1940" t="s">
        <v>6</v>
      </c>
      <c r="G2" s="1940" t="s">
        <v>7</v>
      </c>
      <c r="H2" s="1962" t="s">
        <v>8</v>
      </c>
      <c r="I2" s="1963" t="s">
        <v>9</v>
      </c>
      <c r="J2" s="2574" t="s">
        <v>10</v>
      </c>
      <c r="K2" s="1978" t="s">
        <v>11</v>
      </c>
      <c r="L2" s="1979" t="s">
        <v>12</v>
      </c>
      <c r="M2" s="1979" t="s">
        <v>13</v>
      </c>
      <c r="N2" s="1980" t="s">
        <v>14</v>
      </c>
      <c r="O2" s="2003" t="s">
        <v>15</v>
      </c>
      <c r="P2" s="2004" t="s">
        <v>16</v>
      </c>
      <c r="Q2" s="2004" t="s">
        <v>17</v>
      </c>
      <c r="R2" s="2004" t="s">
        <v>18</v>
      </c>
      <c r="S2" s="2004" t="s">
        <v>19</v>
      </c>
      <c r="T2" s="2021" t="s">
        <v>20</v>
      </c>
      <c r="U2" s="2021" t="s">
        <v>21</v>
      </c>
      <c r="V2" s="2004" t="s">
        <v>22</v>
      </c>
      <c r="W2" s="2004" t="s">
        <v>23</v>
      </c>
      <c r="X2" s="2004" t="s">
        <v>24</v>
      </c>
      <c r="Y2" s="2004" t="s">
        <v>25</v>
      </c>
      <c r="Z2" s="2004" t="s">
        <v>26</v>
      </c>
      <c r="AA2" s="2004" t="s">
        <v>27</v>
      </c>
      <c r="AB2" s="2004" t="s">
        <v>28</v>
      </c>
      <c r="AC2" s="2026" t="s">
        <v>26</v>
      </c>
      <c r="AD2" s="2027" t="s">
        <v>27</v>
      </c>
    </row>
    <row r="3" spans="1:30">
      <c r="A3" s="1938"/>
      <c r="B3" s="1939"/>
      <c r="C3" s="1939"/>
      <c r="D3" s="2003"/>
      <c r="E3" s="1939"/>
      <c r="F3" s="1940"/>
      <c r="G3" s="1940"/>
      <c r="H3" s="1962"/>
      <c r="I3" s="1963"/>
      <c r="J3" s="2574"/>
      <c r="K3" s="1978"/>
      <c r="L3" s="1979"/>
      <c r="M3" s="1979"/>
      <c r="N3" s="1980"/>
      <c r="O3" s="2528"/>
      <c r="P3" s="2529"/>
      <c r="Q3" s="2529"/>
      <c r="R3" s="2529"/>
      <c r="S3" s="2529"/>
      <c r="T3" s="2547"/>
      <c r="U3" s="2547"/>
      <c r="V3" s="2529"/>
      <c r="W3" s="2529"/>
      <c r="X3" s="2529"/>
      <c r="Y3" s="2529"/>
      <c r="Z3" s="2529"/>
      <c r="AA3" s="2529"/>
      <c r="AB3" s="2529"/>
      <c r="AC3" s="2529"/>
      <c r="AD3" s="2529"/>
    </row>
    <row r="4" s="23" customFormat="1" ht="16.5" customHeight="1" spans="1:30">
      <c r="A4" s="2099" t="s">
        <v>38</v>
      </c>
      <c r="B4" s="2550" t="s">
        <v>197</v>
      </c>
      <c r="C4" s="2550"/>
      <c r="D4" s="2551"/>
      <c r="E4" s="2550"/>
      <c r="F4" s="2550"/>
      <c r="G4" s="2550" t="s">
        <v>279</v>
      </c>
      <c r="H4" s="2564"/>
      <c r="I4" s="2550"/>
      <c r="J4" s="2575">
        <v>200000</v>
      </c>
      <c r="K4" s="2383"/>
      <c r="L4" s="2576"/>
      <c r="M4" s="2576"/>
      <c r="N4" s="2586"/>
      <c r="O4" s="2550"/>
      <c r="P4" s="2550"/>
      <c r="Q4" s="2550" t="s">
        <v>140</v>
      </c>
      <c r="R4" s="2550"/>
      <c r="S4" s="2550"/>
      <c r="T4" s="2550"/>
      <c r="U4" s="2550"/>
      <c r="V4" s="2550"/>
      <c r="W4" s="2550"/>
      <c r="X4" s="2550"/>
      <c r="Y4" s="2550"/>
      <c r="Z4" s="2550"/>
      <c r="AA4" s="2550"/>
      <c r="AB4" s="2550"/>
      <c r="AC4" s="2550"/>
      <c r="AD4" s="2550"/>
    </row>
    <row r="5" ht="16.5" spans="1:30">
      <c r="A5" s="2310"/>
      <c r="B5" s="2099" t="s">
        <v>201</v>
      </c>
      <c r="C5" s="2475"/>
      <c r="D5" s="2552"/>
      <c r="E5" s="2475"/>
      <c r="F5" s="2475"/>
      <c r="G5" s="2476" t="s">
        <v>280</v>
      </c>
      <c r="H5" s="2565"/>
      <c r="I5" s="2475"/>
      <c r="J5" s="2577">
        <v>500000</v>
      </c>
      <c r="K5" s="2578"/>
      <c r="L5" s="2579"/>
      <c r="M5" s="2579"/>
      <c r="N5" s="2587"/>
      <c r="O5" s="2310"/>
      <c r="P5" s="2310"/>
      <c r="Q5" s="2310"/>
      <c r="R5" s="2310"/>
      <c r="S5" s="2310"/>
      <c r="T5" s="2310"/>
      <c r="U5" s="2310"/>
      <c r="V5" s="2310"/>
      <c r="W5" s="2310"/>
      <c r="X5" s="2310"/>
      <c r="Y5" s="2310"/>
      <c r="Z5" s="2310"/>
      <c r="AA5" s="2310"/>
      <c r="AB5" s="2310"/>
      <c r="AC5" s="2310"/>
      <c r="AD5" s="2001"/>
    </row>
    <row r="6" ht="16.5" customHeight="1" spans="1:30">
      <c r="A6" s="2102"/>
      <c r="B6" s="2475" t="s">
        <v>281</v>
      </c>
      <c r="C6" s="2475"/>
      <c r="D6" s="2466"/>
      <c r="E6" s="2475"/>
      <c r="F6" s="2566"/>
      <c r="G6" s="2567" t="s">
        <v>205</v>
      </c>
      <c r="H6" s="2477"/>
      <c r="I6" s="2580"/>
      <c r="J6" s="2499">
        <v>200000</v>
      </c>
      <c r="K6" s="2578"/>
      <c r="L6" s="2579"/>
      <c r="M6" s="2579"/>
      <c r="N6" s="2588"/>
      <c r="O6" s="2589"/>
      <c r="P6" s="2310"/>
      <c r="Q6" s="2310"/>
      <c r="R6" s="2310"/>
      <c r="S6" s="2310"/>
      <c r="T6" s="2592"/>
      <c r="U6" s="2592"/>
      <c r="V6" s="2310"/>
      <c r="W6" s="2310"/>
      <c r="X6" s="2310"/>
      <c r="Y6" s="2310"/>
      <c r="Z6" s="2310"/>
      <c r="AA6" s="2310"/>
      <c r="AB6" s="2310"/>
      <c r="AC6" s="2310"/>
      <c r="AD6" s="2001"/>
    </row>
    <row r="7" customFormat="1" ht="16.5" customHeight="1" spans="1:30">
      <c r="A7" s="2102"/>
      <c r="B7" s="2475" t="s">
        <v>162</v>
      </c>
      <c r="C7" s="2475"/>
      <c r="D7" s="2466"/>
      <c r="E7" s="2475"/>
      <c r="F7" s="2566"/>
      <c r="G7" s="2567"/>
      <c r="H7" s="2477"/>
      <c r="I7" s="2580"/>
      <c r="J7" s="2499">
        <v>200000</v>
      </c>
      <c r="K7" s="2578"/>
      <c r="L7" s="2579"/>
      <c r="M7" s="2579"/>
      <c r="N7" s="2588"/>
      <c r="O7" s="2589"/>
      <c r="P7" s="2310"/>
      <c r="Q7" s="2310"/>
      <c r="R7" s="2310"/>
      <c r="S7" s="2310"/>
      <c r="T7" s="2592"/>
      <c r="U7" s="2592"/>
      <c r="V7" s="2310"/>
      <c r="W7" s="2310"/>
      <c r="X7" s="2310"/>
      <c r="Y7" s="2310"/>
      <c r="Z7" s="2310"/>
      <c r="AA7" s="2310"/>
      <c r="AB7" s="2310"/>
      <c r="AC7" s="2310"/>
      <c r="AD7" s="2001"/>
    </row>
    <row r="8" s="23" customFormat="1" ht="16.5" customHeight="1" spans="1:30">
      <c r="A8" s="2463"/>
      <c r="B8" s="2553" t="s">
        <v>207</v>
      </c>
      <c r="C8" s="2475"/>
      <c r="D8" s="2466"/>
      <c r="E8" s="2475"/>
      <c r="F8" s="2566"/>
      <c r="G8" s="2567" t="s">
        <v>282</v>
      </c>
      <c r="H8" s="2477"/>
      <c r="I8" s="2580"/>
      <c r="J8" s="2499">
        <v>200000</v>
      </c>
      <c r="K8" s="2500"/>
      <c r="L8" s="2501"/>
      <c r="M8" s="2501"/>
      <c r="N8" s="2590"/>
      <c r="O8" s="2591"/>
      <c r="P8" s="2099"/>
      <c r="Q8" s="2099"/>
      <c r="R8" s="2099"/>
      <c r="S8" s="2099"/>
      <c r="T8" s="2593"/>
      <c r="U8" s="2593"/>
      <c r="V8" s="2099"/>
      <c r="W8" s="2099"/>
      <c r="X8" s="2099"/>
      <c r="Y8" s="2099"/>
      <c r="Z8" s="2099"/>
      <c r="AA8" s="2099"/>
      <c r="AB8" s="2099"/>
      <c r="AC8" s="2099"/>
      <c r="AD8" s="2595"/>
    </row>
    <row r="9" customFormat="1" ht="16.5" customHeight="1" spans="1:30">
      <c r="A9" s="2554"/>
      <c r="B9" s="2553" t="s">
        <v>283</v>
      </c>
      <c r="C9" s="2475"/>
      <c r="D9" s="2466"/>
      <c r="E9" s="2475"/>
      <c r="F9" s="2566"/>
      <c r="G9" s="2567"/>
      <c r="H9" s="2477"/>
      <c r="I9" s="2580"/>
      <c r="J9" s="2499">
        <v>200000</v>
      </c>
      <c r="K9" s="2578"/>
      <c r="L9" s="2579"/>
      <c r="M9" s="2579"/>
      <c r="N9" s="2588"/>
      <c r="O9" s="2589"/>
      <c r="P9" s="2310"/>
      <c r="Q9" s="2310"/>
      <c r="R9" s="2310"/>
      <c r="S9" s="2310"/>
      <c r="T9" s="2592"/>
      <c r="U9" s="2592"/>
      <c r="V9" s="2310"/>
      <c r="W9" s="2310"/>
      <c r="X9" s="2310"/>
      <c r="Y9" s="2310"/>
      <c r="Z9" s="2310"/>
      <c r="AA9" s="2310"/>
      <c r="AB9" s="2310"/>
      <c r="AC9" s="2310"/>
      <c r="AD9" s="2001"/>
    </row>
    <row r="10" customFormat="1" ht="16.5" customHeight="1" spans="1:30">
      <c r="A10" s="2554"/>
      <c r="B10" s="2553" t="s">
        <v>145</v>
      </c>
      <c r="C10" s="2475"/>
      <c r="D10" s="2466"/>
      <c r="E10" s="2475"/>
      <c r="F10" s="2566"/>
      <c r="G10" s="2567"/>
      <c r="H10" s="2477"/>
      <c r="I10" s="2580"/>
      <c r="J10" s="2499">
        <v>200000</v>
      </c>
      <c r="K10" s="2578"/>
      <c r="L10" s="2579"/>
      <c r="M10" s="2579"/>
      <c r="N10" s="2588"/>
      <c r="O10" s="2589"/>
      <c r="P10" s="2310"/>
      <c r="Q10" s="2310"/>
      <c r="R10" s="2310"/>
      <c r="S10" s="2310"/>
      <c r="T10" s="2592"/>
      <c r="U10" s="2592"/>
      <c r="V10" s="2310"/>
      <c r="W10" s="2310"/>
      <c r="X10" s="2310"/>
      <c r="Y10" s="2310"/>
      <c r="Z10" s="2310"/>
      <c r="AA10" s="2310"/>
      <c r="AB10" s="2310"/>
      <c r="AC10" s="2310"/>
      <c r="AD10" s="2001"/>
    </row>
    <row r="11" s="23" customFormat="1" ht="16.5" customHeight="1" spans="1:30">
      <c r="A11" s="2463" t="s">
        <v>57</v>
      </c>
      <c r="B11" s="2553" t="s">
        <v>148</v>
      </c>
      <c r="C11" s="2475" t="s">
        <v>210</v>
      </c>
      <c r="D11" s="2466">
        <v>44084</v>
      </c>
      <c r="E11" s="2475"/>
      <c r="F11" s="2566"/>
      <c r="G11" s="2567"/>
      <c r="H11" s="2477"/>
      <c r="I11" s="2580"/>
      <c r="J11" s="2499">
        <v>1500000</v>
      </c>
      <c r="K11" s="2500"/>
      <c r="L11" s="2501"/>
      <c r="M11" s="2501"/>
      <c r="N11" s="2590"/>
      <c r="O11" s="2591"/>
      <c r="P11" s="2099"/>
      <c r="Q11" s="2099"/>
      <c r="R11" s="2099"/>
      <c r="S11" s="2099"/>
      <c r="T11" s="2593"/>
      <c r="U11" s="2593"/>
      <c r="V11" s="2099"/>
      <c r="W11" s="2099"/>
      <c r="X11" s="2099"/>
      <c r="Y11" s="2099"/>
      <c r="Z11" s="2099"/>
      <c r="AA11" s="2099"/>
      <c r="AB11" s="2099"/>
      <c r="AC11" s="2099"/>
      <c r="AD11" s="2595"/>
    </row>
    <row r="12" s="23" customFormat="1" ht="16.5" spans="1:30">
      <c r="A12" s="2463"/>
      <c r="B12" s="2464" t="s">
        <v>150</v>
      </c>
      <c r="C12" s="2465" t="s">
        <v>198</v>
      </c>
      <c r="D12" s="2466"/>
      <c r="E12" s="2475"/>
      <c r="F12" s="2475"/>
      <c r="G12" s="2476"/>
      <c r="H12" s="2478"/>
      <c r="I12" s="2475"/>
      <c r="J12" s="2499">
        <v>200000</v>
      </c>
      <c r="K12" s="2500"/>
      <c r="L12" s="2501"/>
      <c r="M12" s="2532"/>
      <c r="N12" s="2419"/>
      <c r="O12" s="1946"/>
      <c r="P12" s="1946"/>
      <c r="Q12" s="1946"/>
      <c r="R12" s="1946"/>
      <c r="S12" s="1946"/>
      <c r="T12" s="1946"/>
      <c r="U12" s="1946"/>
      <c r="V12" s="1946"/>
      <c r="W12" s="1946"/>
      <c r="X12" s="1946"/>
      <c r="Y12" s="1946"/>
      <c r="Z12" s="1946"/>
      <c r="AA12" s="1946"/>
      <c r="AB12" s="1946"/>
      <c r="AC12" s="1946"/>
      <c r="AD12" s="1946"/>
    </row>
    <row r="13" s="23" customFormat="1" ht="16.5" spans="1:30">
      <c r="A13" s="2463"/>
      <c r="B13" s="2465" t="s">
        <v>284</v>
      </c>
      <c r="C13" s="2465"/>
      <c r="D13" s="2466"/>
      <c r="E13" s="2475"/>
      <c r="F13" s="2475"/>
      <c r="G13" s="2476"/>
      <c r="H13" s="2478"/>
      <c r="I13" s="2475"/>
      <c r="J13" s="2499">
        <v>200000</v>
      </c>
      <c r="K13" s="2500"/>
      <c r="L13" s="2501"/>
      <c r="M13" s="2532"/>
      <c r="N13" s="2419"/>
      <c r="O13" s="1946"/>
      <c r="P13" s="1946"/>
      <c r="Q13" s="1946"/>
      <c r="R13" s="1946"/>
      <c r="S13" s="1946"/>
      <c r="T13" s="1946"/>
      <c r="U13" s="1946"/>
      <c r="V13" s="1946"/>
      <c r="W13" s="1946"/>
      <c r="X13" s="1946"/>
      <c r="Y13" s="1946"/>
      <c r="Z13" s="1946"/>
      <c r="AA13" s="1946"/>
      <c r="AB13" s="1946"/>
      <c r="AC13" s="1946"/>
      <c r="AD13" s="1946"/>
    </row>
    <row r="14" s="23" customFormat="1" ht="16.5" spans="1:30">
      <c r="A14" s="2463" t="s">
        <v>220</v>
      </c>
      <c r="B14" s="2467" t="s">
        <v>221</v>
      </c>
      <c r="C14" s="2467" t="s">
        <v>210</v>
      </c>
      <c r="D14" s="2468"/>
      <c r="E14" s="2099"/>
      <c r="F14" s="2099"/>
      <c r="G14" s="2100"/>
      <c r="H14" s="2098"/>
      <c r="I14" s="2099"/>
      <c r="J14" s="2502">
        <v>200000</v>
      </c>
      <c r="K14" s="2503"/>
      <c r="L14" s="2504"/>
      <c r="M14" s="2535"/>
      <c r="N14" s="2536"/>
      <c r="O14" s="2008"/>
      <c r="P14" s="2008"/>
      <c r="Q14" s="2008"/>
      <c r="R14" s="2008"/>
      <c r="S14" s="2008"/>
      <c r="T14" s="2008"/>
      <c r="U14" s="2008"/>
      <c r="V14" s="2008"/>
      <c r="W14" s="2008"/>
      <c r="X14" s="2008"/>
      <c r="Y14" s="2008"/>
      <c r="Z14" s="2008"/>
      <c r="AA14" s="2008"/>
      <c r="AB14" s="2008"/>
      <c r="AC14" s="2008"/>
      <c r="AD14" s="2008"/>
    </row>
    <row r="15" ht="16.5" customHeight="1" spans="1:30">
      <c r="A15" s="2469" t="s">
        <v>67</v>
      </c>
      <c r="B15" s="2469"/>
      <c r="C15" s="2469"/>
      <c r="D15" s="1951" t="s">
        <v>285</v>
      </c>
      <c r="E15" s="1951"/>
      <c r="F15" s="1951"/>
      <c r="G15" s="1951"/>
      <c r="H15" s="1968"/>
      <c r="I15" s="1969"/>
      <c r="J15" s="2505">
        <f>SUM(J4:J13)</f>
        <v>3600000</v>
      </c>
      <c r="K15" s="2506"/>
      <c r="L15" s="2505">
        <v>0</v>
      </c>
      <c r="M15" s="2537">
        <v>0</v>
      </c>
      <c r="N15" s="2538">
        <v>0</v>
      </c>
      <c r="O15" s="2009"/>
      <c r="P15" s="2009"/>
      <c r="Q15" s="2009"/>
      <c r="R15" s="2226"/>
      <c r="S15" s="2226"/>
      <c r="T15" s="2226"/>
      <c r="U15" s="2226"/>
      <c r="V15" s="2226"/>
      <c r="W15" s="2226"/>
      <c r="X15" s="2226"/>
      <c r="Y15" s="2226"/>
      <c r="Z15" s="2226"/>
      <c r="AA15" s="2226"/>
      <c r="AB15" s="2226"/>
      <c r="AC15" s="2226"/>
      <c r="AD15" s="2226"/>
    </row>
    <row r="16" ht="16.5" spans="1:30">
      <c r="A16" s="2020" t="s">
        <v>224</v>
      </c>
      <c r="B16" s="2449"/>
      <c r="C16" s="2011"/>
      <c r="D16" s="2555"/>
      <c r="E16" s="2568"/>
      <c r="F16" s="2568"/>
      <c r="G16" s="2555"/>
      <c r="H16" s="2479"/>
      <c r="I16" s="2541"/>
      <c r="J16" s="73"/>
      <c r="K16" s="2581"/>
      <c r="L16" s="73"/>
      <c r="M16" s="2541"/>
      <c r="N16" s="2011"/>
      <c r="O16" s="2011"/>
      <c r="P16" s="2545"/>
      <c r="Q16" s="2545"/>
      <c r="R16" s="2001"/>
      <c r="S16" s="2001"/>
      <c r="T16" s="2001"/>
      <c r="U16" s="2001"/>
      <c r="V16" s="2001"/>
      <c r="W16" s="2001"/>
      <c r="X16" s="2001"/>
      <c r="Y16" s="2001"/>
      <c r="Z16" s="2001"/>
      <c r="AA16" s="2001"/>
      <c r="AB16" s="2001"/>
      <c r="AC16" s="2001"/>
      <c r="AD16" s="2001"/>
    </row>
    <row r="17" ht="16.5" spans="1:30">
      <c r="A17" s="2020"/>
      <c r="B17" s="2556" t="s">
        <v>286</v>
      </c>
      <c r="C17" s="2557" t="s">
        <v>210</v>
      </c>
      <c r="D17" s="2190"/>
      <c r="E17" s="2190"/>
      <c r="F17" s="2568"/>
      <c r="G17" s="2555"/>
      <c r="H17" s="2479"/>
      <c r="I17" s="2541"/>
      <c r="J17" s="2582">
        <v>90000</v>
      </c>
      <c r="K17" s="2582"/>
      <c r="L17" s="2582">
        <v>90000</v>
      </c>
      <c r="M17" s="2582"/>
      <c r="N17" s="2011"/>
      <c r="O17" s="2011"/>
      <c r="P17" s="2545"/>
      <c r="Q17" s="2594"/>
      <c r="R17" s="2001"/>
      <c r="S17" s="2001"/>
      <c r="T17" s="2001"/>
      <c r="U17" s="2001"/>
      <c r="V17" s="2001"/>
      <c r="W17" s="2001"/>
      <c r="X17" s="2001"/>
      <c r="Y17" s="2001"/>
      <c r="Z17" s="2001"/>
      <c r="AA17" s="2001"/>
      <c r="AB17" s="2001"/>
      <c r="AC17" s="2001"/>
      <c r="AD17" s="2001"/>
    </row>
    <row r="18" ht="18" spans="1:30">
      <c r="A18" s="2020" t="s">
        <v>42</v>
      </c>
      <c r="B18" s="2020" t="s">
        <v>165</v>
      </c>
      <c r="C18" s="2020"/>
      <c r="D18" s="2444"/>
      <c r="E18" s="2020"/>
      <c r="F18" s="2020"/>
      <c r="G18" s="2479"/>
      <c r="H18" s="2480"/>
      <c r="I18" s="2507"/>
      <c r="J18" s="2543">
        <v>400000</v>
      </c>
      <c r="K18" s="2508"/>
      <c r="L18" s="2097"/>
      <c r="M18" s="2097"/>
      <c r="N18" s="2539"/>
      <c r="O18" s="2540"/>
      <c r="P18" s="2540"/>
      <c r="Q18" s="2548"/>
      <c r="R18" s="2020"/>
      <c r="S18" s="2020"/>
      <c r="T18" s="2020"/>
      <c r="U18" s="2020"/>
      <c r="V18" s="2020"/>
      <c r="W18" s="2020"/>
      <c r="X18" s="2020"/>
      <c r="Y18" s="2020"/>
      <c r="Z18" s="2020"/>
      <c r="AA18" s="2020"/>
      <c r="AB18" s="2020"/>
      <c r="AC18" s="2020"/>
      <c r="AD18" s="2020"/>
    </row>
    <row r="19" ht="18" customHeight="1" spans="1:30">
      <c r="A19" s="2011" t="s">
        <v>93</v>
      </c>
      <c r="B19" s="2020" t="s">
        <v>287</v>
      </c>
      <c r="C19" s="2020"/>
      <c r="D19" s="2444"/>
      <c r="E19" s="2020"/>
      <c r="F19" s="2020"/>
      <c r="G19" s="2569"/>
      <c r="H19" s="2480"/>
      <c r="I19" s="2583"/>
      <c r="J19" s="73">
        <v>20000</v>
      </c>
      <c r="K19" s="2508"/>
      <c r="L19" s="73"/>
      <c r="M19" s="2097"/>
      <c r="N19" s="2539"/>
      <c r="O19" s="2540"/>
      <c r="P19" s="2540"/>
      <c r="Q19" s="2548"/>
      <c r="R19" s="2020"/>
      <c r="S19" s="2020"/>
      <c r="T19" s="2020"/>
      <c r="U19" s="2020"/>
      <c r="V19" s="2020"/>
      <c r="W19" s="2020"/>
      <c r="X19" s="2020"/>
      <c r="Y19" s="2020"/>
      <c r="Z19" s="2020"/>
      <c r="AA19" s="2020"/>
      <c r="AB19" s="2020"/>
      <c r="AC19" s="2020"/>
      <c r="AD19" s="2020"/>
    </row>
    <row r="20" ht="16.5" spans="1:30">
      <c r="A20" s="2011"/>
      <c r="B20" s="2011" t="s">
        <v>167</v>
      </c>
      <c r="C20" s="2011"/>
      <c r="D20" s="2555"/>
      <c r="E20" s="2568"/>
      <c r="F20" s="2568"/>
      <c r="G20" s="2555"/>
      <c r="H20" s="2479"/>
      <c r="I20" s="2541"/>
      <c r="J20" s="73">
        <v>20000</v>
      </c>
      <c r="K20" s="2581"/>
      <c r="L20" s="73"/>
      <c r="M20" s="2541"/>
      <c r="N20" s="2542"/>
      <c r="O20" s="2540"/>
      <c r="P20" s="2540"/>
      <c r="Q20" s="2548"/>
      <c r="R20" s="2020"/>
      <c r="S20" s="2020"/>
      <c r="T20" s="2020"/>
      <c r="U20" s="2020"/>
      <c r="V20" s="2020"/>
      <c r="W20" s="2020"/>
      <c r="X20" s="2020"/>
      <c r="Y20" s="2020"/>
      <c r="Z20" s="2020"/>
      <c r="AA20" s="2020"/>
      <c r="AB20" s="2020"/>
      <c r="AC20" s="2020"/>
      <c r="AD20" s="2020"/>
    </row>
    <row r="21" ht="16.5" spans="1:30">
      <c r="A21" s="2011"/>
      <c r="B21" s="2011" t="s">
        <v>288</v>
      </c>
      <c r="C21" s="2011"/>
      <c r="D21" s="2555"/>
      <c r="E21" s="2568"/>
      <c r="F21" s="2568"/>
      <c r="G21" s="2555"/>
      <c r="H21" s="2479"/>
      <c r="I21" s="2583"/>
      <c r="J21" s="73">
        <v>120000</v>
      </c>
      <c r="K21" s="2581"/>
      <c r="L21" s="73"/>
      <c r="M21" s="2541"/>
      <c r="N21" s="2542"/>
      <c r="O21" s="2540"/>
      <c r="P21" s="2540"/>
      <c r="Q21" s="2548"/>
      <c r="R21" s="2020"/>
      <c r="S21" s="2020"/>
      <c r="T21" s="2020"/>
      <c r="U21" s="2020"/>
      <c r="V21" s="2020"/>
      <c r="W21" s="2020"/>
      <c r="X21" s="2020"/>
      <c r="Y21" s="2020"/>
      <c r="Z21" s="2020"/>
      <c r="AA21" s="2020"/>
      <c r="AB21" s="2020"/>
      <c r="AC21" s="2020"/>
      <c r="AD21" s="2020"/>
    </row>
    <row r="22" ht="16.5" spans="1:30">
      <c r="A22" s="2558" t="s">
        <v>245</v>
      </c>
      <c r="B22" s="2559" t="s">
        <v>256</v>
      </c>
      <c r="C22" s="2465" t="s">
        <v>198</v>
      </c>
      <c r="D22" s="2560"/>
      <c r="E22" s="2560" t="s">
        <v>289</v>
      </c>
      <c r="F22" s="2560"/>
      <c r="G22" s="2560" t="s">
        <v>290</v>
      </c>
      <c r="H22" s="2230">
        <v>40</v>
      </c>
      <c r="I22" s="1998"/>
      <c r="J22" s="1975">
        <v>13173</v>
      </c>
      <c r="K22" s="2500"/>
      <c r="L22" s="2501"/>
      <c r="M22" s="2501"/>
      <c r="N22" s="2419"/>
      <c r="O22" s="2544"/>
      <c r="P22" s="2540"/>
      <c r="Q22" s="2548"/>
      <c r="R22" s="2020"/>
      <c r="S22" s="2020"/>
      <c r="T22" s="2020"/>
      <c r="U22" s="2020"/>
      <c r="V22" s="2020"/>
      <c r="W22" s="2020"/>
      <c r="X22" s="2020"/>
      <c r="Y22" s="2020"/>
      <c r="Z22" s="2020"/>
      <c r="AA22" s="2020"/>
      <c r="AB22" s="2020"/>
      <c r="AC22" s="2020"/>
      <c r="AD22" s="2020"/>
    </row>
    <row r="23" ht="16.5" spans="1:30">
      <c r="A23" s="2558"/>
      <c r="B23" s="2467" t="s">
        <v>174</v>
      </c>
      <c r="C23" s="2467" t="s">
        <v>198</v>
      </c>
      <c r="D23" s="2561"/>
      <c r="E23" s="2561"/>
      <c r="F23" s="2561" t="s">
        <v>291</v>
      </c>
      <c r="G23" s="2570" t="s">
        <v>292</v>
      </c>
      <c r="H23" s="2571">
        <v>85</v>
      </c>
      <c r="I23" s="2584"/>
      <c r="J23" s="2585">
        <v>210000</v>
      </c>
      <c r="K23" s="2503"/>
      <c r="L23" s="2504"/>
      <c r="M23" s="2504"/>
      <c r="N23" s="2536"/>
      <c r="O23" s="2544"/>
      <c r="P23" s="2540"/>
      <c r="Q23" s="2548"/>
      <c r="R23" s="2020"/>
      <c r="S23" s="2020"/>
      <c r="T23" s="2020"/>
      <c r="U23" s="2020"/>
      <c r="V23" s="2020"/>
      <c r="W23" s="2020"/>
      <c r="X23" s="2020"/>
      <c r="Y23" s="2020"/>
      <c r="Z23" s="2020"/>
      <c r="AA23" s="2020"/>
      <c r="AB23" s="2020"/>
      <c r="AC23" s="2020"/>
      <c r="AD23" s="2020"/>
    </row>
    <row r="24" ht="15.95" customHeight="1" spans="1:30">
      <c r="A24" s="2469" t="s">
        <v>67</v>
      </c>
      <c r="B24" s="2469"/>
      <c r="C24" s="2469"/>
      <c r="D24" s="1951" t="s">
        <v>293</v>
      </c>
      <c r="E24" s="1951"/>
      <c r="F24" s="1951"/>
      <c r="G24" s="2572"/>
      <c r="H24" s="2484"/>
      <c r="I24" s="2515"/>
      <c r="J24" s="2380">
        <f>SUM(J16:J23)</f>
        <v>873173</v>
      </c>
      <c r="K24" s="2381"/>
      <c r="L24" s="2380">
        <v>248905</v>
      </c>
      <c r="M24" s="2382">
        <v>0</v>
      </c>
      <c r="N24" s="2382">
        <v>0</v>
      </c>
      <c r="O24" s="474"/>
      <c r="P24" s="474"/>
      <c r="Q24" s="474"/>
      <c r="R24" s="2011"/>
      <c r="S24" s="2011"/>
      <c r="T24" s="2011"/>
      <c r="U24" s="2011"/>
      <c r="V24" s="2011"/>
      <c r="W24" s="2011"/>
      <c r="X24" s="2011"/>
      <c r="Y24" s="2011"/>
      <c r="Z24" s="2011"/>
      <c r="AA24" s="2011"/>
      <c r="AB24" s="2011"/>
      <c r="AC24" s="2011"/>
      <c r="AD24" s="2011"/>
    </row>
    <row r="25" ht="16.5" spans="1:30">
      <c r="A25" s="2562" t="s">
        <v>294</v>
      </c>
      <c r="B25" s="247" t="s">
        <v>295</v>
      </c>
      <c r="C25" s="2031" t="s">
        <v>198</v>
      </c>
      <c r="D25" s="259"/>
      <c r="E25" s="259"/>
      <c r="F25" s="2025" t="s">
        <v>296</v>
      </c>
      <c r="G25" s="259"/>
      <c r="H25" s="2573"/>
      <c r="I25" s="2516">
        <v>53810</v>
      </c>
      <c r="J25" s="2518">
        <v>351960.45</v>
      </c>
      <c r="K25" s="259"/>
      <c r="L25" s="259"/>
      <c r="M25" s="259"/>
      <c r="N25" s="259"/>
      <c r="O25" s="2017"/>
      <c r="P25" s="2017"/>
      <c r="Q25" s="2020"/>
      <c r="R25" s="2020"/>
      <c r="S25" s="2020"/>
      <c r="T25" s="2020"/>
      <c r="U25" s="2020"/>
      <c r="V25" s="2020"/>
      <c r="W25" s="2020"/>
      <c r="X25" s="2020"/>
      <c r="Y25" s="2020"/>
      <c r="Z25" s="2020"/>
      <c r="AA25" s="2020"/>
      <c r="AB25" s="2020"/>
      <c r="AC25" s="2020"/>
      <c r="AD25" s="2020"/>
    </row>
    <row r="26" ht="16.5" spans="1:30">
      <c r="A26" s="2562"/>
      <c r="B26" s="2563" t="s">
        <v>297</v>
      </c>
      <c r="C26" s="2031" t="s">
        <v>198</v>
      </c>
      <c r="D26" s="2331"/>
      <c r="E26" s="2033"/>
      <c r="F26" s="2025" t="s">
        <v>298</v>
      </c>
      <c r="G26" s="2489"/>
      <c r="H26" s="2033"/>
      <c r="I26" s="2521"/>
      <c r="J26" s="2518">
        <v>225690</v>
      </c>
      <c r="K26" s="2523"/>
      <c r="L26" s="2325"/>
      <c r="M26" s="2325"/>
      <c r="N26" s="2237"/>
      <c r="O26" s="2017">
        <f>SUM(J25:J26)</f>
        <v>577650.45</v>
      </c>
      <c r="P26" s="2017"/>
      <c r="Q26" s="2020"/>
      <c r="R26" s="2020"/>
      <c r="S26" s="2020"/>
      <c r="T26" s="2020"/>
      <c r="U26" s="2020"/>
      <c r="V26" s="2020"/>
      <c r="W26" s="2020"/>
      <c r="X26" s="2020"/>
      <c r="Y26" s="2020"/>
      <c r="Z26" s="2020"/>
      <c r="AA26" s="2020"/>
      <c r="AB26" s="2020"/>
      <c r="AC26" s="2020"/>
      <c r="AD26" s="2020"/>
    </row>
    <row r="27" ht="16.5" spans="1:30">
      <c r="A27" s="2562"/>
      <c r="B27" s="2011" t="s">
        <v>299</v>
      </c>
      <c r="C27" s="2031" t="s">
        <v>198</v>
      </c>
      <c r="D27" s="1959"/>
      <c r="E27" s="2020"/>
      <c r="F27" s="2025" t="s">
        <v>300</v>
      </c>
      <c r="G27" s="40" t="s">
        <v>127</v>
      </c>
      <c r="H27" s="2020"/>
      <c r="I27" s="2243"/>
      <c r="J27" s="2518">
        <f t="shared" ref="J27:J30" si="0">K27*N27</f>
        <v>210574</v>
      </c>
      <c r="K27" s="2508">
        <v>6.5</v>
      </c>
      <c r="L27" s="2325"/>
      <c r="M27" s="2325"/>
      <c r="N27" s="2243">
        <v>32396</v>
      </c>
      <c r="O27" s="2017"/>
      <c r="P27" s="2017"/>
      <c r="Q27" s="2020"/>
      <c r="R27" s="2020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2020"/>
      <c r="AD27" s="2020"/>
    </row>
    <row r="28" ht="16.5" spans="1:30">
      <c r="A28" s="2562"/>
      <c r="B28" s="2011" t="s">
        <v>299</v>
      </c>
      <c r="C28" s="2031" t="s">
        <v>198</v>
      </c>
      <c r="D28" s="1959"/>
      <c r="E28" s="2020"/>
      <c r="F28" s="2025" t="s">
        <v>301</v>
      </c>
      <c r="G28" s="40" t="s">
        <v>127</v>
      </c>
      <c r="H28" s="2020"/>
      <c r="I28" s="2243"/>
      <c r="J28" s="2518">
        <f t="shared" si="0"/>
        <v>210574</v>
      </c>
      <c r="K28" s="2508">
        <v>6.5</v>
      </c>
      <c r="L28" s="2325"/>
      <c r="M28" s="2325"/>
      <c r="N28" s="2243">
        <v>32396</v>
      </c>
      <c r="O28" s="2017"/>
      <c r="P28" s="2017"/>
      <c r="Q28" s="2020"/>
      <c r="R28" s="2020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20"/>
      <c r="AD28" s="2020"/>
    </row>
    <row r="29" ht="16.5" spans="1:30">
      <c r="A29" s="2562"/>
      <c r="B29" s="2011" t="s">
        <v>299</v>
      </c>
      <c r="C29" s="2031" t="s">
        <v>198</v>
      </c>
      <c r="D29" s="1959"/>
      <c r="E29" s="2020"/>
      <c r="F29" s="2025" t="s">
        <v>302</v>
      </c>
      <c r="G29" s="40" t="s">
        <v>127</v>
      </c>
      <c r="H29" s="2020"/>
      <c r="I29" s="2243"/>
      <c r="J29" s="2518">
        <f t="shared" si="0"/>
        <v>210574</v>
      </c>
      <c r="K29" s="2508">
        <v>6.5</v>
      </c>
      <c r="L29" s="2325"/>
      <c r="M29" s="2325"/>
      <c r="N29" s="2243">
        <v>32396</v>
      </c>
      <c r="O29" s="2017"/>
      <c r="P29" s="2017"/>
      <c r="Q29" s="2020"/>
      <c r="R29" s="2020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2020"/>
      <c r="AD29" s="2020"/>
    </row>
    <row r="30" ht="16.5" spans="1:30">
      <c r="A30" s="2562"/>
      <c r="B30" s="2011" t="s">
        <v>299</v>
      </c>
      <c r="C30" s="2031" t="s">
        <v>198</v>
      </c>
      <c r="D30" s="1959"/>
      <c r="E30" s="2020"/>
      <c r="F30" s="2025" t="s">
        <v>303</v>
      </c>
      <c r="G30" s="40" t="s">
        <v>127</v>
      </c>
      <c r="H30" s="2020"/>
      <c r="I30" s="2243"/>
      <c r="J30" s="2518">
        <f t="shared" si="0"/>
        <v>210574</v>
      </c>
      <c r="K30" s="2508">
        <v>6.5</v>
      </c>
      <c r="L30" s="2325"/>
      <c r="M30" s="2325"/>
      <c r="N30" s="2243">
        <v>32396</v>
      </c>
      <c r="O30" s="2017"/>
      <c r="P30" s="2017"/>
      <c r="Q30" s="2020"/>
      <c r="R30" s="2020"/>
      <c r="S30" s="2020"/>
      <c r="T30" s="2020"/>
      <c r="U30" s="2020"/>
      <c r="V30" s="2020"/>
      <c r="W30" s="2020"/>
      <c r="X30" s="2020"/>
      <c r="Y30" s="2020"/>
      <c r="Z30" s="2020"/>
      <c r="AA30" s="2020"/>
      <c r="AB30" s="2020"/>
      <c r="AC30" s="2020"/>
      <c r="AD30" s="2020"/>
    </row>
    <row r="31" ht="16.5" spans="1:30">
      <c r="A31" s="2562"/>
      <c r="B31" s="2011" t="s">
        <v>299</v>
      </c>
      <c r="C31" s="2031" t="s">
        <v>198</v>
      </c>
      <c r="D31" s="1959"/>
      <c r="E31" s="2020"/>
      <c r="F31" s="2025" t="s">
        <v>304</v>
      </c>
      <c r="G31" s="40" t="s">
        <v>127</v>
      </c>
      <c r="H31" s="2020"/>
      <c r="I31" s="2243"/>
      <c r="J31" s="2518">
        <f t="shared" ref="J31:J33" si="1">K31*N31</f>
        <v>210574</v>
      </c>
      <c r="K31" s="2508">
        <v>6.5</v>
      </c>
      <c r="L31" s="2325"/>
      <c r="M31" s="2325"/>
      <c r="N31" s="2243">
        <v>32396</v>
      </c>
      <c r="O31" s="2017"/>
      <c r="P31" s="2017"/>
      <c r="Q31" s="2020"/>
      <c r="R31" s="2020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20"/>
      <c r="AD31" s="2020"/>
    </row>
    <row r="32" ht="16.5" spans="1:30">
      <c r="A32" s="2562"/>
      <c r="B32" s="2011" t="s">
        <v>299</v>
      </c>
      <c r="C32" s="2031" t="s">
        <v>198</v>
      </c>
      <c r="D32" s="1959"/>
      <c r="E32" s="2020"/>
      <c r="F32" s="2025" t="s">
        <v>305</v>
      </c>
      <c r="G32" s="40" t="s">
        <v>127</v>
      </c>
      <c r="H32" s="2020"/>
      <c r="I32" s="2243"/>
      <c r="J32" s="2518">
        <f t="shared" si="1"/>
        <v>210574</v>
      </c>
      <c r="K32" s="2508">
        <v>6.5</v>
      </c>
      <c r="L32" s="2325"/>
      <c r="M32" s="2325"/>
      <c r="N32" s="2243">
        <v>32396</v>
      </c>
      <c r="O32" s="2017"/>
      <c r="P32" s="2017"/>
      <c r="Q32" s="2020"/>
      <c r="R32" s="2020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20"/>
      <c r="AD32" s="2020"/>
    </row>
    <row r="33" ht="16.5" spans="1:30">
      <c r="A33" s="2562"/>
      <c r="B33" s="2011" t="s">
        <v>299</v>
      </c>
      <c r="C33" s="2031" t="s">
        <v>198</v>
      </c>
      <c r="D33" s="1959"/>
      <c r="E33" s="2020"/>
      <c r="F33" s="2025" t="s">
        <v>306</v>
      </c>
      <c r="G33" s="40" t="s">
        <v>127</v>
      </c>
      <c r="H33" s="2020"/>
      <c r="I33" s="2243"/>
      <c r="J33" s="2518">
        <f t="shared" si="1"/>
        <v>210574</v>
      </c>
      <c r="K33" s="2508">
        <v>6.5</v>
      </c>
      <c r="L33" s="2325"/>
      <c r="M33" s="2325">
        <f>SUM(J27:J51)</f>
        <v>5264350</v>
      </c>
      <c r="N33" s="2243">
        <v>32396</v>
      </c>
      <c r="O33" s="2017"/>
      <c r="P33" s="2017"/>
      <c r="Q33" s="2020"/>
      <c r="R33" s="2020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20"/>
      <c r="AD33" s="2020"/>
    </row>
    <row r="34" ht="16.5" spans="1:30">
      <c r="A34" s="2562"/>
      <c r="B34" s="2011" t="s">
        <v>299</v>
      </c>
      <c r="C34" s="2031" t="s">
        <v>198</v>
      </c>
      <c r="D34" s="1959"/>
      <c r="E34" s="2020"/>
      <c r="F34" s="2025" t="s">
        <v>307</v>
      </c>
      <c r="G34" s="40" t="s">
        <v>127</v>
      </c>
      <c r="H34" s="2020"/>
      <c r="I34" s="2243"/>
      <c r="J34" s="2598">
        <f t="shared" ref="J34:J51" si="2">N34*K34</f>
        <v>210574</v>
      </c>
      <c r="K34" s="2508">
        <v>6.5</v>
      </c>
      <c r="L34" s="2369"/>
      <c r="M34" s="2326"/>
      <c r="N34" s="2243">
        <v>32396</v>
      </c>
      <c r="O34" s="2017"/>
      <c r="P34" s="2017"/>
      <c r="Q34" s="2020"/>
      <c r="R34" s="2020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20"/>
      <c r="AD34" s="2020"/>
    </row>
    <row r="35" ht="16.5" customHeight="1" spans="1:30">
      <c r="A35" s="2562"/>
      <c r="B35" s="2011" t="s">
        <v>299</v>
      </c>
      <c r="C35" s="2031" t="s">
        <v>198</v>
      </c>
      <c r="D35" s="1959"/>
      <c r="E35" s="2020"/>
      <c r="F35" s="2025" t="s">
        <v>308</v>
      </c>
      <c r="G35" s="40" t="s">
        <v>127</v>
      </c>
      <c r="H35" s="2487"/>
      <c r="I35" s="2243"/>
      <c r="J35" s="2598">
        <f t="shared" si="2"/>
        <v>210574</v>
      </c>
      <c r="K35" s="2508">
        <v>6.5</v>
      </c>
      <c r="L35" s="2369"/>
      <c r="M35" s="2326"/>
      <c r="N35" s="2243">
        <v>32396</v>
      </c>
      <c r="O35" s="2020"/>
      <c r="P35" s="2369"/>
      <c r="Q35" s="2020"/>
      <c r="R35" s="2020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20"/>
      <c r="AD35" s="2020"/>
    </row>
    <row r="36" ht="16.5" spans="1:30">
      <c r="A36" s="2562"/>
      <c r="B36" s="2011" t="s">
        <v>299</v>
      </c>
      <c r="C36" s="2031" t="s">
        <v>198</v>
      </c>
      <c r="D36" s="1959"/>
      <c r="E36" s="2020"/>
      <c r="F36" s="2025" t="s">
        <v>309</v>
      </c>
      <c r="G36" s="40" t="s">
        <v>127</v>
      </c>
      <c r="H36" s="2487"/>
      <c r="I36" s="2243"/>
      <c r="J36" s="2598">
        <f t="shared" si="2"/>
        <v>210574</v>
      </c>
      <c r="K36" s="2508">
        <v>6.5</v>
      </c>
      <c r="L36" s="2369"/>
      <c r="M36" s="2326"/>
      <c r="N36" s="2243">
        <v>32396</v>
      </c>
      <c r="O36" s="2020">
        <f>SUM(J27:J51)</f>
        <v>5264350</v>
      </c>
      <c r="P36" s="2369"/>
      <c r="Q36" s="2020"/>
      <c r="R36" s="2020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20"/>
      <c r="AD36" s="2020"/>
    </row>
    <row r="37" ht="16.5" spans="1:30">
      <c r="A37" s="2562"/>
      <c r="B37" s="2011" t="s">
        <v>299</v>
      </c>
      <c r="C37" s="2031" t="s">
        <v>198</v>
      </c>
      <c r="D37" s="1959"/>
      <c r="E37" s="2020"/>
      <c r="F37" s="2025" t="s">
        <v>310</v>
      </c>
      <c r="G37" s="40" t="s">
        <v>127</v>
      </c>
      <c r="H37" s="2487"/>
      <c r="I37" s="2243"/>
      <c r="J37" s="2598">
        <f t="shared" si="2"/>
        <v>210574</v>
      </c>
      <c r="K37" s="2508">
        <v>6.5</v>
      </c>
      <c r="L37" s="2369"/>
      <c r="M37" s="2326"/>
      <c r="N37" s="2243">
        <v>32396</v>
      </c>
      <c r="O37" s="2020"/>
      <c r="P37" s="2369"/>
      <c r="Q37" s="2020"/>
      <c r="R37" s="2020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20"/>
      <c r="AD37" s="2020"/>
    </row>
    <row r="38" ht="16.5" spans="1:30">
      <c r="A38" s="2562"/>
      <c r="B38" s="2011" t="s">
        <v>299</v>
      </c>
      <c r="C38" s="2031" t="s">
        <v>198</v>
      </c>
      <c r="D38" s="1959"/>
      <c r="E38" s="2020"/>
      <c r="F38" s="2025" t="s">
        <v>311</v>
      </c>
      <c r="G38" s="40" t="s">
        <v>127</v>
      </c>
      <c r="H38" s="2487"/>
      <c r="I38" s="2243"/>
      <c r="J38" s="2598">
        <f t="shared" si="2"/>
        <v>210574</v>
      </c>
      <c r="K38" s="2508">
        <v>6.5</v>
      </c>
      <c r="L38" s="2369"/>
      <c r="M38" s="2326"/>
      <c r="N38" s="2243">
        <v>32396</v>
      </c>
      <c r="O38" s="2020"/>
      <c r="P38" s="2369"/>
      <c r="Q38" s="2020"/>
      <c r="R38" s="2020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20"/>
      <c r="AD38" s="2020"/>
    </row>
    <row r="39" ht="16.5" spans="1:30">
      <c r="A39" s="2562"/>
      <c r="B39" s="2011" t="s">
        <v>299</v>
      </c>
      <c r="C39" s="2031" t="s">
        <v>198</v>
      </c>
      <c r="D39" s="2333"/>
      <c r="E39" s="2033"/>
      <c r="F39" s="2025" t="s">
        <v>312</v>
      </c>
      <c r="G39" s="40" t="s">
        <v>127</v>
      </c>
      <c r="H39" s="2487"/>
      <c r="I39" s="2243"/>
      <c r="J39" s="2598">
        <f t="shared" si="2"/>
        <v>210574</v>
      </c>
      <c r="K39" s="2508">
        <v>6.5</v>
      </c>
      <c r="L39" s="2369"/>
      <c r="M39" s="2326"/>
      <c r="N39" s="2243">
        <v>32396</v>
      </c>
      <c r="O39" s="2020"/>
      <c r="P39" s="2369"/>
      <c r="Q39" s="2020"/>
      <c r="R39" s="2020"/>
      <c r="S39" s="2020"/>
      <c r="T39" s="2020"/>
      <c r="U39" s="2020"/>
      <c r="V39" s="2020"/>
      <c r="W39" s="2020"/>
      <c r="X39" s="2020"/>
      <c r="Y39" s="2020"/>
      <c r="Z39" s="2020"/>
      <c r="AA39" s="2020"/>
      <c r="AB39" s="2020"/>
      <c r="AC39" s="2020"/>
      <c r="AD39" s="2020"/>
    </row>
    <row r="40" ht="16.5" spans="1:30">
      <c r="A40" s="2562"/>
      <c r="B40" s="2011" t="s">
        <v>299</v>
      </c>
      <c r="C40" s="2031" t="s">
        <v>198</v>
      </c>
      <c r="D40" s="2333"/>
      <c r="E40" s="2033"/>
      <c r="F40" s="2025" t="s">
        <v>313</v>
      </c>
      <c r="G40" s="40" t="s">
        <v>127</v>
      </c>
      <c r="H40" s="2487"/>
      <c r="I40" s="2243"/>
      <c r="J40" s="2598">
        <f t="shared" si="2"/>
        <v>210574</v>
      </c>
      <c r="K40" s="2508">
        <v>6.5</v>
      </c>
      <c r="L40" s="2369"/>
      <c r="M40" s="2326"/>
      <c r="N40" s="2243">
        <v>32396</v>
      </c>
      <c r="O40" s="2020"/>
      <c r="P40" s="2369"/>
      <c r="Q40" s="2020"/>
      <c r="R40" s="2020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020"/>
      <c r="AD40" s="2020"/>
    </row>
    <row r="41" ht="16.5" spans="1:30">
      <c r="A41" s="2562"/>
      <c r="B41" s="2011" t="s">
        <v>299</v>
      </c>
      <c r="C41" s="2031" t="s">
        <v>198</v>
      </c>
      <c r="D41" s="1959"/>
      <c r="E41" s="2020"/>
      <c r="F41" s="2025" t="s">
        <v>314</v>
      </c>
      <c r="G41" s="40" t="s">
        <v>127</v>
      </c>
      <c r="H41" s="2020"/>
      <c r="I41" s="2243"/>
      <c r="J41" s="2598">
        <f t="shared" si="2"/>
        <v>210574</v>
      </c>
      <c r="K41" s="2508">
        <v>6.5</v>
      </c>
      <c r="L41" s="2369"/>
      <c r="M41" s="2326"/>
      <c r="N41" s="2243">
        <v>32396</v>
      </c>
      <c r="O41" s="2020"/>
      <c r="P41" s="2369"/>
      <c r="Q41" s="2020"/>
      <c r="R41" s="2020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20"/>
      <c r="AD41" s="2020"/>
    </row>
    <row r="42" ht="16.5" spans="1:30">
      <c r="A42" s="2562"/>
      <c r="B42" s="2011" t="s">
        <v>299</v>
      </c>
      <c r="C42" s="2031" t="s">
        <v>198</v>
      </c>
      <c r="D42" s="1959"/>
      <c r="E42" s="2020"/>
      <c r="F42" s="2025" t="s">
        <v>315</v>
      </c>
      <c r="G42" s="40" t="s">
        <v>127</v>
      </c>
      <c r="H42" s="2020"/>
      <c r="I42" s="2243"/>
      <c r="J42" s="2598">
        <f t="shared" si="2"/>
        <v>210574</v>
      </c>
      <c r="K42" s="2508">
        <v>6.5</v>
      </c>
      <c r="L42" s="2369"/>
      <c r="M42" s="2326"/>
      <c r="N42" s="2243">
        <v>32396</v>
      </c>
      <c r="O42" s="2020"/>
      <c r="P42" s="2369"/>
      <c r="Q42" s="2020"/>
      <c r="R42" s="2020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20"/>
      <c r="AD42" s="2020"/>
    </row>
    <row r="43" ht="16.5" spans="1:30">
      <c r="A43" s="2562"/>
      <c r="B43" s="2011" t="s">
        <v>299</v>
      </c>
      <c r="C43" s="2031" t="s">
        <v>198</v>
      </c>
      <c r="D43" s="1959"/>
      <c r="E43" s="2020"/>
      <c r="F43" s="2025" t="s">
        <v>316</v>
      </c>
      <c r="G43" s="40" t="s">
        <v>127</v>
      </c>
      <c r="H43" s="2487"/>
      <c r="I43" s="2243"/>
      <c r="J43" s="2598">
        <f t="shared" si="2"/>
        <v>210574</v>
      </c>
      <c r="K43" s="2508">
        <v>6.5</v>
      </c>
      <c r="L43" s="2369"/>
      <c r="M43" s="2326"/>
      <c r="N43" s="2243">
        <v>32396</v>
      </c>
      <c r="O43" s="2020"/>
      <c r="P43" s="2369"/>
      <c r="Q43" s="2020"/>
      <c r="R43" s="2020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20"/>
      <c r="AD43" s="2020"/>
    </row>
    <row r="44" ht="16.5" spans="1:30">
      <c r="A44" s="2562"/>
      <c r="B44" s="2011" t="s">
        <v>299</v>
      </c>
      <c r="C44" s="2031" t="s">
        <v>198</v>
      </c>
      <c r="D44" s="1959"/>
      <c r="E44" s="2020"/>
      <c r="F44" s="2025" t="s">
        <v>311</v>
      </c>
      <c r="G44" s="40" t="s">
        <v>127</v>
      </c>
      <c r="H44" s="2487"/>
      <c r="I44" s="2243"/>
      <c r="J44" s="2598">
        <f t="shared" si="2"/>
        <v>210574</v>
      </c>
      <c r="K44" s="2508">
        <v>6.5</v>
      </c>
      <c r="L44" s="2369"/>
      <c r="M44" s="2326"/>
      <c r="N44" s="2243">
        <v>32396</v>
      </c>
      <c r="O44" s="2020"/>
      <c r="P44" s="2369"/>
      <c r="Q44" s="2020"/>
      <c r="R44" s="2020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20"/>
      <c r="AD44" s="2020"/>
    </row>
    <row r="45" ht="16.5" spans="1:30">
      <c r="A45" s="2562"/>
      <c r="B45" s="2011" t="s">
        <v>299</v>
      </c>
      <c r="C45" s="2031" t="s">
        <v>198</v>
      </c>
      <c r="D45" s="2333"/>
      <c r="E45" s="2033"/>
      <c r="F45" s="2025" t="s">
        <v>317</v>
      </c>
      <c r="G45" s="40" t="s">
        <v>127</v>
      </c>
      <c r="H45" s="2487"/>
      <c r="I45" s="2243"/>
      <c r="J45" s="2598">
        <f t="shared" si="2"/>
        <v>210574</v>
      </c>
      <c r="K45" s="2508">
        <v>6.5</v>
      </c>
      <c r="L45" s="2369"/>
      <c r="M45" s="2326"/>
      <c r="N45" s="2243">
        <v>32396</v>
      </c>
      <c r="O45" s="2020"/>
      <c r="P45" s="2369"/>
      <c r="Q45" s="2020"/>
      <c r="R45" s="2020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020"/>
      <c r="AD45" s="2020"/>
    </row>
    <row r="46" ht="16.5" spans="1:30">
      <c r="A46" s="2562"/>
      <c r="B46" s="2011" t="s">
        <v>299</v>
      </c>
      <c r="C46" s="2031" t="s">
        <v>198</v>
      </c>
      <c r="D46" s="2333"/>
      <c r="E46" s="2033"/>
      <c r="F46" s="2025" t="s">
        <v>318</v>
      </c>
      <c r="G46" s="40" t="s">
        <v>127</v>
      </c>
      <c r="H46" s="2487"/>
      <c r="I46" s="2243"/>
      <c r="J46" s="2598">
        <f t="shared" si="2"/>
        <v>210574</v>
      </c>
      <c r="K46" s="2508">
        <v>6.5</v>
      </c>
      <c r="L46" s="2369"/>
      <c r="M46" s="2326"/>
      <c r="N46" s="2243">
        <v>32396</v>
      </c>
      <c r="O46" s="2020"/>
      <c r="P46" s="2369"/>
      <c r="Q46" s="2020"/>
      <c r="R46" s="2020"/>
      <c r="S46" s="2020"/>
      <c r="T46" s="2020"/>
      <c r="U46" s="2020"/>
      <c r="V46" s="2020"/>
      <c r="W46" s="2020"/>
      <c r="X46" s="2020"/>
      <c r="Y46" s="2020"/>
      <c r="Z46" s="2020"/>
      <c r="AA46" s="2020"/>
      <c r="AB46" s="2020"/>
      <c r="AC46" s="2020"/>
      <c r="AD46" s="2020"/>
    </row>
    <row r="47" ht="16.5" spans="1:30">
      <c r="A47" s="2562"/>
      <c r="B47" s="2011" t="s">
        <v>299</v>
      </c>
      <c r="C47" s="2031" t="s">
        <v>198</v>
      </c>
      <c r="D47" s="2333"/>
      <c r="E47" s="2033"/>
      <c r="F47" s="2025" t="s">
        <v>319</v>
      </c>
      <c r="G47" s="40" t="s">
        <v>127</v>
      </c>
      <c r="H47" s="2487"/>
      <c r="I47" s="2243"/>
      <c r="J47" s="2598">
        <f t="shared" si="2"/>
        <v>210574</v>
      </c>
      <c r="K47" s="2508">
        <v>6.5</v>
      </c>
      <c r="L47" s="2369"/>
      <c r="M47" s="2326"/>
      <c r="N47" s="2243">
        <v>32396</v>
      </c>
      <c r="O47" s="2020"/>
      <c r="P47" s="2369"/>
      <c r="Q47" s="2020"/>
      <c r="R47" s="2020"/>
      <c r="S47" s="2020"/>
      <c r="T47" s="2020"/>
      <c r="U47" s="2020"/>
      <c r="V47" s="2020"/>
      <c r="W47" s="2020"/>
      <c r="X47" s="2020"/>
      <c r="Y47" s="2020"/>
      <c r="Z47" s="2020"/>
      <c r="AA47" s="2020"/>
      <c r="AB47" s="2020"/>
      <c r="AC47" s="2020"/>
      <c r="AD47" s="2020"/>
    </row>
    <row r="48" ht="16.5" spans="1:30">
      <c r="A48" s="2562"/>
      <c r="B48" s="2011" t="s">
        <v>299</v>
      </c>
      <c r="C48" s="2031" t="s">
        <v>198</v>
      </c>
      <c r="D48" s="2333"/>
      <c r="E48" s="2033"/>
      <c r="F48" s="2025" t="s">
        <v>320</v>
      </c>
      <c r="G48" s="40" t="s">
        <v>127</v>
      </c>
      <c r="H48" s="2487"/>
      <c r="I48" s="2243"/>
      <c r="J48" s="2598">
        <f t="shared" si="2"/>
        <v>210574</v>
      </c>
      <c r="K48" s="2508">
        <v>6.5</v>
      </c>
      <c r="L48" s="2369"/>
      <c r="M48" s="2326"/>
      <c r="N48" s="2243">
        <v>32396</v>
      </c>
      <c r="O48" s="2020"/>
      <c r="P48" s="2369"/>
      <c r="Q48" s="2020"/>
      <c r="R48" s="2020"/>
      <c r="S48" s="2020"/>
      <c r="T48" s="2020"/>
      <c r="U48" s="2020"/>
      <c r="V48" s="2020"/>
      <c r="W48" s="2020"/>
      <c r="X48" s="2020"/>
      <c r="Y48" s="2020"/>
      <c r="Z48" s="2020"/>
      <c r="AA48" s="2020"/>
      <c r="AB48" s="2020"/>
      <c r="AC48" s="2020"/>
      <c r="AD48" s="2020"/>
    </row>
    <row r="49" ht="16.5" spans="1:30">
      <c r="A49" s="2562"/>
      <c r="B49" s="2011" t="s">
        <v>299</v>
      </c>
      <c r="C49" s="2031" t="s">
        <v>198</v>
      </c>
      <c r="D49" s="2333"/>
      <c r="E49" s="2033"/>
      <c r="F49" s="2025" t="s">
        <v>321</v>
      </c>
      <c r="G49" s="2597" t="s">
        <v>129</v>
      </c>
      <c r="H49" s="2487"/>
      <c r="I49" s="2243"/>
      <c r="J49" s="2598">
        <f t="shared" si="2"/>
        <v>210574</v>
      </c>
      <c r="K49" s="2508">
        <v>6.5</v>
      </c>
      <c r="L49" s="2369"/>
      <c r="M49" s="2326"/>
      <c r="N49" s="2243">
        <v>32396</v>
      </c>
      <c r="O49" s="2020"/>
      <c r="P49" s="2369"/>
      <c r="Q49" s="2020"/>
      <c r="R49" s="2020"/>
      <c r="S49" s="2020"/>
      <c r="T49" s="2020"/>
      <c r="U49" s="2020"/>
      <c r="V49" s="2020"/>
      <c r="W49" s="2020"/>
      <c r="X49" s="2020"/>
      <c r="Y49" s="2020"/>
      <c r="Z49" s="2020"/>
      <c r="AA49" s="2020"/>
      <c r="AB49" s="2020"/>
      <c r="AC49" s="2020"/>
      <c r="AD49" s="2020"/>
    </row>
    <row r="50" ht="16.5" spans="1:30">
      <c r="A50" s="2562"/>
      <c r="B50" s="2011" t="s">
        <v>299</v>
      </c>
      <c r="C50" s="2031" t="s">
        <v>198</v>
      </c>
      <c r="D50" s="2333"/>
      <c r="E50" s="2033"/>
      <c r="F50" s="2025" t="s">
        <v>322</v>
      </c>
      <c r="G50" s="2597" t="s">
        <v>129</v>
      </c>
      <c r="H50" s="2487"/>
      <c r="I50" s="2243"/>
      <c r="J50" s="2598">
        <f t="shared" si="2"/>
        <v>210574</v>
      </c>
      <c r="K50" s="2508">
        <v>6.5</v>
      </c>
      <c r="L50" s="2369"/>
      <c r="M50" s="2326"/>
      <c r="N50" s="2243">
        <v>32396</v>
      </c>
      <c r="O50" s="2020"/>
      <c r="P50" s="2369"/>
      <c r="Q50" s="2020"/>
      <c r="R50" s="2020"/>
      <c r="S50" s="2020"/>
      <c r="T50" s="2020"/>
      <c r="U50" s="2020"/>
      <c r="V50" s="2020"/>
      <c r="W50" s="2020"/>
      <c r="X50" s="2020"/>
      <c r="Y50" s="2020"/>
      <c r="Z50" s="2020"/>
      <c r="AA50" s="2020"/>
      <c r="AB50" s="2020"/>
      <c r="AC50" s="2020"/>
      <c r="AD50" s="2020"/>
    </row>
    <row r="51" ht="16.5" spans="1:30">
      <c r="A51" s="2596"/>
      <c r="B51" s="2011" t="s">
        <v>299</v>
      </c>
      <c r="C51" s="2031" t="s">
        <v>198</v>
      </c>
      <c r="D51" s="2333"/>
      <c r="E51" s="2033"/>
      <c r="F51" s="2025" t="s">
        <v>323</v>
      </c>
      <c r="G51" s="2597" t="s">
        <v>129</v>
      </c>
      <c r="H51" s="2487"/>
      <c r="I51" s="2243"/>
      <c r="J51" s="2598">
        <f t="shared" si="2"/>
        <v>210574</v>
      </c>
      <c r="K51" s="2508">
        <v>6.5</v>
      </c>
      <c r="L51" s="2369"/>
      <c r="M51" s="2326"/>
      <c r="N51" s="2243">
        <v>32396</v>
      </c>
      <c r="O51" s="2020"/>
      <c r="P51" s="2369"/>
      <c r="Q51" s="2020"/>
      <c r="R51" s="2020"/>
      <c r="S51" s="2020"/>
      <c r="T51" s="2020"/>
      <c r="U51" s="2020"/>
      <c r="V51" s="2020"/>
      <c r="W51" s="2020"/>
      <c r="X51" s="2020"/>
      <c r="Y51" s="2020"/>
      <c r="Z51" s="2020"/>
      <c r="AA51" s="2020"/>
      <c r="AB51" s="2020"/>
      <c r="AC51" s="2020"/>
      <c r="AD51" s="2020"/>
    </row>
    <row r="52" ht="16.5" spans="1:30">
      <c r="A52" s="2391" t="s">
        <v>270</v>
      </c>
      <c r="B52" s="1959" t="s">
        <v>324</v>
      </c>
      <c r="C52" s="2031" t="s">
        <v>198</v>
      </c>
      <c r="D52" s="2333"/>
      <c r="E52" s="2361"/>
      <c r="F52" s="2361"/>
      <c r="G52" s="40"/>
      <c r="H52" s="2490"/>
      <c r="I52" s="2524"/>
      <c r="J52" s="2518">
        <v>219700</v>
      </c>
      <c r="K52" s="2599"/>
      <c r="L52" s="2526"/>
      <c r="M52" s="2546"/>
      <c r="N52" s="2601"/>
      <c r="O52" s="2020"/>
      <c r="P52" s="2369"/>
      <c r="Q52" s="2020"/>
      <c r="R52" s="2020"/>
      <c r="S52" s="2020"/>
      <c r="T52" s="2020"/>
      <c r="U52" s="2020"/>
      <c r="V52" s="2020"/>
      <c r="W52" s="2020"/>
      <c r="X52" s="2020"/>
      <c r="Y52" s="2020"/>
      <c r="Z52" s="2020"/>
      <c r="AA52" s="2020"/>
      <c r="AB52" s="2020"/>
      <c r="AC52" s="2020"/>
      <c r="AD52" s="2020"/>
    </row>
    <row r="53" ht="16.5" spans="1:30">
      <c r="A53" s="1958"/>
      <c r="B53" s="1959" t="s">
        <v>274</v>
      </c>
      <c r="C53" s="2031" t="s">
        <v>198</v>
      </c>
      <c r="D53" s="2333"/>
      <c r="E53" s="2361"/>
      <c r="F53" s="2361"/>
      <c r="G53" s="40"/>
      <c r="H53" s="2490"/>
      <c r="I53" s="2524"/>
      <c r="J53" s="2518">
        <v>464620</v>
      </c>
      <c r="K53" s="2599"/>
      <c r="L53" s="2526"/>
      <c r="M53" s="2546"/>
      <c r="N53" s="2601"/>
      <c r="O53" s="2020"/>
      <c r="P53" s="2369"/>
      <c r="Q53" s="2020"/>
      <c r="R53" s="2020"/>
      <c r="S53" s="2020"/>
      <c r="T53" s="2020"/>
      <c r="U53" s="2020"/>
      <c r="V53" s="2020"/>
      <c r="W53" s="2020"/>
      <c r="X53" s="2020"/>
      <c r="Y53" s="2020"/>
      <c r="Z53" s="2020"/>
      <c r="AA53" s="2020"/>
      <c r="AB53" s="2020"/>
      <c r="AC53" s="2020"/>
      <c r="AD53" s="2020"/>
    </row>
    <row r="54" ht="16.5" spans="1:30">
      <c r="A54" s="2226"/>
      <c r="B54" s="1959" t="s">
        <v>133</v>
      </c>
      <c r="C54" s="2031" t="s">
        <v>198</v>
      </c>
      <c r="D54" s="2333"/>
      <c r="E54" s="2361"/>
      <c r="F54" s="2361"/>
      <c r="G54" s="40"/>
      <c r="H54" s="2490"/>
      <c r="I54" s="2524"/>
      <c r="J54" s="2518">
        <v>250000</v>
      </c>
      <c r="K54" s="2599"/>
      <c r="L54" s="2526"/>
      <c r="M54" s="2546"/>
      <c r="N54" s="2601"/>
      <c r="O54" s="2020"/>
      <c r="P54" s="2369"/>
      <c r="Q54" s="2020"/>
      <c r="R54" s="2020"/>
      <c r="S54" s="2020"/>
      <c r="T54" s="2020"/>
      <c r="U54" s="2020"/>
      <c r="V54" s="2020"/>
      <c r="W54" s="2020"/>
      <c r="X54" s="2020"/>
      <c r="Y54" s="2020"/>
      <c r="Z54" s="2020"/>
      <c r="AA54" s="2020"/>
      <c r="AB54" s="2020"/>
      <c r="AC54" s="2020"/>
      <c r="AD54" s="2020"/>
    </row>
    <row r="55" ht="16.5" customHeight="1" spans="1:30">
      <c r="A55" s="2039" t="s">
        <v>67</v>
      </c>
      <c r="B55" s="2039"/>
      <c r="C55" s="2295"/>
      <c r="D55" s="2040" t="s">
        <v>325</v>
      </c>
      <c r="E55" s="2040"/>
      <c r="F55" s="2040"/>
      <c r="G55" s="2040"/>
      <c r="H55" s="2048"/>
      <c r="I55" s="2049"/>
      <c r="J55" s="2050">
        <f>SUM(J25:J54)</f>
        <v>6776320.45</v>
      </c>
      <c r="K55" s="2066"/>
      <c r="L55" s="2050">
        <v>0</v>
      </c>
      <c r="M55" s="2067">
        <v>0</v>
      </c>
      <c r="N55" s="2068">
        <v>0</v>
      </c>
      <c r="O55" s="474"/>
      <c r="P55" s="474"/>
      <c r="Q55" s="474"/>
      <c r="R55" s="2011"/>
      <c r="S55" s="2011"/>
      <c r="T55" s="2011"/>
      <c r="U55" s="2011"/>
      <c r="V55" s="2011"/>
      <c r="W55" s="2011"/>
      <c r="X55" s="2011"/>
      <c r="Y55" s="2011"/>
      <c r="Z55" s="2011"/>
      <c r="AA55" s="2011"/>
      <c r="AB55" s="2011"/>
      <c r="AC55" s="2011"/>
      <c r="AD55" s="2011"/>
    </row>
    <row r="56" spans="1:30">
      <c r="A56" s="2001"/>
      <c r="B56" s="2001"/>
      <c r="C56" s="2001"/>
      <c r="D56" s="2001"/>
      <c r="E56" s="2001"/>
      <c r="F56" s="2001"/>
      <c r="G56" s="2001"/>
      <c r="H56" s="2051"/>
      <c r="I56" s="2001"/>
      <c r="J56" s="2600"/>
      <c r="K56" s="2001"/>
      <c r="L56" s="2001"/>
      <c r="M56" s="2001"/>
      <c r="N56" s="2001"/>
      <c r="O56" s="2001"/>
      <c r="P56" s="2001"/>
      <c r="Q56" s="2001"/>
      <c r="R56" s="2001"/>
      <c r="S56" s="2001"/>
      <c r="T56" s="2001"/>
      <c r="U56" s="2001"/>
      <c r="V56" s="2001"/>
      <c r="W56" s="2001"/>
      <c r="X56" s="2001"/>
      <c r="Y56" s="2001"/>
      <c r="Z56" s="2001"/>
      <c r="AA56" s="2001"/>
      <c r="AB56" s="2001"/>
      <c r="AC56" s="2001"/>
      <c r="AD56" s="2001"/>
    </row>
    <row r="57" spans="1:30">
      <c r="A57" s="2001"/>
      <c r="B57" s="2001"/>
      <c r="C57" s="2001"/>
      <c r="D57" s="2001"/>
      <c r="E57" s="2001"/>
      <c r="F57" s="2001"/>
      <c r="G57" s="2001"/>
      <c r="H57" s="2051"/>
      <c r="I57" s="2001"/>
      <c r="J57" s="2600"/>
      <c r="K57" s="2001"/>
      <c r="L57" s="2001"/>
      <c r="M57" s="2001"/>
      <c r="N57" s="2001"/>
      <c r="O57" s="2001"/>
      <c r="P57" s="2001"/>
      <c r="Q57" s="2001"/>
      <c r="R57" s="2001"/>
      <c r="S57" s="2001"/>
      <c r="T57" s="2001"/>
      <c r="U57" s="2001"/>
      <c r="V57" s="2001"/>
      <c r="W57" s="2001"/>
      <c r="X57" s="2001"/>
      <c r="Y57" s="2001"/>
      <c r="Z57" s="2001"/>
      <c r="AA57" s="2001"/>
      <c r="AB57" s="2001"/>
      <c r="AC57" s="2001"/>
      <c r="AD57" s="2001"/>
    </row>
    <row r="58" spans="1:30">
      <c r="A58" s="2001"/>
      <c r="B58" s="2001"/>
      <c r="C58" s="2001"/>
      <c r="D58" s="2001"/>
      <c r="E58" s="2001"/>
      <c r="F58" s="2001" t="s">
        <v>139</v>
      </c>
      <c r="G58" s="2001" t="s">
        <v>140</v>
      </c>
      <c r="H58" s="2051"/>
      <c r="I58" s="2001" t="s">
        <v>141</v>
      </c>
      <c r="J58" s="2600">
        <v>14783390</v>
      </c>
      <c r="K58" s="2001"/>
      <c r="L58" s="2001"/>
      <c r="M58" s="2069">
        <v>6500000</v>
      </c>
      <c r="N58" s="2001"/>
      <c r="O58" s="2069"/>
      <c r="P58" s="2001"/>
      <c r="Q58" s="2001"/>
      <c r="R58" s="2001"/>
      <c r="S58" s="2001"/>
      <c r="T58" s="2001"/>
      <c r="U58" s="2001"/>
      <c r="V58" s="2001"/>
      <c r="W58" s="2001"/>
      <c r="X58" s="2001"/>
      <c r="Y58" s="2001"/>
      <c r="Z58" s="2001"/>
      <c r="AA58" s="2001"/>
      <c r="AB58" s="2001"/>
      <c r="AC58" s="2001"/>
      <c r="AD58" s="2001"/>
    </row>
    <row r="59" spans="1:30">
      <c r="A59" s="2001"/>
      <c r="B59" s="2001"/>
      <c r="C59" s="2001"/>
      <c r="D59" s="2001"/>
      <c r="E59" s="2001"/>
      <c r="F59" s="2001"/>
      <c r="G59" s="2001"/>
      <c r="H59" s="2051"/>
      <c r="I59" s="2001"/>
      <c r="J59" s="2600"/>
      <c r="K59" s="2001"/>
      <c r="L59" s="2001"/>
      <c r="M59" s="2069">
        <v>873173</v>
      </c>
      <c r="N59" s="2001"/>
      <c r="O59" s="2069"/>
      <c r="P59" s="2001"/>
      <c r="Q59" s="2001"/>
      <c r="R59" s="2001"/>
      <c r="S59" s="2001"/>
      <c r="T59" s="2001"/>
      <c r="U59" s="2001"/>
      <c r="V59" s="2001"/>
      <c r="W59" s="2001"/>
      <c r="X59" s="2001"/>
      <c r="Y59" s="2001"/>
      <c r="Z59" s="2001"/>
      <c r="AA59" s="2001"/>
      <c r="AB59" s="2001"/>
      <c r="AC59" s="2001"/>
      <c r="AD59" s="2001"/>
    </row>
    <row r="60" spans="1:30">
      <c r="A60" s="2001"/>
      <c r="B60" s="2001"/>
      <c r="C60" s="2001"/>
      <c r="D60" s="2001"/>
      <c r="E60" s="2001"/>
      <c r="F60" s="2001"/>
      <c r="G60" s="2001"/>
      <c r="H60" s="2051"/>
      <c r="I60" s="2001"/>
      <c r="J60" s="2600"/>
      <c r="K60" s="2001"/>
      <c r="L60" s="2001"/>
      <c r="M60" s="2069">
        <v>7410217</v>
      </c>
      <c r="N60" s="2001"/>
      <c r="O60" s="2069"/>
      <c r="P60" s="2001"/>
      <c r="Q60" s="2001"/>
      <c r="R60" s="2001"/>
      <c r="S60" s="2001"/>
      <c r="T60" s="2001"/>
      <c r="U60" s="2001"/>
      <c r="V60" s="2001"/>
      <c r="W60" s="2001"/>
      <c r="X60" s="2001"/>
      <c r="Y60" s="2001"/>
      <c r="Z60" s="2001"/>
      <c r="AA60" s="2001"/>
      <c r="AB60" s="2001"/>
      <c r="AC60" s="2001"/>
      <c r="AD60" s="2001"/>
    </row>
    <row r="61" spans="1:30">
      <c r="A61" s="2001"/>
      <c r="B61" s="2001"/>
      <c r="C61" s="2001"/>
      <c r="D61" s="2001"/>
      <c r="E61" s="2001"/>
      <c r="F61" s="2001"/>
      <c r="G61" s="2001"/>
      <c r="H61" s="2051"/>
      <c r="I61" s="2001"/>
      <c r="J61" s="2600"/>
      <c r="K61" s="2001"/>
      <c r="L61" s="2001"/>
      <c r="M61" s="2069">
        <f>SUM(M58:M60)</f>
        <v>14783390</v>
      </c>
      <c r="N61" s="2001"/>
      <c r="O61" s="2069"/>
      <c r="P61" s="2001"/>
      <c r="Q61" s="2001"/>
      <c r="R61" s="2001"/>
      <c r="S61" s="2001"/>
      <c r="T61" s="2001"/>
      <c r="U61" s="2001"/>
      <c r="V61" s="2001"/>
      <c r="W61" s="2001"/>
      <c r="X61" s="2001"/>
      <c r="Y61" s="2001"/>
      <c r="Z61" s="2001"/>
      <c r="AA61" s="2001"/>
      <c r="AB61" s="2001"/>
      <c r="AC61" s="2001"/>
      <c r="AD61" s="2001"/>
    </row>
    <row r="62" spans="1:30">
      <c r="A62" s="2001"/>
      <c r="B62" s="2001"/>
      <c r="C62" s="2001"/>
      <c r="D62" s="2001"/>
      <c r="E62" s="2001"/>
      <c r="F62" s="2001"/>
      <c r="G62" s="2001"/>
      <c r="H62" s="2051"/>
      <c r="I62" s="2001"/>
      <c r="J62" s="2600"/>
      <c r="K62" s="2001"/>
      <c r="L62" s="2001"/>
      <c r="M62" s="2069"/>
      <c r="N62" s="2001"/>
      <c r="O62" s="2069"/>
      <c r="P62" s="2001"/>
      <c r="Q62" s="2001"/>
      <c r="R62" s="2001"/>
      <c r="S62" s="2001"/>
      <c r="T62" s="2001"/>
      <c r="U62" s="2001"/>
      <c r="V62" s="2001"/>
      <c r="W62" s="2001"/>
      <c r="X62" s="2001"/>
      <c r="Y62" s="2001"/>
      <c r="Z62" s="2001"/>
      <c r="AA62" s="2001"/>
      <c r="AB62" s="2001"/>
      <c r="AC62" s="2001"/>
      <c r="AD62" s="2001"/>
    </row>
    <row r="63" spans="1:30">
      <c r="A63" s="2041"/>
      <c r="B63" s="2041"/>
      <c r="C63" s="2041"/>
      <c r="D63" s="2041"/>
      <c r="E63" s="2041"/>
      <c r="F63" s="2041"/>
      <c r="G63" s="2041"/>
      <c r="H63" s="2051"/>
      <c r="I63" s="2041"/>
      <c r="J63" s="2600"/>
      <c r="K63" s="2041"/>
      <c r="L63" s="2041"/>
      <c r="M63" s="2041"/>
      <c r="N63" s="2041"/>
      <c r="O63" s="2069"/>
      <c r="P63" s="2041"/>
      <c r="Q63" s="2041"/>
      <c r="R63" s="2041"/>
      <c r="S63" s="2041"/>
      <c r="T63" s="2041"/>
      <c r="U63" s="2041"/>
      <c r="V63" s="2041"/>
      <c r="W63" s="2041"/>
      <c r="X63" s="2041"/>
      <c r="Y63" s="2041"/>
      <c r="Z63" s="2041"/>
      <c r="AA63" s="2041"/>
      <c r="AB63" s="2041"/>
      <c r="AC63" s="2041"/>
      <c r="AD63" s="2041"/>
    </row>
    <row r="64" spans="1:30">
      <c r="A64" s="2041"/>
      <c r="B64" s="2041"/>
      <c r="C64" s="2041"/>
      <c r="D64" s="2041"/>
      <c r="E64" s="2041"/>
      <c r="F64" s="2041"/>
      <c r="G64" s="2041"/>
      <c r="H64" s="2051"/>
      <c r="I64" s="2041"/>
      <c r="J64" s="2600"/>
      <c r="K64" s="2041"/>
      <c r="L64" s="2041"/>
      <c r="M64" s="2041"/>
      <c r="N64" s="2041"/>
      <c r="O64" s="2041"/>
      <c r="P64" s="2041"/>
      <c r="Q64" s="2041"/>
      <c r="R64" s="2041"/>
      <c r="S64" s="2041"/>
      <c r="T64" s="2041"/>
      <c r="U64" s="2041"/>
      <c r="V64" s="2041"/>
      <c r="W64" s="2041"/>
      <c r="X64" s="2041"/>
      <c r="Y64" s="2041"/>
      <c r="Z64" s="2041"/>
      <c r="AA64" s="2041"/>
      <c r="AB64" s="2041"/>
      <c r="AC64" s="2041"/>
      <c r="AD64" s="2041"/>
    </row>
    <row r="65" spans="1:30">
      <c r="A65" s="2041"/>
      <c r="B65" s="2041"/>
      <c r="C65" s="2041"/>
      <c r="D65" s="2041"/>
      <c r="E65" s="2041"/>
      <c r="F65" s="2041"/>
      <c r="G65" s="2041"/>
      <c r="H65" s="2051"/>
      <c r="I65" s="2041"/>
      <c r="J65" s="2600"/>
      <c r="K65" s="2041"/>
      <c r="L65" s="2041"/>
      <c r="M65" s="2041"/>
      <c r="N65" s="2041"/>
      <c r="O65" s="2041"/>
      <c r="P65" s="2041"/>
      <c r="Q65" s="2041"/>
      <c r="R65" s="2041"/>
      <c r="S65" s="2041"/>
      <c r="T65" s="2041"/>
      <c r="U65" s="2041"/>
      <c r="V65" s="2041"/>
      <c r="W65" s="2041"/>
      <c r="X65" s="2041"/>
      <c r="Y65" s="2041"/>
      <c r="Z65" s="2041"/>
      <c r="AA65" s="2041"/>
      <c r="AB65" s="2041"/>
      <c r="AC65" s="2041"/>
      <c r="AD65" s="2041"/>
    </row>
    <row r="66" spans="1:30">
      <c r="A66" s="2041"/>
      <c r="B66" s="2041"/>
      <c r="C66" s="2041"/>
      <c r="D66" s="2041"/>
      <c r="E66" s="2041"/>
      <c r="F66" s="2041"/>
      <c r="G66" s="2041"/>
      <c r="H66" s="2051"/>
      <c r="I66" s="2041"/>
      <c r="J66" s="2600"/>
      <c r="K66" s="2041"/>
      <c r="L66" s="2041"/>
      <c r="M66" s="2041"/>
      <c r="N66" s="2041"/>
      <c r="O66" s="2041"/>
      <c r="P66" s="2041"/>
      <c r="Q66" s="2041"/>
      <c r="R66" s="2041"/>
      <c r="S66" s="2041"/>
      <c r="T66" s="2041"/>
      <c r="U66" s="2041"/>
      <c r="V66" s="2041"/>
      <c r="W66" s="2041"/>
      <c r="X66" s="2041"/>
      <c r="Y66" s="2041"/>
      <c r="Z66" s="2041"/>
      <c r="AA66" s="2041"/>
      <c r="AB66" s="2041"/>
      <c r="AC66" s="2041"/>
      <c r="AD66" s="2041"/>
    </row>
    <row r="67" spans="1:30">
      <c r="A67" s="2041"/>
      <c r="B67" s="2041"/>
      <c r="C67" s="2041"/>
      <c r="D67" s="2041"/>
      <c r="E67" s="2041"/>
      <c r="F67" s="2041"/>
      <c r="G67" s="2041"/>
      <c r="H67" s="2051"/>
      <c r="I67" s="2041"/>
      <c r="J67" s="2041"/>
      <c r="K67" s="2041"/>
      <c r="L67" s="2041"/>
      <c r="M67" s="2041"/>
      <c r="N67" s="2041"/>
      <c r="O67" s="2041"/>
      <c r="P67" s="2041"/>
      <c r="Q67" s="2041"/>
      <c r="R67" s="2041"/>
      <c r="S67" s="2041"/>
      <c r="T67" s="2041"/>
      <c r="U67" s="2041"/>
      <c r="V67" s="2041"/>
      <c r="W67" s="2041"/>
      <c r="X67" s="2041"/>
      <c r="Y67" s="2041"/>
      <c r="Z67" s="2041"/>
      <c r="AA67" s="2041"/>
      <c r="AB67" s="2041"/>
      <c r="AC67" s="2041"/>
      <c r="AD67" s="2041"/>
    </row>
    <row r="68" spans="1:30">
      <c r="A68" s="2041"/>
      <c r="B68" s="2041"/>
      <c r="C68" s="2041"/>
      <c r="D68" s="2041"/>
      <c r="E68" s="2041"/>
      <c r="F68" s="2041"/>
      <c r="G68" s="2041"/>
      <c r="H68" s="2051"/>
      <c r="I68" s="2041"/>
      <c r="J68" s="2041"/>
      <c r="K68" s="2041"/>
      <c r="L68" s="2041"/>
      <c r="M68" s="2041"/>
      <c r="N68" s="2041"/>
      <c r="O68" s="2041"/>
      <c r="P68" s="2041"/>
      <c r="Q68" s="2041"/>
      <c r="R68" s="2041"/>
      <c r="S68" s="2041"/>
      <c r="T68" s="2041"/>
      <c r="U68" s="2041"/>
      <c r="V68" s="2041"/>
      <c r="W68" s="2041"/>
      <c r="X68" s="2041"/>
      <c r="Y68" s="2041"/>
      <c r="Z68" s="2041"/>
      <c r="AA68" s="2041"/>
      <c r="AB68" s="2041"/>
      <c r="AC68" s="2041"/>
      <c r="AD68" s="2041"/>
    </row>
    <row r="69" spans="1:30">
      <c r="A69" s="2041"/>
      <c r="B69" s="2041"/>
      <c r="C69" s="2041"/>
      <c r="D69" s="2041"/>
      <c r="E69" s="2041"/>
      <c r="F69" s="2041"/>
      <c r="G69" s="2041"/>
      <c r="H69" s="2051"/>
      <c r="I69" s="2041"/>
      <c r="J69" s="2041"/>
      <c r="K69" s="2041"/>
      <c r="L69" s="2041"/>
      <c r="M69" s="2041"/>
      <c r="N69" s="2041"/>
      <c r="O69" s="2041"/>
      <c r="P69" s="2041"/>
      <c r="Q69" s="2041"/>
      <c r="R69" s="2041"/>
      <c r="S69" s="2041"/>
      <c r="T69" s="2041"/>
      <c r="U69" s="2041"/>
      <c r="V69" s="2041"/>
      <c r="W69" s="2041"/>
      <c r="X69" s="2041"/>
      <c r="Y69" s="2041"/>
      <c r="Z69" s="2041"/>
      <c r="AA69" s="2041"/>
      <c r="AB69" s="2041"/>
      <c r="AC69" s="2041"/>
      <c r="AD69" s="2041"/>
    </row>
    <row r="70" spans="1:30">
      <c r="A70" s="2041"/>
      <c r="B70" s="2041"/>
      <c r="C70" s="2041"/>
      <c r="D70" s="2041"/>
      <c r="E70" s="2041"/>
      <c r="F70" s="2041"/>
      <c r="G70" s="2041"/>
      <c r="H70" s="2051"/>
      <c r="I70" s="2041"/>
      <c r="J70" s="2041"/>
      <c r="K70" s="2041"/>
      <c r="L70" s="2041"/>
      <c r="M70" s="2041"/>
      <c r="N70" s="2041"/>
      <c r="O70" s="2041"/>
      <c r="P70" s="2041"/>
      <c r="Q70" s="2041"/>
      <c r="R70" s="2041"/>
      <c r="S70" s="2041"/>
      <c r="T70" s="2041"/>
      <c r="U70" s="2041"/>
      <c r="V70" s="2041"/>
      <c r="W70" s="2041"/>
      <c r="X70" s="2041"/>
      <c r="Y70" s="2041"/>
      <c r="Z70" s="2041"/>
      <c r="AA70" s="2041"/>
      <c r="AB70" s="2041"/>
      <c r="AC70" s="2041"/>
      <c r="AD70" s="2041"/>
    </row>
  </sheetData>
  <sheetProtection formatCells="0" insertHyperlinks="0" autoFilter="0"/>
  <mergeCells count="15">
    <mergeCell ref="A1:O1"/>
    <mergeCell ref="A15:C15"/>
    <mergeCell ref="D15:G15"/>
    <mergeCell ref="A24:C24"/>
    <mergeCell ref="D24:G24"/>
    <mergeCell ref="A55:C55"/>
    <mergeCell ref="D55:G55"/>
    <mergeCell ref="A2:A3"/>
    <mergeCell ref="A4:A6"/>
    <mergeCell ref="A11:A12"/>
    <mergeCell ref="A16:A17"/>
    <mergeCell ref="A19:A21"/>
    <mergeCell ref="A22:A23"/>
    <mergeCell ref="A25:A51"/>
    <mergeCell ref="A52:A54"/>
  </mergeCells>
  <hyperlinks>
    <hyperlink ref="F34" r:id="rId1" display="EJ-144" tooltip="\\egojintrade\trade\★★무역발주진행\무역서류\수입선적서류\Shuhua-X6, X5,X1 런닝머신\PI\X3\EJ-144"/>
    <hyperlink ref="F35" r:id="rId2" display="EJ-145" tooltip="\\egojintrade\trade\★★무역발주진행\무역서류\수입선적서류\Shuhua-X6, X5,X1 런닝머신\PI\X3\EJ-145"/>
    <hyperlink ref="F36" r:id="rId3" display="EJ-146" tooltip="\\egojintrade\trade\★★무역발주진행\무역서류\수입선적서류\Shuhua-X6, X5,X1 런닝머신\PI\X3\EJ-146"/>
    <hyperlink ref="F37" r:id="rId4" display="EJ-147" tooltip="\\egojintrade\trade\★★무역발주진행\무역서류\수입선적서류\Shuhua-X6, X5,X1 런닝머신\PI\X3\EJ-147"/>
    <hyperlink ref="F38" r:id="rId5" display="EJ-148" tooltip="\\egojintrade\trade\★★무역발주진행\무역서류\수입선적서류\Shuhua-X6, X5,X1 런닝머신\PI\X3\EJ-149"/>
    <hyperlink ref="F39" r:id="rId6" display="EJ-149" tooltip="\\egojintrade\trade\★★무역발주진행\무역서류\수입선적서류\Shuhua-X6, X5,X1 런닝머신\PI\X3\EJ-150"/>
    <hyperlink ref="F40" r:id="rId7" display="EJ-150" tooltip="\\egojintrade\trade\★★무역발주진행\무역서류\수입선적서류\Shuhua-X6, X5,X1 런닝머신\PI\X3\EJ-151"/>
    <hyperlink ref="F47" r:id="rId8" display="EJ-152" tooltip="\\egojintrade\trade\★★무역발주진행\무역서류\수입선적서류\Shuhua-X6, X5,X1 런닝머신\PI\X3\EJ-152"/>
    <hyperlink ref="F49" r:id="rId9" display="EJ-123" tooltip="\\egojintrade\trade\★★무역발주진행\무역서류\수입선적서류\Shuhua-X6, X5,X1 런닝머신\PI\E9\EJ-123"/>
    <hyperlink ref="F50" r:id="rId10" display="EJ-157" tooltip="\\egojintrade\trade\★★무역발주진행\무역서류\수입선적서류\Shuhua-X6, X5,X1 런닝머신\PI\E9\EJ-157"/>
    <hyperlink ref="F51" r:id="rId11" display="EJ-158" tooltip="\\egojintrade\trade\★★무역발주진행\무역서류\수입선적서류\Shuhua-X6, X5,X1 런닝머신\PI\E9\EJ-158"/>
    <hyperlink ref="F41" r:id="rId12" display="EJ-151" tooltip="\\egojintrade\trade\★★무역발주진행\무역서류\수입선적서류\Shuhua-X6, X5,X1 런닝머신\PI\X3\EJ-143"/>
    <hyperlink ref="F42" r:id="rId1" display="EJ-161" tooltip="\\egojintrade\trade\★★무역발주진행\무역서류\수입선적서류\Shuhua-X6, X5,X1 런닝머신\PI\X3\EJ-144"/>
    <hyperlink ref="F43" r:id="rId2" display="EJ-162" tooltip="\\egojintrade\trade\★★무역발주진행\무역서류\수입선적서류\Shuhua-X6, X5,X1 런닝머신\PI\X3\EJ-145"/>
    <hyperlink ref="F44" r:id="rId13" display="EJ-148" tooltip="\\egojintrade\trade\★★무역발주진행\무역서류\수입선적서류\Shuhua-X6, X5,X1 런닝머신\PI\X3\EJ-148"/>
    <hyperlink ref="F45" r:id="rId6" display="EJ-154" tooltip="\\egojintrade\trade\★★무역발주진행\무역서류\수입선적서류\Shuhua-X6, X5,X1 런닝머신\PI\X3\EJ-150"/>
    <hyperlink ref="F46" r:id="rId7" display="EJ-153" tooltip="\\egojintrade\trade\★★무역발주진행\무역서류\수입선적서류\Shuhua-X6, X5,X1 런닝머신\PI\X3\EJ-151"/>
    <hyperlink ref="F48" r:id="rId7" display="EJ-156" tooltip="\\egojintrade\trade\★★무역발주진행\무역서류\수입선적서류\Shuhua-X6, X5,X1 런닝머신\PI\X3\EJ-15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1:AD45"/>
  <sheetViews>
    <sheetView zoomScale="80" zoomScaleNormal="80" workbookViewId="0">
      <selection activeCell="J29" sqref="J29"/>
    </sheetView>
  </sheetViews>
  <sheetFormatPr defaultColWidth="9" defaultRowHeight="16.5"/>
  <cols>
    <col min="1" max="1" width="11.875" customWidth="1"/>
    <col min="2" max="2" width="17.625" customWidth="1"/>
    <col min="3" max="3" width="10.5333333333333" customWidth="1"/>
    <col min="4" max="4" width="15" customWidth="1"/>
    <col min="5" max="5" width="8" customWidth="1"/>
    <col min="6" max="6" width="14.9416666666667" customWidth="1"/>
    <col min="7" max="7" width="18.0583333333333" customWidth="1"/>
    <col min="8" max="8" width="10.375" style="1934"/>
    <col min="9" max="9" width="12.5" customWidth="1"/>
    <col min="10" max="10" width="15.975" style="11" customWidth="1"/>
    <col min="12" max="12" width="13.6083333333333" customWidth="1"/>
    <col min="13" max="13" width="17.3583333333333" customWidth="1"/>
    <col min="14" max="14" width="12.625"/>
    <col min="15" max="15" width="14.025" customWidth="1"/>
    <col min="16" max="16" width="14.0666666666667" customWidth="1"/>
    <col min="17" max="17" width="20" customWidth="1"/>
  </cols>
  <sheetData>
    <row r="1" ht="24.75" customHeight="1" spans="1:30">
      <c r="A1" s="1936" t="s">
        <v>326</v>
      </c>
      <c r="B1" s="1937"/>
      <c r="C1" s="1937"/>
      <c r="D1" s="1937"/>
      <c r="E1" s="1937"/>
      <c r="F1" s="1937"/>
      <c r="G1" s="1937"/>
      <c r="H1" s="1960"/>
      <c r="I1" s="1937"/>
      <c r="J1" s="2491"/>
      <c r="K1" s="1937"/>
      <c r="L1" s="1937"/>
      <c r="M1" s="1937"/>
      <c r="N1" s="1937"/>
      <c r="O1" s="1937"/>
      <c r="P1" s="2001"/>
      <c r="Q1" s="2001"/>
      <c r="R1" s="2001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2001"/>
      <c r="AD1" s="2001"/>
    </row>
    <row r="2" ht="27" customHeight="1" spans="1:30">
      <c r="A2" s="1938" t="s">
        <v>1</v>
      </c>
      <c r="B2" s="1939" t="s">
        <v>2</v>
      </c>
      <c r="C2" s="1939" t="s">
        <v>3</v>
      </c>
      <c r="D2" s="2003" t="s">
        <v>4</v>
      </c>
      <c r="E2" s="1939" t="s">
        <v>5</v>
      </c>
      <c r="F2" s="1940" t="s">
        <v>6</v>
      </c>
      <c r="G2" s="1940" t="s">
        <v>7</v>
      </c>
      <c r="H2" s="1962" t="s">
        <v>8</v>
      </c>
      <c r="I2" s="1963" t="s">
        <v>9</v>
      </c>
      <c r="J2" s="2492" t="s">
        <v>10</v>
      </c>
      <c r="K2" s="1978" t="s">
        <v>11</v>
      </c>
      <c r="L2" s="1979" t="s">
        <v>12</v>
      </c>
      <c r="M2" s="1979" t="s">
        <v>13</v>
      </c>
      <c r="N2" s="1980" t="s">
        <v>14</v>
      </c>
      <c r="O2" s="2003" t="s">
        <v>15</v>
      </c>
      <c r="P2" s="2004" t="s">
        <v>16</v>
      </c>
      <c r="Q2" s="2004" t="s">
        <v>17</v>
      </c>
      <c r="R2" s="2004" t="s">
        <v>18</v>
      </c>
      <c r="S2" s="2004" t="s">
        <v>19</v>
      </c>
      <c r="T2" s="2021" t="s">
        <v>20</v>
      </c>
      <c r="U2" s="2021" t="s">
        <v>21</v>
      </c>
      <c r="V2" s="2004" t="s">
        <v>22</v>
      </c>
      <c r="W2" s="2004" t="s">
        <v>23</v>
      </c>
      <c r="X2" s="2004" t="s">
        <v>24</v>
      </c>
      <c r="Y2" s="2004" t="s">
        <v>25</v>
      </c>
      <c r="Z2" s="2004" t="s">
        <v>26</v>
      </c>
      <c r="AA2" s="2004" t="s">
        <v>27</v>
      </c>
      <c r="AB2" s="2004" t="s">
        <v>28</v>
      </c>
      <c r="AC2" s="2026" t="s">
        <v>26</v>
      </c>
      <c r="AD2" s="2027" t="s">
        <v>27</v>
      </c>
    </row>
    <row r="3" spans="1:30">
      <c r="A3" s="1938"/>
      <c r="B3" s="1939"/>
      <c r="C3" s="1939"/>
      <c r="D3" s="2003"/>
      <c r="E3" s="1939"/>
      <c r="F3" s="1940"/>
      <c r="G3" s="1940"/>
      <c r="H3" s="1962"/>
      <c r="I3" s="1963"/>
      <c r="J3" s="2492"/>
      <c r="K3" s="1978"/>
      <c r="L3" s="1979"/>
      <c r="M3" s="1979"/>
      <c r="N3" s="1980"/>
      <c r="O3" s="2528"/>
      <c r="P3" s="2529"/>
      <c r="Q3" s="2529"/>
      <c r="R3" s="2529"/>
      <c r="S3" s="2529"/>
      <c r="T3" s="2547"/>
      <c r="U3" s="2547"/>
      <c r="V3" s="2529"/>
      <c r="W3" s="2529"/>
      <c r="X3" s="2529"/>
      <c r="Y3" s="2529"/>
      <c r="Z3" s="2529"/>
      <c r="AA3" s="2529"/>
      <c r="AB3" s="2529"/>
      <c r="AC3" s="2529"/>
      <c r="AD3" s="2529"/>
    </row>
    <row r="4" customHeight="1" spans="1:30">
      <c r="A4" s="2020" t="s">
        <v>38</v>
      </c>
      <c r="B4" s="2459" t="s">
        <v>327</v>
      </c>
      <c r="C4" s="2459"/>
      <c r="D4" s="2460"/>
      <c r="E4" s="2459"/>
      <c r="F4" s="2459"/>
      <c r="G4" s="2459" t="s">
        <v>328</v>
      </c>
      <c r="H4" s="2473"/>
      <c r="I4" s="2459"/>
      <c r="J4" s="2493">
        <v>250000</v>
      </c>
      <c r="K4" s="2494"/>
      <c r="L4" s="2495"/>
      <c r="M4" s="2495"/>
      <c r="N4" s="2530"/>
      <c r="O4" s="2459"/>
      <c r="P4" s="2459"/>
      <c r="Q4" s="2459" t="s">
        <v>140</v>
      </c>
      <c r="R4" s="2459"/>
      <c r="S4" s="2459"/>
      <c r="T4" s="2459"/>
      <c r="U4" s="2459"/>
      <c r="V4" s="2459"/>
      <c r="W4" s="2459"/>
      <c r="X4" s="2459"/>
      <c r="Y4" s="2459"/>
      <c r="Z4" s="2459"/>
      <c r="AA4" s="2459"/>
      <c r="AB4" s="2459"/>
      <c r="AC4" s="2459"/>
      <c r="AD4" s="2459"/>
    </row>
    <row r="5" spans="1:30">
      <c r="A5" s="2020"/>
      <c r="B5" s="2459" t="s">
        <v>143</v>
      </c>
      <c r="C5" s="2461"/>
      <c r="D5" s="2462"/>
      <c r="E5" s="2461"/>
      <c r="F5" s="2461"/>
      <c r="G5" s="2461" t="s">
        <v>329</v>
      </c>
      <c r="H5" s="2474"/>
      <c r="I5" s="2461"/>
      <c r="J5" s="2496">
        <v>200000</v>
      </c>
      <c r="K5" s="2497"/>
      <c r="L5" s="2498"/>
      <c r="M5" s="2498"/>
      <c r="N5" s="2531"/>
      <c r="O5" s="2171"/>
      <c r="P5" s="2171"/>
      <c r="Q5" s="2171"/>
      <c r="R5" s="2171"/>
      <c r="S5" s="2171"/>
      <c r="T5" s="2171"/>
      <c r="U5" s="2171"/>
      <c r="V5" s="2171"/>
      <c r="W5" s="2171"/>
      <c r="X5" s="2171"/>
      <c r="Y5" s="2171"/>
      <c r="Z5" s="2171"/>
      <c r="AA5" s="2171"/>
      <c r="AB5" s="2171"/>
      <c r="AC5" s="2171"/>
      <c r="AD5" s="2001"/>
    </row>
    <row r="6" s="23" customFormat="1" spans="1:30">
      <c r="A6" s="2463" t="s">
        <v>209</v>
      </c>
      <c r="B6" s="2464" t="s">
        <v>149</v>
      </c>
      <c r="C6" s="2465" t="s">
        <v>198</v>
      </c>
      <c r="D6" s="2466">
        <v>43835</v>
      </c>
      <c r="E6" s="2475"/>
      <c r="F6" s="2475"/>
      <c r="G6" s="2476"/>
      <c r="H6" s="2477"/>
      <c r="I6" s="2475"/>
      <c r="J6" s="2499">
        <v>150000</v>
      </c>
      <c r="K6" s="2500"/>
      <c r="L6" s="2501"/>
      <c r="M6" s="2532"/>
      <c r="N6" s="2533"/>
      <c r="O6" s="2534"/>
      <c r="P6" s="2534"/>
      <c r="Q6" s="2534"/>
      <c r="R6" s="2534"/>
      <c r="S6" s="2534"/>
      <c r="T6" s="2534"/>
      <c r="U6" s="2534"/>
      <c r="V6" s="2534"/>
      <c r="W6" s="2534"/>
      <c r="X6" s="2534"/>
      <c r="Y6" s="2534"/>
      <c r="Z6" s="2534"/>
      <c r="AA6" s="2534"/>
      <c r="AB6" s="2534"/>
      <c r="AC6" s="2534"/>
      <c r="AD6" s="2534"/>
    </row>
    <row r="7" s="23" customFormat="1" spans="1:30">
      <c r="A7" s="2463"/>
      <c r="B7" s="2464" t="s">
        <v>151</v>
      </c>
      <c r="C7" s="2465"/>
      <c r="D7" s="2466"/>
      <c r="E7" s="2475"/>
      <c r="F7" s="2475"/>
      <c r="G7" s="2476"/>
      <c r="H7" s="2478"/>
      <c r="I7" s="2475"/>
      <c r="J7" s="2499">
        <v>200000</v>
      </c>
      <c r="K7" s="2500"/>
      <c r="L7" s="2501"/>
      <c r="M7" s="2532"/>
      <c r="N7" s="2419"/>
      <c r="O7" s="2534"/>
      <c r="P7" s="2534"/>
      <c r="Q7" s="2534"/>
      <c r="R7" s="2534"/>
      <c r="S7" s="2534"/>
      <c r="T7" s="2534"/>
      <c r="U7" s="2534"/>
      <c r="V7" s="2534"/>
      <c r="W7" s="2534"/>
      <c r="X7" s="2534"/>
      <c r="Y7" s="2534"/>
      <c r="Z7" s="2534"/>
      <c r="AA7" s="2534"/>
      <c r="AB7" s="2534"/>
      <c r="AC7" s="2534"/>
      <c r="AD7" s="2534"/>
    </row>
    <row r="8" s="23" customFormat="1" spans="1:30">
      <c r="A8" s="2463"/>
      <c r="B8" s="2463" t="s">
        <v>330</v>
      </c>
      <c r="C8" s="2467"/>
      <c r="D8" s="2468"/>
      <c r="E8" s="2099"/>
      <c r="F8" s="2099"/>
      <c r="G8" s="2100"/>
      <c r="H8" s="2098"/>
      <c r="I8" s="2099"/>
      <c r="J8" s="2502">
        <v>200000</v>
      </c>
      <c r="K8" s="2503"/>
      <c r="L8" s="2504"/>
      <c r="M8" s="2535"/>
      <c r="N8" s="2536"/>
      <c r="O8" s="2099"/>
      <c r="P8" s="2099"/>
      <c r="Q8" s="2099"/>
      <c r="R8" s="2099"/>
      <c r="S8" s="2099"/>
      <c r="T8" s="2099"/>
      <c r="U8" s="2099"/>
      <c r="V8" s="2099"/>
      <c r="W8" s="2099"/>
      <c r="X8" s="2099"/>
      <c r="Y8" s="2099"/>
      <c r="Z8" s="2099"/>
      <c r="AA8" s="2099"/>
      <c r="AB8" s="2099"/>
      <c r="AC8" s="2099"/>
      <c r="AD8" s="2099"/>
    </row>
    <row r="9" customHeight="1" spans="1:30">
      <c r="A9" s="2469" t="s">
        <v>67</v>
      </c>
      <c r="B9" s="2469"/>
      <c r="C9" s="2469"/>
      <c r="D9" s="1951" t="s">
        <v>285</v>
      </c>
      <c r="E9" s="1951"/>
      <c r="F9" s="1951"/>
      <c r="G9" s="1951"/>
      <c r="H9" s="1968"/>
      <c r="I9" s="1969"/>
      <c r="J9" s="2505">
        <f>SUM(J4:J8)</f>
        <v>1000000</v>
      </c>
      <c r="K9" s="2506"/>
      <c r="L9" s="2505">
        <v>0</v>
      </c>
      <c r="M9" s="2537">
        <v>0</v>
      </c>
      <c r="N9" s="2538">
        <v>0</v>
      </c>
      <c r="O9" s="2009"/>
      <c r="P9" s="2009"/>
      <c r="Q9" s="2009"/>
      <c r="R9" s="2226"/>
      <c r="S9" s="2226"/>
      <c r="T9" s="2226"/>
      <c r="U9" s="2226"/>
      <c r="V9" s="2226"/>
      <c r="W9" s="2226"/>
      <c r="X9" s="2226"/>
      <c r="Y9" s="2226"/>
      <c r="Z9" s="2226"/>
      <c r="AA9" s="2226"/>
      <c r="AB9" s="2226"/>
      <c r="AC9" s="2226"/>
      <c r="AD9" s="2226"/>
    </row>
    <row r="10" ht="18" spans="1:30">
      <c r="A10" s="2020" t="s">
        <v>331</v>
      </c>
      <c r="B10" s="2020" t="s">
        <v>165</v>
      </c>
      <c r="C10" s="2020"/>
      <c r="D10" s="2444"/>
      <c r="E10" s="2020"/>
      <c r="F10" s="2020"/>
      <c r="G10" s="2479" t="s">
        <v>332</v>
      </c>
      <c r="H10" s="2480"/>
      <c r="I10" s="2507"/>
      <c r="J10" s="2264">
        <v>167700</v>
      </c>
      <c r="K10" s="2508"/>
      <c r="L10" s="2097"/>
      <c r="M10" s="2097"/>
      <c r="N10" s="2539"/>
      <c r="O10" s="2540"/>
      <c r="P10" s="2540"/>
      <c r="Q10" s="2548"/>
      <c r="R10" s="2020"/>
      <c r="S10" s="2020"/>
      <c r="T10" s="2020"/>
      <c r="U10" s="2020"/>
      <c r="V10" s="2020"/>
      <c r="W10" s="2020"/>
      <c r="X10" s="2020"/>
      <c r="Y10" s="2020"/>
      <c r="Z10" s="2020"/>
      <c r="AA10" s="2020"/>
      <c r="AB10" s="2020"/>
      <c r="AC10" s="2020"/>
      <c r="AD10" s="2020"/>
    </row>
    <row r="11" spans="1:30">
      <c r="A11" s="2011" t="s">
        <v>224</v>
      </c>
      <c r="B11" s="2470" t="s">
        <v>333</v>
      </c>
      <c r="C11" s="2465" t="s">
        <v>210</v>
      </c>
      <c r="D11" s="2088"/>
      <c r="E11" s="2088"/>
      <c r="F11" s="2131"/>
      <c r="G11" s="2406" t="s">
        <v>334</v>
      </c>
      <c r="H11" s="2406"/>
      <c r="I11" s="2417"/>
      <c r="J11" s="2127">
        <v>100000</v>
      </c>
      <c r="K11" s="2418"/>
      <c r="L11" s="2499">
        <v>100000</v>
      </c>
      <c r="M11" s="2541"/>
      <c r="N11" s="2542"/>
      <c r="O11" s="2540"/>
      <c r="P11" s="2540"/>
      <c r="Q11" s="2548"/>
      <c r="R11" s="2020"/>
      <c r="S11" s="2020"/>
      <c r="T11" s="2020"/>
      <c r="U11" s="2020"/>
      <c r="V11" s="2020"/>
      <c r="W11" s="2020"/>
      <c r="X11" s="2020"/>
      <c r="Y11" s="2020"/>
      <c r="Z11" s="2020"/>
      <c r="AA11" s="2020"/>
      <c r="AB11" s="2020"/>
      <c r="AC11" s="2020"/>
      <c r="AD11" s="2020"/>
    </row>
    <row r="12" spans="1:30">
      <c r="A12" s="2011"/>
      <c r="B12" s="2471" t="s">
        <v>335</v>
      </c>
      <c r="C12" s="2467" t="s">
        <v>198</v>
      </c>
      <c r="D12" s="2133" t="s">
        <v>336</v>
      </c>
      <c r="E12" s="2481"/>
      <c r="F12" s="2481"/>
      <c r="G12" s="2482"/>
      <c r="H12" s="2483"/>
      <c r="I12" s="2509"/>
      <c r="J12" s="2510">
        <v>110000</v>
      </c>
      <c r="K12" s="2511"/>
      <c r="L12" s="2512">
        <v>110000</v>
      </c>
      <c r="M12" s="2541"/>
      <c r="N12" s="2541"/>
      <c r="O12" s="2540"/>
      <c r="P12" s="2540"/>
      <c r="Q12" s="2548"/>
      <c r="R12" s="2020"/>
      <c r="S12" s="2020"/>
      <c r="T12" s="2020"/>
      <c r="U12" s="2020"/>
      <c r="V12" s="2020"/>
      <c r="W12" s="2020"/>
      <c r="X12" s="2020"/>
      <c r="Y12" s="2020"/>
      <c r="Z12" s="2020"/>
      <c r="AA12" s="2020"/>
      <c r="AB12" s="2020"/>
      <c r="AC12" s="2020"/>
      <c r="AD12" s="2020"/>
    </row>
    <row r="13" spans="1:30">
      <c r="A13" s="2472" t="s">
        <v>245</v>
      </c>
      <c r="B13" s="2133" t="s">
        <v>173</v>
      </c>
      <c r="C13" s="2467" t="s">
        <v>198</v>
      </c>
      <c r="D13" s="2133"/>
      <c r="E13" s="2133"/>
      <c r="F13" s="2133"/>
      <c r="G13" s="245" t="s">
        <v>337</v>
      </c>
      <c r="H13" s="245"/>
      <c r="I13" s="2177"/>
      <c r="J13" s="2127">
        <v>90000</v>
      </c>
      <c r="K13" s="2104"/>
      <c r="L13" s="2513"/>
      <c r="M13" s="2543">
        <v>90000</v>
      </c>
      <c r="N13" s="2199"/>
      <c r="O13" s="2544"/>
      <c r="P13" s="2540"/>
      <c r="Q13" s="2548" t="s">
        <v>338</v>
      </c>
      <c r="R13" s="2020"/>
      <c r="S13" s="2020"/>
      <c r="T13" s="2020"/>
      <c r="U13" s="2020"/>
      <c r="V13" s="2020"/>
      <c r="W13" s="2020"/>
      <c r="X13" s="2020"/>
      <c r="Y13" s="2020"/>
      <c r="Z13" s="2020"/>
      <c r="AA13" s="2020"/>
      <c r="AB13" s="2020"/>
      <c r="AC13" s="2020"/>
      <c r="AD13" s="2020"/>
    </row>
    <row r="14" spans="1:30">
      <c r="A14" s="2472"/>
      <c r="B14" s="2133" t="s">
        <v>256</v>
      </c>
      <c r="C14" s="2467" t="s">
        <v>198</v>
      </c>
      <c r="D14" s="2133"/>
      <c r="E14" s="2133"/>
      <c r="F14" s="2133"/>
      <c r="G14" s="245" t="s">
        <v>339</v>
      </c>
      <c r="H14" s="245"/>
      <c r="I14" s="2177"/>
      <c r="J14" s="2127">
        <v>195000</v>
      </c>
      <c r="K14" s="2104"/>
      <c r="L14" s="2513">
        <v>195000</v>
      </c>
      <c r="M14" s="2543"/>
      <c r="N14" s="2199"/>
      <c r="O14" s="2544"/>
      <c r="P14" s="2545"/>
      <c r="Q14" s="2548"/>
      <c r="R14" s="2020"/>
      <c r="S14" s="2020"/>
      <c r="T14" s="2020"/>
      <c r="U14" s="2020"/>
      <c r="V14" s="2020"/>
      <c r="W14" s="2020"/>
      <c r="X14" s="2020"/>
      <c r="Y14" s="2020"/>
      <c r="Z14" s="2020"/>
      <c r="AA14" s="2020"/>
      <c r="AB14" s="2020"/>
      <c r="AC14" s="2020"/>
      <c r="AD14" s="2020"/>
    </row>
    <row r="15" spans="1:30">
      <c r="A15" s="2472"/>
      <c r="B15" s="2133" t="s">
        <v>249</v>
      </c>
      <c r="C15" s="2467" t="s">
        <v>198</v>
      </c>
      <c r="D15" s="2133"/>
      <c r="E15" s="2133"/>
      <c r="F15" s="2133"/>
      <c r="G15" s="245" t="s">
        <v>340</v>
      </c>
      <c r="H15" s="245"/>
      <c r="I15" s="2177"/>
      <c r="J15" s="2127">
        <v>62000</v>
      </c>
      <c r="K15" s="2104"/>
      <c r="L15" s="2513"/>
      <c r="M15" s="2543">
        <v>62000</v>
      </c>
      <c r="N15" s="2199"/>
      <c r="O15" s="2544"/>
      <c r="P15" s="2545"/>
      <c r="Q15" s="2548"/>
      <c r="R15" s="2020"/>
      <c r="S15" s="2020"/>
      <c r="T15" s="2020"/>
      <c r="U15" s="2020"/>
      <c r="V15" s="2020"/>
      <c r="W15" s="2020"/>
      <c r="X15" s="2020"/>
      <c r="Y15" s="2020"/>
      <c r="Z15" s="2020"/>
      <c r="AA15" s="2020"/>
      <c r="AB15" s="2020"/>
      <c r="AC15" s="2020"/>
      <c r="AD15" s="2020"/>
    </row>
    <row r="16" spans="1:30">
      <c r="A16" s="2472"/>
      <c r="B16" s="2133" t="s">
        <v>175</v>
      </c>
      <c r="C16" s="2467" t="s">
        <v>198</v>
      </c>
      <c r="D16" s="2133" t="s">
        <v>336</v>
      </c>
      <c r="E16" s="2133"/>
      <c r="F16" s="2133"/>
      <c r="G16" s="245" t="s">
        <v>341</v>
      </c>
      <c r="H16" s="245"/>
      <c r="I16" s="2177"/>
      <c r="J16" s="2127">
        <v>150000</v>
      </c>
      <c r="K16" s="2104"/>
      <c r="L16" s="2514"/>
      <c r="M16" s="73"/>
      <c r="N16" s="2199"/>
      <c r="O16" s="2544"/>
      <c r="P16" s="2540"/>
      <c r="Q16" s="2548"/>
      <c r="R16" s="2020"/>
      <c r="S16" s="2020"/>
      <c r="T16" s="2020"/>
      <c r="U16" s="2020"/>
      <c r="V16" s="2020"/>
      <c r="W16" s="2020"/>
      <c r="X16" s="2020"/>
      <c r="Y16" s="2020"/>
      <c r="Z16" s="2020"/>
      <c r="AA16" s="2020"/>
      <c r="AB16" s="2020"/>
      <c r="AC16" s="2020"/>
      <c r="AD16" s="2020"/>
    </row>
    <row r="17" spans="1:30">
      <c r="A17" s="2472"/>
      <c r="B17" s="2133" t="s">
        <v>342</v>
      </c>
      <c r="C17" s="2133" t="s">
        <v>210</v>
      </c>
      <c r="D17" s="2133" t="s">
        <v>336</v>
      </c>
      <c r="E17" s="2133"/>
      <c r="F17" s="2133"/>
      <c r="G17" s="245" t="s">
        <v>290</v>
      </c>
      <c r="H17" s="245"/>
      <c r="I17" s="2177"/>
      <c r="J17" s="2127">
        <v>150000</v>
      </c>
      <c r="K17" s="2104"/>
      <c r="L17" s="1984"/>
      <c r="M17" s="73"/>
      <c r="N17" s="2199"/>
      <c r="O17" s="2544"/>
      <c r="P17" s="2540"/>
      <c r="Q17" s="2548"/>
      <c r="R17" s="2020"/>
      <c r="S17" s="2020"/>
      <c r="T17" s="2020"/>
      <c r="U17" s="2020"/>
      <c r="V17" s="2020"/>
      <c r="W17" s="2020"/>
      <c r="X17" s="2020"/>
      <c r="Y17" s="2020"/>
      <c r="Z17" s="2020"/>
      <c r="AA17" s="2020"/>
      <c r="AB17" s="2020"/>
      <c r="AC17" s="2020"/>
      <c r="AD17" s="2020"/>
    </row>
    <row r="18" ht="15.95" customHeight="1" spans="1:30">
      <c r="A18" s="1956" t="s">
        <v>343</v>
      </c>
      <c r="B18" s="1956"/>
      <c r="C18" s="1956"/>
      <c r="D18" s="1956" t="s">
        <v>293</v>
      </c>
      <c r="E18" s="1956"/>
      <c r="F18" s="1956"/>
      <c r="G18" s="1956"/>
      <c r="H18" s="2484"/>
      <c r="I18" s="2515"/>
      <c r="J18" s="2380">
        <f>SUM(J10:J17)</f>
        <v>1024700</v>
      </c>
      <c r="K18" s="2381"/>
      <c r="L18" s="2380"/>
      <c r="M18" s="2382">
        <v>0</v>
      </c>
      <c r="N18" s="2382">
        <v>0</v>
      </c>
      <c r="O18" s="474"/>
      <c r="P18" s="474"/>
      <c r="Q18" s="474"/>
      <c r="R18" s="2011"/>
      <c r="S18" s="2011"/>
      <c r="T18" s="2011"/>
      <c r="U18" s="2011"/>
      <c r="V18" s="2011"/>
      <c r="W18" s="2011"/>
      <c r="X18" s="2011"/>
      <c r="Y18" s="2011"/>
      <c r="Z18" s="2011"/>
      <c r="AA18" s="2011"/>
      <c r="AB18" s="2011"/>
      <c r="AC18" s="2011"/>
      <c r="AD18" s="2011"/>
    </row>
    <row r="19" spans="1:30">
      <c r="A19" s="2011" t="s">
        <v>344</v>
      </c>
      <c r="B19" s="1959" t="s">
        <v>299</v>
      </c>
      <c r="C19" s="2075" t="s">
        <v>198</v>
      </c>
      <c r="D19" s="1959"/>
      <c r="E19" s="2020"/>
      <c r="F19" s="2025" t="s">
        <v>345</v>
      </c>
      <c r="G19" s="2485" t="s">
        <v>346</v>
      </c>
      <c r="H19" s="2020"/>
      <c r="I19" s="2516"/>
      <c r="J19" s="2517">
        <f>K19*N19</f>
        <v>43901</v>
      </c>
      <c r="K19" s="532">
        <v>6.5</v>
      </c>
      <c r="L19" s="259"/>
      <c r="M19" s="2325"/>
      <c r="N19" s="2243">
        <v>6754</v>
      </c>
      <c r="O19" s="2017"/>
      <c r="P19" s="2017"/>
      <c r="Q19" s="2020"/>
      <c r="R19" s="2020"/>
      <c r="S19" s="2020"/>
      <c r="T19" s="2020"/>
      <c r="U19" s="2020"/>
      <c r="V19" s="2020"/>
      <c r="W19" s="2020"/>
      <c r="X19" s="2020"/>
      <c r="Y19" s="2020"/>
      <c r="Z19" s="2020"/>
      <c r="AA19" s="2020"/>
      <c r="AB19" s="2020"/>
      <c r="AC19" s="2020"/>
      <c r="AD19" s="2020"/>
    </row>
    <row r="20" spans="1:30">
      <c r="A20" s="2011"/>
      <c r="B20" s="2011" t="s">
        <v>299</v>
      </c>
      <c r="C20" s="2075" t="s">
        <v>198</v>
      </c>
      <c r="D20" s="1959"/>
      <c r="E20" s="2020"/>
      <c r="F20" s="2025" t="s">
        <v>347</v>
      </c>
      <c r="G20" s="2485" t="s">
        <v>128</v>
      </c>
      <c r="H20" s="2020"/>
      <c r="I20" s="259"/>
      <c r="J20" s="2518">
        <f>K20*N20</f>
        <v>246792</v>
      </c>
      <c r="K20" s="532">
        <v>6.5</v>
      </c>
      <c r="L20" s="259"/>
      <c r="M20" s="2325"/>
      <c r="N20" s="2243">
        <v>37968</v>
      </c>
      <c r="O20" s="2017"/>
      <c r="P20" s="2017"/>
      <c r="Q20" s="2020"/>
      <c r="R20" s="2020"/>
      <c r="S20" s="2020"/>
      <c r="T20" s="2020"/>
      <c r="U20" s="2020"/>
      <c r="V20" s="2020"/>
      <c r="W20" s="2020"/>
      <c r="X20" s="2020"/>
      <c r="Y20" s="2020"/>
      <c r="Z20" s="2020"/>
      <c r="AA20" s="2020"/>
      <c r="AB20" s="2020"/>
      <c r="AC20" s="2020"/>
      <c r="AD20" s="2020"/>
    </row>
    <row r="21" spans="1:30">
      <c r="A21" s="2011"/>
      <c r="B21" s="2011" t="s">
        <v>299</v>
      </c>
      <c r="C21" s="2075" t="s">
        <v>198</v>
      </c>
      <c r="D21" s="1959"/>
      <c r="E21" s="2020"/>
      <c r="F21" s="2025" t="s">
        <v>318</v>
      </c>
      <c r="G21" s="2486" t="s">
        <v>348</v>
      </c>
      <c r="H21" s="2487"/>
      <c r="I21" s="2243"/>
      <c r="J21" s="2519">
        <f>N21*K21</f>
        <v>210574</v>
      </c>
      <c r="K21" s="532">
        <v>6.5</v>
      </c>
      <c r="L21" s="2369"/>
      <c r="M21" s="2326"/>
      <c r="N21" s="2243">
        <v>32396</v>
      </c>
      <c r="O21" s="2017">
        <f>SUM(J19:J25)</f>
        <v>1343563</v>
      </c>
      <c r="P21" s="2017"/>
      <c r="Q21" s="2020"/>
      <c r="R21" s="2020"/>
      <c r="S21" s="2020"/>
      <c r="T21" s="2020"/>
      <c r="U21" s="2020"/>
      <c r="V21" s="2020"/>
      <c r="W21" s="2020"/>
      <c r="X21" s="2020"/>
      <c r="Y21" s="2020"/>
      <c r="Z21" s="2020"/>
      <c r="AA21" s="2020"/>
      <c r="AB21" s="2020"/>
      <c r="AC21" s="2020"/>
      <c r="AD21" s="2020"/>
    </row>
    <row r="22" spans="1:30">
      <c r="A22" s="2011"/>
      <c r="B22" s="1959" t="s">
        <v>299</v>
      </c>
      <c r="C22" s="2075" t="s">
        <v>198</v>
      </c>
      <c r="D22" s="1959"/>
      <c r="E22" s="2020"/>
      <c r="F22" s="2025" t="s">
        <v>349</v>
      </c>
      <c r="G22" s="2485" t="s">
        <v>348</v>
      </c>
      <c r="H22" s="2020"/>
      <c r="I22" s="259"/>
      <c r="J22" s="2519">
        <f t="shared" ref="J22:J25" si="0">N22*K22</f>
        <v>210574</v>
      </c>
      <c r="K22" s="2520">
        <v>6.5</v>
      </c>
      <c r="L22" s="259"/>
      <c r="M22" s="2325"/>
      <c r="N22" s="2243">
        <v>32396</v>
      </c>
      <c r="O22" s="2017"/>
      <c r="P22" s="2017"/>
      <c r="Q22" s="2020"/>
      <c r="R22" s="2020"/>
      <c r="S22" s="2020"/>
      <c r="T22" s="2020"/>
      <c r="U22" s="2020"/>
      <c r="V22" s="2020"/>
      <c r="W22" s="2020"/>
      <c r="X22" s="2020"/>
      <c r="Y22" s="2020"/>
      <c r="Z22" s="2020"/>
      <c r="AA22" s="2020"/>
      <c r="AB22" s="2020"/>
      <c r="AC22" s="2020"/>
      <c r="AD22" s="2020"/>
    </row>
    <row r="23" spans="1:30">
      <c r="A23" s="2011"/>
      <c r="B23" s="1959" t="s">
        <v>299</v>
      </c>
      <c r="C23" s="2075" t="s">
        <v>198</v>
      </c>
      <c r="D23" s="1959"/>
      <c r="E23" s="2020"/>
      <c r="F23" s="2025" t="s">
        <v>350</v>
      </c>
      <c r="G23" s="2485" t="s">
        <v>348</v>
      </c>
      <c r="H23" s="2020"/>
      <c r="I23" s="2243"/>
      <c r="J23" s="2519">
        <f t="shared" si="0"/>
        <v>210574</v>
      </c>
      <c r="K23" s="2520">
        <v>6.5</v>
      </c>
      <c r="L23" s="259"/>
      <c r="M23" s="259"/>
      <c r="N23" s="2243">
        <v>32396</v>
      </c>
      <c r="O23" s="2017"/>
      <c r="P23" s="2017"/>
      <c r="Q23" s="2020"/>
      <c r="R23" s="2020"/>
      <c r="S23" s="2020"/>
      <c r="T23" s="2020"/>
      <c r="U23" s="2020"/>
      <c r="V23" s="2020"/>
      <c r="W23" s="2020"/>
      <c r="X23" s="2020"/>
      <c r="Y23" s="2020"/>
      <c r="Z23" s="2020"/>
      <c r="AA23" s="2020"/>
      <c r="AB23" s="2020"/>
      <c r="AC23" s="2020"/>
      <c r="AD23" s="2020"/>
    </row>
    <row r="24" spans="1:30">
      <c r="A24" s="2011"/>
      <c r="B24" s="1959" t="s">
        <v>299</v>
      </c>
      <c r="C24" s="2075" t="s">
        <v>198</v>
      </c>
      <c r="D24" s="1959"/>
      <c r="E24" s="2020"/>
      <c r="F24" s="2025" t="s">
        <v>351</v>
      </c>
      <c r="G24" s="2485" t="s">
        <v>348</v>
      </c>
      <c r="H24" s="2020"/>
      <c r="I24" s="2243"/>
      <c r="J24" s="2519">
        <f t="shared" si="0"/>
        <v>210574</v>
      </c>
      <c r="K24" s="2520">
        <v>6.5</v>
      </c>
      <c r="L24" s="259"/>
      <c r="M24" s="259"/>
      <c r="N24" s="2243">
        <v>32396</v>
      </c>
      <c r="O24" s="2017"/>
      <c r="P24" s="2017"/>
      <c r="Q24" s="2020"/>
      <c r="R24" s="2020"/>
      <c r="S24" s="2020"/>
      <c r="T24" s="2020"/>
      <c r="U24" s="2020"/>
      <c r="V24" s="2020"/>
      <c r="W24" s="2020"/>
      <c r="X24" s="2020"/>
      <c r="Y24" s="2020"/>
      <c r="Z24" s="2020"/>
      <c r="AA24" s="2020"/>
      <c r="AB24" s="2020"/>
      <c r="AC24" s="2020"/>
      <c r="AD24" s="2020"/>
    </row>
    <row r="25" spans="1:30">
      <c r="A25" s="2011"/>
      <c r="B25" s="1959" t="s">
        <v>299</v>
      </c>
      <c r="C25" s="2075" t="s">
        <v>198</v>
      </c>
      <c r="D25" s="1959"/>
      <c r="E25" s="2020"/>
      <c r="F25" s="2025" t="s">
        <v>352</v>
      </c>
      <c r="G25" s="2485" t="s">
        <v>348</v>
      </c>
      <c r="H25" s="2020"/>
      <c r="I25" s="2243"/>
      <c r="J25" s="2519">
        <f t="shared" si="0"/>
        <v>210574</v>
      </c>
      <c r="K25" s="2190">
        <v>6.5</v>
      </c>
      <c r="L25" s="2369"/>
      <c r="M25" s="2326"/>
      <c r="N25" s="2243">
        <v>32396</v>
      </c>
      <c r="O25" s="2017"/>
      <c r="P25" s="2017"/>
      <c r="Q25" s="2020"/>
      <c r="R25" s="2020"/>
      <c r="S25" s="2020"/>
      <c r="T25" s="2020"/>
      <c r="U25" s="2020"/>
      <c r="V25" s="2020"/>
      <c r="W25" s="2020"/>
      <c r="X25" s="2020"/>
      <c r="Y25" s="2020"/>
      <c r="Z25" s="2020"/>
      <c r="AA25" s="2020"/>
      <c r="AB25" s="2020"/>
      <c r="AC25" s="2020"/>
      <c r="AD25" s="2020"/>
    </row>
    <row r="26" customHeight="1" spans="1:30">
      <c r="A26" s="2011"/>
      <c r="B26" s="2011" t="s">
        <v>324</v>
      </c>
      <c r="C26" s="2075" t="s">
        <v>198</v>
      </c>
      <c r="D26" s="1959"/>
      <c r="E26" s="2020"/>
      <c r="F26" s="2025" t="s">
        <v>353</v>
      </c>
      <c r="G26" s="40" t="s">
        <v>354</v>
      </c>
      <c r="H26" s="2487"/>
      <c r="I26" s="2243"/>
      <c r="J26" s="2519">
        <f>K26*N26</f>
        <v>214500</v>
      </c>
      <c r="K26" s="2190">
        <v>6.5</v>
      </c>
      <c r="L26" s="2369"/>
      <c r="M26" s="2326"/>
      <c r="N26" s="2243">
        <v>33000</v>
      </c>
      <c r="O26" s="2020"/>
      <c r="P26" s="2369"/>
      <c r="Q26" s="2020"/>
      <c r="R26" s="2020"/>
      <c r="S26" s="2020"/>
      <c r="T26" s="2020"/>
      <c r="U26" s="2020"/>
      <c r="V26" s="2020"/>
      <c r="W26" s="2020"/>
      <c r="X26" s="2020"/>
      <c r="Y26" s="2020"/>
      <c r="Z26" s="2020"/>
      <c r="AA26" s="2020"/>
      <c r="AB26" s="2020"/>
      <c r="AC26" s="2020"/>
      <c r="AD26" s="2020"/>
    </row>
    <row r="27" spans="1:30">
      <c r="A27" s="2226"/>
      <c r="B27" s="2331" t="s">
        <v>355</v>
      </c>
      <c r="C27" s="2031" t="s">
        <v>198</v>
      </c>
      <c r="D27" s="2331"/>
      <c r="E27" s="2033"/>
      <c r="F27" s="2488" t="s">
        <v>356</v>
      </c>
      <c r="G27" s="2489"/>
      <c r="H27" s="2033"/>
      <c r="I27" s="2521"/>
      <c r="J27" s="2522">
        <v>417413</v>
      </c>
      <c r="K27" s="2523"/>
      <c r="L27" s="2325"/>
      <c r="M27" s="2325"/>
      <c r="N27" s="2237"/>
      <c r="O27" s="2017">
        <f>SUM(J27:J29)</f>
        <v>864607</v>
      </c>
      <c r="P27" s="2369"/>
      <c r="Q27" s="2020"/>
      <c r="R27" s="2020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2020"/>
      <c r="AD27" s="2020"/>
    </row>
    <row r="28" spans="1:30">
      <c r="A28" s="2011" t="s">
        <v>220</v>
      </c>
      <c r="B28" s="2011" t="s">
        <v>267</v>
      </c>
      <c r="C28" s="2031" t="s">
        <v>198</v>
      </c>
      <c r="D28" s="1959"/>
      <c r="E28" s="2020"/>
      <c r="F28" s="2025" t="s">
        <v>357</v>
      </c>
      <c r="G28" s="40"/>
      <c r="H28" s="2487"/>
      <c r="I28" s="2243"/>
      <c r="J28" s="2519">
        <v>212774</v>
      </c>
      <c r="K28" s="2190"/>
      <c r="L28" s="2369"/>
      <c r="M28" s="2326"/>
      <c r="N28" s="2243">
        <v>32925.5</v>
      </c>
      <c r="O28" s="2020"/>
      <c r="P28" s="2369"/>
      <c r="Q28" s="2020"/>
      <c r="R28" s="2020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20"/>
      <c r="AD28" s="2020"/>
    </row>
    <row r="29" spans="1:30">
      <c r="A29" s="2011" t="s">
        <v>220</v>
      </c>
      <c r="B29" s="1959" t="s">
        <v>358</v>
      </c>
      <c r="C29" s="2277" t="s">
        <v>198</v>
      </c>
      <c r="D29" s="1959"/>
      <c r="E29" s="2011"/>
      <c r="F29" s="2361" t="s">
        <v>359</v>
      </c>
      <c r="G29" s="40"/>
      <c r="H29" s="2490"/>
      <c r="I29" s="2524"/>
      <c r="J29" s="2519">
        <v>234420</v>
      </c>
      <c r="K29" s="2525"/>
      <c r="L29" s="2526"/>
      <c r="M29" s="2546"/>
      <c r="N29" s="2243">
        <v>36520</v>
      </c>
      <c r="O29" s="2020"/>
      <c r="P29" s="2369"/>
      <c r="Q29" s="2020"/>
      <c r="R29" s="2020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2020"/>
      <c r="AD29" s="2020"/>
    </row>
    <row r="30" customHeight="1" spans="1:30">
      <c r="A30" s="2039" t="s">
        <v>67</v>
      </c>
      <c r="B30" s="2039"/>
      <c r="C30" s="2295"/>
      <c r="D30" s="2077" t="s">
        <v>325</v>
      </c>
      <c r="E30" s="2077"/>
      <c r="F30" s="2040"/>
      <c r="G30" s="2040"/>
      <c r="H30" s="2048"/>
      <c r="I30" s="2049"/>
      <c r="J30" s="2050">
        <f>SUM(J19:J29)</f>
        <v>2422670</v>
      </c>
      <c r="K30" s="2066"/>
      <c r="L30" s="2050">
        <v>0</v>
      </c>
      <c r="M30" s="2067">
        <v>0</v>
      </c>
      <c r="N30" s="2068">
        <v>0</v>
      </c>
      <c r="O30" s="474"/>
      <c r="P30" s="474"/>
      <c r="Q30" s="474"/>
      <c r="R30" s="2011"/>
      <c r="S30" s="2011"/>
      <c r="T30" s="2011"/>
      <c r="U30" s="2011"/>
      <c r="V30" s="2011"/>
      <c r="W30" s="2011"/>
      <c r="X30" s="2011"/>
      <c r="Y30" s="2011"/>
      <c r="Z30" s="2011"/>
      <c r="AA30" s="2011"/>
      <c r="AB30" s="2011"/>
      <c r="AC30" s="2011"/>
      <c r="AD30" s="2011"/>
    </row>
    <row r="31" spans="1:30">
      <c r="A31" s="2001"/>
      <c r="B31" s="2001"/>
      <c r="C31" s="2001"/>
      <c r="D31" s="2001"/>
      <c r="E31" s="2001"/>
      <c r="F31" s="2001"/>
      <c r="G31" s="2001"/>
      <c r="H31" s="2051"/>
      <c r="I31" s="2001"/>
      <c r="J31" s="2527"/>
      <c r="K31" s="2001"/>
      <c r="L31" s="2001"/>
      <c r="M31" s="2001"/>
      <c r="N31" s="2001"/>
      <c r="O31" s="2001"/>
      <c r="P31" s="2001"/>
      <c r="Q31" s="2001"/>
      <c r="R31" s="2001"/>
      <c r="S31" s="2001"/>
      <c r="T31" s="2001"/>
      <c r="U31" s="2001"/>
      <c r="V31" s="2001"/>
      <c r="W31" s="2001"/>
      <c r="X31" s="2001"/>
      <c r="Y31" s="2001"/>
      <c r="Z31" s="2001"/>
      <c r="AA31" s="2001"/>
      <c r="AB31" s="2001"/>
      <c r="AC31" s="2001"/>
      <c r="AD31" s="2001"/>
    </row>
    <row r="32" spans="1:30">
      <c r="A32" s="2001"/>
      <c r="B32" s="2001"/>
      <c r="C32" s="2001"/>
      <c r="D32" s="2001"/>
      <c r="E32" s="2001"/>
      <c r="F32" s="2001"/>
      <c r="G32" s="2001"/>
      <c r="H32" s="2051"/>
      <c r="I32" s="2001"/>
      <c r="J32" s="2527"/>
      <c r="K32" s="2001"/>
      <c r="L32" s="2001"/>
      <c r="M32" s="2001"/>
      <c r="N32" s="2001"/>
      <c r="O32" s="2001"/>
      <c r="P32" s="2001"/>
      <c r="Q32" s="2001"/>
      <c r="R32" s="2001"/>
      <c r="S32" s="2001"/>
      <c r="T32" s="2001"/>
      <c r="U32" s="2001"/>
      <c r="V32" s="2001"/>
      <c r="W32" s="2001"/>
      <c r="X32" s="2001"/>
      <c r="Y32" s="2001"/>
      <c r="Z32" s="2001"/>
      <c r="AA32" s="2001"/>
      <c r="AB32" s="2001"/>
      <c r="AC32" s="2001"/>
      <c r="AD32" s="2001"/>
    </row>
    <row r="33" spans="1:30">
      <c r="A33" s="2001"/>
      <c r="B33" s="2001"/>
      <c r="C33" s="2001"/>
      <c r="D33" s="2001"/>
      <c r="E33" s="2001"/>
      <c r="F33" s="2001" t="s">
        <v>139</v>
      </c>
      <c r="G33" s="2001" t="s">
        <v>140</v>
      </c>
      <c r="H33" s="2051"/>
      <c r="I33" s="2001" t="s">
        <v>141</v>
      </c>
      <c r="J33" s="2527">
        <v>3393971</v>
      </c>
      <c r="K33" s="2001"/>
      <c r="L33" s="2001"/>
      <c r="M33" s="2069">
        <v>1000000</v>
      </c>
      <c r="N33" s="2001"/>
      <c r="O33" s="2069"/>
      <c r="P33" s="2001"/>
      <c r="Q33" s="2001"/>
      <c r="R33" s="2001"/>
      <c r="S33" s="2001"/>
      <c r="T33" s="2001"/>
      <c r="U33" s="2001"/>
      <c r="V33" s="2001"/>
      <c r="W33" s="2001"/>
      <c r="X33" s="2001"/>
      <c r="Y33" s="2001"/>
      <c r="Z33" s="2001"/>
      <c r="AA33" s="2001"/>
      <c r="AB33" s="2001"/>
      <c r="AC33" s="2001"/>
      <c r="AD33" s="2001"/>
    </row>
    <row r="34" spans="1:30">
      <c r="A34" s="2001"/>
      <c r="B34" s="2001"/>
      <c r="C34" s="2001"/>
      <c r="D34" s="2001"/>
      <c r="E34" s="2001"/>
      <c r="F34" s="2001"/>
      <c r="G34" s="2001"/>
      <c r="H34" s="2051"/>
      <c r="I34" s="2001"/>
      <c r="J34" s="2527"/>
      <c r="K34" s="2001"/>
      <c r="L34" s="2001"/>
      <c r="M34" s="2069">
        <v>1082700</v>
      </c>
      <c r="N34" s="2001"/>
      <c r="O34" s="2069"/>
      <c r="P34" s="2001"/>
      <c r="Q34" s="2001"/>
      <c r="R34" s="2001"/>
      <c r="S34" s="2001"/>
      <c r="T34" s="2001"/>
      <c r="U34" s="2001"/>
      <c r="V34" s="2001"/>
      <c r="W34" s="2001"/>
      <c r="X34" s="2001"/>
      <c r="Y34" s="2001"/>
      <c r="Z34" s="2001"/>
      <c r="AA34" s="2001"/>
      <c r="AB34" s="2001"/>
      <c r="AC34" s="2001"/>
      <c r="AD34" s="2001"/>
    </row>
    <row r="35" spans="1:30">
      <c r="A35" s="2001"/>
      <c r="B35" s="2001"/>
      <c r="C35" s="2001"/>
      <c r="D35" s="2001"/>
      <c r="E35" s="2001"/>
      <c r="F35" s="2001"/>
      <c r="G35" s="2001"/>
      <c r="H35" s="2051"/>
      <c r="I35" s="2001"/>
      <c r="J35" s="2527"/>
      <c r="K35" s="2001"/>
      <c r="L35" s="2001"/>
      <c r="M35" s="2069">
        <v>1311271</v>
      </c>
      <c r="N35" s="2001"/>
      <c r="O35" s="2069"/>
      <c r="P35" s="2001"/>
      <c r="Q35" s="2001"/>
      <c r="R35" s="2001"/>
      <c r="S35" s="2001"/>
      <c r="T35" s="2001"/>
      <c r="U35" s="2001"/>
      <c r="V35" s="2001"/>
      <c r="W35" s="2001"/>
      <c r="X35" s="2001"/>
      <c r="Y35" s="2001"/>
      <c r="Z35" s="2001"/>
      <c r="AA35" s="2001"/>
      <c r="AB35" s="2001"/>
      <c r="AC35" s="2001"/>
      <c r="AD35" s="2001"/>
    </row>
    <row r="36" spans="1:30">
      <c r="A36" s="2001"/>
      <c r="B36" s="2001"/>
      <c r="C36" s="2001"/>
      <c r="D36" s="2001"/>
      <c r="E36" s="2001"/>
      <c r="F36" s="2001"/>
      <c r="G36" s="2001"/>
      <c r="H36" s="2051"/>
      <c r="I36" s="2001"/>
      <c r="J36" s="2527"/>
      <c r="K36" s="2001"/>
      <c r="L36" s="2001"/>
      <c r="M36" s="2069">
        <f>SUM(M33:M35)</f>
        <v>3393971</v>
      </c>
      <c r="N36" s="2001"/>
      <c r="O36" s="2069"/>
      <c r="P36" s="2001"/>
      <c r="Q36" s="2001"/>
      <c r="R36" s="2001"/>
      <c r="S36" s="2001"/>
      <c r="T36" s="2001"/>
      <c r="U36" s="2001"/>
      <c r="V36" s="2001"/>
      <c r="W36" s="2001"/>
      <c r="X36" s="2001"/>
      <c r="Y36" s="2001"/>
      <c r="Z36" s="2001"/>
      <c r="AA36" s="2001"/>
      <c r="AB36" s="2001"/>
      <c r="AC36" s="2001"/>
      <c r="AD36" s="2001"/>
    </row>
    <row r="37" spans="1:30">
      <c r="A37" s="2001"/>
      <c r="B37" s="2001"/>
      <c r="C37" s="2001"/>
      <c r="D37" s="2001"/>
      <c r="E37" s="2001"/>
      <c r="F37" s="2001"/>
      <c r="G37" s="2001"/>
      <c r="H37" s="2051"/>
      <c r="I37" s="2001"/>
      <c r="J37" s="2527"/>
      <c r="K37" s="2001"/>
      <c r="L37" s="2001"/>
      <c r="M37" s="2069"/>
      <c r="N37" s="2001"/>
      <c r="O37" s="2069"/>
      <c r="P37" s="2001"/>
      <c r="Q37" s="2001"/>
      <c r="R37" s="2001"/>
      <c r="S37" s="2001"/>
      <c r="T37" s="2001"/>
      <c r="U37" s="2001"/>
      <c r="V37" s="2001"/>
      <c r="W37" s="2001"/>
      <c r="X37" s="2001"/>
      <c r="Y37" s="2001"/>
      <c r="Z37" s="2001"/>
      <c r="AA37" s="2001"/>
      <c r="AB37" s="2001"/>
      <c r="AC37" s="2001"/>
      <c r="AD37" s="2001"/>
    </row>
    <row r="38" spans="1:30">
      <c r="A38" s="2041"/>
      <c r="B38" s="2041"/>
      <c r="C38" s="2041"/>
      <c r="D38" s="2041"/>
      <c r="E38" s="2041"/>
      <c r="F38" s="2041"/>
      <c r="G38" s="2041"/>
      <c r="H38" s="2051"/>
      <c r="I38" s="2041"/>
      <c r="J38" s="2527"/>
      <c r="K38" s="2041"/>
      <c r="L38" s="2041"/>
      <c r="M38" s="2041"/>
      <c r="N38" s="2041"/>
      <c r="O38" s="2069"/>
      <c r="P38" s="2041"/>
      <c r="Q38" s="2041"/>
      <c r="R38" s="2041"/>
      <c r="S38" s="2041"/>
      <c r="T38" s="2041"/>
      <c r="U38" s="2041"/>
      <c r="V38" s="2041"/>
      <c r="W38" s="2041"/>
      <c r="X38" s="2041"/>
      <c r="Y38" s="2041"/>
      <c r="Z38" s="2041"/>
      <c r="AA38" s="2041"/>
      <c r="AB38" s="2041"/>
      <c r="AC38" s="2041"/>
      <c r="AD38" s="2041"/>
    </row>
    <row r="39" spans="1:30">
      <c r="A39" s="2041"/>
      <c r="B39" s="2041"/>
      <c r="C39" s="2041"/>
      <c r="D39" s="2041"/>
      <c r="E39" s="2041"/>
      <c r="F39" s="2041"/>
      <c r="G39" s="2041"/>
      <c r="H39" s="2051"/>
      <c r="I39" s="2041"/>
      <c r="J39" s="2527"/>
      <c r="K39" s="2041"/>
      <c r="L39" s="2041"/>
      <c r="M39" s="2041"/>
      <c r="N39" s="2041"/>
      <c r="O39" s="2041"/>
      <c r="P39" s="2041"/>
      <c r="Q39" s="2041"/>
      <c r="R39" s="2041"/>
      <c r="S39" s="2041"/>
      <c r="T39" s="2041"/>
      <c r="U39" s="2041"/>
      <c r="V39" s="2041"/>
      <c r="W39" s="2041"/>
      <c r="X39" s="2041"/>
      <c r="Y39" s="2041"/>
      <c r="Z39" s="2041"/>
      <c r="AA39" s="2041"/>
      <c r="AB39" s="2041"/>
      <c r="AC39" s="2041"/>
      <c r="AD39" s="2041"/>
    </row>
    <row r="40" spans="1:30">
      <c r="A40" s="2041"/>
      <c r="B40" s="2041"/>
      <c r="C40" s="2041"/>
      <c r="D40" s="2041"/>
      <c r="E40" s="2041"/>
      <c r="F40" s="2041"/>
      <c r="G40" s="2041"/>
      <c r="H40" s="2051"/>
      <c r="I40" s="2041"/>
      <c r="J40" s="2527"/>
      <c r="K40" s="2041"/>
      <c r="L40" s="2041"/>
      <c r="M40" s="2041"/>
      <c r="N40" s="2041"/>
      <c r="O40" s="2041"/>
      <c r="P40" s="2041"/>
      <c r="Q40" s="2041"/>
      <c r="R40" s="2041"/>
      <c r="S40" s="2041"/>
      <c r="T40" s="2041"/>
      <c r="U40" s="2041"/>
      <c r="V40" s="2041"/>
      <c r="W40" s="2041"/>
      <c r="X40" s="2041"/>
      <c r="Y40" s="2041"/>
      <c r="Z40" s="2041"/>
      <c r="AA40" s="2041"/>
      <c r="AB40" s="2041"/>
      <c r="AC40" s="2041"/>
      <c r="AD40" s="2041"/>
    </row>
    <row r="41" spans="1:30">
      <c r="A41" s="2041"/>
      <c r="B41" s="2041"/>
      <c r="C41" s="2041"/>
      <c r="D41" s="2041"/>
      <c r="E41" s="2041"/>
      <c r="F41" s="2041"/>
      <c r="G41" s="2041"/>
      <c r="H41" s="2051"/>
      <c r="I41" s="2041"/>
      <c r="J41" s="2527"/>
      <c r="K41" s="2041"/>
      <c r="L41" s="2041"/>
      <c r="M41" s="2041"/>
      <c r="N41" s="2041"/>
      <c r="O41" s="2041"/>
      <c r="P41" s="2041"/>
      <c r="Q41" s="2041"/>
      <c r="R41" s="2041"/>
      <c r="S41" s="2041"/>
      <c r="T41" s="2041"/>
      <c r="U41" s="2041"/>
      <c r="V41" s="2041"/>
      <c r="W41" s="2041"/>
      <c r="X41" s="2041"/>
      <c r="Y41" s="2041"/>
      <c r="Z41" s="2041"/>
      <c r="AA41" s="2041"/>
      <c r="AB41" s="2041"/>
      <c r="AC41" s="2041"/>
      <c r="AD41" s="2041"/>
    </row>
    <row r="42" spans="1:30">
      <c r="A42" s="2041"/>
      <c r="B42" s="2041"/>
      <c r="C42" s="2041"/>
      <c r="D42" s="2041"/>
      <c r="E42" s="2041"/>
      <c r="F42" s="2041"/>
      <c r="G42" s="2041"/>
      <c r="H42" s="2051"/>
      <c r="I42" s="2041"/>
      <c r="J42" s="2549"/>
      <c r="K42" s="2041"/>
      <c r="L42" s="2041"/>
      <c r="M42" s="2041"/>
      <c r="N42" s="2041"/>
      <c r="O42" s="2041"/>
      <c r="P42" s="2041"/>
      <c r="Q42" s="2041"/>
      <c r="R42" s="2041"/>
      <c r="S42" s="2041"/>
      <c r="T42" s="2041"/>
      <c r="U42" s="2041"/>
      <c r="V42" s="2041"/>
      <c r="W42" s="2041"/>
      <c r="X42" s="2041"/>
      <c r="Y42" s="2041"/>
      <c r="Z42" s="2041"/>
      <c r="AA42" s="2041"/>
      <c r="AB42" s="2041"/>
      <c r="AC42" s="2041"/>
      <c r="AD42" s="2041"/>
    </row>
    <row r="43" spans="1:30">
      <c r="A43" s="2041"/>
      <c r="B43" s="2041"/>
      <c r="C43" s="2041"/>
      <c r="D43" s="2041"/>
      <c r="E43" s="2041"/>
      <c r="F43" s="2041"/>
      <c r="G43" s="2041"/>
      <c r="H43" s="2051"/>
      <c r="I43" s="2041"/>
      <c r="J43" s="2549"/>
      <c r="K43" s="2041"/>
      <c r="L43" s="2041"/>
      <c r="M43" s="2041"/>
      <c r="N43" s="2041"/>
      <c r="O43" s="2041"/>
      <c r="P43" s="2041"/>
      <c r="Q43" s="2041"/>
      <c r="R43" s="2041"/>
      <c r="S43" s="2041"/>
      <c r="T43" s="2041"/>
      <c r="U43" s="2041"/>
      <c r="V43" s="2041"/>
      <c r="W43" s="2041"/>
      <c r="X43" s="2041"/>
      <c r="Y43" s="2041"/>
      <c r="Z43" s="2041"/>
      <c r="AA43" s="2041"/>
      <c r="AB43" s="2041"/>
      <c r="AC43" s="2041"/>
      <c r="AD43" s="2041"/>
    </row>
    <row r="44" spans="1:30">
      <c r="A44" s="2041"/>
      <c r="B44" s="2041"/>
      <c r="C44" s="2041"/>
      <c r="D44" s="2041"/>
      <c r="E44" s="2041"/>
      <c r="F44" s="2041"/>
      <c r="G44" s="2041"/>
      <c r="H44" s="2051"/>
      <c r="I44" s="2041"/>
      <c r="J44" s="2549"/>
      <c r="K44" s="2041"/>
      <c r="L44" s="2041"/>
      <c r="M44" s="2041"/>
      <c r="N44" s="2041"/>
      <c r="O44" s="2041"/>
      <c r="P44" s="2041"/>
      <c r="Q44" s="2041"/>
      <c r="R44" s="2041"/>
      <c r="S44" s="2041"/>
      <c r="T44" s="2041"/>
      <c r="U44" s="2041"/>
      <c r="V44" s="2041"/>
      <c r="W44" s="2041"/>
      <c r="X44" s="2041"/>
      <c r="Y44" s="2041"/>
      <c r="Z44" s="2041"/>
      <c r="AA44" s="2041"/>
      <c r="AB44" s="2041"/>
      <c r="AC44" s="2041"/>
      <c r="AD44" s="2041"/>
    </row>
    <row r="45" spans="1:30">
      <c r="A45" s="2041"/>
      <c r="B45" s="2041"/>
      <c r="C45" s="2041"/>
      <c r="D45" s="2041"/>
      <c r="E45" s="2041"/>
      <c r="F45" s="2041"/>
      <c r="G45" s="2041"/>
      <c r="H45" s="2051"/>
      <c r="I45" s="2041"/>
      <c r="J45" s="2549"/>
      <c r="K45" s="2041"/>
      <c r="L45" s="2041"/>
      <c r="M45" s="2041"/>
      <c r="N45" s="2041"/>
      <c r="O45" s="2041"/>
      <c r="P45" s="2041"/>
      <c r="Q45" s="2041"/>
      <c r="R45" s="2041"/>
      <c r="S45" s="2041"/>
      <c r="T45" s="2041"/>
      <c r="U45" s="2041"/>
      <c r="V45" s="2041"/>
      <c r="W45" s="2041"/>
      <c r="X45" s="2041"/>
      <c r="Y45" s="2041"/>
      <c r="Z45" s="2041"/>
      <c r="AA45" s="2041"/>
      <c r="AB45" s="2041"/>
      <c r="AC45" s="2041"/>
      <c r="AD45" s="2041"/>
    </row>
  </sheetData>
  <sheetProtection formatCells="0" insertHyperlinks="0" autoFilter="0"/>
  <mergeCells count="13">
    <mergeCell ref="A1:O1"/>
    <mergeCell ref="A9:C9"/>
    <mergeCell ref="D9:G9"/>
    <mergeCell ref="A18:C18"/>
    <mergeCell ref="D18:G18"/>
    <mergeCell ref="A30:C30"/>
    <mergeCell ref="D30:G30"/>
    <mergeCell ref="A2:A3"/>
    <mergeCell ref="A4:A5"/>
    <mergeCell ref="A6:A7"/>
    <mergeCell ref="A11:A12"/>
    <mergeCell ref="A13:A17"/>
    <mergeCell ref="A19:A26"/>
  </mergeCells>
  <hyperlinks>
    <hyperlink ref="F21" r:id="rId1" display="EJ-153" tooltip="\\egojintrade\trade\★★무역발주진행\무역서류\수입선적서류\Shuhua-X6, X5,X1 런닝머신\PI\X3\EJ-152"/>
    <hyperlink ref="F20" r:id="rId2" display="EJ-135" tooltip="\\egojintrade\trade\★★무역발주진행\무역서류\수입선적서류\Shuhua-X6, X5,X1 런닝머신\PI\X1\EJ-135"/>
  </hyperlinks>
  <pageMargins left="0.747916666666667" right="0.747916666666667" top="1" bottom="1.19652777777778" header="0.5" footer="0.5"/>
  <pageSetup paperSize="9" scale="22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E72"/>
  <sheetViews>
    <sheetView workbookViewId="0">
      <selection activeCell="C64" sqref="C64:C67"/>
    </sheetView>
  </sheetViews>
  <sheetFormatPr defaultColWidth="9" defaultRowHeight="16.5"/>
  <cols>
    <col min="1" max="1" width="13.4416666666667" customWidth="1"/>
    <col min="2" max="2" width="17.625" style="510" customWidth="1"/>
    <col min="3" max="3" width="17.1916666666667" customWidth="1"/>
    <col min="4" max="4" width="27.6583333333333" customWidth="1"/>
    <col min="5" max="5" width="10.375" style="1934"/>
    <col min="6" max="6" width="14.5" customWidth="1"/>
    <col min="7" max="7" width="15" customWidth="1"/>
    <col min="8" max="8" width="15.975" style="10" customWidth="1"/>
    <col min="9" max="9" width="9.375"/>
    <col min="10" max="10" width="13.6083333333333" customWidth="1"/>
    <col min="11" max="11" width="17.3583333333333" customWidth="1"/>
    <col min="12" max="12" width="12.625"/>
    <col min="13" max="13" width="14.025" customWidth="1"/>
    <col min="14" max="14" width="22.1416666666667" customWidth="1"/>
    <col min="15" max="15" width="15.175" customWidth="1"/>
    <col min="18" max="18" width="17.1916666666667" customWidth="1"/>
    <col min="19" max="19" width="9.375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360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1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7.2" customHeight="1" spans="1:31">
      <c r="A2" s="1938" t="s">
        <v>1</v>
      </c>
      <c r="B2" s="1939" t="s">
        <v>361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4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2192" t="s">
        <v>38</v>
      </c>
      <c r="B3" s="2076" t="s">
        <v>212</v>
      </c>
      <c r="C3" s="2020" t="s">
        <v>364</v>
      </c>
      <c r="D3" s="2190" t="s">
        <v>365</v>
      </c>
      <c r="E3" s="2195"/>
      <c r="F3" s="2020"/>
      <c r="G3" s="2020"/>
      <c r="H3" s="2264">
        <v>2000000</v>
      </c>
      <c r="I3" s="2198"/>
      <c r="J3" s="73"/>
      <c r="K3" s="2097"/>
      <c r="L3" s="2199"/>
      <c r="M3" s="2020"/>
      <c r="N3" s="2020"/>
      <c r="O3" s="2020"/>
      <c r="P3" s="2311"/>
      <c r="Q3" s="2311"/>
      <c r="R3" s="2020"/>
      <c r="S3" s="2311"/>
      <c r="T3" s="2311"/>
      <c r="U3" s="2311"/>
      <c r="V3" s="2311"/>
      <c r="W3" s="2311"/>
      <c r="X3" s="2311"/>
      <c r="Y3" s="2311"/>
      <c r="Z3" s="2311"/>
      <c r="AA3" s="2311"/>
      <c r="AB3" s="2311"/>
      <c r="AC3" s="2076"/>
      <c r="AD3" s="2184"/>
      <c r="AE3" s="2020"/>
    </row>
    <row r="4" customFormat="1" spans="1:31">
      <c r="A4" s="1941"/>
      <c r="B4" s="2076" t="s">
        <v>202</v>
      </c>
      <c r="C4" s="2020" t="s">
        <v>366</v>
      </c>
      <c r="D4" s="2190" t="s">
        <v>367</v>
      </c>
      <c r="E4" s="2195"/>
      <c r="F4" s="2020"/>
      <c r="G4" s="2020"/>
      <c r="H4" s="2264">
        <v>200000</v>
      </c>
      <c r="I4" s="2198"/>
      <c r="J4" s="73"/>
      <c r="K4" s="2097"/>
      <c r="L4" s="2199"/>
      <c r="M4" s="2020"/>
      <c r="N4" s="2020"/>
      <c r="O4" s="2020"/>
      <c r="P4" s="2310"/>
      <c r="Q4" s="2310"/>
      <c r="R4" s="2020"/>
      <c r="S4" s="2310"/>
      <c r="T4" s="2310"/>
      <c r="U4" s="2310"/>
      <c r="V4" s="2310"/>
      <c r="W4" s="2310"/>
      <c r="X4" s="2310"/>
      <c r="Y4" s="2310"/>
      <c r="Z4" s="2310"/>
      <c r="AA4" s="2310"/>
      <c r="AB4" s="2310"/>
      <c r="AC4" s="2076"/>
      <c r="AD4" s="2184"/>
      <c r="AE4" s="2020"/>
    </row>
    <row r="5" customFormat="1" spans="1:31">
      <c r="A5" s="1941"/>
      <c r="B5" s="2076" t="s">
        <v>368</v>
      </c>
      <c r="C5" s="2020" t="s">
        <v>369</v>
      </c>
      <c r="D5" s="2190" t="s">
        <v>370</v>
      </c>
      <c r="E5" s="2195"/>
      <c r="F5" s="2020"/>
      <c r="G5" s="2020"/>
      <c r="H5" s="2264">
        <v>200000</v>
      </c>
      <c r="I5" s="2198"/>
      <c r="J5" s="73"/>
      <c r="K5" s="2097"/>
      <c r="L5" s="2199"/>
      <c r="M5" s="2020"/>
      <c r="N5" s="2020"/>
      <c r="O5" s="2020"/>
      <c r="P5" s="2310"/>
      <c r="Q5" s="2310"/>
      <c r="R5" s="1399"/>
      <c r="S5" s="2310"/>
      <c r="T5" s="2310"/>
      <c r="U5" s="2310"/>
      <c r="V5" s="2310"/>
      <c r="W5" s="2310"/>
      <c r="X5" s="2310"/>
      <c r="Y5" s="2310"/>
      <c r="Z5" s="2310"/>
      <c r="AA5" s="2310"/>
      <c r="AB5" s="2310"/>
      <c r="AC5" s="2076"/>
      <c r="AD5" s="2184"/>
      <c r="AE5" s="2020"/>
    </row>
    <row r="6" customFormat="1" spans="1:31">
      <c r="A6" s="1941"/>
      <c r="B6" s="2076" t="s">
        <v>371</v>
      </c>
      <c r="C6" s="2020" t="s">
        <v>372</v>
      </c>
      <c r="D6" s="2190" t="s">
        <v>373</v>
      </c>
      <c r="E6" s="2195"/>
      <c r="F6" s="2020"/>
      <c r="G6" s="2020"/>
      <c r="H6" s="2264">
        <v>250000</v>
      </c>
      <c r="I6" s="2198"/>
      <c r="J6" s="73"/>
      <c r="K6" s="2097"/>
      <c r="L6" s="2199"/>
      <c r="M6" s="2020"/>
      <c r="N6" s="2020"/>
      <c r="O6" s="2020"/>
      <c r="P6" s="2310"/>
      <c r="Q6" s="2310"/>
      <c r="R6" s="1399"/>
      <c r="S6" s="2310"/>
      <c r="T6" s="2310"/>
      <c r="U6" s="2310"/>
      <c r="V6" s="2310"/>
      <c r="W6" s="2310"/>
      <c r="X6" s="2310"/>
      <c r="Y6" s="2310"/>
      <c r="Z6" s="2310"/>
      <c r="AA6" s="2310"/>
      <c r="AB6" s="2310"/>
      <c r="AC6" s="2076"/>
      <c r="AD6" s="2184"/>
      <c r="AE6" s="2020"/>
    </row>
    <row r="7" s="23" customFormat="1" customHeight="1" spans="1:31">
      <c r="A7" s="1141" t="s">
        <v>209</v>
      </c>
      <c r="B7" s="1141" t="s">
        <v>157</v>
      </c>
      <c r="C7" s="2022" t="s">
        <v>374</v>
      </c>
      <c r="D7" s="2088"/>
      <c r="E7" s="1967"/>
      <c r="F7" s="1946"/>
      <c r="G7" s="1946"/>
      <c r="H7" s="1966">
        <v>99550.98</v>
      </c>
      <c r="I7" s="2104"/>
      <c r="J7" s="1984"/>
      <c r="K7" s="2272"/>
      <c r="L7" s="1985"/>
      <c r="M7" s="1946"/>
      <c r="N7" s="1946"/>
      <c r="O7" s="1946"/>
      <c r="P7" s="2099"/>
      <c r="Q7" s="2099"/>
      <c r="R7" s="2182"/>
      <c r="S7" s="2099"/>
      <c r="T7" s="2099"/>
      <c r="U7" s="2099"/>
      <c r="V7" s="2099"/>
      <c r="W7" s="2099"/>
      <c r="X7" s="2099"/>
      <c r="Y7" s="2099"/>
      <c r="Z7" s="2099"/>
      <c r="AA7" s="2099"/>
      <c r="AB7" s="2099"/>
      <c r="AC7" s="664"/>
      <c r="AD7" s="2016"/>
      <c r="AE7" s="1399"/>
    </row>
    <row r="8" s="23" customFormat="1" spans="1:31">
      <c r="A8" s="1141"/>
      <c r="B8" s="1141" t="s">
        <v>157</v>
      </c>
      <c r="C8" s="2022" t="s">
        <v>375</v>
      </c>
      <c r="D8" s="2088"/>
      <c r="E8" s="1967"/>
      <c r="F8" s="1946"/>
      <c r="G8" s="1946"/>
      <c r="H8" s="1966">
        <v>310818.82</v>
      </c>
      <c r="I8" s="2104"/>
      <c r="J8" s="1984"/>
      <c r="K8" s="2272"/>
      <c r="L8" s="1985"/>
      <c r="M8" s="1946"/>
      <c r="N8" s="1946"/>
      <c r="O8" s="1946"/>
      <c r="P8" s="2099"/>
      <c r="Q8" s="2099"/>
      <c r="R8" s="2182"/>
      <c r="S8" s="2099"/>
      <c r="T8" s="2099"/>
      <c r="U8" s="2099"/>
      <c r="V8" s="2099"/>
      <c r="W8" s="2099"/>
      <c r="X8" s="2099"/>
      <c r="Y8" s="2099"/>
      <c r="Z8" s="2099"/>
      <c r="AA8" s="2099"/>
      <c r="AB8" s="2099"/>
      <c r="AC8" s="664"/>
      <c r="AD8" s="2016"/>
      <c r="AE8" s="1399"/>
    </row>
    <row r="9" s="23" customFormat="1" spans="1:31">
      <c r="A9" s="1141"/>
      <c r="B9" s="1141" t="s">
        <v>157</v>
      </c>
      <c r="C9" s="2022" t="s">
        <v>376</v>
      </c>
      <c r="D9" s="2088"/>
      <c r="E9" s="1967"/>
      <c r="F9" s="1946"/>
      <c r="G9" s="1946"/>
      <c r="H9" s="1966">
        <v>253619.52</v>
      </c>
      <c r="I9" s="2104"/>
      <c r="J9" s="1984"/>
      <c r="K9" s="2272"/>
      <c r="L9" s="1985"/>
      <c r="M9" s="1946"/>
      <c r="N9" s="1946"/>
      <c r="O9" s="1946"/>
      <c r="P9" s="2099"/>
      <c r="Q9" s="2099"/>
      <c r="R9" s="2182"/>
      <c r="S9" s="2099"/>
      <c r="T9" s="2099"/>
      <c r="U9" s="2099"/>
      <c r="V9" s="2099"/>
      <c r="W9" s="2099"/>
      <c r="X9" s="2099"/>
      <c r="Y9" s="2099"/>
      <c r="Z9" s="2099"/>
      <c r="AA9" s="2099"/>
      <c r="AB9" s="2099"/>
      <c r="AC9" s="664"/>
      <c r="AD9" s="2016"/>
      <c r="AE9" s="1399"/>
    </row>
    <row r="10" s="23" customFormat="1" spans="1:31">
      <c r="A10" s="1141"/>
      <c r="B10" s="1946" t="s">
        <v>377</v>
      </c>
      <c r="C10" s="1946" t="s">
        <v>378</v>
      </c>
      <c r="D10" s="2088"/>
      <c r="E10" s="1967"/>
      <c r="F10" s="1946"/>
      <c r="G10" s="1946"/>
      <c r="H10" s="1966">
        <v>700000</v>
      </c>
      <c r="I10" s="2104"/>
      <c r="J10" s="1984"/>
      <c r="K10" s="2272"/>
      <c r="L10" s="1985"/>
      <c r="M10" s="1946"/>
      <c r="N10" s="1946"/>
      <c r="O10" s="1946"/>
      <c r="P10" s="2099"/>
      <c r="Q10" s="2099"/>
      <c r="R10" s="1399"/>
      <c r="S10" s="2099"/>
      <c r="T10" s="2099"/>
      <c r="U10" s="2099"/>
      <c r="V10" s="2099"/>
      <c r="W10" s="2099"/>
      <c r="X10" s="2099"/>
      <c r="Y10" s="2099"/>
      <c r="Z10" s="2099"/>
      <c r="AA10" s="2099"/>
      <c r="AB10" s="2099"/>
      <c r="AC10" s="664"/>
      <c r="AD10" s="2016"/>
      <c r="AE10" s="1399"/>
    </row>
    <row r="11" s="23" customFormat="1" spans="1:31">
      <c r="A11" s="1141"/>
      <c r="B11" s="1946" t="s">
        <v>379</v>
      </c>
      <c r="C11" s="2401"/>
      <c r="D11" s="2088"/>
      <c r="E11" s="1967"/>
      <c r="F11" s="1946"/>
      <c r="G11" s="1946"/>
      <c r="H11" s="2127">
        <v>400000</v>
      </c>
      <c r="I11" s="2104"/>
      <c r="J11" s="1984"/>
      <c r="K11" s="2272"/>
      <c r="L11" s="1985"/>
      <c r="M11" s="1946"/>
      <c r="N11" s="1946"/>
      <c r="O11" s="1946"/>
      <c r="P11" s="2099"/>
      <c r="Q11" s="2099"/>
      <c r="R11" s="2401"/>
      <c r="S11" s="2099"/>
      <c r="T11" s="2099"/>
      <c r="U11" s="2099"/>
      <c r="V11" s="2099"/>
      <c r="W11" s="2099"/>
      <c r="X11" s="2099"/>
      <c r="Y11" s="2099"/>
      <c r="Z11" s="2099"/>
      <c r="AA11" s="2099"/>
      <c r="AB11" s="2099"/>
      <c r="AC11" s="1141"/>
      <c r="AD11" s="2029"/>
      <c r="AE11" s="1946"/>
    </row>
    <row r="12" s="23" customFormat="1" ht="39.4" customHeight="1" spans="1:31">
      <c r="A12" s="2137" t="s">
        <v>380</v>
      </c>
      <c r="B12" s="2402" t="s">
        <v>381</v>
      </c>
      <c r="C12" s="2085" t="s">
        <v>382</v>
      </c>
      <c r="D12" s="2403"/>
      <c r="E12" s="2098"/>
      <c r="F12" s="2099"/>
      <c r="G12" s="2099"/>
      <c r="H12" s="2413">
        <v>60000</v>
      </c>
      <c r="I12" s="2104"/>
      <c r="J12" s="1984"/>
      <c r="K12" s="2272"/>
      <c r="L12" s="1985"/>
      <c r="M12" s="2008"/>
      <c r="N12" s="2008"/>
      <c r="O12" s="2008"/>
      <c r="P12" s="2099"/>
      <c r="Q12" s="2099"/>
      <c r="R12" s="2085"/>
      <c r="S12" s="2099"/>
      <c r="T12" s="2099"/>
      <c r="U12" s="2099"/>
      <c r="V12" s="2099"/>
      <c r="W12" s="2099"/>
      <c r="X12" s="2099"/>
      <c r="Y12" s="2099"/>
      <c r="Z12" s="2099"/>
      <c r="AA12" s="2099"/>
      <c r="AB12" s="2099"/>
      <c r="AC12" s="2137" t="s">
        <v>210</v>
      </c>
      <c r="AD12" s="2441"/>
      <c r="AE12" s="2085"/>
    </row>
    <row r="13" customFormat="1" customHeight="1" spans="1:31">
      <c r="A13" s="1950" t="s">
        <v>343</v>
      </c>
      <c r="B13" s="1950"/>
      <c r="C13" s="1951"/>
      <c r="D13" s="1951"/>
      <c r="E13" s="1968"/>
      <c r="F13" s="1969"/>
      <c r="G13" s="1969"/>
      <c r="H13" s="2414">
        <f>SUM(H3:H12)</f>
        <v>4473989.32</v>
      </c>
      <c r="I13" s="2381"/>
      <c r="J13" s="2380">
        <v>0</v>
      </c>
      <c r="K13" s="2382">
        <v>0</v>
      </c>
      <c r="L13" s="2382">
        <v>0</v>
      </c>
      <c r="M13" s="2009"/>
      <c r="N13" s="2009"/>
      <c r="O13" s="2009"/>
      <c r="P13" s="2226"/>
      <c r="Q13" s="2226"/>
      <c r="R13" s="523"/>
      <c r="S13" s="2226"/>
      <c r="T13" s="2226"/>
      <c r="U13" s="2226"/>
      <c r="V13" s="2226"/>
      <c r="W13" s="2226"/>
      <c r="X13" s="2226"/>
      <c r="Y13" s="2226"/>
      <c r="Z13" s="2226"/>
      <c r="AA13" s="2226"/>
      <c r="AB13" s="2226"/>
      <c r="AC13" s="1950"/>
      <c r="AD13" s="1951" t="s">
        <v>285</v>
      </c>
      <c r="AE13" s="1951"/>
    </row>
    <row r="14" s="1933" customFormat="1" ht="23.75" customHeight="1" spans="1:31">
      <c r="A14" s="1141" t="s">
        <v>331</v>
      </c>
      <c r="B14" s="2173" t="s">
        <v>383</v>
      </c>
      <c r="C14" s="2121" t="s">
        <v>384</v>
      </c>
      <c r="D14" s="2121"/>
      <c r="E14" s="245"/>
      <c r="F14" s="2177"/>
      <c r="G14" s="2177"/>
      <c r="H14" s="2127">
        <f>I14*L14</f>
        <v>188370</v>
      </c>
      <c r="I14" s="2104">
        <v>6.5</v>
      </c>
      <c r="J14" s="1984"/>
      <c r="K14" s="1984"/>
      <c r="L14" s="1985">
        <v>28980</v>
      </c>
      <c r="M14" s="2128"/>
      <c r="N14" s="2133"/>
      <c r="O14" s="40"/>
      <c r="P14" s="40"/>
      <c r="Q14" s="40"/>
      <c r="R14" s="2023"/>
      <c r="S14" s="2024"/>
      <c r="T14" s="40"/>
      <c r="U14" s="40"/>
      <c r="V14" s="40"/>
      <c r="W14" s="40"/>
      <c r="X14" s="40"/>
      <c r="Y14" s="40"/>
      <c r="Z14" s="40"/>
      <c r="AA14" s="40"/>
      <c r="AB14" s="40"/>
      <c r="AC14" s="664"/>
      <c r="AD14" s="185"/>
      <c r="AE14" s="40"/>
    </row>
    <row r="15" s="1933" customFormat="1" ht="23.75" customHeight="1" spans="1:31">
      <c r="A15" s="1141" t="s">
        <v>331</v>
      </c>
      <c r="B15" s="2173" t="s">
        <v>383</v>
      </c>
      <c r="C15" s="2121" t="s">
        <v>385</v>
      </c>
      <c r="D15" s="2121"/>
      <c r="E15" s="245"/>
      <c r="F15" s="2177"/>
      <c r="G15" s="2177"/>
      <c r="H15" s="2127">
        <f>I15*L15</f>
        <v>220090</v>
      </c>
      <c r="I15" s="2104">
        <v>6.5</v>
      </c>
      <c r="J15" s="1984"/>
      <c r="K15" s="1984"/>
      <c r="L15" s="1985">
        <v>33860</v>
      </c>
      <c r="M15" s="2128"/>
      <c r="N15" s="2133"/>
      <c r="O15" s="40"/>
      <c r="P15" s="40"/>
      <c r="Q15" s="40"/>
      <c r="R15" s="2023"/>
      <c r="S15" s="2024"/>
      <c r="T15" s="40"/>
      <c r="U15" s="40"/>
      <c r="V15" s="40"/>
      <c r="W15" s="40"/>
      <c r="X15" s="40"/>
      <c r="Y15" s="40"/>
      <c r="Z15" s="40"/>
      <c r="AA15" s="40"/>
      <c r="AB15" s="40"/>
      <c r="AC15" s="664"/>
      <c r="AD15" s="185"/>
      <c r="AE15" s="40"/>
    </row>
    <row r="16" s="1933" customFormat="1" ht="23.75" customHeight="1" spans="1:31">
      <c r="A16" s="1141" t="s">
        <v>331</v>
      </c>
      <c r="B16" s="2173" t="s">
        <v>386</v>
      </c>
      <c r="C16" s="2121" t="s">
        <v>387</v>
      </c>
      <c r="D16" s="2121"/>
      <c r="E16" s="245"/>
      <c r="F16" s="2177"/>
      <c r="G16" s="2177"/>
      <c r="H16" s="2127">
        <v>146293</v>
      </c>
      <c r="I16" s="2104"/>
      <c r="J16" s="1984"/>
      <c r="K16" s="1984"/>
      <c r="L16" s="1985"/>
      <c r="M16" s="2128"/>
      <c r="N16" s="2133"/>
      <c r="O16" s="40"/>
      <c r="P16" s="40"/>
      <c r="Q16" s="40"/>
      <c r="R16" s="2023"/>
      <c r="S16" s="2024"/>
      <c r="T16" s="40"/>
      <c r="U16" s="40"/>
      <c r="V16" s="40"/>
      <c r="W16" s="40"/>
      <c r="X16" s="40"/>
      <c r="Y16" s="40"/>
      <c r="Z16" s="40"/>
      <c r="AA16" s="40"/>
      <c r="AB16" s="40"/>
      <c r="AC16" s="664"/>
      <c r="AD16" s="185"/>
      <c r="AE16" s="40"/>
    </row>
    <row r="17" s="1933" customFormat="1" ht="23.75" customHeight="1" spans="1:31">
      <c r="A17" s="2123"/>
      <c r="B17" s="2208" t="s">
        <v>175</v>
      </c>
      <c r="C17" s="2209" t="s">
        <v>388</v>
      </c>
      <c r="D17" s="2230" t="s">
        <v>389</v>
      </c>
      <c r="E17" s="2230"/>
      <c r="F17" s="1998"/>
      <c r="G17" s="1998"/>
      <c r="H17" s="2415">
        <v>140000</v>
      </c>
      <c r="I17" s="2201"/>
      <c r="J17" s="1986"/>
      <c r="K17" s="1986"/>
      <c r="L17" s="1985"/>
      <c r="M17" s="2128"/>
      <c r="N17" s="2133"/>
      <c r="O17" s="2133"/>
      <c r="P17" s="40"/>
      <c r="Q17" s="40"/>
      <c r="R17" s="2023"/>
      <c r="S17" s="2024"/>
      <c r="T17" s="40"/>
      <c r="U17" s="40"/>
      <c r="V17" s="40"/>
      <c r="W17" s="40"/>
      <c r="X17" s="40"/>
      <c r="Y17" s="40"/>
      <c r="Z17" s="40"/>
      <c r="AA17" s="40"/>
      <c r="AB17" s="40"/>
      <c r="AC17" s="664"/>
      <c r="AD17" s="185"/>
      <c r="AE17" s="40"/>
    </row>
    <row r="18" s="1933" customFormat="1" ht="23.75" customHeight="1" spans="1:31">
      <c r="A18" s="2123"/>
      <c r="B18" s="2173" t="s">
        <v>175</v>
      </c>
      <c r="C18" s="2121" t="s">
        <v>390</v>
      </c>
      <c r="D18" s="245" t="s">
        <v>391</v>
      </c>
      <c r="E18" s="245"/>
      <c r="F18" s="2177"/>
      <c r="G18" s="2177"/>
      <c r="H18" s="2413">
        <v>140000</v>
      </c>
      <c r="I18" s="2104"/>
      <c r="J18" s="1984"/>
      <c r="K18" s="1984"/>
      <c r="L18" s="1985"/>
      <c r="M18" s="2128"/>
      <c r="N18" s="2133"/>
      <c r="O18" s="40"/>
      <c r="P18" s="40"/>
      <c r="Q18" s="40"/>
      <c r="R18" s="2023"/>
      <c r="S18" s="2024"/>
      <c r="T18" s="40"/>
      <c r="U18" s="40"/>
      <c r="V18" s="40"/>
      <c r="W18" s="40"/>
      <c r="X18" s="40"/>
      <c r="Y18" s="40"/>
      <c r="Z18" s="40"/>
      <c r="AA18" s="40"/>
      <c r="AB18" s="40"/>
      <c r="AC18" s="664"/>
      <c r="AD18" s="185"/>
      <c r="AE18" s="40"/>
    </row>
    <row r="19" s="1933" customFormat="1" ht="23.75" customHeight="1" spans="1:31">
      <c r="A19" s="2123"/>
      <c r="B19" s="2173" t="s">
        <v>172</v>
      </c>
      <c r="C19" s="2121"/>
      <c r="D19" s="245">
        <v>9130</v>
      </c>
      <c r="E19" s="245"/>
      <c r="F19" s="2177"/>
      <c r="G19" s="2177"/>
      <c r="H19" s="2413">
        <v>120000</v>
      </c>
      <c r="I19" s="2104"/>
      <c r="J19" s="1984"/>
      <c r="K19" s="1984"/>
      <c r="L19" s="1985"/>
      <c r="M19" s="2128"/>
      <c r="N19" s="2133"/>
      <c r="O19" s="40"/>
      <c r="P19" s="40"/>
      <c r="Q19" s="40"/>
      <c r="R19" s="2023"/>
      <c r="S19" s="2024"/>
      <c r="T19" s="40"/>
      <c r="U19" s="40"/>
      <c r="V19" s="40"/>
      <c r="W19" s="40"/>
      <c r="X19" s="40"/>
      <c r="Y19" s="40"/>
      <c r="Z19" s="40"/>
      <c r="AA19" s="40"/>
      <c r="AB19" s="40"/>
      <c r="AC19" s="664"/>
      <c r="AD19" s="185"/>
      <c r="AE19" s="40"/>
    </row>
    <row r="20" s="1933" customFormat="1" ht="23.75" customHeight="1" spans="1:31">
      <c r="A20" s="2123"/>
      <c r="B20" s="2173" t="s">
        <v>172</v>
      </c>
      <c r="C20" s="2121"/>
      <c r="D20" s="245" t="s">
        <v>392</v>
      </c>
      <c r="E20" s="245"/>
      <c r="F20" s="2177"/>
      <c r="G20" s="2177"/>
      <c r="H20" s="2413">
        <v>60000</v>
      </c>
      <c r="I20" s="2104"/>
      <c r="J20" s="1984"/>
      <c r="K20" s="1984"/>
      <c r="L20" s="1985"/>
      <c r="M20" s="2128"/>
      <c r="N20" s="2133"/>
      <c r="O20" s="40"/>
      <c r="P20" s="40"/>
      <c r="Q20" s="40"/>
      <c r="R20" s="2023"/>
      <c r="S20" s="2024"/>
      <c r="T20" s="40"/>
      <c r="U20" s="40"/>
      <c r="V20" s="40"/>
      <c r="W20" s="40"/>
      <c r="X20" s="40"/>
      <c r="Y20" s="40"/>
      <c r="Z20" s="40"/>
      <c r="AA20" s="40"/>
      <c r="AB20" s="40"/>
      <c r="AC20" s="664"/>
      <c r="AD20" s="185"/>
      <c r="AE20" s="40"/>
    </row>
    <row r="21" s="1933" customFormat="1" ht="23.75" customHeight="1" spans="1:31">
      <c r="A21" s="2123" t="s">
        <v>393</v>
      </c>
      <c r="B21" s="2173" t="s">
        <v>256</v>
      </c>
      <c r="C21" s="2121"/>
      <c r="D21" s="245" t="s">
        <v>389</v>
      </c>
      <c r="E21" s="245"/>
      <c r="F21" s="2177"/>
      <c r="G21" s="2177"/>
      <c r="H21" s="2413">
        <v>240000</v>
      </c>
      <c r="I21" s="2104"/>
      <c r="J21" s="1984"/>
      <c r="K21" s="1984"/>
      <c r="L21" s="1985"/>
      <c r="M21" s="2128"/>
      <c r="N21" s="2133"/>
      <c r="O21" s="40"/>
      <c r="P21" s="40"/>
      <c r="Q21" s="40"/>
      <c r="R21" s="2023"/>
      <c r="S21" s="2024"/>
      <c r="T21" s="40"/>
      <c r="U21" s="40"/>
      <c r="V21" s="40"/>
      <c r="W21" s="40"/>
      <c r="X21" s="40"/>
      <c r="Y21" s="40"/>
      <c r="Z21" s="40"/>
      <c r="AA21" s="40"/>
      <c r="AB21" s="40"/>
      <c r="AC21" s="664"/>
      <c r="AD21" s="185"/>
      <c r="AE21" s="40"/>
    </row>
    <row r="22" s="1933" customFormat="1" ht="23.75" customHeight="1" spans="1:31">
      <c r="A22" s="2123"/>
      <c r="B22" s="2173" t="s">
        <v>174</v>
      </c>
      <c r="C22" s="2121"/>
      <c r="D22" s="245" t="s">
        <v>389</v>
      </c>
      <c r="E22" s="245"/>
      <c r="F22" s="2177"/>
      <c r="G22" s="2177"/>
      <c r="H22" s="2413">
        <v>190000</v>
      </c>
      <c r="I22" s="2104"/>
      <c r="J22" s="1984"/>
      <c r="K22" s="1984"/>
      <c r="L22" s="1985"/>
      <c r="M22" s="2128"/>
      <c r="N22" s="2133"/>
      <c r="O22" s="40"/>
      <c r="P22" s="40"/>
      <c r="Q22" s="40"/>
      <c r="R22" s="2023"/>
      <c r="S22" s="2024"/>
      <c r="T22" s="40"/>
      <c r="U22" s="40"/>
      <c r="V22" s="40"/>
      <c r="W22" s="40"/>
      <c r="X22" s="40"/>
      <c r="Y22" s="40"/>
      <c r="Z22" s="40"/>
      <c r="AA22" s="40"/>
      <c r="AB22" s="40"/>
      <c r="AC22" s="664"/>
      <c r="AD22" s="185"/>
      <c r="AE22" s="40"/>
    </row>
    <row r="23" s="11" customFormat="1" ht="23.75" customHeight="1" spans="1:31">
      <c r="A23" s="2221"/>
      <c r="B23" s="2173" t="s">
        <v>247</v>
      </c>
      <c r="C23" s="2121"/>
      <c r="D23" s="245" t="s">
        <v>389</v>
      </c>
      <c r="E23" s="245"/>
      <c r="F23" s="2177"/>
      <c r="G23" s="2177"/>
      <c r="H23" s="2413">
        <v>227000</v>
      </c>
      <c r="I23" s="2104"/>
      <c r="J23" s="1984"/>
      <c r="K23" s="1984"/>
      <c r="L23" s="1985"/>
      <c r="M23" s="2128"/>
      <c r="N23" s="2133"/>
      <c r="O23" s="40"/>
      <c r="P23" s="40"/>
      <c r="Q23" s="40"/>
      <c r="R23" s="2023"/>
      <c r="S23" s="2024"/>
      <c r="T23" s="40"/>
      <c r="U23" s="40"/>
      <c r="V23" s="40"/>
      <c r="W23" s="40"/>
      <c r="X23" s="40"/>
      <c r="Y23" s="40"/>
      <c r="Z23" s="40"/>
      <c r="AA23" s="40"/>
      <c r="AB23" s="40"/>
      <c r="AC23" s="664"/>
      <c r="AD23" s="185"/>
      <c r="AE23" s="40"/>
    </row>
    <row r="24" s="11" customFormat="1" ht="23.75" customHeight="1" spans="1:31">
      <c r="A24" s="2123" t="s">
        <v>224</v>
      </c>
      <c r="B24" s="2404" t="s">
        <v>394</v>
      </c>
      <c r="C24" s="2121"/>
      <c r="D24" s="2121" t="s">
        <v>395</v>
      </c>
      <c r="E24" s="245"/>
      <c r="F24" s="2177"/>
      <c r="G24" s="2177"/>
      <c r="H24" s="2416">
        <v>473757</v>
      </c>
      <c r="I24" s="2384"/>
      <c r="J24" s="1984"/>
      <c r="K24" s="1984"/>
      <c r="L24" s="2419"/>
      <c r="M24" s="2128"/>
      <c r="N24" s="2133"/>
      <c r="O24" s="2422"/>
      <c r="P24" s="2423"/>
      <c r="Q24" s="2432"/>
      <c r="R24" s="2433"/>
      <c r="S24" s="2434">
        <v>16800</v>
      </c>
      <c r="T24" s="40"/>
      <c r="U24" s="40"/>
      <c r="V24" s="40"/>
      <c r="W24" s="40"/>
      <c r="X24" s="40"/>
      <c r="Y24" s="40"/>
      <c r="Z24" s="40"/>
      <c r="AA24" s="40"/>
      <c r="AB24" s="40"/>
      <c r="AC24" s="2442"/>
      <c r="AD24" s="185"/>
      <c r="AE24" s="40"/>
    </row>
    <row r="25" s="11" customFormat="1" ht="23.75" customHeight="1" spans="1:31">
      <c r="A25" s="2123"/>
      <c r="B25" s="2173" t="s">
        <v>167</v>
      </c>
      <c r="C25" s="2121"/>
      <c r="D25" s="2121" t="s">
        <v>396</v>
      </c>
      <c r="E25" s="245"/>
      <c r="F25" s="2177"/>
      <c r="G25" s="2177"/>
      <c r="H25" s="2127">
        <v>35000</v>
      </c>
      <c r="I25" s="2383"/>
      <c r="J25" s="1984"/>
      <c r="K25" s="1984"/>
      <c r="L25" s="2419"/>
      <c r="M25" s="2128"/>
      <c r="N25" s="2133" t="s">
        <v>397</v>
      </c>
      <c r="O25" s="2422"/>
      <c r="P25" s="2423"/>
      <c r="Q25" s="2432"/>
      <c r="R25" s="2433"/>
      <c r="S25" s="2434">
        <v>19190</v>
      </c>
      <c r="T25" s="40"/>
      <c r="U25" s="40"/>
      <c r="V25" s="40"/>
      <c r="W25" s="40"/>
      <c r="X25" s="40"/>
      <c r="Y25" s="40"/>
      <c r="Z25" s="40"/>
      <c r="AA25" s="40"/>
      <c r="AB25" s="40"/>
      <c r="AC25" s="664" t="s">
        <v>160</v>
      </c>
      <c r="AD25" s="185"/>
      <c r="AE25" s="40"/>
    </row>
    <row r="26" s="11" customFormat="1" ht="23.75" customHeight="1" spans="1:31">
      <c r="A26" s="2123"/>
      <c r="B26" s="2405" t="s">
        <v>398</v>
      </c>
      <c r="C26" s="2131"/>
      <c r="D26" s="2406" t="s">
        <v>399</v>
      </c>
      <c r="E26" s="2406"/>
      <c r="F26" s="2417"/>
      <c r="G26" s="2127">
        <v>250000</v>
      </c>
      <c r="H26" s="2418">
        <v>250000</v>
      </c>
      <c r="I26" s="2418"/>
      <c r="J26" s="1984"/>
      <c r="K26" s="1984"/>
      <c r="L26" s="2419"/>
      <c r="M26" s="2128"/>
      <c r="N26" s="2133"/>
      <c r="O26" s="2424"/>
      <c r="P26" s="2425"/>
      <c r="Q26" s="2435"/>
      <c r="R26" s="2436"/>
      <c r="S26" s="2436">
        <v>1672</v>
      </c>
      <c r="T26" s="40"/>
      <c r="U26" s="40"/>
      <c r="V26" s="40"/>
      <c r="W26" s="40"/>
      <c r="X26" s="40"/>
      <c r="Y26" s="40"/>
      <c r="Z26" s="40"/>
      <c r="AA26" s="40"/>
      <c r="AB26" s="40"/>
      <c r="AC26" s="2443" t="s">
        <v>198</v>
      </c>
      <c r="AD26" s="2190"/>
      <c r="AE26" s="2190"/>
    </row>
    <row r="27" s="11" customFormat="1" ht="23.75" customHeight="1" spans="1:31">
      <c r="A27" s="2123"/>
      <c r="B27" s="2405" t="s">
        <v>400</v>
      </c>
      <c r="C27" s="2131"/>
      <c r="D27" s="2406" t="s">
        <v>401</v>
      </c>
      <c r="E27" s="2406"/>
      <c r="F27" s="2417"/>
      <c r="G27" s="2127"/>
      <c r="H27" s="2418">
        <v>100000</v>
      </c>
      <c r="I27" s="2418"/>
      <c r="J27" s="1984"/>
      <c r="K27" s="1984"/>
      <c r="L27" s="2419"/>
      <c r="M27" s="2128"/>
      <c r="N27" s="2133"/>
      <c r="O27" s="2426"/>
      <c r="P27" s="2427"/>
      <c r="Q27" s="2435"/>
      <c r="R27" s="2436"/>
      <c r="S27" s="2437"/>
      <c r="T27" s="40"/>
      <c r="U27" s="40"/>
      <c r="V27" s="40"/>
      <c r="W27" s="40"/>
      <c r="X27" s="40"/>
      <c r="Y27" s="40"/>
      <c r="Z27" s="40"/>
      <c r="AA27" s="40"/>
      <c r="AB27" s="40"/>
      <c r="AC27" s="2443"/>
      <c r="AD27" s="2190"/>
      <c r="AE27" s="2190"/>
    </row>
    <row r="28" customFormat="1" ht="23.75" customHeight="1" spans="1:31">
      <c r="A28" s="2123"/>
      <c r="B28" s="2407" t="s">
        <v>402</v>
      </c>
      <c r="C28" s="1946"/>
      <c r="D28" s="2408" t="s">
        <v>403</v>
      </c>
      <c r="E28" s="2408"/>
      <c r="F28" s="2177"/>
      <c r="G28" s="2177"/>
      <c r="H28" s="1984">
        <v>280000</v>
      </c>
      <c r="I28" s="2420"/>
      <c r="J28" s="1984"/>
      <c r="K28" s="1984">
        <v>280000</v>
      </c>
      <c r="L28" s="2421"/>
      <c r="M28" s="2356">
        <v>44232</v>
      </c>
      <c r="N28" s="2356" t="s">
        <v>404</v>
      </c>
      <c r="O28" s="2428"/>
      <c r="P28" s="2429"/>
      <c r="Q28" s="2438"/>
      <c r="R28" s="2439"/>
      <c r="S28" s="2440">
        <v>9230</v>
      </c>
      <c r="T28" s="2020"/>
      <c r="U28" s="2020"/>
      <c r="V28" s="2020"/>
      <c r="W28" s="2020"/>
      <c r="X28" s="2020"/>
      <c r="Y28" s="2020"/>
      <c r="Z28" s="2020"/>
      <c r="AA28" s="2020"/>
      <c r="AB28" s="2020"/>
      <c r="AC28" s="2443" t="s">
        <v>210</v>
      </c>
      <c r="AD28" s="2444"/>
      <c r="AE28" s="2020"/>
    </row>
    <row r="29" s="11" customFormat="1" ht="23.75" customHeight="1" spans="1:31">
      <c r="A29" s="2123"/>
      <c r="B29" s="2173" t="s">
        <v>405</v>
      </c>
      <c r="C29" s="2121"/>
      <c r="D29" s="2121" t="s">
        <v>406</v>
      </c>
      <c r="E29" s="245"/>
      <c r="F29" s="2177"/>
      <c r="G29" s="2177"/>
      <c r="H29" s="2127">
        <v>287170</v>
      </c>
      <c r="I29" s="2383"/>
      <c r="J29" s="1984"/>
      <c r="K29" s="1984"/>
      <c r="L29" s="1985"/>
      <c r="M29" s="2128"/>
      <c r="N29" s="2131" t="s">
        <v>407</v>
      </c>
      <c r="O29" s="40"/>
      <c r="P29" s="40"/>
      <c r="Q29" s="40"/>
      <c r="R29" s="2023"/>
      <c r="S29" s="2024"/>
      <c r="T29" s="40"/>
      <c r="U29" s="40"/>
      <c r="V29" s="40"/>
      <c r="W29" s="40"/>
      <c r="X29" s="40"/>
      <c r="Y29" s="40"/>
      <c r="Z29" s="40"/>
      <c r="AA29" s="40"/>
      <c r="AB29" s="40"/>
      <c r="AC29" s="664"/>
      <c r="AD29" s="185"/>
      <c r="AE29" s="40"/>
    </row>
    <row r="30" s="11" customFormat="1" ht="23.75" customHeight="1" spans="1:31">
      <c r="A30" s="2123"/>
      <c r="B30" s="2409" t="s">
        <v>408</v>
      </c>
      <c r="C30" s="2377" t="s">
        <v>409</v>
      </c>
      <c r="D30" s="2410" t="s">
        <v>410</v>
      </c>
      <c r="E30" s="2322">
        <v>13</v>
      </c>
      <c r="F30" s="2323">
        <v>710</v>
      </c>
      <c r="G30" s="2349">
        <v>21300</v>
      </c>
      <c r="H30" s="2127">
        <f t="shared" ref="H30:H38" si="0">G30*6.46</f>
        <v>137598</v>
      </c>
      <c r="I30" s="2353"/>
      <c r="J30" s="1984"/>
      <c r="K30" s="2127"/>
      <c r="L30" s="1985"/>
      <c r="M30" s="2356"/>
      <c r="N30" s="2430"/>
      <c r="O30" s="2428"/>
      <c r="P30" s="2429"/>
      <c r="Q30" s="2438"/>
      <c r="R30" s="2439"/>
      <c r="S30" s="2440">
        <v>12070</v>
      </c>
      <c r="T30" s="40"/>
      <c r="U30" s="40"/>
      <c r="V30" s="40"/>
      <c r="W30" s="40"/>
      <c r="X30" s="40"/>
      <c r="Y30" s="40"/>
      <c r="Z30" s="40"/>
      <c r="AA30" s="40"/>
      <c r="AB30" s="40"/>
      <c r="AC30" s="664"/>
      <c r="AD30" s="185"/>
      <c r="AE30" s="40"/>
    </row>
    <row r="31" s="11" customFormat="1" ht="23.75" customHeight="1" spans="1:31">
      <c r="A31" s="2123"/>
      <c r="B31" s="2411"/>
      <c r="C31" s="2378"/>
      <c r="D31" s="2410" t="s">
        <v>411</v>
      </c>
      <c r="E31" s="2322">
        <v>24</v>
      </c>
      <c r="F31" s="2323">
        <v>700</v>
      </c>
      <c r="G31" s="2349">
        <v>10600</v>
      </c>
      <c r="H31" s="2127">
        <f t="shared" si="0"/>
        <v>68476</v>
      </c>
      <c r="I31" s="2353"/>
      <c r="J31" s="1984"/>
      <c r="K31" s="2127"/>
      <c r="L31" s="1985"/>
      <c r="M31" s="2356"/>
      <c r="N31" s="2430">
        <v>44274</v>
      </c>
      <c r="O31" s="2428"/>
      <c r="P31" s="2429"/>
      <c r="Q31" s="2438"/>
      <c r="R31" s="2439"/>
      <c r="S31" s="2440">
        <v>10600</v>
      </c>
      <c r="T31" s="40"/>
      <c r="U31" s="40"/>
      <c r="V31" s="40"/>
      <c r="W31" s="40"/>
      <c r="X31" s="40"/>
      <c r="Y31" s="40"/>
      <c r="Z31" s="40"/>
      <c r="AA31" s="40"/>
      <c r="AB31" s="40"/>
      <c r="AC31" s="664"/>
      <c r="AD31" s="185"/>
      <c r="AE31" s="40"/>
    </row>
    <row r="32" s="11" customFormat="1" ht="33.75" customHeight="1" spans="1:31">
      <c r="A32" s="2123"/>
      <c r="B32" s="2411"/>
      <c r="C32" s="2378"/>
      <c r="D32" s="2412" t="s">
        <v>412</v>
      </c>
      <c r="E32" s="2322">
        <v>19</v>
      </c>
      <c r="F32" s="2323">
        <v>1010</v>
      </c>
      <c r="G32" s="2349">
        <v>7070</v>
      </c>
      <c r="H32" s="2127">
        <f t="shared" si="0"/>
        <v>45672.2</v>
      </c>
      <c r="I32" s="2353"/>
      <c r="J32" s="1984"/>
      <c r="K32" s="2127"/>
      <c r="L32" s="1985"/>
      <c r="M32" s="2356"/>
      <c r="N32" s="2353">
        <v>44265</v>
      </c>
      <c r="O32" s="2431"/>
      <c r="P32" s="2429"/>
      <c r="Q32" s="2438"/>
      <c r="R32" s="2439"/>
      <c r="S32" s="2439">
        <v>4800</v>
      </c>
      <c r="T32" s="40"/>
      <c r="U32" s="40"/>
      <c r="V32" s="40"/>
      <c r="W32" s="40"/>
      <c r="X32" s="40"/>
      <c r="Y32" s="40"/>
      <c r="Z32" s="40"/>
      <c r="AA32" s="40"/>
      <c r="AB32" s="40"/>
      <c r="AC32" s="664"/>
      <c r="AD32" s="185"/>
      <c r="AE32" s="40"/>
    </row>
    <row r="33" s="11" customFormat="1" ht="43.15" customHeight="1" spans="1:31">
      <c r="A33" s="2123"/>
      <c r="B33" s="2411"/>
      <c r="C33" s="2378"/>
      <c r="D33" s="2445" t="s">
        <v>413</v>
      </c>
      <c r="E33" s="2322">
        <v>2</v>
      </c>
      <c r="F33" s="2323">
        <v>1200</v>
      </c>
      <c r="G33" s="2323">
        <v>2400</v>
      </c>
      <c r="H33" s="2127">
        <f t="shared" si="0"/>
        <v>15504</v>
      </c>
      <c r="I33" s="2452"/>
      <c r="J33" s="1984"/>
      <c r="K33" s="2127"/>
      <c r="L33" s="1985"/>
      <c r="M33" s="2356"/>
      <c r="N33" s="2453" t="s">
        <v>414</v>
      </c>
      <c r="O33" s="2454"/>
      <c r="P33" s="2455"/>
      <c r="Q33" s="2456"/>
      <c r="R33" s="2457"/>
      <c r="S33" s="2457">
        <v>6300</v>
      </c>
      <c r="T33" s="40"/>
      <c r="U33" s="40"/>
      <c r="V33" s="40"/>
      <c r="W33" s="40"/>
      <c r="X33" s="40"/>
      <c r="Y33" s="40"/>
      <c r="Z33" s="40"/>
      <c r="AA33" s="40"/>
      <c r="AB33" s="40"/>
      <c r="AC33" s="664"/>
      <c r="AD33" s="185"/>
      <c r="AE33" s="40"/>
    </row>
    <row r="34" s="11" customFormat="1" ht="23.75" customHeight="1" spans="1:31">
      <c r="A34" s="2123"/>
      <c r="B34" s="2411"/>
      <c r="C34" s="2378" t="s">
        <v>415</v>
      </c>
      <c r="D34" s="2446" t="s">
        <v>410</v>
      </c>
      <c r="E34" s="2322">
        <v>17</v>
      </c>
      <c r="F34" s="2323">
        <v>710</v>
      </c>
      <c r="G34" s="2349">
        <v>21300</v>
      </c>
      <c r="H34" s="2127">
        <f t="shared" si="0"/>
        <v>137598</v>
      </c>
      <c r="I34" s="2353"/>
      <c r="J34" s="1984"/>
      <c r="K34" s="2127"/>
      <c r="L34" s="1985"/>
      <c r="M34" s="2356"/>
      <c r="N34" s="2430">
        <v>44275</v>
      </c>
      <c r="O34" s="40"/>
      <c r="P34" s="40"/>
      <c r="Q34" s="40"/>
      <c r="R34" s="2458"/>
      <c r="S34" s="2024"/>
      <c r="T34" s="40"/>
      <c r="U34" s="40"/>
      <c r="V34" s="40"/>
      <c r="W34" s="40"/>
      <c r="X34" s="40"/>
      <c r="Y34" s="40"/>
      <c r="Z34" s="40"/>
      <c r="AA34" s="40"/>
      <c r="AB34" s="40"/>
      <c r="AC34" s="664"/>
      <c r="AD34" s="185"/>
      <c r="AE34" s="40"/>
    </row>
    <row r="35" s="11" customFormat="1" ht="23.75" customHeight="1" spans="1:31">
      <c r="A35" s="2123"/>
      <c r="B35" s="2411"/>
      <c r="C35" s="2378"/>
      <c r="D35" s="2446" t="s">
        <v>416</v>
      </c>
      <c r="E35" s="2322">
        <v>20</v>
      </c>
      <c r="F35" s="2323">
        <v>530</v>
      </c>
      <c r="G35" s="2349">
        <v>10600</v>
      </c>
      <c r="H35" s="2127">
        <f t="shared" si="0"/>
        <v>68476</v>
      </c>
      <c r="I35" s="2353"/>
      <c r="J35" s="1984"/>
      <c r="K35" s="2127"/>
      <c r="L35" s="1985"/>
      <c r="M35" s="2356"/>
      <c r="N35" s="2430">
        <v>44274</v>
      </c>
      <c r="O35" s="40"/>
      <c r="P35" s="40"/>
      <c r="Q35" s="40"/>
      <c r="R35" s="2458"/>
      <c r="S35" s="2024"/>
      <c r="T35" s="40"/>
      <c r="U35" s="40"/>
      <c r="V35" s="40"/>
      <c r="W35" s="40"/>
      <c r="X35" s="40"/>
      <c r="Y35" s="40"/>
      <c r="Z35" s="40"/>
      <c r="AA35" s="40"/>
      <c r="AB35" s="40"/>
      <c r="AC35" s="664"/>
      <c r="AD35" s="185"/>
      <c r="AE35" s="40"/>
    </row>
    <row r="36" s="11" customFormat="1" ht="23.75" customHeight="1" spans="1:31">
      <c r="A36" s="2123"/>
      <c r="B36" s="2411"/>
      <c r="C36" s="2378"/>
      <c r="D36" s="2446" t="s">
        <v>416</v>
      </c>
      <c r="E36" s="2322">
        <v>20</v>
      </c>
      <c r="F36" s="2323">
        <v>530</v>
      </c>
      <c r="G36" s="2349">
        <v>10600</v>
      </c>
      <c r="H36" s="2127">
        <f t="shared" si="0"/>
        <v>68476</v>
      </c>
      <c r="I36" s="2353"/>
      <c r="J36" s="1984"/>
      <c r="K36" s="2127"/>
      <c r="L36" s="1985"/>
      <c r="M36" s="2356"/>
      <c r="N36" s="2430"/>
      <c r="O36" s="40"/>
      <c r="P36" s="40"/>
      <c r="Q36" s="40"/>
      <c r="R36" s="2458"/>
      <c r="S36" s="2024"/>
      <c r="T36" s="40"/>
      <c r="U36" s="40"/>
      <c r="V36" s="40"/>
      <c r="W36" s="40"/>
      <c r="X36" s="40"/>
      <c r="Y36" s="40"/>
      <c r="Z36" s="40"/>
      <c r="AA36" s="40"/>
      <c r="AB36" s="40"/>
      <c r="AC36" s="664"/>
      <c r="AD36" s="185"/>
      <c r="AE36" s="40"/>
    </row>
    <row r="37" s="11" customFormat="1" ht="49" customHeight="1" spans="1:31">
      <c r="A37" s="2123"/>
      <c r="B37" s="2411"/>
      <c r="C37" s="2378"/>
      <c r="D37" s="2447" t="s">
        <v>413</v>
      </c>
      <c r="E37" s="2322">
        <v>4</v>
      </c>
      <c r="F37" s="2323">
        <v>1200</v>
      </c>
      <c r="G37" s="2323">
        <v>2400</v>
      </c>
      <c r="H37" s="2127">
        <f t="shared" si="0"/>
        <v>15504</v>
      </c>
      <c r="I37" s="2452"/>
      <c r="J37" s="1984"/>
      <c r="K37" s="2127"/>
      <c r="L37" s="1985"/>
      <c r="M37" s="2356"/>
      <c r="N37" s="2453" t="s">
        <v>414</v>
      </c>
      <c r="O37" s="40"/>
      <c r="P37" s="40"/>
      <c r="Q37" s="40"/>
      <c r="R37" s="2458"/>
      <c r="S37" s="2024"/>
      <c r="T37" s="40"/>
      <c r="U37" s="40"/>
      <c r="V37" s="40"/>
      <c r="W37" s="40"/>
      <c r="X37" s="40"/>
      <c r="Y37" s="40"/>
      <c r="Z37" s="40"/>
      <c r="AA37" s="40"/>
      <c r="AB37" s="40"/>
      <c r="AC37" s="664"/>
      <c r="AD37" s="185"/>
      <c r="AE37" s="40"/>
    </row>
    <row r="38" s="11" customFormat="1" ht="23.75" customHeight="1" spans="1:31">
      <c r="A38" s="2123"/>
      <c r="B38" s="2411"/>
      <c r="C38" s="2209"/>
      <c r="D38" s="2448" t="s">
        <v>417</v>
      </c>
      <c r="E38" s="2450">
        <v>7</v>
      </c>
      <c r="F38" s="2451">
        <v>525</v>
      </c>
      <c r="G38" s="2451">
        <v>3150</v>
      </c>
      <c r="H38" s="2127">
        <f t="shared" si="0"/>
        <v>20349</v>
      </c>
      <c r="I38" s="2453"/>
      <c r="J38" s="1984"/>
      <c r="K38" s="2127"/>
      <c r="L38" s="1985"/>
      <c r="M38" s="2356"/>
      <c r="N38" s="2453" t="s">
        <v>418</v>
      </c>
      <c r="O38" s="40"/>
      <c r="P38" s="40"/>
      <c r="Q38" s="40"/>
      <c r="R38" s="2211"/>
      <c r="S38" s="2024"/>
      <c r="T38" s="40"/>
      <c r="U38" s="40"/>
      <c r="V38" s="40"/>
      <c r="W38" s="40"/>
      <c r="X38" s="40"/>
      <c r="Y38" s="40"/>
      <c r="Z38" s="40"/>
      <c r="AA38" s="40"/>
      <c r="AB38" s="40"/>
      <c r="AC38" s="664"/>
      <c r="AD38" s="185"/>
      <c r="AE38" s="40"/>
    </row>
    <row r="39" s="11" customFormat="1" ht="23.75" customHeight="1" spans="1:31">
      <c r="A39" s="2123"/>
      <c r="B39" s="1088" t="s">
        <v>419</v>
      </c>
      <c r="C39" s="2121"/>
      <c r="D39" s="2121" t="s">
        <v>420</v>
      </c>
      <c r="E39" s="245"/>
      <c r="F39" s="2177"/>
      <c r="G39" s="2177"/>
      <c r="H39" s="2127">
        <v>220000</v>
      </c>
      <c r="I39" s="2383"/>
      <c r="J39" s="2127"/>
      <c r="K39" s="2127"/>
      <c r="L39" s="1985"/>
      <c r="M39" s="2128"/>
      <c r="N39" s="2133"/>
      <c r="O39" s="40"/>
      <c r="P39" s="40"/>
      <c r="Q39" s="40"/>
      <c r="R39" s="2023"/>
      <c r="S39" s="2024"/>
      <c r="T39" s="40"/>
      <c r="U39" s="40"/>
      <c r="V39" s="40"/>
      <c r="W39" s="40"/>
      <c r="X39" s="40"/>
      <c r="Y39" s="40"/>
      <c r="Z39" s="40"/>
      <c r="AA39" s="40"/>
      <c r="AB39" s="40"/>
      <c r="AC39" s="664"/>
      <c r="AD39" s="185"/>
      <c r="AE39" s="40"/>
    </row>
    <row r="40" ht="27.5" customHeight="1" spans="1:31">
      <c r="A40" s="1956" t="s">
        <v>67</v>
      </c>
      <c r="B40" s="1956"/>
      <c r="C40" s="1951"/>
      <c r="D40" s="1951"/>
      <c r="E40" s="1973"/>
      <c r="F40" s="1974"/>
      <c r="G40" s="1974"/>
      <c r="H40" s="1975">
        <f>SUM(H14:H39)</f>
        <v>3895333.2</v>
      </c>
      <c r="I40" s="1974"/>
      <c r="J40" s="1998"/>
      <c r="K40" s="99">
        <v>500000</v>
      </c>
      <c r="L40" s="99"/>
      <c r="M40" s="185"/>
      <c r="N40" s="185"/>
      <c r="O40" s="185"/>
      <c r="P40" s="40"/>
      <c r="Q40" s="40"/>
      <c r="R40" s="523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1956"/>
      <c r="AD40" s="1951" t="s">
        <v>293</v>
      </c>
      <c r="AE40" s="1951"/>
    </row>
    <row r="41" ht="17.25" spans="1:31">
      <c r="A41" s="1958" t="s">
        <v>270</v>
      </c>
      <c r="B41" s="2331" t="s">
        <v>299</v>
      </c>
      <c r="C41" s="1883" t="s">
        <v>421</v>
      </c>
      <c r="D41" s="819" t="s">
        <v>348</v>
      </c>
      <c r="E41" s="1976">
        <v>91</v>
      </c>
      <c r="F41" s="1545">
        <v>361</v>
      </c>
      <c r="G41" s="1545"/>
      <c r="H41" s="1977">
        <f t="shared" ref="H41:H48" si="1">E41*F41*I41</f>
        <v>213531.5</v>
      </c>
      <c r="I41" s="1992">
        <v>6.5</v>
      </c>
      <c r="J41" s="259"/>
      <c r="K41" s="259"/>
      <c r="L41" s="259"/>
      <c r="M41" s="2017"/>
      <c r="N41" s="2018">
        <v>44262</v>
      </c>
      <c r="O41" s="2020"/>
      <c r="P41" s="2020"/>
      <c r="Q41" s="2020"/>
      <c r="R41" s="2025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31"/>
      <c r="AD41" s="259"/>
      <c r="AE41" s="259"/>
    </row>
    <row r="42" ht="17.25" spans="1:31">
      <c r="A42" s="1958"/>
      <c r="B42" s="1959" t="s">
        <v>299</v>
      </c>
      <c r="C42" s="1883" t="s">
        <v>422</v>
      </c>
      <c r="D42" s="819" t="s">
        <v>348</v>
      </c>
      <c r="E42" s="1976">
        <v>91</v>
      </c>
      <c r="F42" s="1545">
        <v>361</v>
      </c>
      <c r="G42" s="1545"/>
      <c r="H42" s="1977">
        <f t="shared" si="1"/>
        <v>213531.5</v>
      </c>
      <c r="I42" s="1992">
        <v>6.5</v>
      </c>
      <c r="J42" s="259"/>
      <c r="K42" s="259"/>
      <c r="L42" s="2243"/>
      <c r="M42" s="2017"/>
      <c r="N42" s="2018">
        <v>44263</v>
      </c>
      <c r="O42" s="2020"/>
      <c r="P42" s="2020"/>
      <c r="Q42" s="2020"/>
      <c r="R42" s="2025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31"/>
      <c r="AD42" s="1959"/>
      <c r="AE42" s="2020"/>
    </row>
    <row r="43" ht="17.25" spans="1:31">
      <c r="A43" s="1958"/>
      <c r="B43" s="1959" t="s">
        <v>299</v>
      </c>
      <c r="C43" s="1883" t="s">
        <v>423</v>
      </c>
      <c r="D43" s="819" t="s">
        <v>348</v>
      </c>
      <c r="E43" s="1976">
        <v>91</v>
      </c>
      <c r="F43" s="1545">
        <v>361</v>
      </c>
      <c r="G43" s="1545"/>
      <c r="H43" s="1977">
        <f t="shared" si="1"/>
        <v>213531.5</v>
      </c>
      <c r="I43" s="1992">
        <v>6.5</v>
      </c>
      <c r="J43" s="2325"/>
      <c r="K43" s="2325"/>
      <c r="L43" s="2237"/>
      <c r="M43" s="2017"/>
      <c r="N43" s="2018">
        <v>44264</v>
      </c>
      <c r="O43" s="2020"/>
      <c r="P43" s="2020"/>
      <c r="Q43" s="2020"/>
      <c r="R43" s="2025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31"/>
      <c r="AD43" s="2331"/>
      <c r="AE43" s="2033"/>
    </row>
    <row r="44" ht="17.25" spans="1:31">
      <c r="A44" s="1958"/>
      <c r="B44" s="1959" t="s">
        <v>299</v>
      </c>
      <c r="C44" s="1883" t="s">
        <v>424</v>
      </c>
      <c r="D44" s="819" t="s">
        <v>348</v>
      </c>
      <c r="E44" s="1976">
        <v>91</v>
      </c>
      <c r="F44" s="1545">
        <v>361</v>
      </c>
      <c r="G44" s="1545"/>
      <c r="H44" s="1977">
        <f t="shared" si="1"/>
        <v>213531.5</v>
      </c>
      <c r="I44" s="1992">
        <v>6.5</v>
      </c>
      <c r="J44" s="259"/>
      <c r="K44" s="259"/>
      <c r="L44" s="2243"/>
      <c r="M44" s="2017"/>
      <c r="N44" s="2018">
        <v>44265</v>
      </c>
      <c r="O44" s="2020"/>
      <c r="P44" s="2020"/>
      <c r="Q44" s="2020"/>
      <c r="R44" s="2025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31"/>
      <c r="AD44" s="1959"/>
      <c r="AE44" s="2020"/>
    </row>
    <row r="45" ht="17.25" spans="1:31">
      <c r="A45" s="1958"/>
      <c r="B45" s="1959" t="s">
        <v>299</v>
      </c>
      <c r="C45" s="1883" t="s">
        <v>425</v>
      </c>
      <c r="D45" s="819" t="s">
        <v>348</v>
      </c>
      <c r="E45" s="1976">
        <v>91</v>
      </c>
      <c r="F45" s="1545">
        <v>361</v>
      </c>
      <c r="G45" s="1545"/>
      <c r="H45" s="1977">
        <f t="shared" si="1"/>
        <v>213531.5</v>
      </c>
      <c r="I45" s="1992">
        <v>6.5</v>
      </c>
      <c r="J45" s="259"/>
      <c r="K45" s="259"/>
      <c r="L45" s="2243"/>
      <c r="M45" s="2017"/>
      <c r="N45" s="2018">
        <v>44266</v>
      </c>
      <c r="O45" s="2020"/>
      <c r="P45" s="2020"/>
      <c r="Q45" s="2020"/>
      <c r="R45" s="2025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031"/>
      <c r="AD45" s="1959"/>
      <c r="AE45" s="2020"/>
    </row>
    <row r="46" ht="17.25" spans="1:31">
      <c r="A46" s="1958"/>
      <c r="B46" s="1959" t="s">
        <v>299</v>
      </c>
      <c r="C46" s="1883" t="s">
        <v>426</v>
      </c>
      <c r="D46" s="819" t="s">
        <v>427</v>
      </c>
      <c r="E46" s="1976">
        <v>168</v>
      </c>
      <c r="F46" s="1545">
        <v>226</v>
      </c>
      <c r="G46" s="1545"/>
      <c r="H46" s="1977">
        <f t="shared" si="1"/>
        <v>246792</v>
      </c>
      <c r="I46" s="1992">
        <v>6.5</v>
      </c>
      <c r="J46" s="2369"/>
      <c r="K46" s="2326"/>
      <c r="L46" s="2243"/>
      <c r="M46" s="2020"/>
      <c r="N46" s="2018">
        <v>44222</v>
      </c>
      <c r="O46" s="2020"/>
      <c r="P46" s="2020"/>
      <c r="Q46" s="2020"/>
      <c r="R46" s="2025"/>
      <c r="S46" s="2020"/>
      <c r="T46" s="2020"/>
      <c r="U46" s="2020"/>
      <c r="V46" s="2020"/>
      <c r="W46" s="2020"/>
      <c r="X46" s="2020"/>
      <c r="Y46" s="2020"/>
      <c r="Z46" s="2020"/>
      <c r="AA46" s="2020"/>
      <c r="AB46" s="2020"/>
      <c r="AC46" s="2031"/>
      <c r="AD46" s="2034"/>
      <c r="AE46" s="2020"/>
    </row>
    <row r="47" ht="17.25" spans="1:31">
      <c r="A47" s="1958"/>
      <c r="B47" s="1959" t="s">
        <v>299</v>
      </c>
      <c r="C47" s="1883" t="s">
        <v>428</v>
      </c>
      <c r="D47" s="819" t="s">
        <v>427</v>
      </c>
      <c r="E47" s="1976">
        <v>168</v>
      </c>
      <c r="F47" s="1545">
        <v>226</v>
      </c>
      <c r="G47" s="1545"/>
      <c r="H47" s="1977">
        <f t="shared" si="1"/>
        <v>246792</v>
      </c>
      <c r="I47" s="1992">
        <v>6.5</v>
      </c>
      <c r="J47" s="2369"/>
      <c r="K47" s="2326">
        <f>SUM(H41:H47)</f>
        <v>1561241.5</v>
      </c>
      <c r="L47" s="2243"/>
      <c r="M47" s="2020"/>
      <c r="N47" s="2018">
        <v>44275</v>
      </c>
      <c r="O47" s="2020"/>
      <c r="P47" s="2020"/>
      <c r="Q47" s="2020"/>
      <c r="R47" s="2025"/>
      <c r="S47" s="2020"/>
      <c r="T47" s="2020"/>
      <c r="U47" s="2020"/>
      <c r="V47" s="2020"/>
      <c r="W47" s="2020"/>
      <c r="X47" s="2020"/>
      <c r="Y47" s="2020"/>
      <c r="Z47" s="2020"/>
      <c r="AA47" s="2020"/>
      <c r="AB47" s="2020"/>
      <c r="AC47" s="2031"/>
      <c r="AD47" s="2034"/>
      <c r="AE47" s="2020"/>
    </row>
    <row r="48" ht="17.25" spans="1:31">
      <c r="A48" s="1958"/>
      <c r="B48" s="1959"/>
      <c r="C48" s="2225"/>
      <c r="D48" s="819"/>
      <c r="E48" s="1976"/>
      <c r="F48" s="1545"/>
      <c r="G48" s="1545"/>
      <c r="H48" s="1977"/>
      <c r="I48" s="1992"/>
      <c r="J48" s="2369"/>
      <c r="K48" s="2326"/>
      <c r="L48" s="2243"/>
      <c r="M48" s="2020"/>
      <c r="N48" s="2018"/>
      <c r="O48" s="2020"/>
      <c r="P48" s="2020"/>
      <c r="Q48" s="2020"/>
      <c r="R48" s="2025"/>
      <c r="S48" s="2020"/>
      <c r="T48" s="2020"/>
      <c r="U48" s="2020"/>
      <c r="V48" s="2020"/>
      <c r="W48" s="2020"/>
      <c r="X48" s="2020"/>
      <c r="Y48" s="2020"/>
      <c r="Z48" s="2020"/>
      <c r="AA48" s="2020"/>
      <c r="AB48" s="2020"/>
      <c r="AC48" s="2031"/>
      <c r="AD48" s="2034"/>
      <c r="AE48" s="2020"/>
    </row>
    <row r="49" ht="17.25" spans="1:31">
      <c r="A49" s="1958"/>
      <c r="B49" s="1959" t="s">
        <v>324</v>
      </c>
      <c r="C49" s="1883" t="s">
        <v>429</v>
      </c>
      <c r="D49" s="819" t="s">
        <v>430</v>
      </c>
      <c r="E49" s="1976">
        <v>104</v>
      </c>
      <c r="F49" s="1545">
        <v>325</v>
      </c>
      <c r="G49" s="1545"/>
      <c r="H49" s="1977">
        <f>E49*F49*I49</f>
        <v>219700</v>
      </c>
      <c r="I49" s="1992">
        <v>6.5</v>
      </c>
      <c r="J49" s="2369"/>
      <c r="K49" s="2326"/>
      <c r="L49" s="2243"/>
      <c r="M49" s="2020"/>
      <c r="N49" s="2018"/>
      <c r="O49" s="2020"/>
      <c r="P49" s="2020"/>
      <c r="Q49" s="2020"/>
      <c r="R49" s="2025"/>
      <c r="S49" s="2020"/>
      <c r="T49" s="2020"/>
      <c r="U49" s="2020"/>
      <c r="V49" s="2020"/>
      <c r="W49" s="2020"/>
      <c r="X49" s="2020"/>
      <c r="Y49" s="2020"/>
      <c r="Z49" s="2020"/>
      <c r="AA49" s="2020"/>
      <c r="AB49" s="2020"/>
      <c r="AC49" s="2031"/>
      <c r="AD49" s="2034"/>
      <c r="AE49" s="2020"/>
    </row>
    <row r="50" ht="17.25" spans="1:31">
      <c r="A50" s="1958"/>
      <c r="B50" s="1959"/>
      <c r="C50" s="1303"/>
      <c r="D50" s="819"/>
      <c r="E50" s="1976"/>
      <c r="F50" s="1545"/>
      <c r="G50" s="1545"/>
      <c r="H50" s="1977"/>
      <c r="I50" s="1992"/>
      <c r="J50" s="2369"/>
      <c r="K50" s="2326"/>
      <c r="L50" s="2243"/>
      <c r="M50" s="2020"/>
      <c r="N50" s="2018"/>
      <c r="O50" s="2020"/>
      <c r="P50" s="2020"/>
      <c r="Q50" s="2020"/>
      <c r="R50" s="2025"/>
      <c r="S50" s="2020"/>
      <c r="T50" s="2020"/>
      <c r="U50" s="2020"/>
      <c r="V50" s="2020"/>
      <c r="W50" s="2020"/>
      <c r="X50" s="2020"/>
      <c r="Y50" s="2020"/>
      <c r="Z50" s="2020"/>
      <c r="AA50" s="2020"/>
      <c r="AB50" s="2020"/>
      <c r="AC50" s="2031"/>
      <c r="AD50" s="2034"/>
      <c r="AE50" s="2020"/>
    </row>
    <row r="51" ht="17.25" spans="1:31">
      <c r="A51" s="1958"/>
      <c r="B51" s="1959" t="s">
        <v>274</v>
      </c>
      <c r="C51" s="1883" t="s">
        <v>431</v>
      </c>
      <c r="D51" s="819"/>
      <c r="E51" s="1976"/>
      <c r="F51" s="2234">
        <v>13958</v>
      </c>
      <c r="G51" s="1545"/>
      <c r="H51" s="1977">
        <f>I51*F51</f>
        <v>90727</v>
      </c>
      <c r="I51" s="1992">
        <v>6.5</v>
      </c>
      <c r="J51" s="2369"/>
      <c r="K51" s="2326"/>
      <c r="L51" s="2243"/>
      <c r="M51" s="2020"/>
      <c r="N51" s="2018"/>
      <c r="O51" s="2020"/>
      <c r="P51" s="2020"/>
      <c r="Q51" s="2020"/>
      <c r="R51" s="2025"/>
      <c r="S51" s="2020"/>
      <c r="T51" s="2020"/>
      <c r="U51" s="2020"/>
      <c r="V51" s="2020"/>
      <c r="W51" s="2020"/>
      <c r="X51" s="2020"/>
      <c r="Y51" s="2020"/>
      <c r="Z51" s="2020"/>
      <c r="AA51" s="2020"/>
      <c r="AB51" s="2020"/>
      <c r="AC51" s="2031"/>
      <c r="AD51" s="2034"/>
      <c r="AE51" s="2020"/>
    </row>
    <row r="52" ht="17.25" spans="1:31">
      <c r="A52" s="1958"/>
      <c r="B52" s="1959" t="s">
        <v>274</v>
      </c>
      <c r="C52" s="1883" t="s">
        <v>432</v>
      </c>
      <c r="D52" s="819"/>
      <c r="E52" s="1976"/>
      <c r="F52" s="2234">
        <v>28740</v>
      </c>
      <c r="G52" s="1545"/>
      <c r="H52" s="1977">
        <f>I52*F52</f>
        <v>186810</v>
      </c>
      <c r="I52" s="1992">
        <v>6.5</v>
      </c>
      <c r="J52" s="2369"/>
      <c r="K52" s="2326"/>
      <c r="L52" s="2243"/>
      <c r="M52" s="2020"/>
      <c r="N52" s="2018"/>
      <c r="O52" s="2020"/>
      <c r="P52" s="2020"/>
      <c r="Q52" s="2020"/>
      <c r="R52" s="2025"/>
      <c r="S52" s="2020"/>
      <c r="T52" s="2020"/>
      <c r="U52" s="2020"/>
      <c r="V52" s="2020"/>
      <c r="W52" s="2020"/>
      <c r="X52" s="2020"/>
      <c r="Y52" s="2020"/>
      <c r="Z52" s="2020"/>
      <c r="AA52" s="2020"/>
      <c r="AB52" s="2020"/>
      <c r="AC52" s="2031"/>
      <c r="AD52" s="2034"/>
      <c r="AE52" s="2020"/>
    </row>
    <row r="53" ht="17.25" spans="1:31">
      <c r="A53" s="1958"/>
      <c r="B53" s="1959" t="s">
        <v>274</v>
      </c>
      <c r="C53" s="1883" t="s">
        <v>433</v>
      </c>
      <c r="D53" s="819"/>
      <c r="E53" s="1976"/>
      <c r="F53" s="2234">
        <v>14954</v>
      </c>
      <c r="G53" s="1545"/>
      <c r="H53" s="1977">
        <f>I53*F53</f>
        <v>97201</v>
      </c>
      <c r="I53" s="1992">
        <v>6.5</v>
      </c>
      <c r="J53" s="2369"/>
      <c r="K53" s="2326"/>
      <c r="L53" s="2243"/>
      <c r="M53" s="2020"/>
      <c r="N53" s="2018"/>
      <c r="O53" s="2020"/>
      <c r="P53" s="2020"/>
      <c r="Q53" s="2020"/>
      <c r="R53" s="2025"/>
      <c r="S53" s="2020"/>
      <c r="T53" s="2020"/>
      <c r="U53" s="2020"/>
      <c r="V53" s="2020"/>
      <c r="W53" s="2020"/>
      <c r="X53" s="2020"/>
      <c r="Y53" s="2020"/>
      <c r="Z53" s="2020"/>
      <c r="AA53" s="2020"/>
      <c r="AB53" s="2020"/>
      <c r="AC53" s="2031"/>
      <c r="AD53" s="2034"/>
      <c r="AE53" s="2020"/>
    </row>
    <row r="54" ht="17.25" spans="1:31">
      <c r="A54" s="1958"/>
      <c r="B54" s="1959" t="s">
        <v>274</v>
      </c>
      <c r="C54" s="1883" t="s">
        <v>434</v>
      </c>
      <c r="D54" s="819"/>
      <c r="E54" s="1976"/>
      <c r="F54" s="2234">
        <v>11379</v>
      </c>
      <c r="G54" s="1545"/>
      <c r="H54" s="1977">
        <f>I54*F54</f>
        <v>73963.5</v>
      </c>
      <c r="I54" s="1992">
        <v>6.5</v>
      </c>
      <c r="J54" s="2369"/>
      <c r="K54" s="2326">
        <f>SUM(H51:H54)</f>
        <v>448701.5</v>
      </c>
      <c r="L54" s="2243"/>
      <c r="M54" s="2020"/>
      <c r="N54" s="2018"/>
      <c r="O54" s="2020"/>
      <c r="P54" s="2020"/>
      <c r="Q54" s="2020"/>
      <c r="R54" s="2025"/>
      <c r="S54" s="2020"/>
      <c r="T54" s="2020"/>
      <c r="U54" s="2020"/>
      <c r="V54" s="2020"/>
      <c r="W54" s="2020"/>
      <c r="X54" s="2020"/>
      <c r="Y54" s="2020"/>
      <c r="Z54" s="2020"/>
      <c r="AA54" s="2020"/>
      <c r="AB54" s="2020"/>
      <c r="AC54" s="2031"/>
      <c r="AD54" s="2034"/>
      <c r="AE54" s="2020"/>
    </row>
    <row r="55" ht="17.25" spans="1:31">
      <c r="A55" s="2226"/>
      <c r="B55" s="1959"/>
      <c r="C55" s="2225"/>
      <c r="D55" s="819"/>
      <c r="E55" s="1976"/>
      <c r="F55" s="2234"/>
      <c r="G55" s="1545"/>
      <c r="H55" s="1977"/>
      <c r="I55" s="1992"/>
      <c r="J55" s="2369"/>
      <c r="K55" s="2326"/>
      <c r="L55" s="2243"/>
      <c r="M55" s="2020"/>
      <c r="N55" s="2018"/>
      <c r="O55" s="2020"/>
      <c r="P55" s="2020"/>
      <c r="Q55" s="2020"/>
      <c r="R55" s="2025"/>
      <c r="S55" s="2020"/>
      <c r="T55" s="2020"/>
      <c r="U55" s="2020"/>
      <c r="V55" s="2020"/>
      <c r="W55" s="2020"/>
      <c r="X55" s="2020"/>
      <c r="Y55" s="2020"/>
      <c r="Z55" s="2020"/>
      <c r="AA55" s="2020"/>
      <c r="AB55" s="2020"/>
      <c r="AC55" s="2031"/>
      <c r="AD55" s="2034"/>
      <c r="AE55" s="2020"/>
    </row>
    <row r="56" ht="17.25" spans="1:31">
      <c r="A56" s="2278" t="s">
        <v>220</v>
      </c>
      <c r="B56" s="2449" t="s">
        <v>258</v>
      </c>
      <c r="C56" s="1883" t="s">
        <v>435</v>
      </c>
      <c r="D56" s="40" t="s">
        <v>436</v>
      </c>
      <c r="E56" s="1976">
        <v>67</v>
      </c>
      <c r="F56" s="1545">
        <v>557</v>
      </c>
      <c r="G56" s="1545"/>
      <c r="H56" s="1977">
        <f>E56*F56*I56</f>
        <v>242573.5</v>
      </c>
      <c r="I56" s="1992">
        <v>6.5</v>
      </c>
      <c r="J56" s="2369"/>
      <c r="K56" s="2326">
        <f>SUM(H56:H60)</f>
        <v>912457</v>
      </c>
      <c r="L56" s="2243"/>
      <c r="M56" s="2020"/>
      <c r="N56" s="2018">
        <v>44280</v>
      </c>
      <c r="O56" s="2020"/>
      <c r="P56" s="2020"/>
      <c r="Q56" s="2020"/>
      <c r="R56" s="1953"/>
      <c r="S56" s="2020"/>
      <c r="T56" s="2020"/>
      <c r="U56" s="2020"/>
      <c r="V56" s="2020"/>
      <c r="W56" s="2020"/>
      <c r="X56" s="2020"/>
      <c r="Y56" s="2020"/>
      <c r="Z56" s="2020"/>
      <c r="AA56" s="2020"/>
      <c r="AB56" s="2020"/>
      <c r="AC56" s="2075"/>
      <c r="AD56" s="2034"/>
      <c r="AE56" s="2020"/>
    </row>
    <row r="57" ht="17.25" spans="1:31">
      <c r="A57" s="2153"/>
      <c r="B57" s="2449" t="s">
        <v>265</v>
      </c>
      <c r="C57" s="1883" t="s">
        <v>437</v>
      </c>
      <c r="D57" s="40" t="s">
        <v>354</v>
      </c>
      <c r="E57" s="1976">
        <v>25</v>
      </c>
      <c r="F57" s="1545">
        <v>675</v>
      </c>
      <c r="G57" s="1545"/>
      <c r="H57" s="1977">
        <f>E57*F57*I57</f>
        <v>109687.5</v>
      </c>
      <c r="I57" s="1992">
        <v>6.5</v>
      </c>
      <c r="J57" s="2369"/>
      <c r="K57" s="2326"/>
      <c r="L57" s="2243"/>
      <c r="M57" s="2020"/>
      <c r="N57" s="2018" t="s">
        <v>438</v>
      </c>
      <c r="O57" s="2020"/>
      <c r="P57" s="2020"/>
      <c r="Q57" s="2020"/>
      <c r="R57" s="2025"/>
      <c r="S57" s="2020"/>
      <c r="T57" s="2020"/>
      <c r="U57" s="2020"/>
      <c r="V57" s="2020"/>
      <c r="W57" s="2020"/>
      <c r="X57" s="2020"/>
      <c r="Y57" s="2020"/>
      <c r="Z57" s="2020"/>
      <c r="AA57" s="2020"/>
      <c r="AB57" s="2020"/>
      <c r="AC57" s="2075"/>
      <c r="AD57" s="2333"/>
      <c r="AE57" s="2033"/>
    </row>
    <row r="58" ht="17.25" spans="1:31">
      <c r="A58" s="2153"/>
      <c r="B58" s="2361" t="s">
        <v>295</v>
      </c>
      <c r="C58" s="1883" t="s">
        <v>439</v>
      </c>
      <c r="D58" s="2074" t="s">
        <v>440</v>
      </c>
      <c r="E58" s="2284">
        <v>1</v>
      </c>
      <c r="F58" s="2368">
        <v>29288</v>
      </c>
      <c r="G58" s="2368"/>
      <c r="H58" s="2047">
        <f>F58*I58</f>
        <v>190372</v>
      </c>
      <c r="I58" s="1992">
        <v>6.5</v>
      </c>
      <c r="J58" s="2373"/>
      <c r="K58" s="2064"/>
      <c r="L58" s="2065"/>
      <c r="M58" s="2020"/>
      <c r="N58" s="2018"/>
      <c r="O58" s="2020"/>
      <c r="P58" s="2020"/>
      <c r="Q58" s="2020"/>
      <c r="R58" s="2073"/>
      <c r="S58" s="2020"/>
      <c r="T58" s="2020"/>
      <c r="U58" s="2020"/>
      <c r="V58" s="2020"/>
      <c r="W58" s="2020"/>
      <c r="X58" s="2020"/>
      <c r="Y58" s="2020"/>
      <c r="Z58" s="2020"/>
      <c r="AA58" s="2020"/>
      <c r="AB58" s="2020"/>
      <c r="AC58" s="2332"/>
      <c r="AD58" s="2333"/>
      <c r="AE58" s="2334"/>
    </row>
    <row r="59" ht="17.25" spans="1:31">
      <c r="A59" s="2153"/>
      <c r="B59" s="2361" t="s">
        <v>358</v>
      </c>
      <c r="C59" s="1883" t="s">
        <v>441</v>
      </c>
      <c r="D59" s="2074"/>
      <c r="E59" s="2284"/>
      <c r="F59" s="2368">
        <v>39142</v>
      </c>
      <c r="G59" s="2368"/>
      <c r="H59" s="2047">
        <f>F59*I59</f>
        <v>254423</v>
      </c>
      <c r="I59" s="1992">
        <v>6.5</v>
      </c>
      <c r="J59" s="2373"/>
      <c r="K59" s="2064"/>
      <c r="L59" s="2065"/>
      <c r="M59" s="2020"/>
      <c r="N59" s="2018"/>
      <c r="O59" s="2020"/>
      <c r="P59" s="2020"/>
      <c r="Q59" s="2020"/>
      <c r="R59" s="2073"/>
      <c r="S59" s="2020"/>
      <c r="T59" s="2020"/>
      <c r="U59" s="2020"/>
      <c r="V59" s="2020"/>
      <c r="W59" s="2020"/>
      <c r="X59" s="2020"/>
      <c r="Y59" s="2020"/>
      <c r="Z59" s="2020"/>
      <c r="AA59" s="2020"/>
      <c r="AB59" s="2020"/>
      <c r="AC59" s="2332"/>
      <c r="AD59" s="2333"/>
      <c r="AE59" s="2334"/>
    </row>
    <row r="60" ht="17.25" spans="1:31">
      <c r="A60" s="2153"/>
      <c r="B60" s="2361" t="s">
        <v>442</v>
      </c>
      <c r="C60" s="1883" t="s">
        <v>443</v>
      </c>
      <c r="D60" s="2074"/>
      <c r="E60" s="2284"/>
      <c r="F60" s="2368">
        <v>17754</v>
      </c>
      <c r="G60" s="2368"/>
      <c r="H60" s="2047">
        <f>F60*I60</f>
        <v>115401</v>
      </c>
      <c r="I60" s="1992">
        <v>6.5</v>
      </c>
      <c r="J60" s="2373"/>
      <c r="K60" s="2064"/>
      <c r="L60" s="2065"/>
      <c r="M60" s="2020"/>
      <c r="N60" s="2018"/>
      <c r="O60" s="2020"/>
      <c r="P60" s="2020"/>
      <c r="Q60" s="2020"/>
      <c r="R60" s="2073"/>
      <c r="S60" s="2020"/>
      <c r="T60" s="2020"/>
      <c r="U60" s="2020"/>
      <c r="V60" s="2020"/>
      <c r="W60" s="2020"/>
      <c r="X60" s="2020"/>
      <c r="Y60" s="2020"/>
      <c r="Z60" s="2020"/>
      <c r="AA60" s="2020"/>
      <c r="AB60" s="2020"/>
      <c r="AC60" s="2332"/>
      <c r="AD60" s="2333"/>
      <c r="AE60" s="2334"/>
    </row>
    <row r="61" ht="17.25" spans="1:31">
      <c r="A61" s="2035"/>
      <c r="B61" s="2035"/>
      <c r="C61" s="2074"/>
      <c r="D61" s="2074"/>
      <c r="E61" s="2284"/>
      <c r="F61" s="2368"/>
      <c r="G61" s="2368"/>
      <c r="H61" s="2047"/>
      <c r="I61" s="2055"/>
      <c r="J61" s="2373">
        <v>1268.59</v>
      </c>
      <c r="K61" s="2064"/>
      <c r="L61" s="2065"/>
      <c r="M61" s="2020"/>
      <c r="N61" s="2018"/>
      <c r="O61" s="2020"/>
      <c r="P61" s="2020"/>
      <c r="Q61" s="2020"/>
      <c r="R61" s="2073"/>
      <c r="S61" s="2020"/>
      <c r="T61" s="2020"/>
      <c r="U61" s="2020"/>
      <c r="V61" s="2020"/>
      <c r="W61" s="2020"/>
      <c r="X61" s="2020"/>
      <c r="Y61" s="2020"/>
      <c r="Z61" s="2020"/>
      <c r="AA61" s="2020"/>
      <c r="AB61" s="2020"/>
      <c r="AC61" s="2332"/>
      <c r="AD61" s="2333"/>
      <c r="AE61" s="2334"/>
    </row>
    <row r="62" customHeight="1" spans="1:31">
      <c r="A62" s="2039" t="s">
        <v>67</v>
      </c>
      <c r="B62" s="2039"/>
      <c r="C62" s="2040"/>
      <c r="D62" s="2040"/>
      <c r="E62" s="2048"/>
      <c r="F62" s="2049"/>
      <c r="G62" s="2049"/>
      <c r="H62" s="2050">
        <f>SUM(H41:H61)</f>
        <v>3142100</v>
      </c>
      <c r="I62" s="2066"/>
      <c r="J62" s="2050">
        <v>0</v>
      </c>
      <c r="K62" s="2067">
        <v>0</v>
      </c>
      <c r="L62" s="2068">
        <v>0</v>
      </c>
      <c r="M62" s="474"/>
      <c r="N62" s="474"/>
      <c r="O62" s="474"/>
      <c r="P62" s="2011"/>
      <c r="Q62" s="2011"/>
      <c r="R62" s="2074"/>
      <c r="S62" s="2011"/>
      <c r="T62" s="2011"/>
      <c r="U62" s="2011"/>
      <c r="V62" s="2011"/>
      <c r="W62" s="2011"/>
      <c r="X62" s="2011"/>
      <c r="Y62" s="2011"/>
      <c r="Z62" s="2011"/>
      <c r="AA62" s="2011"/>
      <c r="AB62" s="2011"/>
      <c r="AC62" s="2295"/>
      <c r="AD62" s="2040" t="s">
        <v>325</v>
      </c>
      <c r="AE62" s="2040"/>
    </row>
    <row r="63" spans="1:31">
      <c r="A63" s="2001"/>
      <c r="B63" s="2001"/>
      <c r="C63" s="2001"/>
      <c r="D63" s="2001"/>
      <c r="E63" s="2051"/>
      <c r="F63" s="2001"/>
      <c r="G63" s="2001"/>
      <c r="H63" s="2052"/>
      <c r="I63" s="2001"/>
      <c r="J63" s="2001"/>
      <c r="K63" s="2001"/>
      <c r="L63" s="2001"/>
      <c r="M63" s="2001"/>
      <c r="N63" s="2001"/>
      <c r="O63" s="2001"/>
      <c r="P63" s="2001"/>
      <c r="Q63" s="2001"/>
      <c r="R63" s="2001"/>
      <c r="S63" s="2001"/>
      <c r="T63" s="2001"/>
      <c r="U63" s="2001"/>
      <c r="V63" s="2001"/>
      <c r="W63" s="2001"/>
      <c r="X63" s="2001"/>
      <c r="Y63" s="2001"/>
      <c r="Z63" s="2001"/>
      <c r="AA63" s="2001"/>
      <c r="AB63" s="2001"/>
      <c r="AC63" s="2001"/>
      <c r="AD63" s="2001"/>
      <c r="AE63" s="2001"/>
    </row>
    <row r="64" spans="1:31">
      <c r="A64" s="2001"/>
      <c r="B64" s="2001"/>
      <c r="C64" s="2001"/>
      <c r="D64" s="2001"/>
      <c r="E64" s="2051"/>
      <c r="F64" s="2001"/>
      <c r="G64" s="2001"/>
      <c r="H64" s="2052"/>
      <c r="I64" s="2001"/>
      <c r="J64" s="2001"/>
      <c r="K64" s="2001"/>
      <c r="L64" s="2001"/>
      <c r="M64" s="2001"/>
      <c r="N64" s="2001"/>
      <c r="O64" s="2001"/>
      <c r="P64" s="2001"/>
      <c r="Q64" s="2001"/>
      <c r="R64" s="2001"/>
      <c r="S64" s="2001"/>
      <c r="T64" s="2001"/>
      <c r="U64" s="2001"/>
      <c r="V64" s="2001"/>
      <c r="W64" s="2001"/>
      <c r="X64" s="2001"/>
      <c r="Y64" s="2001"/>
      <c r="Z64" s="2001"/>
      <c r="AA64" s="2001"/>
      <c r="AB64" s="2001"/>
      <c r="AC64" s="2001"/>
      <c r="AD64" s="2001"/>
      <c r="AE64" s="2001"/>
    </row>
    <row r="65" spans="1:31">
      <c r="A65" s="2001"/>
      <c r="B65" s="2001"/>
      <c r="C65" s="2001" t="s">
        <v>139</v>
      </c>
      <c r="D65" s="2001" t="s">
        <v>140</v>
      </c>
      <c r="E65" s="2051"/>
      <c r="F65" s="2001" t="s">
        <v>141</v>
      </c>
      <c r="G65" s="2001"/>
      <c r="H65" s="2052">
        <v>12684488.02</v>
      </c>
      <c r="I65" s="2001"/>
      <c r="J65" s="2001"/>
      <c r="K65" s="2069">
        <v>4473989.32</v>
      </c>
      <c r="L65" s="2001"/>
      <c r="M65" s="2069"/>
      <c r="N65" s="2001"/>
      <c r="O65" s="2001"/>
      <c r="P65" s="2001"/>
      <c r="Q65" s="2001"/>
      <c r="R65" s="2001"/>
      <c r="S65" s="2001"/>
      <c r="T65" s="2001"/>
      <c r="U65" s="2001"/>
      <c r="V65" s="2001"/>
      <c r="W65" s="2001"/>
      <c r="X65" s="2001"/>
      <c r="Y65" s="2001"/>
      <c r="Z65" s="2001"/>
      <c r="AA65" s="2001"/>
      <c r="AB65" s="2001"/>
      <c r="AC65" s="2001"/>
      <c r="AD65" s="2001"/>
      <c r="AE65" s="2001"/>
    </row>
    <row r="66" spans="1:31">
      <c r="A66" s="2001"/>
      <c r="B66" s="2001"/>
      <c r="C66" s="2001"/>
      <c r="D66" s="2001"/>
      <c r="E66" s="2051"/>
      <c r="F66" s="2001"/>
      <c r="G66" s="2001"/>
      <c r="H66" s="2052"/>
      <c r="I66" s="2001"/>
      <c r="J66" s="2001"/>
      <c r="K66" s="2069">
        <v>3995333.2</v>
      </c>
      <c r="L66" s="2001"/>
      <c r="M66" s="2069"/>
      <c r="N66" s="2001"/>
      <c r="O66" s="2001"/>
      <c r="P66" s="2001"/>
      <c r="Q66" s="2001"/>
      <c r="R66" s="2001"/>
      <c r="S66" s="2001"/>
      <c r="T66" s="2001"/>
      <c r="U66" s="2001"/>
      <c r="V66" s="2001"/>
      <c r="W66" s="2001"/>
      <c r="X66" s="2001"/>
      <c r="Y66" s="2001"/>
      <c r="Z66" s="2001"/>
      <c r="AA66" s="2001"/>
      <c r="AB66" s="2001"/>
      <c r="AC66" s="2001"/>
      <c r="AD66" s="2001"/>
      <c r="AE66" s="2001"/>
    </row>
    <row r="67" spans="1:31">
      <c r="A67" s="2001"/>
      <c r="B67" s="2001"/>
      <c r="C67" s="2001"/>
      <c r="D67" s="2001"/>
      <c r="E67" s="2051"/>
      <c r="F67" s="2001"/>
      <c r="G67" s="2001"/>
      <c r="H67" s="2052"/>
      <c r="I67" s="2001"/>
      <c r="J67" s="2001"/>
      <c r="K67" s="2069">
        <v>4215165.5</v>
      </c>
      <c r="L67" s="2001"/>
      <c r="M67" s="2069"/>
      <c r="N67" s="2001"/>
      <c r="O67" s="2001"/>
      <c r="P67" s="2001"/>
      <c r="Q67" s="2001"/>
      <c r="R67" s="2001"/>
      <c r="S67" s="2001"/>
      <c r="T67" s="2001"/>
      <c r="U67" s="2001"/>
      <c r="V67" s="2001"/>
      <c r="W67" s="2001"/>
      <c r="X67" s="2001"/>
      <c r="Y67" s="2001"/>
      <c r="Z67" s="2001"/>
      <c r="AA67" s="2001"/>
      <c r="AB67" s="2001"/>
      <c r="AC67" s="2001"/>
      <c r="AD67" s="2001"/>
      <c r="AE67" s="2001"/>
    </row>
    <row r="68" spans="1:31">
      <c r="A68" s="2001"/>
      <c r="B68" s="2001"/>
      <c r="C68" s="2001"/>
      <c r="D68" s="2001"/>
      <c r="E68" s="2051"/>
      <c r="F68" s="2001"/>
      <c r="G68" s="2001"/>
      <c r="H68" s="2052"/>
      <c r="I68" s="2001"/>
      <c r="J68" s="2001"/>
      <c r="K68" s="2069">
        <f>SUM(K65:K67)</f>
        <v>12684488.02</v>
      </c>
      <c r="L68" s="2001"/>
      <c r="M68" s="2069"/>
      <c r="N68" s="2001"/>
      <c r="O68" s="2001"/>
      <c r="P68" s="2001"/>
      <c r="Q68" s="2001"/>
      <c r="R68" s="2001"/>
      <c r="S68" s="2001"/>
      <c r="T68" s="2001"/>
      <c r="U68" s="2001"/>
      <c r="V68" s="2001"/>
      <c r="W68" s="2001"/>
      <c r="X68" s="2001"/>
      <c r="Y68" s="2001"/>
      <c r="Z68" s="2001"/>
      <c r="AA68" s="2001"/>
      <c r="AB68" s="2001"/>
      <c r="AC68" s="2001"/>
      <c r="AD68" s="2001"/>
      <c r="AE68" s="2001"/>
    </row>
    <row r="69" spans="1:31">
      <c r="A69" s="2001"/>
      <c r="B69" s="2001"/>
      <c r="C69" s="2001"/>
      <c r="D69" s="2001"/>
      <c r="E69" s="2051"/>
      <c r="F69" s="2001"/>
      <c r="G69" s="2001"/>
      <c r="H69" s="2052"/>
      <c r="I69" s="2001"/>
      <c r="J69" s="2001"/>
      <c r="K69" s="2069"/>
      <c r="L69" s="2001"/>
      <c r="M69" s="2069"/>
      <c r="N69" s="2001"/>
      <c r="O69" s="2001"/>
      <c r="P69" s="2001"/>
      <c r="Q69" s="2001"/>
      <c r="R69" s="2001"/>
      <c r="S69" s="2001"/>
      <c r="T69" s="2001"/>
      <c r="U69" s="2001"/>
      <c r="V69" s="2001"/>
      <c r="W69" s="2001"/>
      <c r="X69" s="2001"/>
      <c r="Y69" s="2001"/>
      <c r="Z69" s="2001"/>
      <c r="AA69" s="2001"/>
      <c r="AB69" s="2001"/>
      <c r="AC69" s="2001"/>
      <c r="AD69" s="2001"/>
      <c r="AE69" s="2001"/>
    </row>
    <row r="70" spans="1:31">
      <c r="A70" s="2041"/>
      <c r="B70" s="2041"/>
      <c r="C70" s="2041"/>
      <c r="D70" s="2041"/>
      <c r="E70" s="2051"/>
      <c r="F70" s="2041"/>
      <c r="G70" s="2041"/>
      <c r="H70" s="2052"/>
      <c r="I70" s="2041"/>
      <c r="J70" s="2041"/>
      <c r="K70" s="2041"/>
      <c r="L70" s="2041"/>
      <c r="M70" s="2069"/>
      <c r="N70" s="2041"/>
      <c r="O70" s="2041"/>
      <c r="P70" s="2041"/>
      <c r="Q70" s="2041"/>
      <c r="R70" s="2041"/>
      <c r="S70" s="2041"/>
      <c r="T70" s="2041"/>
      <c r="U70" s="2041"/>
      <c r="V70" s="2041"/>
      <c r="W70" s="2041"/>
      <c r="X70" s="2041"/>
      <c r="Y70" s="2041"/>
      <c r="Z70" s="2041"/>
      <c r="AA70" s="2041"/>
      <c r="AB70" s="2041"/>
      <c r="AC70" s="2041"/>
      <c r="AD70" s="2041"/>
      <c r="AE70" s="2041"/>
    </row>
    <row r="71" spans="1:31">
      <c r="A71" s="2041"/>
      <c r="B71" s="2041"/>
      <c r="C71" s="2041"/>
      <c r="D71" s="2041"/>
      <c r="E71" s="2051"/>
      <c r="F71" s="2041"/>
      <c r="G71" s="2041"/>
      <c r="H71" s="2052"/>
      <c r="I71" s="2041"/>
      <c r="J71" s="2041"/>
      <c r="K71" s="2041"/>
      <c r="L71" s="2041"/>
      <c r="M71" s="2041"/>
      <c r="N71" s="2041"/>
      <c r="O71" s="2041"/>
      <c r="P71" s="2041"/>
      <c r="Q71" s="2041"/>
      <c r="R71" s="2041"/>
      <c r="S71" s="2041"/>
      <c r="T71" s="2041"/>
      <c r="U71" s="2041"/>
      <c r="V71" s="2041"/>
      <c r="W71" s="2041"/>
      <c r="X71" s="2041"/>
      <c r="Y71" s="2041"/>
      <c r="Z71" s="2041"/>
      <c r="AA71" s="2041"/>
      <c r="AB71" s="2041"/>
      <c r="AC71" s="2041"/>
      <c r="AD71" s="2041"/>
      <c r="AE71" s="2041"/>
    </row>
    <row r="72" spans="1:31">
      <c r="A72" s="2041"/>
      <c r="B72" s="2041"/>
      <c r="C72" s="2041"/>
      <c r="D72" s="2041"/>
      <c r="E72" s="2051"/>
      <c r="F72" s="2041"/>
      <c r="G72" s="2041"/>
      <c r="H72" s="2052"/>
      <c r="I72" s="2041"/>
      <c r="J72" s="2041"/>
      <c r="K72" s="2041"/>
      <c r="L72" s="2041"/>
      <c r="M72" s="2041"/>
      <c r="N72" s="2041"/>
      <c r="O72" s="2041"/>
      <c r="P72" s="2041"/>
      <c r="Q72" s="2041"/>
      <c r="R72" s="2041"/>
      <c r="S72" s="2041"/>
      <c r="T72" s="2041"/>
      <c r="U72" s="2041"/>
      <c r="V72" s="2041"/>
      <c r="W72" s="2041"/>
      <c r="X72" s="2041"/>
      <c r="Y72" s="2041"/>
      <c r="Z72" s="2041"/>
      <c r="AA72" s="2041"/>
      <c r="AB72" s="2041"/>
      <c r="AC72" s="2041"/>
      <c r="AD72" s="2041"/>
      <c r="AE72" s="2041"/>
    </row>
  </sheetData>
  <sheetProtection formatCells="0" insertHyperlinks="0" autoFilter="0"/>
  <mergeCells count="15">
    <mergeCell ref="A1:M1"/>
    <mergeCell ref="A13:B13"/>
    <mergeCell ref="C13:D13"/>
    <mergeCell ref="A40:B40"/>
    <mergeCell ref="C40:D40"/>
    <mergeCell ref="A62:B62"/>
    <mergeCell ref="C62:D62"/>
    <mergeCell ref="A3:A6"/>
    <mergeCell ref="A7:A11"/>
    <mergeCell ref="A24:A39"/>
    <mergeCell ref="A41:A55"/>
    <mergeCell ref="A56:A60"/>
    <mergeCell ref="B30:B38"/>
    <mergeCell ref="C30:C33"/>
    <mergeCell ref="C34:C38"/>
  </mergeCells>
  <hyperlinks>
    <hyperlink ref="C41" r:id="rId3" display="EJ-311" tooltip="../무역서류/수입선적서류/Shuhua-X6, X5,X1 런닝머신/PI/X3/EJ-156"/>
    <hyperlink ref="C42" r:id="rId3" display="EJ-312" tooltip="../무역서류/수입선적서류/Shuhua-X6, X5,X1 런닝머신/PI/X3/EJ-156"/>
    <hyperlink ref="C43" r:id="rId3" display="EJ-313" tooltip="../무역서류/수입선적서류/Shuhua-X6, X5,X1 런닝머신/PI/X3/EJ-156"/>
    <hyperlink ref="C44" r:id="rId3" display="EJ-314" tooltip="../무역서류/수입선적서류/Shuhua-X6, X5,X1 런닝머신/PI/X3/EJ-156"/>
    <hyperlink ref="C45" r:id="rId3" display="EJ-315" tooltip="../무역서류/수입선적서류/Shuhua-X6, X5,X1 런닝머신/PI/X3/EJ-156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E71"/>
  <sheetViews>
    <sheetView zoomScale="70" zoomScaleNormal="70" workbookViewId="0">
      <pane ySplit="2" topLeftCell="A28" activePane="bottomLeft" state="frozen"/>
      <selection/>
      <selection pane="bottomLeft" activeCell="H22" sqref="H22"/>
    </sheetView>
  </sheetViews>
  <sheetFormatPr defaultColWidth="9" defaultRowHeight="16.5"/>
  <cols>
    <col min="1" max="1" width="13.4416666666667" customWidth="1"/>
    <col min="2" max="2" width="17.625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2.5" hidden="1" customWidth="1"/>
    <col min="8" max="8" width="15.975" style="10" customWidth="1"/>
    <col min="9" max="9" width="12.0416666666667" customWidth="1"/>
    <col min="10" max="10" width="13.6083333333333" customWidth="1"/>
    <col min="11" max="11" width="17.3583333333333" customWidth="1"/>
    <col min="12" max="12" width="14.875"/>
    <col min="13" max="13" width="14.025" customWidth="1"/>
    <col min="14" max="14" width="22.1416666666667" customWidth="1"/>
    <col min="15" max="15" width="22.6416666666667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444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1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4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ht="23.45" customHeight="1" spans="1:31">
      <c r="A3" s="2192" t="s">
        <v>38</v>
      </c>
      <c r="B3" s="2076" t="s">
        <v>202</v>
      </c>
      <c r="C3" s="2020"/>
      <c r="D3" s="2190" t="s">
        <v>445</v>
      </c>
      <c r="E3" s="2195">
        <v>100</v>
      </c>
      <c r="F3" s="2020"/>
      <c r="G3" s="2020"/>
      <c r="H3" s="2264">
        <v>200000</v>
      </c>
      <c r="I3" s="2198"/>
      <c r="J3" s="73"/>
      <c r="K3" s="2097"/>
      <c r="L3" s="2199"/>
      <c r="M3" s="2020"/>
      <c r="N3" s="2020"/>
      <c r="O3" s="2020"/>
      <c r="P3" s="2311"/>
      <c r="Q3" s="2311"/>
      <c r="R3" s="1399"/>
      <c r="S3" s="2311"/>
      <c r="T3" s="2311"/>
      <c r="U3" s="2311"/>
      <c r="V3" s="2311"/>
      <c r="W3" s="2311"/>
      <c r="X3" s="2311"/>
      <c r="Y3" s="2311"/>
      <c r="Z3" s="2311"/>
      <c r="AA3" s="2311"/>
      <c r="AB3" s="2311"/>
      <c r="AC3" s="2076"/>
      <c r="AD3" s="2184"/>
      <c r="AE3" s="2020"/>
    </row>
    <row r="4" customFormat="1" spans="1:31">
      <c r="A4" s="1941"/>
      <c r="B4" s="2076" t="s">
        <v>53</v>
      </c>
      <c r="C4" s="2020"/>
      <c r="D4" s="2190" t="s">
        <v>446</v>
      </c>
      <c r="E4" s="2195">
        <v>50</v>
      </c>
      <c r="F4" s="2020"/>
      <c r="G4" s="2020"/>
      <c r="H4" s="2264">
        <v>200000</v>
      </c>
      <c r="I4" s="2198"/>
      <c r="J4" s="73"/>
      <c r="K4" s="2097"/>
      <c r="L4" s="2199"/>
      <c r="M4" s="2020"/>
      <c r="N4" s="2020"/>
      <c r="O4" s="2020"/>
      <c r="P4" s="2310"/>
      <c r="Q4" s="2310"/>
      <c r="R4" s="1399"/>
      <c r="S4" s="2310"/>
      <c r="T4" s="2310"/>
      <c r="U4" s="2310"/>
      <c r="V4" s="2310"/>
      <c r="W4" s="2310"/>
      <c r="X4" s="2310"/>
      <c r="Y4" s="2310"/>
      <c r="Z4" s="2310"/>
      <c r="AA4" s="2310"/>
      <c r="AB4" s="2310"/>
      <c r="AC4" s="2076"/>
      <c r="AD4" s="2184"/>
      <c r="AE4" s="2020"/>
    </row>
    <row r="5" customFormat="1" spans="1:31">
      <c r="A5" s="1941"/>
      <c r="B5" s="2076" t="s">
        <v>207</v>
      </c>
      <c r="C5" s="2020"/>
      <c r="D5" s="2190" t="s">
        <v>354</v>
      </c>
      <c r="E5" s="2195">
        <v>25</v>
      </c>
      <c r="F5" s="2020"/>
      <c r="G5" s="2020"/>
      <c r="H5" s="2264">
        <v>250000</v>
      </c>
      <c r="I5" s="2198"/>
      <c r="J5" s="73"/>
      <c r="K5" s="2097"/>
      <c r="L5" s="2199"/>
      <c r="M5" s="2020"/>
      <c r="N5" s="2020"/>
      <c r="O5" s="2020"/>
      <c r="P5" s="2310"/>
      <c r="Q5" s="2310"/>
      <c r="R5" s="1399"/>
      <c r="S5" s="2310"/>
      <c r="T5" s="2310"/>
      <c r="U5" s="2310"/>
      <c r="V5" s="2310"/>
      <c r="W5" s="2310"/>
      <c r="X5" s="2310"/>
      <c r="Y5" s="2310"/>
      <c r="Z5" s="2310"/>
      <c r="AA5" s="2310"/>
      <c r="AB5" s="2310"/>
      <c r="AC5" s="2076"/>
      <c r="AD5" s="2184"/>
      <c r="AE5" s="2020"/>
    </row>
    <row r="6" customFormat="1" spans="1:31">
      <c r="A6" s="1941"/>
      <c r="B6" s="2076" t="s">
        <v>447</v>
      </c>
      <c r="C6" s="2020"/>
      <c r="D6" s="2190" t="s">
        <v>448</v>
      </c>
      <c r="E6" s="2195">
        <v>44</v>
      </c>
      <c r="F6" s="2020"/>
      <c r="G6" s="2020"/>
      <c r="H6" s="2264">
        <v>350000</v>
      </c>
      <c r="I6" s="2198"/>
      <c r="J6" s="73"/>
      <c r="K6" s="2097"/>
      <c r="L6" s="2199"/>
      <c r="M6" s="2020"/>
      <c r="N6" s="2020"/>
      <c r="O6" s="2020"/>
      <c r="P6" s="2310"/>
      <c r="Q6" s="2310"/>
      <c r="R6" s="1399"/>
      <c r="S6" s="2310"/>
      <c r="T6" s="2310"/>
      <c r="U6" s="2310"/>
      <c r="V6" s="2310"/>
      <c r="W6" s="2310"/>
      <c r="X6" s="2310"/>
      <c r="Y6" s="2310"/>
      <c r="Z6" s="2310"/>
      <c r="AA6" s="2310"/>
      <c r="AB6" s="2310"/>
      <c r="AC6" s="2076"/>
      <c r="AD6" s="2184"/>
      <c r="AE6" s="2020"/>
    </row>
    <row r="7" customFormat="1" spans="1:31">
      <c r="A7" s="1941"/>
      <c r="B7" s="2076" t="s">
        <v>145</v>
      </c>
      <c r="C7" s="2020"/>
      <c r="D7" s="2190" t="s">
        <v>354</v>
      </c>
      <c r="E7" s="2195">
        <v>65</v>
      </c>
      <c r="F7" s="2020"/>
      <c r="G7" s="2020"/>
      <c r="H7" s="2264">
        <v>150000</v>
      </c>
      <c r="I7" s="2198"/>
      <c r="J7" s="73"/>
      <c r="K7" s="2097"/>
      <c r="L7" s="2199"/>
      <c r="M7" s="2020"/>
      <c r="N7" s="2020"/>
      <c r="O7" s="2020"/>
      <c r="P7" s="2310"/>
      <c r="Q7" s="2310"/>
      <c r="R7" s="1399"/>
      <c r="S7" s="2310"/>
      <c r="T7" s="2310"/>
      <c r="U7" s="2310"/>
      <c r="V7" s="2310"/>
      <c r="W7" s="2310"/>
      <c r="X7" s="2310"/>
      <c r="Y7" s="2310"/>
      <c r="Z7" s="2310"/>
      <c r="AA7" s="2310"/>
      <c r="AB7" s="2310"/>
      <c r="AC7" s="2076"/>
      <c r="AD7" s="2184"/>
      <c r="AE7" s="2020"/>
    </row>
    <row r="8" s="23" customFormat="1" customHeight="1" spans="1:31">
      <c r="A8" s="1141" t="s">
        <v>209</v>
      </c>
      <c r="B8" s="1141" t="s">
        <v>449</v>
      </c>
      <c r="C8" s="2022" t="s">
        <v>450</v>
      </c>
      <c r="D8" s="2088"/>
      <c r="E8" s="1967"/>
      <c r="F8" s="1946"/>
      <c r="G8" s="1946"/>
      <c r="H8" s="1966">
        <v>250000</v>
      </c>
      <c r="I8" s="2104"/>
      <c r="J8" s="1984"/>
      <c r="K8" s="2272"/>
      <c r="L8" s="1985"/>
      <c r="M8" s="1946"/>
      <c r="N8" s="1946"/>
      <c r="O8" s="1946"/>
      <c r="P8" s="2099"/>
      <c r="Q8" s="2099"/>
      <c r="R8" s="2022"/>
      <c r="S8" s="2099"/>
      <c r="T8" s="2099"/>
      <c r="U8" s="2099"/>
      <c r="V8" s="2099"/>
      <c r="W8" s="2099"/>
      <c r="X8" s="2099"/>
      <c r="Y8" s="2099"/>
      <c r="Z8" s="2099"/>
      <c r="AA8" s="2099"/>
      <c r="AB8" s="2099"/>
      <c r="AC8" s="1141"/>
      <c r="AD8" s="2029"/>
      <c r="AE8" s="1946"/>
    </row>
    <row r="9" s="23" customFormat="1" spans="1:31">
      <c r="A9" s="1141"/>
      <c r="B9" s="1141" t="s">
        <v>451</v>
      </c>
      <c r="C9" s="2022"/>
      <c r="D9" s="2088"/>
      <c r="E9" s="1967"/>
      <c r="F9" s="1946"/>
      <c r="G9" s="1946"/>
      <c r="H9" s="1966">
        <v>860000</v>
      </c>
      <c r="I9" s="2104"/>
      <c r="J9" s="1984"/>
      <c r="K9" s="2272"/>
      <c r="L9" s="1985"/>
      <c r="M9" s="1946"/>
      <c r="N9" s="1946"/>
      <c r="O9" s="1946"/>
      <c r="P9" s="2099"/>
      <c r="Q9" s="2099"/>
      <c r="R9" s="2022"/>
      <c r="S9" s="2099"/>
      <c r="T9" s="2099"/>
      <c r="U9" s="2099"/>
      <c r="V9" s="2099"/>
      <c r="W9" s="2099"/>
      <c r="X9" s="2099"/>
      <c r="Y9" s="2099"/>
      <c r="Z9" s="2099"/>
      <c r="AA9" s="2099"/>
      <c r="AB9" s="2099"/>
      <c r="AC9" s="1141"/>
      <c r="AD9" s="2029"/>
      <c r="AE9" s="1946"/>
    </row>
    <row r="10" s="23" customFormat="1" spans="1:31">
      <c r="A10" s="1141"/>
      <c r="B10" s="2086" t="s">
        <v>452</v>
      </c>
      <c r="C10" s="1946"/>
      <c r="D10" s="2088"/>
      <c r="E10" s="1967"/>
      <c r="F10" s="1946"/>
      <c r="G10" s="1946"/>
      <c r="H10" s="1966">
        <v>250000</v>
      </c>
      <c r="I10" s="2104"/>
      <c r="J10" s="1984"/>
      <c r="K10" s="2272"/>
      <c r="L10" s="1985"/>
      <c r="M10" s="1946"/>
      <c r="N10" s="1946"/>
      <c r="O10" s="1946"/>
      <c r="P10" s="2099"/>
      <c r="Q10" s="2099"/>
      <c r="R10" s="1946"/>
      <c r="S10" s="2099"/>
      <c r="T10" s="2099"/>
      <c r="U10" s="2099"/>
      <c r="V10" s="2099"/>
      <c r="W10" s="2099"/>
      <c r="X10" s="2099"/>
      <c r="Y10" s="2099"/>
      <c r="Z10" s="2099"/>
      <c r="AA10" s="2099"/>
      <c r="AB10" s="2099"/>
      <c r="AC10" s="1141"/>
      <c r="AD10" s="2029"/>
      <c r="AE10" s="1946"/>
    </row>
    <row r="11" s="23" customFormat="1" spans="1:31">
      <c r="A11" s="1141"/>
      <c r="B11" s="2086" t="s">
        <v>453</v>
      </c>
      <c r="C11" s="1946"/>
      <c r="D11" s="2088"/>
      <c r="E11" s="1967"/>
      <c r="F11" s="1946"/>
      <c r="G11" s="1946"/>
      <c r="H11" s="1966">
        <v>250000</v>
      </c>
      <c r="I11" s="2104"/>
      <c r="J11" s="1984"/>
      <c r="K11" s="2272"/>
      <c r="L11" s="1985"/>
      <c r="M11" s="1946"/>
      <c r="N11" s="1946"/>
      <c r="O11" s="1946"/>
      <c r="P11" s="2099"/>
      <c r="Q11" s="2099"/>
      <c r="R11" s="1946"/>
      <c r="S11" s="2099"/>
      <c r="T11" s="2099"/>
      <c r="U11" s="2099"/>
      <c r="V11" s="2099"/>
      <c r="W11" s="2099"/>
      <c r="X11" s="2099"/>
      <c r="Y11" s="2099"/>
      <c r="Z11" s="2099"/>
      <c r="AA11" s="2099"/>
      <c r="AB11" s="2099"/>
      <c r="AC11" s="1141"/>
      <c r="AD11" s="2029"/>
      <c r="AE11" s="1946"/>
    </row>
    <row r="12" s="23" customFormat="1" spans="1:31">
      <c r="A12" s="1141"/>
      <c r="B12" s="2086" t="s">
        <v>454</v>
      </c>
      <c r="C12" s="1946"/>
      <c r="D12" s="2088"/>
      <c r="E12" s="1967"/>
      <c r="F12" s="1946"/>
      <c r="G12" s="1946"/>
      <c r="H12" s="1966">
        <v>250000</v>
      </c>
      <c r="I12" s="2104"/>
      <c r="J12" s="1984"/>
      <c r="K12" s="2272"/>
      <c r="L12" s="1985"/>
      <c r="M12" s="1946"/>
      <c r="N12" s="1946"/>
      <c r="O12" s="1946"/>
      <c r="P12" s="2099"/>
      <c r="Q12" s="2099"/>
      <c r="R12" s="1946"/>
      <c r="S12" s="2099"/>
      <c r="T12" s="2099"/>
      <c r="U12" s="2099"/>
      <c r="V12" s="2099"/>
      <c r="W12" s="2099"/>
      <c r="X12" s="2099"/>
      <c r="Y12" s="2099"/>
      <c r="Z12" s="2099"/>
      <c r="AA12" s="2099"/>
      <c r="AB12" s="2099"/>
      <c r="AC12" s="1141"/>
      <c r="AD12" s="2029"/>
      <c r="AE12" s="1946"/>
    </row>
    <row r="13" s="23" customFormat="1" spans="1:31">
      <c r="A13" s="1141"/>
      <c r="B13" s="1946" t="s">
        <v>455</v>
      </c>
      <c r="C13" s="1946" t="s">
        <v>456</v>
      </c>
      <c r="D13" s="2088"/>
      <c r="E13" s="1967"/>
      <c r="F13" s="1946"/>
      <c r="G13" s="1946"/>
      <c r="H13" s="2127">
        <v>200000</v>
      </c>
      <c r="I13" s="2104"/>
      <c r="J13" s="1984"/>
      <c r="K13" s="2272"/>
      <c r="L13" s="1985"/>
      <c r="M13" s="1946"/>
      <c r="N13" s="1946"/>
      <c r="O13" s="1946"/>
      <c r="P13" s="2099"/>
      <c r="Q13" s="2099"/>
      <c r="R13" s="1946"/>
      <c r="S13" s="2099"/>
      <c r="T13" s="2099"/>
      <c r="U13" s="2099"/>
      <c r="V13" s="2099"/>
      <c r="W13" s="2099"/>
      <c r="X13" s="2099"/>
      <c r="Y13" s="2099"/>
      <c r="Z13" s="2099"/>
      <c r="AA13" s="2099"/>
      <c r="AB13" s="2099"/>
      <c r="AC13" s="1141"/>
      <c r="AD13" s="2029"/>
      <c r="AE13" s="1946"/>
    </row>
    <row r="14" customFormat="1" spans="1:31">
      <c r="A14" s="2170" t="s">
        <v>380</v>
      </c>
      <c r="B14" s="2374" t="s">
        <v>457</v>
      </c>
      <c r="C14" s="2171" t="s">
        <v>458</v>
      </c>
      <c r="D14" s="2375"/>
      <c r="E14" s="2379"/>
      <c r="F14" s="2310"/>
      <c r="G14" s="2175"/>
      <c r="H14" s="2200">
        <v>200000</v>
      </c>
      <c r="I14" s="2198"/>
      <c r="J14" s="73"/>
      <c r="K14" s="2097"/>
      <c r="L14" s="2199"/>
      <c r="M14" s="2033"/>
      <c r="N14" s="259"/>
      <c r="O14" s="2217">
        <v>44301</v>
      </c>
      <c r="P14" s="2310"/>
      <c r="Q14" s="2310"/>
      <c r="R14" s="2318"/>
      <c r="S14" s="2310"/>
      <c r="T14" s="2310"/>
      <c r="U14" s="2310"/>
      <c r="V14" s="2310"/>
      <c r="W14" s="2310"/>
      <c r="X14" s="2310"/>
      <c r="Y14" s="2310"/>
      <c r="Z14" s="2310"/>
      <c r="AA14" s="2310"/>
      <c r="AB14" s="2310"/>
      <c r="AC14" s="2170"/>
      <c r="AD14" s="2220"/>
      <c r="AE14" s="2171"/>
    </row>
    <row r="15" customFormat="1" customHeight="1" spans="1:31">
      <c r="A15" s="1950" t="s">
        <v>343</v>
      </c>
      <c r="B15" s="1950"/>
      <c r="C15" s="1951"/>
      <c r="D15" s="1951"/>
      <c r="E15" s="1968"/>
      <c r="F15" s="1969"/>
      <c r="G15" s="1970"/>
      <c r="H15" s="2380">
        <f>SUM(H3:H14)</f>
        <v>3410000</v>
      </c>
      <c r="I15" s="2381"/>
      <c r="J15" s="2380">
        <v>0</v>
      </c>
      <c r="K15" s="2382">
        <v>0</v>
      </c>
      <c r="L15" s="2382">
        <v>0</v>
      </c>
      <c r="M15" s="2009"/>
      <c r="N15" s="2009"/>
      <c r="O15" s="2009"/>
      <c r="P15" s="2226"/>
      <c r="Q15" s="2226"/>
      <c r="R15" s="523"/>
      <c r="S15" s="2226"/>
      <c r="T15" s="2226"/>
      <c r="U15" s="2226"/>
      <c r="V15" s="2226"/>
      <c r="W15" s="2226"/>
      <c r="X15" s="2226"/>
      <c r="Y15" s="2226"/>
      <c r="Z15" s="2226"/>
      <c r="AA15" s="2226"/>
      <c r="AB15" s="2226"/>
      <c r="AC15" s="1950"/>
      <c r="AD15" s="1951" t="s">
        <v>285</v>
      </c>
      <c r="AE15" s="1951"/>
    </row>
    <row r="16" s="418" customFormat="1" ht="22.85" customHeight="1" spans="1:31">
      <c r="A16" s="1141" t="s">
        <v>331</v>
      </c>
      <c r="B16" s="2173" t="s">
        <v>165</v>
      </c>
      <c r="C16" s="2121"/>
      <c r="D16" s="2121"/>
      <c r="E16" s="245"/>
      <c r="F16" s="2177"/>
      <c r="G16" s="2177"/>
      <c r="H16" s="2127">
        <f>I16*L16</f>
        <v>252614.25</v>
      </c>
      <c r="I16" s="2104">
        <v>6.45</v>
      </c>
      <c r="J16" s="2127"/>
      <c r="K16" s="2127"/>
      <c r="L16" s="2127">
        <v>39165</v>
      </c>
      <c r="M16" s="2012"/>
      <c r="N16" s="2012"/>
      <c r="O16" s="2314" t="s">
        <v>459</v>
      </c>
      <c r="P16" s="44"/>
      <c r="Q16" s="44"/>
      <c r="R16" s="523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2320"/>
      <c r="AD16" s="523"/>
      <c r="AE16" s="523"/>
    </row>
    <row r="17" s="418" customFormat="1" ht="22.85" customHeight="1" spans="1:31">
      <c r="A17" s="1141" t="s">
        <v>331</v>
      </c>
      <c r="B17" s="2173" t="s">
        <v>165</v>
      </c>
      <c r="C17" s="2121" t="s">
        <v>160</v>
      </c>
      <c r="D17" s="2121"/>
      <c r="E17" s="245"/>
      <c r="F17" s="2177"/>
      <c r="G17" s="2177"/>
      <c r="H17" s="2127">
        <f>I17*L17</f>
        <v>221118.9</v>
      </c>
      <c r="I17" s="2104">
        <v>6.45</v>
      </c>
      <c r="J17" s="2127"/>
      <c r="K17" s="2127"/>
      <c r="L17" s="2127">
        <v>34282</v>
      </c>
      <c r="M17" s="2314"/>
      <c r="N17" s="2314"/>
      <c r="O17" s="2314" t="s">
        <v>459</v>
      </c>
      <c r="P17" s="44"/>
      <c r="Q17" s="44"/>
      <c r="R17" s="523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2320"/>
      <c r="AD17" s="523"/>
      <c r="AE17" s="523"/>
    </row>
    <row r="18" s="1933" customFormat="1" ht="23.75" customHeight="1" spans="1:31">
      <c r="A18" s="1141" t="s">
        <v>393</v>
      </c>
      <c r="B18" s="2173" t="s">
        <v>256</v>
      </c>
      <c r="C18" s="2121"/>
      <c r="D18" s="245" t="s">
        <v>460</v>
      </c>
      <c r="E18" s="245"/>
      <c r="F18" s="2177"/>
      <c r="G18" s="2308"/>
      <c r="H18" s="2127">
        <v>215796</v>
      </c>
      <c r="I18" s="2104"/>
      <c r="J18" s="2127"/>
      <c r="K18" s="1984"/>
      <c r="L18" s="1985"/>
      <c r="M18" s="2128"/>
      <c r="N18" s="40"/>
      <c r="O18" s="2314" t="s">
        <v>459</v>
      </c>
      <c r="P18" s="40"/>
      <c r="Q18" s="40"/>
      <c r="R18" s="2023"/>
      <c r="S18" s="2024"/>
      <c r="T18" s="40"/>
      <c r="U18" s="40"/>
      <c r="V18" s="40"/>
      <c r="W18" s="40"/>
      <c r="X18" s="40"/>
      <c r="Y18" s="40"/>
      <c r="Z18" s="40"/>
      <c r="AA18" s="40"/>
      <c r="AB18" s="40"/>
      <c r="AC18" s="664"/>
      <c r="AD18" s="185"/>
      <c r="AE18" s="40"/>
    </row>
    <row r="19" s="1933" customFormat="1" ht="23.75" customHeight="1" spans="1:31">
      <c r="A19" s="1141"/>
      <c r="B19" s="2173" t="s">
        <v>175</v>
      </c>
      <c r="C19" s="2121"/>
      <c r="D19" s="245" t="s">
        <v>461</v>
      </c>
      <c r="E19" s="245"/>
      <c r="F19" s="2177"/>
      <c r="G19" s="2308"/>
      <c r="H19" s="2127">
        <v>314052</v>
      </c>
      <c r="I19" s="2104"/>
      <c r="J19" s="1984"/>
      <c r="K19" s="1984"/>
      <c r="L19" s="1985"/>
      <c r="M19" s="2128"/>
      <c r="N19" s="40"/>
      <c r="O19" s="2314" t="s">
        <v>459</v>
      </c>
      <c r="P19" s="40"/>
      <c r="Q19" s="40"/>
      <c r="R19" s="2023"/>
      <c r="S19" s="2024"/>
      <c r="T19" s="40"/>
      <c r="U19" s="40"/>
      <c r="V19" s="40"/>
      <c r="W19" s="40"/>
      <c r="X19" s="40"/>
      <c r="Y19" s="40"/>
      <c r="Z19" s="40"/>
      <c r="AA19" s="40"/>
      <c r="AB19" s="40"/>
      <c r="AC19" s="664"/>
      <c r="AD19" s="185"/>
      <c r="AE19" s="40"/>
    </row>
    <row r="20" s="11" customFormat="1" ht="23.75" customHeight="1" spans="1:31">
      <c r="A20" s="1141"/>
      <c r="B20" s="1141" t="s">
        <v>172</v>
      </c>
      <c r="C20" s="2121"/>
      <c r="D20" s="2121" t="s">
        <v>462</v>
      </c>
      <c r="E20" s="245"/>
      <c r="F20" s="2177"/>
      <c r="G20" s="2177"/>
      <c r="H20" s="2127">
        <v>139416</v>
      </c>
      <c r="I20" s="2383">
        <v>6.55</v>
      </c>
      <c r="J20" s="2127"/>
      <c r="K20" s="2127"/>
      <c r="L20" s="1985"/>
      <c r="M20" s="2128"/>
      <c r="N20" s="40"/>
      <c r="O20" s="664" t="s">
        <v>463</v>
      </c>
      <c r="P20" s="40"/>
      <c r="Q20" s="40"/>
      <c r="R20" s="2023"/>
      <c r="S20" s="2024"/>
      <c r="T20" s="40"/>
      <c r="U20" s="40"/>
      <c r="V20" s="40"/>
      <c r="W20" s="40"/>
      <c r="X20" s="40"/>
      <c r="Y20" s="40"/>
      <c r="Z20" s="40"/>
      <c r="AA20" s="40"/>
      <c r="AB20" s="40"/>
      <c r="AC20" s="664"/>
      <c r="AD20" s="2128"/>
      <c r="AE20" s="40"/>
    </row>
    <row r="21" s="11" customFormat="1" ht="23.75" customHeight="1" spans="1:31">
      <c r="A21" s="2095" t="s">
        <v>224</v>
      </c>
      <c r="B21" s="1141" t="s">
        <v>464</v>
      </c>
      <c r="C21" s="2121" t="s">
        <v>465</v>
      </c>
      <c r="D21" s="2121" t="s">
        <v>466</v>
      </c>
      <c r="E21" s="245"/>
      <c r="F21" s="2177"/>
      <c r="G21" s="2177"/>
      <c r="H21" s="2127">
        <v>250000</v>
      </c>
      <c r="I21" s="2174"/>
      <c r="J21" s="2174"/>
      <c r="K21" s="2174"/>
      <c r="L21" s="2174"/>
      <c r="M21" s="2174"/>
      <c r="N21" s="2385" t="s">
        <v>228</v>
      </c>
      <c r="O21" s="2133" t="s">
        <v>467</v>
      </c>
      <c r="P21" s="40"/>
      <c r="Q21" s="40"/>
      <c r="R21" s="2023"/>
      <c r="S21" s="2024"/>
      <c r="T21" s="40"/>
      <c r="U21" s="40"/>
      <c r="V21" s="40"/>
      <c r="W21" s="40"/>
      <c r="X21" s="40"/>
      <c r="Y21" s="40"/>
      <c r="Z21" s="40"/>
      <c r="AA21" s="40"/>
      <c r="AB21" s="40"/>
      <c r="AC21" s="664"/>
      <c r="AD21" s="185"/>
      <c r="AE21" s="40"/>
    </row>
    <row r="22" s="11" customFormat="1" ht="23.75" customHeight="1" spans="1:31">
      <c r="A22" s="2095"/>
      <c r="B22" s="1141" t="s">
        <v>468</v>
      </c>
      <c r="C22" s="2121" t="s">
        <v>469</v>
      </c>
      <c r="D22" s="2121" t="s">
        <v>79</v>
      </c>
      <c r="E22" s="245"/>
      <c r="F22" s="2177"/>
      <c r="G22" s="2177"/>
      <c r="H22" s="2127">
        <v>100000</v>
      </c>
      <c r="I22" s="2383"/>
      <c r="J22" s="1984"/>
      <c r="L22" s="1985"/>
      <c r="M22" s="2356">
        <v>44275</v>
      </c>
      <c r="N22" s="2386"/>
      <c r="O22" s="2356" t="s">
        <v>470</v>
      </c>
      <c r="P22" s="40"/>
      <c r="Q22" s="40"/>
      <c r="R22" s="2023"/>
      <c r="S22" s="2024"/>
      <c r="T22" s="40"/>
      <c r="U22" s="40"/>
      <c r="V22" s="40"/>
      <c r="W22" s="40"/>
      <c r="X22" s="40"/>
      <c r="Y22" s="40"/>
      <c r="Z22" s="40"/>
      <c r="AA22" s="40"/>
      <c r="AB22" s="40"/>
      <c r="AC22" s="664"/>
      <c r="AD22" s="185"/>
      <c r="AE22" s="40"/>
    </row>
    <row r="23" customFormat="1" ht="23.75" customHeight="1" spans="1:31">
      <c r="A23" s="2095"/>
      <c r="B23" s="1141" t="s">
        <v>243</v>
      </c>
      <c r="C23" s="2121" t="s">
        <v>471</v>
      </c>
      <c r="D23" s="2260" t="s">
        <v>472</v>
      </c>
      <c r="E23" s="245"/>
      <c r="F23" s="2177"/>
      <c r="G23" s="2177"/>
      <c r="H23" s="2127">
        <v>260000</v>
      </c>
      <c r="I23" s="2174"/>
      <c r="K23" s="2174"/>
      <c r="L23" s="2174"/>
      <c r="M23" s="2174"/>
      <c r="N23" s="2386"/>
      <c r="O23" s="2133" t="s">
        <v>473</v>
      </c>
      <c r="P23" s="2020"/>
      <c r="Q23" s="2020"/>
      <c r="R23" s="2023"/>
      <c r="S23" s="2020"/>
      <c r="T23" s="2020"/>
      <c r="U23" s="2020"/>
      <c r="V23" s="2020"/>
      <c r="W23" s="2020"/>
      <c r="X23" s="2020"/>
      <c r="Y23" s="2020"/>
      <c r="Z23" s="2020"/>
      <c r="AA23" s="2020"/>
      <c r="AB23" s="2020"/>
      <c r="AC23" s="664"/>
      <c r="AD23" s="185" t="s">
        <v>474</v>
      </c>
      <c r="AE23" s="40"/>
    </row>
    <row r="24" customFormat="1" ht="23.75" customHeight="1" spans="1:31">
      <c r="A24" s="2095"/>
      <c r="B24" s="1141" t="s">
        <v>287</v>
      </c>
      <c r="C24" s="2121" t="s">
        <v>475</v>
      </c>
      <c r="D24" s="2260"/>
      <c r="E24" s="245"/>
      <c r="F24" s="2177"/>
      <c r="G24" s="2177"/>
      <c r="H24" s="2127">
        <v>47000</v>
      </c>
      <c r="I24" s="2174"/>
      <c r="J24" s="2127">
        <v>47000</v>
      </c>
      <c r="K24" s="2174"/>
      <c r="L24" s="2174"/>
      <c r="M24" s="2174"/>
      <c r="N24" s="2386"/>
      <c r="O24" s="2133" t="s">
        <v>476</v>
      </c>
      <c r="P24" s="2020"/>
      <c r="Q24" s="2020"/>
      <c r="R24" s="2023"/>
      <c r="S24" s="2020"/>
      <c r="T24" s="2020"/>
      <c r="U24" s="2020"/>
      <c r="V24" s="2020"/>
      <c r="W24" s="2020"/>
      <c r="X24" s="2020"/>
      <c r="Y24" s="2020"/>
      <c r="Z24" s="2020"/>
      <c r="AA24" s="2020"/>
      <c r="AB24" s="2020"/>
      <c r="AC24" s="664"/>
      <c r="AD24" s="185"/>
      <c r="AE24" s="40"/>
    </row>
    <row r="25" customFormat="1" ht="23.75" customHeight="1" spans="1:31">
      <c r="A25" s="2095"/>
      <c r="B25" s="1141" t="s">
        <v>167</v>
      </c>
      <c r="C25" s="2121" t="s">
        <v>477</v>
      </c>
      <c r="D25" s="2260"/>
      <c r="E25" s="245"/>
      <c r="F25" s="2177"/>
      <c r="G25" s="2177"/>
      <c r="H25" s="2127">
        <v>110000</v>
      </c>
      <c r="I25" s="2174"/>
      <c r="J25" s="2127">
        <v>110000</v>
      </c>
      <c r="K25" s="2174"/>
      <c r="L25" s="2174"/>
      <c r="M25" s="2174"/>
      <c r="N25" s="2386"/>
      <c r="O25" s="2133" t="s">
        <v>478</v>
      </c>
      <c r="P25" s="2020"/>
      <c r="Q25" s="2020"/>
      <c r="R25" s="2023"/>
      <c r="S25" s="2020"/>
      <c r="T25" s="2020"/>
      <c r="U25" s="2020"/>
      <c r="V25" s="2020"/>
      <c r="W25" s="2020"/>
      <c r="X25" s="2020"/>
      <c r="Y25" s="2020"/>
      <c r="Z25" s="2020"/>
      <c r="AA25" s="2020"/>
      <c r="AB25" s="2020"/>
      <c r="AC25" s="664"/>
      <c r="AD25" s="185"/>
      <c r="AE25" s="40"/>
    </row>
    <row r="26" customFormat="1" ht="23.75" customHeight="1" spans="1:31">
      <c r="A26" s="2095"/>
      <c r="B26" s="1141" t="s">
        <v>479</v>
      </c>
      <c r="C26" s="2376" t="s">
        <v>480</v>
      </c>
      <c r="D26" s="2376" t="s">
        <v>481</v>
      </c>
      <c r="E26" s="2230"/>
      <c r="F26" s="1998"/>
      <c r="G26" s="1998"/>
      <c r="H26" s="2197">
        <v>280000</v>
      </c>
      <c r="I26" s="2384"/>
      <c r="J26" s="2197">
        <v>280000</v>
      </c>
      <c r="K26" s="2174">
        <f>J26*0.7</f>
        <v>196000</v>
      </c>
      <c r="L26" s="2174"/>
      <c r="M26" s="2174"/>
      <c r="N26" s="2387"/>
      <c r="O26" s="2133"/>
      <c r="P26" s="2020"/>
      <c r="Q26" s="2020"/>
      <c r="R26" s="2023"/>
      <c r="S26" s="2020"/>
      <c r="T26" s="2020"/>
      <c r="U26" s="2020"/>
      <c r="V26" s="2020"/>
      <c r="W26" s="2020"/>
      <c r="X26" s="2020"/>
      <c r="Y26" s="2020"/>
      <c r="Z26" s="2020"/>
      <c r="AA26" s="2020"/>
      <c r="AB26" s="2020"/>
      <c r="AC26" s="664"/>
      <c r="AD26" s="185"/>
      <c r="AE26" s="40"/>
    </row>
    <row r="27" customFormat="1" ht="23.75" customHeight="1" spans="1:31">
      <c r="A27" s="2095"/>
      <c r="B27" s="2169" t="s">
        <v>408</v>
      </c>
      <c r="C27" s="2377" t="s">
        <v>482</v>
      </c>
      <c r="D27" s="2321" t="s">
        <v>483</v>
      </c>
      <c r="E27" s="2322">
        <v>52</v>
      </c>
      <c r="F27" s="2323">
        <v>248</v>
      </c>
      <c r="G27" s="2349">
        <v>12896</v>
      </c>
      <c r="H27" s="2127">
        <f>G27*6.46</f>
        <v>83308.16</v>
      </c>
      <c r="I27" s="2353"/>
      <c r="J27" s="2126"/>
      <c r="K27" s="2127"/>
      <c r="L27" s="1985"/>
      <c r="M27" s="2356"/>
      <c r="N27" s="2388" t="s">
        <v>484</v>
      </c>
      <c r="O27" s="2353">
        <v>44308</v>
      </c>
      <c r="P27" s="2020"/>
      <c r="Q27" s="2020"/>
      <c r="R27" s="2023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664"/>
      <c r="AD27" s="185"/>
      <c r="AE27" s="40"/>
    </row>
    <row r="28" customFormat="1" ht="23.75" customHeight="1" spans="1:31">
      <c r="A28" s="2095"/>
      <c r="B28" s="2123"/>
      <c r="C28" s="2378"/>
      <c r="D28" s="2321" t="s">
        <v>485</v>
      </c>
      <c r="E28" s="2322">
        <v>60</v>
      </c>
      <c r="F28" s="2323">
        <v>230</v>
      </c>
      <c r="G28" s="2349">
        <v>13800</v>
      </c>
      <c r="H28" s="2127">
        <f>G28*6.46</f>
        <v>89148</v>
      </c>
      <c r="I28" s="2353"/>
      <c r="J28" s="2126"/>
      <c r="K28" s="2127"/>
      <c r="L28" s="1985"/>
      <c r="M28" s="2356"/>
      <c r="N28" s="2388"/>
      <c r="O28" s="2353">
        <v>44308</v>
      </c>
      <c r="P28" s="2020"/>
      <c r="Q28" s="2020"/>
      <c r="R28" s="2023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664"/>
      <c r="AD28" s="185"/>
      <c r="AE28" s="40"/>
    </row>
    <row r="29" customFormat="1" ht="23.75" customHeight="1" spans="1:31">
      <c r="A29" s="2095"/>
      <c r="B29" s="2221"/>
      <c r="C29" s="2209"/>
      <c r="D29" s="2321" t="s">
        <v>486</v>
      </c>
      <c r="E29" s="2322">
        <v>5</v>
      </c>
      <c r="F29" s="2323">
        <v>525</v>
      </c>
      <c r="G29" s="2349">
        <f>E29*F29</f>
        <v>2625</v>
      </c>
      <c r="H29" s="2127">
        <f>G29*6.45</f>
        <v>16931.25</v>
      </c>
      <c r="I29" s="2127"/>
      <c r="J29" s="2126"/>
      <c r="K29" s="2127"/>
      <c r="L29" s="1985"/>
      <c r="M29" s="2356"/>
      <c r="N29" s="2388"/>
      <c r="O29" s="2353"/>
      <c r="P29" s="2020"/>
      <c r="Q29" s="2020"/>
      <c r="R29" s="2023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664"/>
      <c r="AD29" s="185"/>
      <c r="AE29" s="40"/>
    </row>
    <row r="30" ht="27.5" customHeight="1" spans="1:31">
      <c r="A30" s="1956" t="s">
        <v>67</v>
      </c>
      <c r="B30" s="1956"/>
      <c r="C30" s="1951"/>
      <c r="D30" s="1951"/>
      <c r="E30" s="1973"/>
      <c r="F30" s="1974"/>
      <c r="G30" s="1974"/>
      <c r="H30" s="1975">
        <f>SUM(H16:H29)</f>
        <v>2379384.56</v>
      </c>
      <c r="I30" s="1974"/>
      <c r="J30" s="1998"/>
      <c r="K30" s="99">
        <v>500000</v>
      </c>
      <c r="L30" s="99"/>
      <c r="M30" s="185"/>
      <c r="N30" s="185"/>
      <c r="O30" s="185"/>
      <c r="P30" s="40"/>
      <c r="Q30" s="40"/>
      <c r="R30" s="523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1956"/>
      <c r="AD30" s="1951" t="s">
        <v>293</v>
      </c>
      <c r="AE30" s="1951"/>
    </row>
    <row r="31" ht="17.25" spans="1:31">
      <c r="A31" s="1958" t="s">
        <v>270</v>
      </c>
      <c r="B31" s="1959" t="s">
        <v>299</v>
      </c>
      <c r="C31" s="1883" t="s">
        <v>487</v>
      </c>
      <c r="D31" s="819" t="s">
        <v>348</v>
      </c>
      <c r="E31" s="1976">
        <v>91</v>
      </c>
      <c r="F31" s="1545">
        <v>361</v>
      </c>
      <c r="G31" s="1545"/>
      <c r="H31" s="1977">
        <f>E31*F31*I31</f>
        <v>215449.9984</v>
      </c>
      <c r="I31" s="1992">
        <v>6.5584</v>
      </c>
      <c r="J31" s="259"/>
      <c r="K31" s="259"/>
      <c r="L31" s="259"/>
      <c r="M31" s="2017"/>
      <c r="N31" s="2018"/>
      <c r="O31" s="2020"/>
      <c r="P31" s="2020"/>
      <c r="Q31" s="2020"/>
      <c r="R31" s="2025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31"/>
      <c r="AD31" s="259"/>
      <c r="AE31" s="259"/>
    </row>
    <row r="32" ht="17.25" spans="1:31">
      <c r="A32" s="1958"/>
      <c r="B32" s="1959" t="s">
        <v>299</v>
      </c>
      <c r="C32" s="1883" t="s">
        <v>488</v>
      </c>
      <c r="D32" s="819" t="s">
        <v>348</v>
      </c>
      <c r="E32" s="1976">
        <v>91</v>
      </c>
      <c r="F32" s="1545">
        <v>361</v>
      </c>
      <c r="G32" s="1545"/>
      <c r="H32" s="1977">
        <f>E32*F32*I32</f>
        <v>215449.9984</v>
      </c>
      <c r="I32" s="1992">
        <v>6.5584</v>
      </c>
      <c r="J32" s="259"/>
      <c r="K32" s="259"/>
      <c r="L32" s="259"/>
      <c r="M32" s="2017"/>
      <c r="N32" s="2018"/>
      <c r="O32" s="2020"/>
      <c r="P32" s="2020"/>
      <c r="Q32" s="2020"/>
      <c r="R32" s="2025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31"/>
      <c r="AD32" s="259"/>
      <c r="AE32" s="259"/>
    </row>
    <row r="33" ht="17.25" spans="1:31">
      <c r="A33" s="1958"/>
      <c r="B33" s="1959" t="s">
        <v>299</v>
      </c>
      <c r="C33" s="1883" t="s">
        <v>489</v>
      </c>
      <c r="D33" s="819" t="s">
        <v>348</v>
      </c>
      <c r="E33" s="1976">
        <v>91</v>
      </c>
      <c r="F33" s="1545">
        <v>361</v>
      </c>
      <c r="G33" s="1545"/>
      <c r="H33" s="1977">
        <f>E33*F33*I33</f>
        <v>215449.9984</v>
      </c>
      <c r="I33" s="1992">
        <v>6.5584</v>
      </c>
      <c r="J33" s="259"/>
      <c r="K33" s="259"/>
      <c r="L33" s="259"/>
      <c r="M33" s="2017"/>
      <c r="N33" s="2018"/>
      <c r="O33" s="2020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31"/>
      <c r="AD33" s="259"/>
      <c r="AE33" s="259"/>
    </row>
    <row r="34" ht="17.25" spans="1:31">
      <c r="A34" s="1958"/>
      <c r="B34" s="1959" t="s">
        <v>299</v>
      </c>
      <c r="C34" s="1883" t="s">
        <v>490</v>
      </c>
      <c r="D34" s="819" t="s">
        <v>348</v>
      </c>
      <c r="E34" s="1976">
        <v>91</v>
      </c>
      <c r="F34" s="1545">
        <v>361</v>
      </c>
      <c r="G34" s="1545"/>
      <c r="H34" s="1977">
        <f>E34*F34*I34</f>
        <v>215449.9984</v>
      </c>
      <c r="I34" s="1992">
        <v>6.5584</v>
      </c>
      <c r="J34" s="259"/>
      <c r="K34" s="532">
        <f>SUM(H31:H35)</f>
        <v>1128438.304</v>
      </c>
      <c r="L34" s="259"/>
      <c r="M34" s="2017"/>
      <c r="N34" s="2018"/>
      <c r="O34" s="2020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31"/>
      <c r="AD34" s="259"/>
      <c r="AE34" s="259"/>
    </row>
    <row r="35" ht="17.25" spans="1:31">
      <c r="A35" s="1958"/>
      <c r="B35" s="1959" t="s">
        <v>299</v>
      </c>
      <c r="C35" s="1883" t="s">
        <v>491</v>
      </c>
      <c r="D35" s="819" t="s">
        <v>427</v>
      </c>
      <c r="E35" s="1976">
        <v>168</v>
      </c>
      <c r="F35" s="1545">
        <v>242</v>
      </c>
      <c r="G35" s="1545"/>
      <c r="H35" s="1977">
        <f>E35*F35*I35</f>
        <v>266638.3104</v>
      </c>
      <c r="I35" s="1992">
        <v>6.5584</v>
      </c>
      <c r="J35" s="2369"/>
      <c r="K35" s="2326"/>
      <c r="L35" s="2243"/>
      <c r="M35" s="2020"/>
      <c r="N35" s="2018"/>
      <c r="O35" s="2020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31"/>
      <c r="AD35" s="2034"/>
      <c r="AE35" s="2020"/>
    </row>
    <row r="36" ht="17.25" spans="1:31">
      <c r="A36" s="1958"/>
      <c r="B36" s="1959"/>
      <c r="C36" s="2225"/>
      <c r="D36" s="819"/>
      <c r="E36" s="1976"/>
      <c r="F36" s="1545"/>
      <c r="G36" s="1545"/>
      <c r="H36" s="1977"/>
      <c r="I36" s="1992"/>
      <c r="J36" s="2369"/>
      <c r="K36" s="2326"/>
      <c r="L36" s="2243"/>
      <c r="M36" s="2369"/>
      <c r="N36" s="2018"/>
      <c r="O36" s="2020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31"/>
      <c r="AD36" s="2034"/>
      <c r="AE36" s="2020"/>
    </row>
    <row r="37" ht="17.25" spans="1:31">
      <c r="A37" s="1958"/>
      <c r="B37" s="1959" t="s">
        <v>133</v>
      </c>
      <c r="C37" s="1883" t="s">
        <v>492</v>
      </c>
      <c r="D37" s="819" t="s">
        <v>399</v>
      </c>
      <c r="E37" s="1976">
        <v>1</v>
      </c>
      <c r="F37" s="2234">
        <v>29540</v>
      </c>
      <c r="G37" s="1545"/>
      <c r="H37" s="1977">
        <f>E37*F37*I37</f>
        <v>193735.136</v>
      </c>
      <c r="I37" s="1992">
        <v>6.5584</v>
      </c>
      <c r="J37" s="2369"/>
      <c r="K37" s="2326">
        <f>SUM(H37:H40)</f>
        <v>514355.6368</v>
      </c>
      <c r="L37" s="2243"/>
      <c r="M37" s="2369"/>
      <c r="N37" s="2018"/>
      <c r="O37" s="2020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31"/>
      <c r="AD37" s="2034"/>
      <c r="AE37" s="2020"/>
    </row>
    <row r="38" ht="17.25" spans="1:31">
      <c r="A38" s="1958"/>
      <c r="B38" s="1959" t="s">
        <v>133</v>
      </c>
      <c r="C38" s="1883" t="s">
        <v>493</v>
      </c>
      <c r="D38" s="819" t="s">
        <v>494</v>
      </c>
      <c r="E38" s="1976"/>
      <c r="F38" s="2234">
        <v>26110</v>
      </c>
      <c r="G38" s="1545"/>
      <c r="H38" s="1977">
        <f>I38*F38</f>
        <v>171239.824</v>
      </c>
      <c r="I38" s="1992">
        <v>6.5584</v>
      </c>
      <c r="J38" s="2369"/>
      <c r="K38" s="2326"/>
      <c r="L38" s="2243"/>
      <c r="M38" s="2369"/>
      <c r="N38" s="2018"/>
      <c r="O38" s="2020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31"/>
      <c r="AD38" s="2034"/>
      <c r="AE38" s="2020"/>
    </row>
    <row r="39" ht="17.25" spans="1:31">
      <c r="A39" s="1958"/>
      <c r="B39" s="1959"/>
      <c r="C39" s="2225"/>
      <c r="D39" s="819"/>
      <c r="E39" s="1976"/>
      <c r="F39" s="2234"/>
      <c r="G39" s="1545"/>
      <c r="H39" s="1977"/>
      <c r="I39" s="1992"/>
      <c r="J39" s="2369"/>
      <c r="K39" s="2326"/>
      <c r="L39" s="2243"/>
      <c r="M39" s="2369"/>
      <c r="N39" s="2018"/>
      <c r="O39" s="2020"/>
      <c r="P39" s="2020"/>
      <c r="Q39" s="2020"/>
      <c r="R39" s="2025"/>
      <c r="S39" s="2020"/>
      <c r="T39" s="2020"/>
      <c r="U39" s="2020"/>
      <c r="V39" s="2020"/>
      <c r="W39" s="2020"/>
      <c r="X39" s="2020"/>
      <c r="Y39" s="2020"/>
      <c r="Z39" s="2020"/>
      <c r="AA39" s="2020"/>
      <c r="AB39" s="2020"/>
      <c r="AC39" s="2031"/>
      <c r="AD39" s="2034"/>
      <c r="AE39" s="2020"/>
    </row>
    <row r="40" ht="17.25" spans="1:31">
      <c r="A40" s="1958"/>
      <c r="B40" s="1959" t="s">
        <v>274</v>
      </c>
      <c r="C40" s="1883" t="s">
        <v>495</v>
      </c>
      <c r="D40" s="819"/>
      <c r="E40" s="1976"/>
      <c r="F40" s="2234">
        <v>22777</v>
      </c>
      <c r="G40" s="1545"/>
      <c r="H40" s="1977">
        <f>I40*F40</f>
        <v>149380.6768</v>
      </c>
      <c r="I40" s="1992">
        <v>6.5584</v>
      </c>
      <c r="J40" s="2369"/>
      <c r="K40" s="2326"/>
      <c r="L40" s="2243"/>
      <c r="M40" s="2369"/>
      <c r="N40" s="2018"/>
      <c r="O40" s="2020"/>
      <c r="P40" s="2020"/>
      <c r="Q40" s="2020"/>
      <c r="R40" s="2025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031"/>
      <c r="AD40" s="2034"/>
      <c r="AE40" s="2020"/>
    </row>
    <row r="41" ht="17.25" spans="1:31">
      <c r="A41" s="1958"/>
      <c r="B41" s="1959"/>
      <c r="C41" s="2225"/>
      <c r="D41" s="819"/>
      <c r="E41" s="1976"/>
      <c r="F41" s="2234"/>
      <c r="G41" s="1545"/>
      <c r="H41" s="1977"/>
      <c r="I41" s="1992"/>
      <c r="J41" s="2369"/>
      <c r="K41" s="2326"/>
      <c r="L41" s="2243"/>
      <c r="M41" s="2020"/>
      <c r="N41" s="2018"/>
      <c r="O41" s="2020"/>
      <c r="P41" s="2020"/>
      <c r="Q41" s="2020"/>
      <c r="R41" s="2025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31"/>
      <c r="AD41" s="2034"/>
      <c r="AE41" s="2020"/>
    </row>
    <row r="42" ht="17.25" spans="1:31">
      <c r="A42" s="2226"/>
      <c r="B42" s="1959"/>
      <c r="C42" s="2225"/>
      <c r="D42" s="819"/>
      <c r="E42" s="1976"/>
      <c r="F42" s="2234"/>
      <c r="G42" s="1545"/>
      <c r="H42" s="1977"/>
      <c r="I42" s="1992"/>
      <c r="J42" s="2369"/>
      <c r="K42" s="2326"/>
      <c r="L42" s="2243"/>
      <c r="M42" s="2020"/>
      <c r="N42" s="2018"/>
      <c r="O42" s="2020"/>
      <c r="P42" s="2020"/>
      <c r="Q42" s="2020"/>
      <c r="R42" s="2025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31"/>
      <c r="AD42" s="2034"/>
      <c r="AE42" s="2020"/>
    </row>
    <row r="43" ht="17.25" spans="1:31">
      <c r="A43" s="2011"/>
      <c r="B43" s="1959"/>
      <c r="C43" s="2225"/>
      <c r="D43" s="819"/>
      <c r="E43" s="2270"/>
      <c r="F43" s="2234"/>
      <c r="G43" s="1545"/>
      <c r="H43" s="1977"/>
      <c r="I43" s="1992"/>
      <c r="J43" s="2369"/>
      <c r="K43" s="2326"/>
      <c r="L43" s="2243"/>
      <c r="M43" s="2018"/>
      <c r="N43" s="2018"/>
      <c r="O43" s="2020"/>
      <c r="P43" s="2020"/>
      <c r="Q43" s="2020"/>
      <c r="R43" s="2025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31"/>
      <c r="AD43" s="2034"/>
      <c r="AE43" s="2020"/>
    </row>
    <row r="44" ht="17.25" spans="1:31">
      <c r="A44" s="2011" t="s">
        <v>220</v>
      </c>
      <c r="B44" s="2361" t="s">
        <v>355</v>
      </c>
      <c r="C44" s="1883" t="s">
        <v>496</v>
      </c>
      <c r="D44" s="648" t="s">
        <v>497</v>
      </c>
      <c r="E44" s="2254">
        <v>22</v>
      </c>
      <c r="F44" s="2392">
        <v>910</v>
      </c>
      <c r="G44" s="2368"/>
      <c r="H44" s="2047">
        <f t="shared" ref="H44:H49" si="0">E44*F44*I44</f>
        <v>131299.168</v>
      </c>
      <c r="I44" s="1992">
        <v>6.5584</v>
      </c>
      <c r="J44" s="2373"/>
      <c r="K44" s="2064">
        <f>SUM(H44:H48)</f>
        <v>662057.3632</v>
      </c>
      <c r="L44" s="2065"/>
      <c r="M44" s="2020"/>
      <c r="N44" s="2018"/>
      <c r="O44" s="2020"/>
      <c r="P44" s="2020"/>
      <c r="Q44" s="2020"/>
      <c r="R44" s="2395">
        <v>44287</v>
      </c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332"/>
      <c r="AD44" s="2333"/>
      <c r="AE44" s="2334"/>
    </row>
    <row r="45" ht="17.25" spans="1:31">
      <c r="A45" s="2011"/>
      <c r="B45" s="2361" t="s">
        <v>355</v>
      </c>
      <c r="C45" s="1883" t="s">
        <v>496</v>
      </c>
      <c r="D45" s="2389" t="s">
        <v>498</v>
      </c>
      <c r="E45" s="2254">
        <v>48</v>
      </c>
      <c r="F45" s="2392">
        <v>734</v>
      </c>
      <c r="G45" s="2368"/>
      <c r="H45" s="2047">
        <f t="shared" si="0"/>
        <v>231065.5488</v>
      </c>
      <c r="I45" s="1992">
        <v>6.5584</v>
      </c>
      <c r="J45" s="2373"/>
      <c r="K45" s="2064">
        <f>SUM(H50:H53)</f>
        <v>272055.5488</v>
      </c>
      <c r="L45" s="2065"/>
      <c r="M45" s="2020"/>
      <c r="N45" s="2018"/>
      <c r="O45" s="2020"/>
      <c r="P45" s="2020"/>
      <c r="Q45" s="2020"/>
      <c r="R45" s="2396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332"/>
      <c r="AD45" s="2333"/>
      <c r="AE45" s="2334"/>
    </row>
    <row r="46" ht="17.25" spans="1:31">
      <c r="A46" s="2011"/>
      <c r="B46" s="2361" t="s">
        <v>355</v>
      </c>
      <c r="C46" s="1883" t="s">
        <v>496</v>
      </c>
      <c r="D46" s="2389" t="s">
        <v>499</v>
      </c>
      <c r="E46" s="2254">
        <v>44</v>
      </c>
      <c r="F46" s="2392">
        <v>734</v>
      </c>
      <c r="G46" s="2368"/>
      <c r="H46" s="2047">
        <f t="shared" si="0"/>
        <v>211810.0864</v>
      </c>
      <c r="I46" s="1992">
        <v>6.5584</v>
      </c>
      <c r="J46" s="2373"/>
      <c r="K46" s="2064"/>
      <c r="L46" s="2065"/>
      <c r="M46" s="2020"/>
      <c r="N46" s="2018"/>
      <c r="O46" s="2020"/>
      <c r="P46" s="2020"/>
      <c r="Q46" s="2020"/>
      <c r="R46" s="2396"/>
      <c r="S46" s="2020"/>
      <c r="T46" s="2020"/>
      <c r="U46" s="2020"/>
      <c r="V46" s="2020"/>
      <c r="W46" s="2020"/>
      <c r="X46" s="2020"/>
      <c r="Y46" s="2020"/>
      <c r="Z46" s="2020"/>
      <c r="AA46" s="2020"/>
      <c r="AB46" s="2020"/>
      <c r="AC46" s="2332"/>
      <c r="AD46" s="2333"/>
      <c r="AE46" s="2334"/>
    </row>
    <row r="47" ht="17.25" spans="1:31">
      <c r="A47" s="2011"/>
      <c r="B47" s="2361" t="s">
        <v>355</v>
      </c>
      <c r="C47" s="1883" t="s">
        <v>496</v>
      </c>
      <c r="D47" s="648" t="s">
        <v>500</v>
      </c>
      <c r="E47" s="2254">
        <v>8</v>
      </c>
      <c r="F47" s="2364">
        <v>450</v>
      </c>
      <c r="G47" s="2368"/>
      <c r="H47" s="2047">
        <f t="shared" si="0"/>
        <v>23610.24</v>
      </c>
      <c r="I47" s="1992">
        <v>6.5584</v>
      </c>
      <c r="J47" s="2373"/>
      <c r="K47" s="2064"/>
      <c r="L47" s="2065">
        <f>SUM(H44:H53)</f>
        <v>1179777.4592</v>
      </c>
      <c r="M47" s="2020"/>
      <c r="N47" s="2018"/>
      <c r="O47" s="2020"/>
      <c r="P47" s="2020"/>
      <c r="Q47" s="2020"/>
      <c r="R47" s="2396"/>
      <c r="S47" s="2020"/>
      <c r="T47" s="2020"/>
      <c r="U47" s="2020"/>
      <c r="V47" s="2020"/>
      <c r="W47" s="2020"/>
      <c r="X47" s="2020"/>
      <c r="Y47" s="2020"/>
      <c r="Z47" s="2020"/>
      <c r="AA47" s="2020"/>
      <c r="AB47" s="2020"/>
      <c r="AC47" s="2332"/>
      <c r="AD47" s="2333"/>
      <c r="AE47" s="2334"/>
    </row>
    <row r="48" ht="17.25" spans="1:31">
      <c r="A48" s="2011"/>
      <c r="B48" s="2361" t="s">
        <v>355</v>
      </c>
      <c r="C48" s="1883" t="s">
        <v>496</v>
      </c>
      <c r="D48" s="648" t="s">
        <v>501</v>
      </c>
      <c r="E48" s="2254">
        <v>28</v>
      </c>
      <c r="F48" s="2364">
        <v>350</v>
      </c>
      <c r="G48" s="2368"/>
      <c r="H48" s="2047">
        <f t="shared" si="0"/>
        <v>64272.32</v>
      </c>
      <c r="I48" s="1992">
        <v>6.5584</v>
      </c>
      <c r="J48" s="2373"/>
      <c r="K48" s="2064"/>
      <c r="L48" s="2065"/>
      <c r="M48" s="2020"/>
      <c r="N48" s="2018"/>
      <c r="O48" s="2020"/>
      <c r="P48" s="2020"/>
      <c r="Q48" s="2020"/>
      <c r="R48" s="2397"/>
      <c r="S48" s="2020"/>
      <c r="T48" s="2020"/>
      <c r="U48" s="2020"/>
      <c r="V48" s="2020"/>
      <c r="W48" s="2020"/>
      <c r="X48" s="2020"/>
      <c r="Y48" s="2020"/>
      <c r="Z48" s="2020"/>
      <c r="AA48" s="2020"/>
      <c r="AB48" s="2020"/>
      <c r="AC48" s="2332"/>
      <c r="AD48" s="2333"/>
      <c r="AE48" s="2334"/>
    </row>
    <row r="49" ht="17.25" spans="1:31">
      <c r="A49" s="2011"/>
      <c r="B49" s="2361" t="s">
        <v>267</v>
      </c>
      <c r="C49" s="1883" t="s">
        <v>502</v>
      </c>
      <c r="D49" s="1573"/>
      <c r="E49" s="1976">
        <v>1</v>
      </c>
      <c r="F49" s="2364">
        <v>37458</v>
      </c>
      <c r="G49" s="2368"/>
      <c r="H49" s="2047">
        <f t="shared" si="0"/>
        <v>245664.5472</v>
      </c>
      <c r="I49" s="1992">
        <v>6.5584</v>
      </c>
      <c r="J49" s="2373"/>
      <c r="K49" s="2064"/>
      <c r="L49" s="2065"/>
      <c r="M49" s="2020"/>
      <c r="N49" s="2018"/>
      <c r="O49" s="2020"/>
      <c r="P49" s="2020"/>
      <c r="Q49" s="2020"/>
      <c r="R49" s="2398">
        <v>44287</v>
      </c>
      <c r="S49" s="2020"/>
      <c r="T49" s="2020"/>
      <c r="U49" s="2020"/>
      <c r="V49" s="2020"/>
      <c r="W49" s="2020"/>
      <c r="X49" s="2020"/>
      <c r="Y49" s="2020"/>
      <c r="Z49" s="2020"/>
      <c r="AA49" s="2020"/>
      <c r="AB49" s="2020"/>
      <c r="AC49" s="2332"/>
      <c r="AD49" s="2333"/>
      <c r="AE49" s="2334"/>
    </row>
    <row r="50" ht="17.25" spans="1:31">
      <c r="A50" s="2011"/>
      <c r="B50" s="2361" t="s">
        <v>503</v>
      </c>
      <c r="C50" s="1883" t="s">
        <v>504</v>
      </c>
      <c r="D50" s="692" t="s">
        <v>505</v>
      </c>
      <c r="E50" s="2254">
        <v>20</v>
      </c>
      <c r="F50" s="2393">
        <v>390</v>
      </c>
      <c r="G50" s="2368"/>
      <c r="H50" s="2047">
        <f t="shared" ref="H50:H53" si="1">E50*F50*I50</f>
        <v>51155.52</v>
      </c>
      <c r="I50" s="1992">
        <v>6.5584</v>
      </c>
      <c r="J50" s="2369"/>
      <c r="K50" s="2326"/>
      <c r="L50" s="2243"/>
      <c r="M50" s="2020"/>
      <c r="N50" s="2071"/>
      <c r="O50" s="2020"/>
      <c r="P50" s="2020"/>
      <c r="Q50" s="2399"/>
      <c r="R50" s="2400">
        <v>44288</v>
      </c>
      <c r="S50" s="2020"/>
      <c r="T50" s="2020"/>
      <c r="U50" s="2020"/>
      <c r="V50" s="2020"/>
      <c r="W50" s="2020"/>
      <c r="X50" s="2020"/>
      <c r="Y50" s="2020"/>
      <c r="Z50" s="2020"/>
      <c r="AA50" s="2020"/>
      <c r="AB50" s="2020"/>
      <c r="AC50" s="2075"/>
      <c r="AD50" s="2333"/>
      <c r="AE50" s="2033"/>
    </row>
    <row r="51" ht="17.25" spans="1:31">
      <c r="A51" s="2011"/>
      <c r="B51" s="2361" t="s">
        <v>503</v>
      </c>
      <c r="C51" s="1883" t="s">
        <v>504</v>
      </c>
      <c r="D51" s="648" t="s">
        <v>506</v>
      </c>
      <c r="E51" s="2254">
        <v>9</v>
      </c>
      <c r="F51" s="2393">
        <v>798</v>
      </c>
      <c r="G51" s="2368"/>
      <c r="H51" s="2047">
        <f t="shared" si="1"/>
        <v>47102.4288</v>
      </c>
      <c r="I51" s="1992">
        <v>6.5584</v>
      </c>
      <c r="J51" s="2373"/>
      <c r="K51" s="2064"/>
      <c r="L51" s="2065"/>
      <c r="M51" s="2020"/>
      <c r="N51" s="2394"/>
      <c r="O51" s="2020"/>
      <c r="P51" s="2020"/>
      <c r="Q51" s="2399"/>
      <c r="R51" s="2396"/>
      <c r="S51" s="2020"/>
      <c r="T51" s="2020"/>
      <c r="U51" s="2020"/>
      <c r="V51" s="2020"/>
      <c r="W51" s="2020"/>
      <c r="X51" s="2020"/>
      <c r="Y51" s="2020"/>
      <c r="Z51" s="2020"/>
      <c r="AA51" s="2020"/>
      <c r="AB51" s="2020"/>
      <c r="AC51" s="2332"/>
      <c r="AD51" s="2333"/>
      <c r="AE51" s="2334"/>
    </row>
    <row r="52" ht="17.25" spans="1:31">
      <c r="A52" s="2011"/>
      <c r="B52" s="2361" t="s">
        <v>503</v>
      </c>
      <c r="C52" s="1883" t="s">
        <v>504</v>
      </c>
      <c r="D52" s="692" t="s">
        <v>507</v>
      </c>
      <c r="E52" s="2254">
        <v>20</v>
      </c>
      <c r="F52" s="2393">
        <v>500</v>
      </c>
      <c r="G52" s="2368"/>
      <c r="H52" s="2047">
        <f t="shared" si="1"/>
        <v>65584</v>
      </c>
      <c r="I52" s="1992">
        <v>6.5584</v>
      </c>
      <c r="J52" s="2373"/>
      <c r="K52" s="2064"/>
      <c r="L52" s="2065"/>
      <c r="M52" s="2020"/>
      <c r="N52" s="2071"/>
      <c r="O52" s="2020"/>
      <c r="P52" s="2020"/>
      <c r="Q52" s="2399"/>
      <c r="R52" s="2396"/>
      <c r="S52" s="2020"/>
      <c r="T52" s="2020"/>
      <c r="U52" s="2020"/>
      <c r="V52" s="2020"/>
      <c r="W52" s="2020"/>
      <c r="X52" s="2020"/>
      <c r="Y52" s="2020"/>
      <c r="Z52" s="2020"/>
      <c r="AA52" s="2020"/>
      <c r="AB52" s="2020"/>
      <c r="AC52" s="2332"/>
      <c r="AD52" s="2333"/>
      <c r="AE52" s="2334"/>
    </row>
    <row r="53" ht="17.25" spans="1:31">
      <c r="A53" s="2011"/>
      <c r="B53" s="2361" t="s">
        <v>503</v>
      </c>
      <c r="C53" s="1883" t="s">
        <v>504</v>
      </c>
      <c r="D53" s="648" t="s">
        <v>508</v>
      </c>
      <c r="E53" s="2254">
        <v>15</v>
      </c>
      <c r="F53" s="2393">
        <v>1100</v>
      </c>
      <c r="G53" s="2368"/>
      <c r="H53" s="2047">
        <f t="shared" si="1"/>
        <v>108213.6</v>
      </c>
      <c r="I53" s="1992">
        <v>6.5584</v>
      </c>
      <c r="J53" s="2373"/>
      <c r="K53" s="2064"/>
      <c r="L53" s="2065"/>
      <c r="M53" s="2020"/>
      <c r="N53" s="2071"/>
      <c r="O53" s="2020"/>
      <c r="P53" s="2020"/>
      <c r="Q53" s="2399"/>
      <c r="R53" s="2397"/>
      <c r="S53" s="2020"/>
      <c r="T53" s="2020"/>
      <c r="U53" s="2020"/>
      <c r="V53" s="2020"/>
      <c r="W53" s="2020"/>
      <c r="X53" s="2020"/>
      <c r="Y53" s="2020"/>
      <c r="Z53" s="2020"/>
      <c r="AA53" s="2020"/>
      <c r="AB53" s="2020"/>
      <c r="AC53" s="2332"/>
      <c r="AD53" s="2333"/>
      <c r="AE53" s="2334"/>
    </row>
    <row r="54" ht="17.25" spans="1:31">
      <c r="A54" s="2153"/>
      <c r="B54" s="2390"/>
      <c r="C54" s="1303"/>
      <c r="D54" s="648"/>
      <c r="E54" s="2254"/>
      <c r="F54" s="2364"/>
      <c r="G54" s="1545"/>
      <c r="H54" s="1977"/>
      <c r="I54" s="1992"/>
      <c r="J54" s="2369"/>
      <c r="K54" s="2326"/>
      <c r="L54" s="2243"/>
      <c r="M54" s="2020"/>
      <c r="N54" s="2018"/>
      <c r="O54" s="2020"/>
      <c r="P54" s="2020"/>
      <c r="Q54" s="2020"/>
      <c r="R54" s="2025"/>
      <c r="S54" s="2020"/>
      <c r="T54" s="2020"/>
      <c r="U54" s="2020"/>
      <c r="V54" s="2020"/>
      <c r="W54" s="2020"/>
      <c r="X54" s="2020"/>
      <c r="Y54" s="2020"/>
      <c r="Z54" s="2020"/>
      <c r="AA54" s="2020"/>
      <c r="AB54" s="2020"/>
      <c r="AC54" s="2075"/>
      <c r="AD54" s="2157"/>
      <c r="AE54" s="2033"/>
    </row>
    <row r="55" ht="17.25" spans="1:31">
      <c r="A55" s="2391" t="s">
        <v>509</v>
      </c>
      <c r="B55" s="2390" t="s">
        <v>510</v>
      </c>
      <c r="C55" s="1883" t="s">
        <v>511</v>
      </c>
      <c r="D55" s="648" t="s">
        <v>512</v>
      </c>
      <c r="E55" s="2254">
        <v>25</v>
      </c>
      <c r="F55" s="2364">
        <v>241</v>
      </c>
      <c r="G55" s="1545"/>
      <c r="H55" s="1977">
        <f>I55*L55</f>
        <v>39514.36</v>
      </c>
      <c r="I55" s="1992">
        <v>6.5584</v>
      </c>
      <c r="J55" s="2369"/>
      <c r="K55" s="2326">
        <f>SUM(H55:H56)</f>
        <v>71125.848</v>
      </c>
      <c r="L55" s="2243">
        <f>E55*F55</f>
        <v>6025</v>
      </c>
      <c r="M55" s="2020"/>
      <c r="N55" s="2018">
        <v>44305</v>
      </c>
      <c r="O55" s="2020"/>
      <c r="P55" s="2020"/>
      <c r="Q55" s="2020"/>
      <c r="R55" s="1953"/>
      <c r="S55" s="2020"/>
      <c r="T55" s="2020"/>
      <c r="U55" s="2020"/>
      <c r="V55" s="2020"/>
      <c r="W55" s="2020"/>
      <c r="X55" s="2020"/>
      <c r="Y55" s="2020"/>
      <c r="Z55" s="2020"/>
      <c r="AA55" s="2020"/>
      <c r="AB55" s="2020"/>
      <c r="AC55" s="2075"/>
      <c r="AD55" s="2254" t="s">
        <v>513</v>
      </c>
      <c r="AE55" s="2020"/>
    </row>
    <row r="56" ht="17.25" spans="1:31">
      <c r="A56" s="2226"/>
      <c r="B56" s="2357" t="s">
        <v>510</v>
      </c>
      <c r="C56" s="1883" t="s">
        <v>511</v>
      </c>
      <c r="D56" s="648" t="s">
        <v>514</v>
      </c>
      <c r="E56" s="2254">
        <v>20</v>
      </c>
      <c r="F56" s="2364">
        <v>241</v>
      </c>
      <c r="G56" s="1545"/>
      <c r="H56" s="1977">
        <f>I56*L56</f>
        <v>31611.488</v>
      </c>
      <c r="I56" s="1992">
        <v>6.5584</v>
      </c>
      <c r="J56" s="2369"/>
      <c r="K56" s="2326"/>
      <c r="L56" s="2243">
        <f>E56*F56</f>
        <v>4820</v>
      </c>
      <c r="M56" s="2020"/>
      <c r="N56" s="2018">
        <v>44305</v>
      </c>
      <c r="O56" s="2020"/>
      <c r="P56" s="2020"/>
      <c r="Q56" s="2020"/>
      <c r="R56" s="1953"/>
      <c r="S56" s="2020"/>
      <c r="T56" s="2020"/>
      <c r="U56" s="2020"/>
      <c r="V56" s="2020"/>
      <c r="W56" s="2020"/>
      <c r="X56" s="2020"/>
      <c r="Y56" s="2020"/>
      <c r="Z56" s="2020"/>
      <c r="AA56" s="2020"/>
      <c r="AB56" s="2020"/>
      <c r="AC56" s="2075"/>
      <c r="AD56" s="2254" t="s">
        <v>513</v>
      </c>
      <c r="AE56" s="2020"/>
    </row>
    <row r="57" ht="17.25" spans="1:31">
      <c r="A57" s="2035"/>
      <c r="B57" s="2035"/>
      <c r="C57" s="2362"/>
      <c r="D57" s="2363"/>
      <c r="E57" s="2366"/>
      <c r="F57" s="2367"/>
      <c r="G57" s="2368"/>
      <c r="H57" s="2047"/>
      <c r="I57" s="2055"/>
      <c r="J57" s="2373"/>
      <c r="K57" s="2064"/>
      <c r="L57" s="2065"/>
      <c r="M57" s="2020"/>
      <c r="N57" s="2071"/>
      <c r="O57" s="2020"/>
      <c r="P57" s="2020"/>
      <c r="Q57" s="2020"/>
      <c r="R57" s="2073"/>
      <c r="S57" s="2020"/>
      <c r="T57" s="2020"/>
      <c r="U57" s="2020"/>
      <c r="V57" s="2020"/>
      <c r="W57" s="2020"/>
      <c r="X57" s="2020"/>
      <c r="Y57" s="2020"/>
      <c r="Z57" s="2020"/>
      <c r="AA57" s="2020"/>
      <c r="AB57" s="2020"/>
      <c r="AC57" s="2332"/>
      <c r="AD57" s="2333"/>
      <c r="AE57" s="2334"/>
    </row>
    <row r="58" ht="17.25" spans="1:31">
      <c r="A58" s="2035"/>
      <c r="B58" s="2035"/>
      <c r="C58" s="2362"/>
      <c r="D58" s="2363"/>
      <c r="E58" s="2366"/>
      <c r="F58" s="2367"/>
      <c r="G58" s="2368"/>
      <c r="H58" s="2047"/>
      <c r="I58" s="2055"/>
      <c r="J58" s="2373"/>
      <c r="K58" s="2064"/>
      <c r="L58" s="2065"/>
      <c r="M58" s="2020"/>
      <c r="N58" s="2071"/>
      <c r="O58" s="2020"/>
      <c r="P58" s="2020"/>
      <c r="Q58" s="2020"/>
      <c r="R58" s="2073"/>
      <c r="S58" s="2020"/>
      <c r="T58" s="2020"/>
      <c r="U58" s="2020"/>
      <c r="V58" s="2020"/>
      <c r="W58" s="2020"/>
      <c r="X58" s="2020"/>
      <c r="Y58" s="2020"/>
      <c r="Z58" s="2020"/>
      <c r="AA58" s="2020"/>
      <c r="AB58" s="2020"/>
      <c r="AC58" s="2332"/>
      <c r="AD58" s="2333"/>
      <c r="AE58" s="2334"/>
    </row>
    <row r="59" ht="17.25" spans="1:31">
      <c r="A59" s="2035"/>
      <c r="B59" s="2035"/>
      <c r="C59" s="2362"/>
      <c r="D59" s="2363"/>
      <c r="E59" s="2366"/>
      <c r="F59" s="2367"/>
      <c r="G59" s="2368"/>
      <c r="H59" s="2047"/>
      <c r="I59" s="2055"/>
      <c r="J59" s="2373"/>
      <c r="K59" s="2064"/>
      <c r="L59" s="2065"/>
      <c r="M59" s="2020"/>
      <c r="N59" s="2071"/>
      <c r="O59" s="2020"/>
      <c r="P59" s="2020"/>
      <c r="Q59" s="2020"/>
      <c r="R59" s="2073"/>
      <c r="S59" s="2020"/>
      <c r="T59" s="2020"/>
      <c r="U59" s="2020"/>
      <c r="V59" s="2020"/>
      <c r="W59" s="2020"/>
      <c r="X59" s="2020"/>
      <c r="Y59" s="2020"/>
      <c r="Z59" s="2020"/>
      <c r="AA59" s="2020"/>
      <c r="AB59" s="2020"/>
      <c r="AC59" s="2332"/>
      <c r="AD59" s="2333"/>
      <c r="AE59" s="2334"/>
    </row>
    <row r="60" ht="17.25" spans="1:31">
      <c r="A60" s="2035"/>
      <c r="B60" s="2035"/>
      <c r="C60" s="2362"/>
      <c r="D60" s="2363"/>
      <c r="E60" s="2366"/>
      <c r="F60" s="2367"/>
      <c r="G60" s="2368"/>
      <c r="H60" s="2047"/>
      <c r="I60" s="2055"/>
      <c r="J60" s="2373"/>
      <c r="K60" s="2064"/>
      <c r="L60" s="2065"/>
      <c r="M60" s="2020"/>
      <c r="N60" s="2071"/>
      <c r="O60" s="2020"/>
      <c r="P60" s="2020"/>
      <c r="Q60" s="2020"/>
      <c r="R60" s="2073"/>
      <c r="S60" s="2020"/>
      <c r="T60" s="2020"/>
      <c r="U60" s="2020"/>
      <c r="V60" s="2020"/>
      <c r="W60" s="2020"/>
      <c r="X60" s="2020"/>
      <c r="Y60" s="2020"/>
      <c r="Z60" s="2020"/>
      <c r="AA60" s="2020"/>
      <c r="AB60" s="2020"/>
      <c r="AC60" s="2332"/>
      <c r="AD60" s="2333"/>
      <c r="AE60" s="2334"/>
    </row>
    <row r="61" customHeight="1" spans="1:31">
      <c r="A61" s="2039" t="s">
        <v>67</v>
      </c>
      <c r="B61" s="2039"/>
      <c r="C61" s="2040"/>
      <c r="D61" s="2040"/>
      <c r="E61" s="2048"/>
      <c r="F61" s="2049"/>
      <c r="G61" s="2049"/>
      <c r="H61" s="2050">
        <f>SUM(H31:H60)</f>
        <v>2893697.248</v>
      </c>
      <c r="I61" s="2066"/>
      <c r="J61" s="2050">
        <v>0</v>
      </c>
      <c r="K61" s="2067">
        <v>0</v>
      </c>
      <c r="L61" s="2068">
        <v>0</v>
      </c>
      <c r="M61" s="474"/>
      <c r="N61" s="474"/>
      <c r="O61" s="474"/>
      <c r="P61" s="2011"/>
      <c r="Q61" s="2011"/>
      <c r="R61" s="2074"/>
      <c r="S61" s="2011"/>
      <c r="T61" s="2011"/>
      <c r="U61" s="2011"/>
      <c r="V61" s="2011"/>
      <c r="W61" s="2011"/>
      <c r="X61" s="2011"/>
      <c r="Y61" s="2011"/>
      <c r="Z61" s="2011"/>
      <c r="AA61" s="2011"/>
      <c r="AB61" s="2011"/>
      <c r="AC61" s="2295"/>
      <c r="AD61" s="2040" t="s">
        <v>325</v>
      </c>
      <c r="AE61" s="2040"/>
    </row>
    <row r="62" spans="1:31">
      <c r="A62" s="2001"/>
      <c r="B62" s="2001"/>
      <c r="C62" s="2001"/>
      <c r="D62" s="2001"/>
      <c r="E62" s="2051"/>
      <c r="F62" s="2001"/>
      <c r="G62" s="2001"/>
      <c r="H62" s="2052"/>
      <c r="I62" s="2001"/>
      <c r="J62" s="2001"/>
      <c r="K62" s="2001"/>
      <c r="L62" s="2001"/>
      <c r="M62" s="2001"/>
      <c r="N62" s="2001"/>
      <c r="O62" s="2001"/>
      <c r="P62" s="2001"/>
      <c r="Q62" s="2001"/>
      <c r="R62" s="2001"/>
      <c r="S62" s="2001"/>
      <c r="T62" s="2001"/>
      <c r="U62" s="2001"/>
      <c r="V62" s="2001"/>
      <c r="W62" s="2001"/>
      <c r="X62" s="2001"/>
      <c r="Y62" s="2001"/>
      <c r="Z62" s="2001"/>
      <c r="AA62" s="2001"/>
      <c r="AB62" s="2001"/>
      <c r="AC62" s="2001"/>
      <c r="AD62" s="2001"/>
      <c r="AE62" s="2001"/>
    </row>
    <row r="63" spans="1:31">
      <c r="A63" s="2001"/>
      <c r="B63" s="2001"/>
      <c r="C63" s="2001"/>
      <c r="D63" s="2001"/>
      <c r="E63" s="2051"/>
      <c r="F63" s="2001"/>
      <c r="G63" s="2001"/>
      <c r="H63" s="2052"/>
      <c r="I63" s="2001"/>
      <c r="J63" s="2001"/>
      <c r="K63" s="2001"/>
      <c r="L63" s="2001"/>
      <c r="M63" s="2001"/>
      <c r="N63" s="2001"/>
      <c r="O63" s="2001"/>
      <c r="P63" s="2001"/>
      <c r="Q63" s="2001"/>
      <c r="R63" s="2001"/>
      <c r="S63" s="2001"/>
      <c r="T63" s="2001"/>
      <c r="U63" s="2001"/>
      <c r="V63" s="2001"/>
      <c r="W63" s="2001"/>
      <c r="X63" s="2001"/>
      <c r="Y63" s="2001"/>
      <c r="Z63" s="2001"/>
      <c r="AA63" s="2001"/>
      <c r="AB63" s="2001"/>
      <c r="AC63" s="2001"/>
      <c r="AD63" s="2001"/>
      <c r="AE63" s="2001"/>
    </row>
    <row r="64" spans="1:31">
      <c r="A64" s="2001"/>
      <c r="B64" s="2001"/>
      <c r="C64" s="2001" t="s">
        <v>139</v>
      </c>
      <c r="D64" s="2001" t="s">
        <v>140</v>
      </c>
      <c r="E64" s="2051"/>
      <c r="F64" s="2001" t="s">
        <v>141</v>
      </c>
      <c r="G64" s="2001"/>
      <c r="H64" s="2052">
        <f>H15+H30+H61</f>
        <v>8683081.808</v>
      </c>
      <c r="I64" s="2001"/>
      <c r="J64" s="2001"/>
      <c r="K64" s="2069">
        <v>3410000</v>
      </c>
      <c r="L64" s="2001"/>
      <c r="M64" s="2069"/>
      <c r="N64" s="2001"/>
      <c r="O64" s="2001"/>
      <c r="P64" s="2001"/>
      <c r="Q64" s="2001"/>
      <c r="R64" s="2001"/>
      <c r="S64" s="2001"/>
      <c r="T64" s="2001"/>
      <c r="U64" s="2001"/>
      <c r="V64" s="2001"/>
      <c r="W64" s="2001"/>
      <c r="X64" s="2001"/>
      <c r="Y64" s="2001"/>
      <c r="Z64" s="2001"/>
      <c r="AA64" s="2001"/>
      <c r="AB64" s="2001"/>
      <c r="AC64" s="2001"/>
      <c r="AD64" s="2001"/>
      <c r="AE64" s="2001"/>
    </row>
    <row r="65" spans="1:31">
      <c r="A65" s="2001"/>
      <c r="B65" s="2001"/>
      <c r="C65" s="2001"/>
      <c r="D65" s="2001"/>
      <c r="E65" s="2051"/>
      <c r="F65" s="2001"/>
      <c r="G65" s="2001"/>
      <c r="H65" s="2052"/>
      <c r="I65" s="2001"/>
      <c r="J65" s="2001"/>
      <c r="K65" s="2069">
        <v>2398384.56</v>
      </c>
      <c r="L65" s="2001"/>
      <c r="M65" s="2069"/>
      <c r="N65" s="2001"/>
      <c r="O65" s="2001"/>
      <c r="P65" s="2001"/>
      <c r="Q65" s="2001"/>
      <c r="R65" s="2001"/>
      <c r="S65" s="2001"/>
      <c r="T65" s="2001"/>
      <c r="U65" s="2001"/>
      <c r="V65" s="2001"/>
      <c r="W65" s="2001"/>
      <c r="X65" s="2001"/>
      <c r="Y65" s="2001"/>
      <c r="Z65" s="2001"/>
      <c r="AA65" s="2001"/>
      <c r="AB65" s="2001"/>
      <c r="AC65" s="2001"/>
      <c r="AD65" s="2001"/>
      <c r="AE65" s="2001"/>
    </row>
    <row r="66" spans="1:31">
      <c r="A66" s="2001"/>
      <c r="B66" s="2001"/>
      <c r="C66" s="2001"/>
      <c r="D66" s="2001"/>
      <c r="E66" s="2051"/>
      <c r="F66" s="2001"/>
      <c r="G66" s="2001"/>
      <c r="H66" s="2052"/>
      <c r="I66" s="2001"/>
      <c r="J66" s="2001"/>
      <c r="K66" s="2069">
        <v>2867930</v>
      </c>
      <c r="L66" s="2001"/>
      <c r="M66" s="2069"/>
      <c r="N66" s="2001"/>
      <c r="O66" s="2001"/>
      <c r="P66" s="2001"/>
      <c r="Q66" s="2001"/>
      <c r="R66" s="2001"/>
      <c r="S66" s="2001"/>
      <c r="T66" s="2001"/>
      <c r="U66" s="2001"/>
      <c r="V66" s="2001"/>
      <c r="W66" s="2001"/>
      <c r="X66" s="2001"/>
      <c r="Y66" s="2001"/>
      <c r="Z66" s="2001"/>
      <c r="AA66" s="2001"/>
      <c r="AB66" s="2001"/>
      <c r="AC66" s="2001"/>
      <c r="AD66" s="2001"/>
      <c r="AE66" s="2001"/>
    </row>
    <row r="67" spans="1:31">
      <c r="A67" s="2001"/>
      <c r="B67" s="2001"/>
      <c r="C67" s="2001"/>
      <c r="D67" s="2001"/>
      <c r="E67" s="2051"/>
      <c r="F67" s="2001"/>
      <c r="G67" s="2001"/>
      <c r="H67" s="2052"/>
      <c r="I67" s="2001"/>
      <c r="J67" s="2001"/>
      <c r="K67" s="2069">
        <f>SUM(K64:K66)</f>
        <v>8676314.56</v>
      </c>
      <c r="L67" s="2001"/>
      <c r="M67" s="2069"/>
      <c r="N67" s="2001"/>
      <c r="O67" s="2001"/>
      <c r="P67" s="2001"/>
      <c r="Q67" s="2001"/>
      <c r="R67" s="2001"/>
      <c r="S67" s="2001"/>
      <c r="T67" s="2001"/>
      <c r="U67" s="2001"/>
      <c r="V67" s="2001"/>
      <c r="W67" s="2001"/>
      <c r="X67" s="2001"/>
      <c r="Y67" s="2001"/>
      <c r="Z67" s="2001"/>
      <c r="AA67" s="2001"/>
      <c r="AB67" s="2001"/>
      <c r="AC67" s="2001"/>
      <c r="AD67" s="2001"/>
      <c r="AE67" s="2001"/>
    </row>
    <row r="68" spans="1:31">
      <c r="A68" s="2001"/>
      <c r="B68" s="2001"/>
      <c r="C68" s="2001"/>
      <c r="D68" s="2001"/>
      <c r="E68" s="2051"/>
      <c r="F68" s="2001"/>
      <c r="G68" s="2001"/>
      <c r="H68" s="2052"/>
      <c r="I68" s="2001"/>
      <c r="J68" s="2001"/>
      <c r="K68" s="2069"/>
      <c r="L68" s="2001"/>
      <c r="M68" s="2069"/>
      <c r="N68" s="2001"/>
      <c r="O68" s="2001"/>
      <c r="P68" s="2001"/>
      <c r="Q68" s="2001"/>
      <c r="R68" s="2001"/>
      <c r="S68" s="2001"/>
      <c r="T68" s="2001"/>
      <c r="U68" s="2001"/>
      <c r="V68" s="2001"/>
      <c r="W68" s="2001"/>
      <c r="X68" s="2001"/>
      <c r="Y68" s="2001"/>
      <c r="Z68" s="2001"/>
      <c r="AA68" s="2001"/>
      <c r="AB68" s="2001"/>
      <c r="AC68" s="2001"/>
      <c r="AD68" s="2001"/>
      <c r="AE68" s="2001"/>
    </row>
    <row r="69" spans="1:31">
      <c r="A69" s="2041"/>
      <c r="B69" s="2041"/>
      <c r="C69" s="2041"/>
      <c r="D69" s="2041"/>
      <c r="E69" s="2051"/>
      <c r="F69" s="2041"/>
      <c r="G69" s="2041"/>
      <c r="H69" s="2052"/>
      <c r="I69" s="2041"/>
      <c r="J69" s="2041"/>
      <c r="K69" s="2041"/>
      <c r="L69" s="2041"/>
      <c r="M69" s="2069"/>
      <c r="N69" s="2041"/>
      <c r="O69" s="2041"/>
      <c r="P69" s="2041"/>
      <c r="Q69" s="2041"/>
      <c r="R69" s="2041"/>
      <c r="S69" s="2041"/>
      <c r="T69" s="2041"/>
      <c r="U69" s="2041"/>
      <c r="V69" s="2041"/>
      <c r="W69" s="2041"/>
      <c r="X69" s="2041"/>
      <c r="Y69" s="2041"/>
      <c r="Z69" s="2041"/>
      <c r="AA69" s="2041"/>
      <c r="AB69" s="2041"/>
      <c r="AC69" s="2041"/>
      <c r="AD69" s="2041"/>
      <c r="AE69" s="2041"/>
    </row>
    <row r="70" spans="1:31">
      <c r="A70" s="2041"/>
      <c r="B70" s="2041"/>
      <c r="C70" s="2041"/>
      <c r="D70" s="2041"/>
      <c r="E70" s="2051"/>
      <c r="F70" s="2041"/>
      <c r="G70" s="2041"/>
      <c r="H70" s="2052"/>
      <c r="I70" s="2041"/>
      <c r="J70" s="2041"/>
      <c r="K70" s="2041"/>
      <c r="L70" s="2041"/>
      <c r="M70" s="2041"/>
      <c r="N70" s="2041"/>
      <c r="O70" s="2041"/>
      <c r="P70" s="2041"/>
      <c r="Q70" s="2041"/>
      <c r="R70" s="2041"/>
      <c r="S70" s="2041"/>
      <c r="T70" s="2041"/>
      <c r="U70" s="2041"/>
      <c r="V70" s="2041"/>
      <c r="W70" s="2041"/>
      <c r="X70" s="2041"/>
      <c r="Y70" s="2041"/>
      <c r="Z70" s="2041"/>
      <c r="AA70" s="2041"/>
      <c r="AB70" s="2041"/>
      <c r="AC70" s="2041"/>
      <c r="AD70" s="2041"/>
      <c r="AE70" s="2041"/>
    </row>
    <row r="71" spans="1:31">
      <c r="A71" s="2041"/>
      <c r="B71" s="2041"/>
      <c r="C71" s="2041"/>
      <c r="D71" s="2041"/>
      <c r="E71" s="2051"/>
      <c r="F71" s="2041"/>
      <c r="G71" s="2041"/>
      <c r="H71" s="2052"/>
      <c r="I71" s="2041"/>
      <c r="J71" s="2041"/>
      <c r="K71" s="2041"/>
      <c r="L71" s="2041"/>
      <c r="M71" s="2041"/>
      <c r="N71" s="2041"/>
      <c r="O71" s="2041"/>
      <c r="P71" s="2041"/>
      <c r="Q71" s="2041"/>
      <c r="R71" s="2041"/>
      <c r="S71" s="2041"/>
      <c r="T71" s="2041"/>
      <c r="U71" s="2041"/>
      <c r="V71" s="2041"/>
      <c r="W71" s="2041"/>
      <c r="X71" s="2041"/>
      <c r="Y71" s="2041"/>
      <c r="Z71" s="2041"/>
      <c r="AA71" s="2041"/>
      <c r="AB71" s="2041"/>
      <c r="AC71" s="2041"/>
      <c r="AD71" s="2041"/>
      <c r="AE71" s="2041"/>
    </row>
  </sheetData>
  <sheetProtection formatCells="0" insertHyperlinks="0" autoFilter="0"/>
  <mergeCells count="20">
    <mergeCell ref="A1:M1"/>
    <mergeCell ref="A15:B15"/>
    <mergeCell ref="C15:D15"/>
    <mergeCell ref="A30:B30"/>
    <mergeCell ref="C30:D30"/>
    <mergeCell ref="A61:B61"/>
    <mergeCell ref="C61:D61"/>
    <mergeCell ref="A3:A7"/>
    <mergeCell ref="A8:A13"/>
    <mergeCell ref="A18:A20"/>
    <mergeCell ref="A21:A29"/>
    <mergeCell ref="A31:A42"/>
    <mergeCell ref="A44:A53"/>
    <mergeCell ref="A55:A56"/>
    <mergeCell ref="B27:B29"/>
    <mergeCell ref="C27:C29"/>
    <mergeCell ref="N21:N26"/>
    <mergeCell ref="N27:N28"/>
    <mergeCell ref="R44:R48"/>
    <mergeCell ref="R50:R53"/>
  </mergeCells>
  <hyperlinks>
    <hyperlink ref="C31" r:id="rId3" display="EJ-316" tooltip="../무역서류/수입선적서류/Shuhua-X6, X5,X1 런닝머신/PI/X3/EJ-156"/>
    <hyperlink ref="C32" r:id="rId3" display="EJ-317" tooltip="../무역서류/수입선적서류/Shuhua-X6, X5,X1 런닝머신/PI/X3/EJ-156"/>
    <hyperlink ref="C33" r:id="rId3" display="EJ-318" tooltip="../무역서류/수입선적서류/Shuhua-X6, X5,X1 런닝머신/PI/X3/EJ-156"/>
    <hyperlink ref="C34" r:id="rId3" display="EJ-319" tooltip="../무역서류/수입선적서류/Shuhua-X6, X5,X1 런닝머신/PI/X3/EJ-156"/>
  </hyperlink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E63"/>
  <sheetViews>
    <sheetView workbookViewId="0">
      <pane ySplit="2" topLeftCell="A20" activePane="bottomLeft" state="frozen"/>
      <selection/>
      <selection pane="bottomLeft" activeCell="C58" sqref="C58:C59"/>
    </sheetView>
  </sheetViews>
  <sheetFormatPr defaultColWidth="9" defaultRowHeight="16.5"/>
  <cols>
    <col min="1" max="1" width="13.4416666666667" customWidth="1"/>
    <col min="2" max="2" width="17.625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2.5" hidden="1" customWidth="1"/>
    <col min="8" max="8" width="15.975" style="10" customWidth="1"/>
    <col min="9" max="9" width="9.375"/>
    <col min="10" max="10" width="13.6083333333333" customWidth="1"/>
    <col min="11" max="11" width="17.3583333333333" customWidth="1"/>
    <col min="12" max="12" width="14.875"/>
    <col min="13" max="13" width="29" customWidth="1"/>
    <col min="14" max="14" width="22.1416666666667" customWidth="1"/>
    <col min="15" max="15" width="14.5" style="1935"/>
    <col min="16" max="16" width="25.8666666666667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515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2192" t="s">
        <v>38</v>
      </c>
      <c r="B3" s="1397" t="s">
        <v>157</v>
      </c>
      <c r="C3" s="2020"/>
      <c r="D3" s="2190"/>
      <c r="E3" s="2195"/>
      <c r="F3" s="2020"/>
      <c r="G3" s="2020"/>
      <c r="H3" s="2264">
        <v>800000</v>
      </c>
      <c r="I3" s="2198"/>
      <c r="J3" s="73"/>
      <c r="K3" s="2097"/>
      <c r="L3" s="2199"/>
      <c r="M3" s="2020"/>
      <c r="N3" s="2020"/>
      <c r="O3" s="2019"/>
      <c r="P3" s="2310"/>
      <c r="Q3" s="2310"/>
      <c r="R3" s="1399"/>
      <c r="S3" s="2310"/>
      <c r="T3" s="2310"/>
      <c r="U3" s="2310"/>
      <c r="V3" s="2310"/>
      <c r="W3" s="2310"/>
      <c r="X3" s="2310"/>
      <c r="Y3" s="2310"/>
      <c r="Z3" s="2310"/>
      <c r="AA3" s="2310"/>
      <c r="AB3" s="2310"/>
      <c r="AC3" s="2076"/>
      <c r="AD3" s="2184"/>
      <c r="AE3" s="2020"/>
    </row>
    <row r="4" customFormat="1" ht="23.45" customHeight="1" spans="1:31">
      <c r="A4" s="1941"/>
      <c r="B4" s="2076" t="s">
        <v>516</v>
      </c>
      <c r="C4" s="2020" t="s">
        <v>517</v>
      </c>
      <c r="D4" s="2190" t="s">
        <v>518</v>
      </c>
      <c r="E4" s="2195"/>
      <c r="F4" s="2020"/>
      <c r="G4" s="2020"/>
      <c r="H4" s="2264">
        <v>120000</v>
      </c>
      <c r="I4" s="2198"/>
      <c r="J4" s="73"/>
      <c r="K4" s="2097"/>
      <c r="L4" s="2199"/>
      <c r="M4" s="2020"/>
      <c r="N4" s="2020"/>
      <c r="O4" s="2019"/>
      <c r="P4" s="2311"/>
      <c r="Q4" s="2311"/>
      <c r="R4" s="1399"/>
      <c r="S4" s="2311"/>
      <c r="T4" s="2311"/>
      <c r="U4" s="2311"/>
      <c r="V4" s="2311"/>
      <c r="W4" s="2311"/>
      <c r="X4" s="2311"/>
      <c r="Y4" s="2311"/>
      <c r="Z4" s="2311"/>
      <c r="AA4" s="2311"/>
      <c r="AB4" s="2311"/>
      <c r="AC4" s="2076"/>
      <c r="AD4" s="2184"/>
      <c r="AE4" s="2020"/>
    </row>
    <row r="5" customFormat="1" spans="1:31">
      <c r="A5" s="1941"/>
      <c r="B5" s="2076" t="s">
        <v>519</v>
      </c>
      <c r="C5" s="2020" t="s">
        <v>520</v>
      </c>
      <c r="D5" s="2190" t="s">
        <v>521</v>
      </c>
      <c r="E5" s="2195"/>
      <c r="F5" s="2020"/>
      <c r="G5" s="2020"/>
      <c r="H5" s="2264">
        <v>90000</v>
      </c>
      <c r="I5" s="2198"/>
      <c r="J5" s="73"/>
      <c r="K5" s="2097"/>
      <c r="L5" s="2199"/>
      <c r="M5" s="2020"/>
      <c r="N5" s="2020"/>
      <c r="O5" s="2019"/>
      <c r="P5" s="2310"/>
      <c r="Q5" s="2310"/>
      <c r="R5" s="1399"/>
      <c r="S5" s="2310"/>
      <c r="T5" s="2310"/>
      <c r="U5" s="2310"/>
      <c r="V5" s="2310"/>
      <c r="W5" s="2310"/>
      <c r="X5" s="2310"/>
      <c r="Y5" s="2310"/>
      <c r="Z5" s="2310"/>
      <c r="AA5" s="2310"/>
      <c r="AB5" s="2310"/>
      <c r="AC5" s="2076"/>
      <c r="AD5" s="2184"/>
      <c r="AE5" s="2020"/>
    </row>
    <row r="6" s="23" customFormat="1" spans="1:31">
      <c r="A6" s="2123"/>
      <c r="B6" s="1141" t="s">
        <v>143</v>
      </c>
      <c r="C6" s="1946" t="s">
        <v>522</v>
      </c>
      <c r="D6" s="2088"/>
      <c r="E6" s="1967"/>
      <c r="F6" s="1946"/>
      <c r="G6" s="1946"/>
      <c r="H6" s="2127">
        <v>250000</v>
      </c>
      <c r="I6" s="2104"/>
      <c r="J6" s="1984"/>
      <c r="K6" s="2272"/>
      <c r="L6" s="1985"/>
      <c r="M6" s="1946"/>
      <c r="N6" s="1946"/>
      <c r="O6" s="2312"/>
      <c r="P6" s="2099"/>
      <c r="Q6" s="2099"/>
      <c r="R6" s="1946"/>
      <c r="S6" s="2099"/>
      <c r="T6" s="2099"/>
      <c r="U6" s="2099"/>
      <c r="V6" s="2099"/>
      <c r="W6" s="2099"/>
      <c r="X6" s="2099"/>
      <c r="Y6" s="2099"/>
      <c r="Z6" s="2099"/>
      <c r="AA6" s="2099"/>
      <c r="AB6" s="2099"/>
      <c r="AC6" s="1141"/>
      <c r="AD6" s="2029"/>
      <c r="AE6" s="1946"/>
    </row>
    <row r="7" customFormat="1" spans="1:31">
      <c r="A7" s="2344"/>
      <c r="B7" s="2076" t="s">
        <v>53</v>
      </c>
      <c r="C7" s="2020" t="s">
        <v>523</v>
      </c>
      <c r="D7" s="2190"/>
      <c r="E7" s="2195"/>
      <c r="F7" s="2020"/>
      <c r="G7" s="2020"/>
      <c r="H7" s="2264">
        <v>200000</v>
      </c>
      <c r="I7" s="2198"/>
      <c r="J7" s="73"/>
      <c r="K7" s="2097"/>
      <c r="L7" s="2199"/>
      <c r="M7" s="2020"/>
      <c r="N7" s="2020"/>
      <c r="O7" s="2019"/>
      <c r="P7" s="2310"/>
      <c r="Q7" s="2310"/>
      <c r="R7" s="1399"/>
      <c r="S7" s="2310"/>
      <c r="T7" s="2310"/>
      <c r="U7" s="2310"/>
      <c r="V7" s="2310"/>
      <c r="W7" s="2310"/>
      <c r="X7" s="2310"/>
      <c r="Y7" s="2310"/>
      <c r="Z7" s="2310"/>
      <c r="AA7" s="2310"/>
      <c r="AB7" s="2310"/>
      <c r="AC7" s="2076"/>
      <c r="AD7" s="2184"/>
      <c r="AE7" s="2020"/>
    </row>
    <row r="8" s="23" customFormat="1" customHeight="1" spans="1:31">
      <c r="A8" s="1141"/>
      <c r="B8" s="1141" t="s">
        <v>284</v>
      </c>
      <c r="C8" s="2022"/>
      <c r="D8" s="2088"/>
      <c r="E8" s="1967"/>
      <c r="F8" s="1946"/>
      <c r="G8" s="1946"/>
      <c r="H8" s="1966">
        <v>200000</v>
      </c>
      <c r="I8" s="2104"/>
      <c r="J8" s="1984"/>
      <c r="K8" s="1966"/>
      <c r="L8" s="1985"/>
      <c r="M8" s="1946"/>
      <c r="N8" s="1946"/>
      <c r="O8" s="2312"/>
      <c r="P8" s="2099"/>
      <c r="Q8" s="2099"/>
      <c r="R8" s="2022"/>
      <c r="S8" s="2099"/>
      <c r="T8" s="2099"/>
      <c r="U8" s="2099"/>
      <c r="V8" s="2099"/>
      <c r="W8" s="2099"/>
      <c r="X8" s="2099"/>
      <c r="Y8" s="2099"/>
      <c r="Z8" s="2099"/>
      <c r="AA8" s="2099"/>
      <c r="AB8" s="2099"/>
      <c r="AC8" s="1141"/>
      <c r="AD8" s="2029"/>
      <c r="AE8" s="1946"/>
    </row>
    <row r="9" s="23" customFormat="1" spans="1:31">
      <c r="A9" s="1141"/>
      <c r="B9" s="1949" t="s">
        <v>524</v>
      </c>
      <c r="C9" s="2022" t="s">
        <v>525</v>
      </c>
      <c r="D9" s="2088">
        <v>68</v>
      </c>
      <c r="E9" s="1967"/>
      <c r="F9" s="1946"/>
      <c r="G9" s="1946"/>
      <c r="H9" s="1966">
        <f>L9*I9</f>
        <v>195000</v>
      </c>
      <c r="I9" s="2104">
        <v>6.5</v>
      </c>
      <c r="J9" s="1984"/>
      <c r="K9" s="2272"/>
      <c r="L9" s="1985">
        <v>30000</v>
      </c>
      <c r="M9" s="1946"/>
      <c r="N9" s="1946"/>
      <c r="O9" s="2312"/>
      <c r="P9" s="2099"/>
      <c r="Q9" s="2099"/>
      <c r="R9" s="2022"/>
      <c r="S9" s="2099"/>
      <c r="T9" s="2099"/>
      <c r="U9" s="2099"/>
      <c r="V9" s="2099"/>
      <c r="W9" s="2099"/>
      <c r="X9" s="2099"/>
      <c r="Y9" s="2099"/>
      <c r="Z9" s="2099"/>
      <c r="AA9" s="2099"/>
      <c r="AB9" s="2099"/>
      <c r="AC9" s="1141"/>
      <c r="AD9" s="2029"/>
      <c r="AE9" s="1946"/>
    </row>
    <row r="10" s="23" customFormat="1" spans="1:31">
      <c r="A10" s="1141"/>
      <c r="B10" s="2086" t="s">
        <v>526</v>
      </c>
      <c r="C10" s="1946"/>
      <c r="D10" s="2088"/>
      <c r="E10" s="1967"/>
      <c r="F10" s="1946"/>
      <c r="G10" s="1946"/>
      <c r="H10" s="1966">
        <v>200000</v>
      </c>
      <c r="I10" s="2104"/>
      <c r="J10" s="1984"/>
      <c r="K10" s="2272"/>
      <c r="L10" s="1985"/>
      <c r="M10" s="1946"/>
      <c r="N10" s="1946"/>
      <c r="O10" s="2312"/>
      <c r="P10" s="2099"/>
      <c r="Q10" s="2099"/>
      <c r="R10" s="1946"/>
      <c r="S10" s="2099"/>
      <c r="T10" s="2099"/>
      <c r="U10" s="2099"/>
      <c r="V10" s="2099"/>
      <c r="W10" s="2099"/>
      <c r="X10" s="2099"/>
      <c r="Y10" s="2099"/>
      <c r="Z10" s="2099"/>
      <c r="AA10" s="2099"/>
      <c r="AB10" s="2099"/>
      <c r="AC10" s="1141"/>
      <c r="AD10" s="2029"/>
      <c r="AE10" s="1946"/>
    </row>
    <row r="11" s="23" customFormat="1" spans="1:31">
      <c r="A11" s="1141"/>
      <c r="B11" s="1949" t="s">
        <v>527</v>
      </c>
      <c r="C11" s="1946"/>
      <c r="D11" s="2088"/>
      <c r="E11" s="1967"/>
      <c r="F11" s="1946"/>
      <c r="G11" s="1946"/>
      <c r="H11" s="2127">
        <v>300000</v>
      </c>
      <c r="I11" s="2104"/>
      <c r="J11" s="1984"/>
      <c r="K11" s="2272"/>
      <c r="L11" s="1985"/>
      <c r="M11" s="1946"/>
      <c r="N11" s="1946"/>
      <c r="O11" s="2312"/>
      <c r="P11" s="2099"/>
      <c r="Q11" s="2099"/>
      <c r="R11" s="1946"/>
      <c r="S11" s="2099"/>
      <c r="T11" s="2099"/>
      <c r="U11" s="2099"/>
      <c r="V11" s="2099"/>
      <c r="W11" s="2099"/>
      <c r="X11" s="2099"/>
      <c r="Y11" s="2099"/>
      <c r="Z11" s="2099"/>
      <c r="AA11" s="2099"/>
      <c r="AB11" s="2099"/>
      <c r="AC11" s="1141"/>
      <c r="AD11" s="2029"/>
      <c r="AE11" s="1946"/>
    </row>
    <row r="12" customFormat="1" spans="1:31">
      <c r="A12" s="2206" t="s">
        <v>380</v>
      </c>
      <c r="B12" s="1489" t="s">
        <v>528</v>
      </c>
      <c r="C12" s="2020" t="s">
        <v>529</v>
      </c>
      <c r="D12" s="2190"/>
      <c r="E12" s="2195"/>
      <c r="F12" s="2020"/>
      <c r="G12" s="2020"/>
      <c r="H12" s="2264">
        <f>J12</f>
        <v>88419.5</v>
      </c>
      <c r="I12" s="2198">
        <v>6.5</v>
      </c>
      <c r="J12" s="73">
        <f>L12*I12</f>
        <v>88419.5</v>
      </c>
      <c r="K12" s="2097"/>
      <c r="L12" s="2199">
        <v>13603</v>
      </c>
      <c r="M12" s="2020"/>
      <c r="N12" s="2020"/>
      <c r="O12" s="2019">
        <v>44331</v>
      </c>
      <c r="P12" s="2310"/>
      <c r="Q12" s="2310"/>
      <c r="R12" s="2318"/>
      <c r="S12" s="2310"/>
      <c r="T12" s="2310"/>
      <c r="U12" s="2310"/>
      <c r="V12" s="2310"/>
      <c r="W12" s="2310"/>
      <c r="X12" s="2310"/>
      <c r="Y12" s="2310"/>
      <c r="Z12" s="2310"/>
      <c r="AA12" s="2310"/>
      <c r="AB12" s="2310"/>
      <c r="AC12" s="2170"/>
      <c r="AD12" s="2220"/>
      <c r="AE12" s="2171"/>
    </row>
    <row r="13" customFormat="1" spans="1:31">
      <c r="A13" s="2170"/>
      <c r="B13" s="2205" t="s">
        <v>150</v>
      </c>
      <c r="C13" s="2020" t="s">
        <v>530</v>
      </c>
      <c r="D13" s="2190"/>
      <c r="E13" s="2195"/>
      <c r="F13" s="2020"/>
      <c r="G13" s="2020"/>
      <c r="H13" s="2264">
        <f>J13</f>
        <v>207460.5</v>
      </c>
      <c r="I13" s="2198">
        <v>6.5</v>
      </c>
      <c r="J13" s="73">
        <f>L13*I13</f>
        <v>207460.5</v>
      </c>
      <c r="K13" s="2097"/>
      <c r="L13" s="2199">
        <v>31917</v>
      </c>
      <c r="M13" s="2020"/>
      <c r="N13" s="2020"/>
      <c r="O13" s="2019">
        <v>44336</v>
      </c>
      <c r="P13" s="2310"/>
      <c r="Q13" s="2310"/>
      <c r="R13" s="1399"/>
      <c r="S13" s="2310"/>
      <c r="T13" s="2310"/>
      <c r="U13" s="2310"/>
      <c r="V13" s="2310"/>
      <c r="W13" s="2310"/>
      <c r="X13" s="2310"/>
      <c r="Y13" s="2310"/>
      <c r="Z13" s="2310"/>
      <c r="AA13" s="2310"/>
      <c r="AB13" s="2310"/>
      <c r="AC13" s="2076"/>
      <c r="AD13" s="2184"/>
      <c r="AE13" s="2020"/>
    </row>
    <row r="14" customFormat="1" ht="17.15" customHeight="1" spans="1:31">
      <c r="A14" s="2170"/>
      <c r="B14" s="2345" t="s">
        <v>531</v>
      </c>
      <c r="C14" s="2020" t="s">
        <v>532</v>
      </c>
      <c r="D14" s="2190"/>
      <c r="E14" s="2195"/>
      <c r="F14" s="2020"/>
      <c r="G14" s="2020"/>
      <c r="H14" s="2264">
        <f>I14*L14</f>
        <v>97974.5</v>
      </c>
      <c r="I14" s="2198">
        <v>6.5</v>
      </c>
      <c r="J14" s="73">
        <f>H14</f>
        <v>97974.5</v>
      </c>
      <c r="K14" s="2097"/>
      <c r="L14" s="2199">
        <v>15073</v>
      </c>
      <c r="M14" s="2020"/>
      <c r="N14" s="2217"/>
      <c r="O14" s="2019">
        <v>44336</v>
      </c>
      <c r="P14" s="2310"/>
      <c r="Q14" s="2310"/>
      <c r="R14" s="2318"/>
      <c r="S14" s="2310"/>
      <c r="T14" s="2310"/>
      <c r="U14" s="2310"/>
      <c r="V14" s="2310"/>
      <c r="W14" s="2310"/>
      <c r="X14" s="2310"/>
      <c r="Y14" s="2310"/>
      <c r="Z14" s="2310"/>
      <c r="AA14" s="2310"/>
      <c r="AB14" s="2310"/>
      <c r="AC14" s="2170"/>
      <c r="AD14" s="2220"/>
      <c r="AE14" s="2171"/>
    </row>
    <row r="15" customFormat="1" ht="17.15" customHeight="1" spans="1:31">
      <c r="A15" s="2207"/>
      <c r="B15" s="2191" t="s">
        <v>221</v>
      </c>
      <c r="C15" s="2020" t="s">
        <v>533</v>
      </c>
      <c r="D15" s="2190"/>
      <c r="E15" s="2195"/>
      <c r="F15" s="2020"/>
      <c r="G15" s="2175"/>
      <c r="H15" s="2264">
        <f>I15*L15</f>
        <v>101523.5</v>
      </c>
      <c r="I15" s="2198">
        <v>6.5</v>
      </c>
      <c r="J15" s="73">
        <f>H15</f>
        <v>101523.5</v>
      </c>
      <c r="K15" s="2351"/>
      <c r="L15" s="2179">
        <v>15619</v>
      </c>
      <c r="M15" s="2033"/>
      <c r="N15" s="2218"/>
      <c r="O15" s="2019">
        <v>44344</v>
      </c>
      <c r="P15" s="2310"/>
      <c r="Q15" s="2310"/>
      <c r="R15" s="2318"/>
      <c r="S15" s="2310"/>
      <c r="T15" s="2310"/>
      <c r="U15" s="2310"/>
      <c r="V15" s="2310"/>
      <c r="W15" s="2310"/>
      <c r="X15" s="2310"/>
      <c r="Y15" s="2310"/>
      <c r="Z15" s="2310"/>
      <c r="AA15" s="2310"/>
      <c r="AB15" s="2310"/>
      <c r="AC15" s="2170"/>
      <c r="AD15" s="2220"/>
      <c r="AE15" s="2171"/>
    </row>
    <row r="16" customFormat="1" ht="17.15" customHeight="1" spans="1:31">
      <c r="A16" s="2170"/>
      <c r="P16" s="2310"/>
      <c r="Q16" s="2310"/>
      <c r="R16" s="2318"/>
      <c r="S16" s="2310"/>
      <c r="T16" s="2310"/>
      <c r="U16" s="2310"/>
      <c r="V16" s="2310"/>
      <c r="W16" s="2310"/>
      <c r="X16" s="2310"/>
      <c r="Y16" s="2310"/>
      <c r="Z16" s="2310"/>
      <c r="AA16" s="2310"/>
      <c r="AB16" s="2310"/>
      <c r="AC16" s="2170"/>
      <c r="AD16" s="2220"/>
      <c r="AE16" s="2171"/>
    </row>
    <row r="17" customFormat="1" customHeight="1" spans="1:31">
      <c r="A17" s="1950" t="s">
        <v>343</v>
      </c>
      <c r="B17" s="1950"/>
      <c r="C17" s="1951"/>
      <c r="D17" s="1951"/>
      <c r="E17" s="1968"/>
      <c r="F17" s="1969"/>
      <c r="G17" s="1970"/>
      <c r="H17" s="1990">
        <f>SUM(H3:H14)</f>
        <v>2748854.5</v>
      </c>
      <c r="I17" s="2352"/>
      <c r="J17" s="1990">
        <v>0</v>
      </c>
      <c r="K17" s="1991">
        <v>0</v>
      </c>
      <c r="L17" s="1991">
        <v>0</v>
      </c>
      <c r="M17" s="2009"/>
      <c r="N17" s="2009"/>
      <c r="O17" s="2313"/>
      <c r="P17" s="2226"/>
      <c r="Q17" s="2226"/>
      <c r="R17" s="523"/>
      <c r="S17" s="2226"/>
      <c r="T17" s="2226"/>
      <c r="U17" s="2226"/>
      <c r="V17" s="2226"/>
      <c r="W17" s="2226"/>
      <c r="X17" s="2226"/>
      <c r="Y17" s="2226"/>
      <c r="Z17" s="2226"/>
      <c r="AA17" s="2226"/>
      <c r="AB17" s="2226"/>
      <c r="AC17" s="1950"/>
      <c r="AD17" s="1951" t="s">
        <v>285</v>
      </c>
      <c r="AE17" s="1951"/>
    </row>
    <row r="18" customFormat="1" ht="28.35" customHeight="1" spans="1:31">
      <c r="A18" s="1141" t="s">
        <v>331</v>
      </c>
      <c r="B18" s="2173" t="s">
        <v>165</v>
      </c>
      <c r="C18" s="2121" t="s">
        <v>534</v>
      </c>
      <c r="D18" s="2121"/>
      <c r="E18" s="245"/>
      <c r="F18" s="2177"/>
      <c r="G18" s="2177"/>
      <c r="H18" s="2127">
        <f>L18*I18</f>
        <v>193763.862</v>
      </c>
      <c r="I18" s="2104">
        <v>6.498</v>
      </c>
      <c r="J18" s="2197"/>
      <c r="K18" s="2197"/>
      <c r="L18" s="2197">
        <v>29819</v>
      </c>
      <c r="M18" s="2009"/>
      <c r="N18" s="2009"/>
      <c r="O18" s="2313"/>
      <c r="P18" s="2226"/>
      <c r="Q18" s="2226"/>
      <c r="R18" s="523"/>
      <c r="S18" s="2226"/>
      <c r="T18" s="2226"/>
      <c r="U18" s="2226"/>
      <c r="V18" s="2226"/>
      <c r="W18" s="2226"/>
      <c r="X18" s="2226"/>
      <c r="Y18" s="2226"/>
      <c r="Z18" s="2226"/>
      <c r="AA18" s="2226"/>
      <c r="AB18" s="2226"/>
      <c r="AC18" s="1950"/>
      <c r="AD18" s="1951"/>
      <c r="AE18" s="1951"/>
    </row>
    <row r="19" s="418" customFormat="1" ht="22.85" customHeight="1" spans="1:31">
      <c r="A19" s="1141" t="s">
        <v>331</v>
      </c>
      <c r="B19" s="2173" t="s">
        <v>165</v>
      </c>
      <c r="C19" s="2121" t="s">
        <v>535</v>
      </c>
      <c r="D19" s="2121"/>
      <c r="E19" s="245"/>
      <c r="F19" s="2177"/>
      <c r="G19" s="2177"/>
      <c r="H19" s="2127">
        <f>L19*I19</f>
        <v>205746.174</v>
      </c>
      <c r="I19" s="2104">
        <v>6.498</v>
      </c>
      <c r="J19" s="2127"/>
      <c r="K19" s="2127"/>
      <c r="L19" s="2127">
        <v>31663</v>
      </c>
      <c r="M19" s="2111"/>
      <c r="N19" s="2111"/>
      <c r="O19" s="2316"/>
      <c r="P19" s="280"/>
      <c r="Q19" s="280"/>
      <c r="R19" s="2319"/>
      <c r="S19" s="280"/>
      <c r="T19" s="280"/>
      <c r="U19" s="280"/>
      <c r="V19" s="280"/>
      <c r="W19" s="280"/>
      <c r="X19" s="44"/>
      <c r="Y19" s="44"/>
      <c r="Z19" s="44"/>
      <c r="AA19" s="44"/>
      <c r="AB19" s="44"/>
      <c r="AC19" s="2320"/>
      <c r="AD19" s="523"/>
      <c r="AE19" s="523"/>
    </row>
    <row r="20" s="418" customFormat="1" ht="22.85" customHeight="1" spans="1:31">
      <c r="A20" s="1141" t="s">
        <v>331</v>
      </c>
      <c r="B20" s="2173" t="s">
        <v>165</v>
      </c>
      <c r="C20" s="2121" t="s">
        <v>536</v>
      </c>
      <c r="D20" s="2121"/>
      <c r="E20" s="245"/>
      <c r="F20" s="2177"/>
      <c r="G20" s="2177"/>
      <c r="H20" s="2127">
        <f>L20*I20</f>
        <v>239873.67</v>
      </c>
      <c r="I20" s="2104">
        <v>6.498</v>
      </c>
      <c r="J20" s="2127"/>
      <c r="K20" s="2127"/>
      <c r="L20" s="2127">
        <v>36915</v>
      </c>
      <c r="M20" s="2111"/>
      <c r="N20" s="2111"/>
      <c r="O20" s="2316"/>
      <c r="P20" s="280"/>
      <c r="Q20" s="280"/>
      <c r="R20" s="2319"/>
      <c r="S20" s="280"/>
      <c r="T20" s="280"/>
      <c r="U20" s="280"/>
      <c r="V20" s="280"/>
      <c r="W20" s="280"/>
      <c r="X20" s="44"/>
      <c r="Y20" s="44"/>
      <c r="Z20" s="44"/>
      <c r="AA20" s="44"/>
      <c r="AB20" s="44"/>
      <c r="AC20" s="2320"/>
      <c r="AD20" s="523"/>
      <c r="AE20" s="523"/>
    </row>
    <row r="21" s="418" customFormat="1" ht="22.85" customHeight="1" spans="1:31">
      <c r="A21" s="1141" t="s">
        <v>331</v>
      </c>
      <c r="B21" s="2173" t="s">
        <v>165</v>
      </c>
      <c r="C21" s="2121" t="s">
        <v>537</v>
      </c>
      <c r="D21" s="2121"/>
      <c r="E21" s="245"/>
      <c r="F21" s="2177"/>
      <c r="G21" s="2177"/>
      <c r="H21" s="2127">
        <f>L21*I21</f>
        <v>208156.932</v>
      </c>
      <c r="I21" s="2104">
        <v>6.498</v>
      </c>
      <c r="J21" s="2127"/>
      <c r="K21" s="2127"/>
      <c r="L21" s="2127">
        <v>32034</v>
      </c>
      <c r="M21" s="2111"/>
      <c r="N21" s="2111"/>
      <c r="O21" s="2316"/>
      <c r="P21" s="280"/>
      <c r="Q21" s="280"/>
      <c r="R21" s="2319"/>
      <c r="S21" s="280"/>
      <c r="T21" s="280"/>
      <c r="U21" s="280"/>
      <c r="V21" s="280"/>
      <c r="W21" s="280"/>
      <c r="X21" s="44"/>
      <c r="Y21" s="44"/>
      <c r="Z21" s="44"/>
      <c r="AA21" s="44"/>
      <c r="AB21" s="44"/>
      <c r="AC21" s="2320"/>
      <c r="AD21" s="523"/>
      <c r="AE21" s="523"/>
    </row>
    <row r="22" s="418" customFormat="1" ht="22.85" hidden="1" customHeight="1" spans="1:31">
      <c r="A22" s="1141" t="s">
        <v>331</v>
      </c>
      <c r="B22" s="2173" t="s">
        <v>386</v>
      </c>
      <c r="C22" s="2121" t="s">
        <v>538</v>
      </c>
      <c r="D22" s="2121"/>
      <c r="E22" s="245"/>
      <c r="F22" s="2177"/>
      <c r="G22" s="2308"/>
      <c r="H22" s="2127">
        <v>155853</v>
      </c>
      <c r="I22" s="2104"/>
      <c r="J22" s="2127"/>
      <c r="K22" s="2127"/>
      <c r="L22" s="2127"/>
      <c r="M22" s="2111"/>
      <c r="N22" s="2111"/>
      <c r="O22" s="2316"/>
      <c r="P22" s="280"/>
      <c r="Q22" s="280"/>
      <c r="R22" s="2319"/>
      <c r="S22" s="280"/>
      <c r="T22" s="280"/>
      <c r="U22" s="280"/>
      <c r="V22" s="280"/>
      <c r="W22" s="280"/>
      <c r="X22" s="44"/>
      <c r="Y22" s="44"/>
      <c r="Z22" s="44"/>
      <c r="AA22" s="44"/>
      <c r="AB22" s="44"/>
      <c r="AC22" s="2320"/>
      <c r="AD22" s="523"/>
      <c r="AE22" s="523"/>
    </row>
    <row r="23" s="1933" customFormat="1" ht="23.75" hidden="1" customHeight="1" spans="1:31">
      <c r="A23" s="666" t="s">
        <v>393</v>
      </c>
      <c r="B23" s="2173" t="s">
        <v>256</v>
      </c>
      <c r="C23" s="2121"/>
      <c r="D23" s="245" t="s">
        <v>98</v>
      </c>
      <c r="E23" s="245">
        <v>25</v>
      </c>
      <c r="F23" s="2177"/>
      <c r="G23" s="2308"/>
      <c r="H23" s="2127">
        <v>87000</v>
      </c>
      <c r="I23" s="2104">
        <v>6.45</v>
      </c>
      <c r="J23" s="2127"/>
      <c r="K23" s="1984"/>
      <c r="L23" s="1985"/>
      <c r="M23" s="2128"/>
      <c r="N23" s="34"/>
      <c r="O23" s="2114"/>
      <c r="P23" s="34"/>
      <c r="Q23" s="34"/>
      <c r="R23" s="1952"/>
      <c r="S23" s="2276"/>
      <c r="T23" s="34"/>
      <c r="U23" s="34"/>
      <c r="V23" s="34"/>
      <c r="W23" s="34"/>
      <c r="X23" s="40"/>
      <c r="Y23" s="40"/>
      <c r="Z23" s="40"/>
      <c r="AA23" s="40"/>
      <c r="AB23" s="40"/>
      <c r="AC23" s="664"/>
      <c r="AD23" s="185"/>
      <c r="AE23" s="40"/>
    </row>
    <row r="24" s="1933" customFormat="1" ht="23.75" customHeight="1" spans="1:31">
      <c r="A24" s="556"/>
      <c r="B24" s="2173" t="s">
        <v>175</v>
      </c>
      <c r="C24" s="2121"/>
      <c r="D24" s="245" t="s">
        <v>539</v>
      </c>
      <c r="E24" s="245"/>
      <c r="F24" s="2177"/>
      <c r="G24" s="2308"/>
      <c r="H24" s="2127">
        <v>173000</v>
      </c>
      <c r="I24" s="2104">
        <v>6.45</v>
      </c>
      <c r="J24" s="2127"/>
      <c r="K24" s="1984"/>
      <c r="L24" s="1985"/>
      <c r="M24" s="2128"/>
      <c r="N24" s="34"/>
      <c r="O24" s="2114"/>
      <c r="P24" s="34"/>
      <c r="Q24" s="34"/>
      <c r="R24" s="1952"/>
      <c r="S24" s="2276"/>
      <c r="T24" s="34"/>
      <c r="U24" s="34"/>
      <c r="V24" s="34"/>
      <c r="W24" s="34"/>
      <c r="X24" s="40"/>
      <c r="Y24" s="40"/>
      <c r="Z24" s="40"/>
      <c r="AA24" s="40"/>
      <c r="AB24" s="40"/>
      <c r="AC24" s="664"/>
      <c r="AD24" s="185"/>
      <c r="AE24" s="40"/>
    </row>
    <row r="25" s="1933" customFormat="1" ht="23.75" customHeight="1" spans="1:31">
      <c r="A25" s="556"/>
      <c r="B25" s="2173" t="s">
        <v>166</v>
      </c>
      <c r="C25" s="2346"/>
      <c r="D25" s="2121" t="s">
        <v>540</v>
      </c>
      <c r="E25" s="245">
        <v>36</v>
      </c>
      <c r="F25" s="2177"/>
      <c r="G25" s="2308"/>
      <c r="H25" s="2127">
        <v>95000</v>
      </c>
      <c r="I25" s="2104">
        <v>6.45</v>
      </c>
      <c r="J25" s="1984"/>
      <c r="K25" s="1984"/>
      <c r="L25" s="1985"/>
      <c r="M25" s="2128"/>
      <c r="N25" s="34"/>
      <c r="O25" s="2114"/>
      <c r="P25" s="34"/>
      <c r="Q25" s="34"/>
      <c r="R25" s="1952"/>
      <c r="S25" s="2276"/>
      <c r="T25" s="34"/>
      <c r="U25" s="34"/>
      <c r="V25" s="34"/>
      <c r="W25" s="34"/>
      <c r="X25" s="40"/>
      <c r="Y25" s="40"/>
      <c r="Z25" s="40"/>
      <c r="AA25" s="40"/>
      <c r="AB25" s="40"/>
      <c r="AC25" s="664"/>
      <c r="AD25" s="185"/>
      <c r="AE25" s="40"/>
    </row>
    <row r="26" s="1933" customFormat="1" ht="23.75" customHeight="1" spans="1:31">
      <c r="A26" s="2094" t="s">
        <v>224</v>
      </c>
      <c r="B26" s="1141" t="s">
        <v>541</v>
      </c>
      <c r="C26" s="2121" t="s">
        <v>542</v>
      </c>
      <c r="D26" s="2121" t="s">
        <v>543</v>
      </c>
      <c r="E26" s="245"/>
      <c r="F26" s="2177"/>
      <c r="G26" s="2177"/>
      <c r="H26" s="2127">
        <v>190000</v>
      </c>
      <c r="I26" s="2266"/>
      <c r="J26" s="2174"/>
      <c r="K26" s="2174"/>
      <c r="L26" s="2174"/>
      <c r="M26" s="2174"/>
      <c r="N26" s="157"/>
      <c r="O26" s="40"/>
      <c r="P26" s="34"/>
      <c r="Q26" s="34"/>
      <c r="R26" s="1952"/>
      <c r="S26" s="2276"/>
      <c r="T26" s="34"/>
      <c r="U26" s="34"/>
      <c r="V26" s="34"/>
      <c r="W26" s="34"/>
      <c r="X26" s="40"/>
      <c r="Y26" s="40"/>
      <c r="Z26" s="40"/>
      <c r="AA26" s="40"/>
      <c r="AB26" s="40"/>
      <c r="AC26" s="664"/>
      <c r="AD26" s="185"/>
      <c r="AE26" s="40"/>
    </row>
    <row r="27" s="1933" customFormat="1" ht="23.75" customHeight="1" spans="1:31">
      <c r="A27" s="2095"/>
      <c r="B27" s="1141" t="s">
        <v>243</v>
      </c>
      <c r="C27" s="2121" t="s">
        <v>544</v>
      </c>
      <c r="D27" s="2121"/>
      <c r="E27" s="245"/>
      <c r="F27" s="2177"/>
      <c r="G27" s="2177"/>
      <c r="H27" s="2127">
        <v>110000</v>
      </c>
      <c r="I27" s="2104"/>
      <c r="J27" s="2115"/>
      <c r="K27" s="2174"/>
      <c r="L27" s="2174"/>
      <c r="M27" s="2174"/>
      <c r="N27" s="157"/>
      <c r="O27" s="40"/>
      <c r="P27" s="34"/>
      <c r="Q27" s="34"/>
      <c r="R27" s="1952"/>
      <c r="S27" s="2276"/>
      <c r="T27" s="34"/>
      <c r="U27" s="34"/>
      <c r="V27" s="34"/>
      <c r="W27" s="34"/>
      <c r="X27" s="40"/>
      <c r="Y27" s="40"/>
      <c r="Z27" s="40"/>
      <c r="AA27" s="40"/>
      <c r="AB27" s="40"/>
      <c r="AC27" s="664"/>
      <c r="AD27" s="185"/>
      <c r="AE27" s="40"/>
    </row>
    <row r="28" s="1933" customFormat="1" ht="23.75" customHeight="1" spans="1:31">
      <c r="A28" s="2095"/>
      <c r="B28" s="1141" t="s">
        <v>545</v>
      </c>
      <c r="C28" s="2121" t="s">
        <v>546</v>
      </c>
      <c r="D28" s="2121" t="s">
        <v>540</v>
      </c>
      <c r="E28" s="245"/>
      <c r="F28" s="2177"/>
      <c r="G28" s="2177"/>
      <c r="H28" s="2127">
        <v>50000</v>
      </c>
      <c r="I28" s="2104"/>
      <c r="J28" s="2115"/>
      <c r="K28" s="2174"/>
      <c r="L28" s="2174"/>
      <c r="M28" s="2174"/>
      <c r="N28" s="157"/>
      <c r="O28" s="40"/>
      <c r="P28" s="34"/>
      <c r="Q28" s="34"/>
      <c r="R28" s="1952"/>
      <c r="S28" s="2276"/>
      <c r="T28" s="34"/>
      <c r="U28" s="34"/>
      <c r="V28" s="34"/>
      <c r="W28" s="34"/>
      <c r="X28" s="40"/>
      <c r="Y28" s="40"/>
      <c r="Z28" s="40"/>
      <c r="AA28" s="40"/>
      <c r="AB28" s="40"/>
      <c r="AC28" s="664"/>
      <c r="AD28" s="185"/>
      <c r="AE28" s="40"/>
    </row>
    <row r="29" s="1933" customFormat="1" ht="23.75" customHeight="1" spans="1:31">
      <c r="A29" s="2095"/>
      <c r="B29" s="1141" t="s">
        <v>547</v>
      </c>
      <c r="C29" s="2121" t="s">
        <v>548</v>
      </c>
      <c r="D29" s="2121" t="s">
        <v>290</v>
      </c>
      <c r="E29" s="245"/>
      <c r="F29" s="2177"/>
      <c r="G29" s="2177"/>
      <c r="H29" s="2127">
        <v>64000</v>
      </c>
      <c r="I29" s="2104"/>
      <c r="J29" s="2115"/>
      <c r="K29" s="2174"/>
      <c r="L29" s="2174"/>
      <c r="M29" s="2174"/>
      <c r="N29" s="157"/>
      <c r="O29" s="40"/>
      <c r="P29" s="34"/>
      <c r="Q29" s="34"/>
      <c r="R29" s="1952"/>
      <c r="S29" s="2276"/>
      <c r="T29" s="34"/>
      <c r="U29" s="34"/>
      <c r="V29" s="34"/>
      <c r="W29" s="34"/>
      <c r="X29" s="40"/>
      <c r="Y29" s="40"/>
      <c r="Z29" s="40"/>
      <c r="AA29" s="40"/>
      <c r="AB29" s="40"/>
      <c r="AC29" s="664"/>
      <c r="AD29" s="185"/>
      <c r="AE29" s="40"/>
    </row>
    <row r="30" s="11" customFormat="1" ht="23.75" customHeight="1" spans="1:31">
      <c r="A30" s="2095"/>
      <c r="B30" s="1141" t="s">
        <v>549</v>
      </c>
      <c r="C30" s="2121" t="s">
        <v>550</v>
      </c>
      <c r="D30" s="2321" t="s">
        <v>551</v>
      </c>
      <c r="E30" s="2322"/>
      <c r="F30" s="2323"/>
      <c r="G30" s="2349"/>
      <c r="H30" s="2127">
        <v>210000</v>
      </c>
      <c r="I30" s="2353"/>
      <c r="J30" s="2126"/>
      <c r="K30" s="2127"/>
      <c r="L30" s="1985"/>
      <c r="M30" s="2356"/>
      <c r="N30" s="157" t="s">
        <v>552</v>
      </c>
      <c r="O30" s="2114"/>
      <c r="P30" s="2014" t="s">
        <v>553</v>
      </c>
      <c r="Q30" s="34"/>
      <c r="R30" s="1952"/>
      <c r="S30" s="2276"/>
      <c r="T30" s="34"/>
      <c r="U30" s="34"/>
      <c r="V30" s="34"/>
      <c r="W30" s="34"/>
      <c r="X30" s="40"/>
      <c r="Y30" s="40"/>
      <c r="Z30" s="40"/>
      <c r="AA30" s="40"/>
      <c r="AB30" s="40"/>
      <c r="AC30" s="664"/>
      <c r="AD30" s="185"/>
      <c r="AE30" s="40"/>
    </row>
    <row r="31" s="11" customFormat="1" ht="23.75" customHeight="1" spans="1:31">
      <c r="A31" s="2095"/>
      <c r="B31" s="1141" t="s">
        <v>287</v>
      </c>
      <c r="C31" s="2121" t="s">
        <v>554</v>
      </c>
      <c r="D31" s="2321"/>
      <c r="E31" s="2322"/>
      <c r="F31" s="2323"/>
      <c r="G31" s="2349">
        <v>7370</v>
      </c>
      <c r="H31" s="2127">
        <v>47831</v>
      </c>
      <c r="I31" s="2354"/>
      <c r="J31" s="2126"/>
      <c r="K31" s="2127"/>
      <c r="L31" s="1985"/>
      <c r="M31" s="2356" t="s">
        <v>555</v>
      </c>
      <c r="N31" s="157"/>
      <c r="O31" s="2114"/>
      <c r="P31" s="2014"/>
      <c r="Q31" s="34"/>
      <c r="R31" s="1952"/>
      <c r="S31" s="2276"/>
      <c r="T31" s="34"/>
      <c r="U31" s="34"/>
      <c r="V31" s="34"/>
      <c r="W31" s="34"/>
      <c r="X31" s="40"/>
      <c r="Y31" s="40"/>
      <c r="Z31" s="40"/>
      <c r="AA31" s="40"/>
      <c r="AB31" s="40"/>
      <c r="AC31" s="664"/>
      <c r="AD31" s="185"/>
      <c r="AE31" s="40"/>
    </row>
    <row r="32" ht="27.5" customHeight="1" spans="1:31">
      <c r="A32" s="2347" t="s">
        <v>556</v>
      </c>
      <c r="B32" s="2348"/>
      <c r="C32" s="1951"/>
      <c r="D32" s="1951"/>
      <c r="E32" s="1973"/>
      <c r="F32" s="1974"/>
      <c r="G32" s="1974"/>
      <c r="H32" s="2350">
        <f>SUM(H19:H31)</f>
        <v>1836460.776</v>
      </c>
      <c r="I32" s="2355"/>
      <c r="J32" s="2355"/>
      <c r="K32" s="99"/>
      <c r="L32" s="99"/>
      <c r="M32" s="185"/>
      <c r="N32" s="185"/>
      <c r="O32" s="2016"/>
      <c r="P32" s="40"/>
      <c r="Q32" s="40"/>
      <c r="R32" s="523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1956"/>
      <c r="AD32" s="1951" t="s">
        <v>293</v>
      </c>
      <c r="AE32" s="1951"/>
    </row>
    <row r="33" ht="17.25" spans="1:31">
      <c r="A33" s="1958" t="s">
        <v>344</v>
      </c>
      <c r="B33" s="1959" t="s">
        <v>299</v>
      </c>
      <c r="C33" s="1883" t="s">
        <v>557</v>
      </c>
      <c r="D33" s="819" t="s">
        <v>348</v>
      </c>
      <c r="E33" s="1976">
        <v>91</v>
      </c>
      <c r="F33" s="1545">
        <v>361</v>
      </c>
      <c r="G33" s="1545"/>
      <c r="H33" s="1977">
        <f>E33*F33*I33</f>
        <v>213186.5645</v>
      </c>
      <c r="I33" s="1992">
        <v>6.4895</v>
      </c>
      <c r="J33" s="1061" t="s">
        <v>558</v>
      </c>
      <c r="K33" s="259"/>
      <c r="L33" s="2243"/>
      <c r="M33" s="2017"/>
      <c r="N33" s="2018"/>
      <c r="O33" s="2019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31"/>
      <c r="AD33" s="1959"/>
      <c r="AE33" s="2020"/>
    </row>
    <row r="34" ht="17.25" spans="1:31">
      <c r="A34" s="1958"/>
      <c r="B34" s="1959" t="s">
        <v>299</v>
      </c>
      <c r="C34" s="1883" t="s">
        <v>559</v>
      </c>
      <c r="D34" s="819" t="s">
        <v>348</v>
      </c>
      <c r="E34" s="1976">
        <v>91</v>
      </c>
      <c r="F34" s="1545">
        <v>361</v>
      </c>
      <c r="G34" s="1545"/>
      <c r="H34" s="1977">
        <f>E34*F34*I34</f>
        <v>213186.5645</v>
      </c>
      <c r="I34" s="1992">
        <v>6.4895</v>
      </c>
      <c r="J34" s="1061" t="s">
        <v>558</v>
      </c>
      <c r="K34" s="2325"/>
      <c r="L34" s="2237"/>
      <c r="M34" s="2017"/>
      <c r="N34" s="2018"/>
      <c r="O34" s="2019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31"/>
      <c r="AD34" s="2331"/>
      <c r="AE34" s="2033"/>
    </row>
    <row r="35" ht="17.25" spans="1:31">
      <c r="A35" s="1958"/>
      <c r="B35" s="1959" t="s">
        <v>299</v>
      </c>
      <c r="C35" s="1883" t="s">
        <v>560</v>
      </c>
      <c r="D35" s="819" t="s">
        <v>348</v>
      </c>
      <c r="E35" s="1976">
        <v>91</v>
      </c>
      <c r="F35" s="1545">
        <v>361</v>
      </c>
      <c r="G35" s="1545"/>
      <c r="H35" s="1977">
        <f>E35*F35*I35</f>
        <v>213186.5645</v>
      </c>
      <c r="I35" s="1992">
        <v>6.4895</v>
      </c>
      <c r="J35" s="2324" t="s">
        <v>561</v>
      </c>
      <c r="K35" s="683">
        <f>SUM(H33:H38)</f>
        <v>1088315.108</v>
      </c>
      <c r="L35" s="2237"/>
      <c r="M35" s="2017"/>
      <c r="N35" s="2018"/>
      <c r="O35" s="2019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31"/>
      <c r="AD35" s="2032"/>
      <c r="AE35" s="2033"/>
    </row>
    <row r="36" ht="17.25" spans="1:31">
      <c r="A36" s="1958"/>
      <c r="B36" s="1959" t="s">
        <v>299</v>
      </c>
      <c r="C36" s="1883" t="s">
        <v>562</v>
      </c>
      <c r="D36" s="819" t="s">
        <v>348</v>
      </c>
      <c r="E36" s="1976">
        <v>91</v>
      </c>
      <c r="F36" s="1545">
        <v>361</v>
      </c>
      <c r="G36" s="1545"/>
      <c r="H36" s="1977">
        <f>E36*F36*I36</f>
        <v>213186.5645</v>
      </c>
      <c r="I36" s="1992">
        <v>6.4895</v>
      </c>
      <c r="J36" s="2324" t="s">
        <v>561</v>
      </c>
      <c r="K36" s="2325"/>
      <c r="L36" s="2237"/>
      <c r="M36" s="2017"/>
      <c r="N36" s="2018"/>
      <c r="O36" s="2019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31"/>
      <c r="AD36" s="2032"/>
      <c r="AE36" s="2033"/>
    </row>
    <row r="37" ht="17.25" spans="1:31">
      <c r="A37" s="1958"/>
      <c r="B37" s="1959"/>
      <c r="C37" s="2225"/>
      <c r="D37" s="819"/>
      <c r="E37" s="1976"/>
      <c r="F37" s="1545"/>
      <c r="G37" s="1545"/>
      <c r="H37" s="1977"/>
      <c r="I37" s="1992"/>
      <c r="J37" s="606"/>
      <c r="K37" s="2325"/>
      <c r="L37" s="2237"/>
      <c r="M37" s="2017"/>
      <c r="N37" s="2018"/>
      <c r="O37" s="2019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31"/>
      <c r="AD37" s="2032"/>
      <c r="AE37" s="2033"/>
    </row>
    <row r="38" ht="17.25" spans="1:31">
      <c r="A38" s="1958"/>
      <c r="B38" s="1959" t="s">
        <v>299</v>
      </c>
      <c r="C38" s="1883" t="s">
        <v>563</v>
      </c>
      <c r="D38" s="819" t="s">
        <v>564</v>
      </c>
      <c r="E38" s="1976">
        <v>55</v>
      </c>
      <c r="F38" s="1545">
        <v>660</v>
      </c>
      <c r="G38" s="1545"/>
      <c r="H38" s="1977">
        <f>E38*F38*I38</f>
        <v>235568.85</v>
      </c>
      <c r="I38" s="1992">
        <v>6.4895</v>
      </c>
      <c r="J38" s="2324" t="s">
        <v>565</v>
      </c>
      <c r="K38" s="2325"/>
      <c r="L38" s="2237"/>
      <c r="M38" s="2017"/>
      <c r="N38" s="2018"/>
      <c r="O38" s="2019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31"/>
      <c r="AD38" s="2032"/>
      <c r="AE38" s="2033"/>
    </row>
    <row r="39" ht="17.25" spans="1:31">
      <c r="A39" s="1958"/>
      <c r="B39" s="1959"/>
      <c r="C39" s="2225"/>
      <c r="D39" s="819"/>
      <c r="E39" s="1976"/>
      <c r="F39" s="1545"/>
      <c r="G39" s="1545"/>
      <c r="H39" s="1977"/>
      <c r="I39" s="1992"/>
      <c r="J39" s="1959"/>
      <c r="K39" s="2326"/>
      <c r="L39" s="2243"/>
      <c r="M39" s="2020"/>
      <c r="N39" s="2018"/>
      <c r="O39" s="2019"/>
      <c r="P39" s="2020"/>
      <c r="Q39" s="2020"/>
      <c r="R39" s="2025"/>
      <c r="S39" s="2020"/>
      <c r="T39" s="2020"/>
      <c r="U39" s="2020"/>
      <c r="V39" s="2020"/>
      <c r="W39" s="2020"/>
      <c r="X39" s="2020"/>
      <c r="Y39" s="2020"/>
      <c r="Z39" s="2020"/>
      <c r="AA39" s="2020"/>
      <c r="AB39" s="2020"/>
      <c r="AC39" s="2031"/>
      <c r="AD39" s="2034"/>
      <c r="AE39" s="2020"/>
    </row>
    <row r="40" ht="17.25" spans="1:31">
      <c r="A40" s="1958"/>
      <c r="B40" s="1959" t="s">
        <v>133</v>
      </c>
      <c r="C40" s="1883" t="s">
        <v>566</v>
      </c>
      <c r="D40" s="819" t="s">
        <v>567</v>
      </c>
      <c r="E40" s="1976">
        <v>1</v>
      </c>
      <c r="F40" s="2234">
        <v>32980</v>
      </c>
      <c r="G40" s="1545"/>
      <c r="H40" s="1977">
        <f t="shared" ref="H40:H44" si="0">E40*F40*I40</f>
        <v>214023.71</v>
      </c>
      <c r="I40" s="1992">
        <v>6.4895</v>
      </c>
      <c r="J40" s="1959" t="s">
        <v>568</v>
      </c>
      <c r="K40" s="2326"/>
      <c r="L40" s="2243"/>
      <c r="M40" s="2020"/>
      <c r="N40" s="2018"/>
      <c r="O40" s="2019"/>
      <c r="P40" s="2020"/>
      <c r="Q40" s="2020"/>
      <c r="R40" s="2025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031"/>
      <c r="AD40" s="2034"/>
      <c r="AE40" s="2020"/>
    </row>
    <row r="41" ht="17.25" spans="1:31">
      <c r="A41" s="1958"/>
      <c r="B41" s="1959"/>
      <c r="C41" s="2225"/>
      <c r="D41" s="819"/>
      <c r="E41" s="1976"/>
      <c r="F41" s="2234"/>
      <c r="G41" s="1545"/>
      <c r="H41" s="1977"/>
      <c r="I41" s="1992"/>
      <c r="J41" s="1959"/>
      <c r="K41" s="2326"/>
      <c r="L41" s="2243"/>
      <c r="M41" s="2020"/>
      <c r="N41" s="2018"/>
      <c r="O41" s="2019"/>
      <c r="P41" s="2020"/>
      <c r="Q41" s="2020"/>
      <c r="R41" s="2025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31"/>
      <c r="AD41" s="2034"/>
      <c r="AE41" s="2020"/>
    </row>
    <row r="42" ht="17.25" spans="1:31">
      <c r="A42" s="2011"/>
      <c r="B42" s="1959"/>
      <c r="C42" s="2225"/>
      <c r="D42" s="819"/>
      <c r="E42" s="2270"/>
      <c r="F42" s="2234"/>
      <c r="G42" s="1545"/>
      <c r="H42" s="1977"/>
      <c r="I42" s="1992"/>
      <c r="J42" s="247"/>
      <c r="K42" s="2326"/>
      <c r="L42" s="2243"/>
      <c r="M42" s="2020"/>
      <c r="N42" s="2018"/>
      <c r="O42" s="2019"/>
      <c r="P42" s="2020"/>
      <c r="Q42" s="2020"/>
      <c r="R42" s="2025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31"/>
      <c r="AD42" s="2034"/>
      <c r="AE42" s="2020"/>
    </row>
    <row r="43" ht="17.25" spans="1:31">
      <c r="A43" s="2153" t="s">
        <v>220</v>
      </c>
      <c r="B43" s="2357" t="s">
        <v>258</v>
      </c>
      <c r="C43" s="1903" t="s">
        <v>569</v>
      </c>
      <c r="D43" s="648" t="s">
        <v>570</v>
      </c>
      <c r="E43" s="2254">
        <v>44</v>
      </c>
      <c r="F43" s="2364">
        <v>900</v>
      </c>
      <c r="G43" s="1545"/>
      <c r="H43" s="1977">
        <f t="shared" si="0"/>
        <v>256984.2</v>
      </c>
      <c r="I43" s="1992">
        <v>6.4895</v>
      </c>
      <c r="J43" s="2369" t="s">
        <v>571</v>
      </c>
      <c r="K43" s="2326"/>
      <c r="L43" s="2243"/>
      <c r="M43" s="2020"/>
      <c r="N43" s="2018"/>
      <c r="O43" s="2019"/>
      <c r="P43" s="2020"/>
      <c r="Q43" s="2020"/>
      <c r="R43" s="2025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75"/>
      <c r="AD43" s="2157"/>
      <c r="AE43" s="2033"/>
    </row>
    <row r="44" ht="17.25" spans="1:31">
      <c r="A44" s="2153"/>
      <c r="B44" s="2357" t="s">
        <v>503</v>
      </c>
      <c r="C44" s="1903" t="s">
        <v>572</v>
      </c>
      <c r="D44" s="648">
        <v>5412</v>
      </c>
      <c r="E44" s="2254">
        <v>33</v>
      </c>
      <c r="F44" s="2364">
        <v>243</v>
      </c>
      <c r="G44" s="1545"/>
      <c r="H44" s="1977">
        <f t="shared" si="0"/>
        <v>52039.3005</v>
      </c>
      <c r="I44" s="1992">
        <v>6.4895</v>
      </c>
      <c r="J44" s="2369" t="s">
        <v>573</v>
      </c>
      <c r="K44" s="2326"/>
      <c r="L44" s="2243"/>
      <c r="M44" s="2020"/>
      <c r="N44" s="2018"/>
      <c r="O44" s="2019"/>
      <c r="P44" s="2020"/>
      <c r="Q44" s="2020"/>
      <c r="R44" s="2025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75"/>
      <c r="AD44" s="2157"/>
      <c r="AE44" s="2033"/>
    </row>
    <row r="45" ht="17.25" spans="1:31">
      <c r="A45" s="2011"/>
      <c r="B45" s="2358"/>
      <c r="C45" s="1303"/>
      <c r="D45" s="571"/>
      <c r="E45" s="1736"/>
      <c r="F45" s="2365"/>
      <c r="G45" s="1545"/>
      <c r="H45" s="1977"/>
      <c r="I45" s="1992"/>
      <c r="J45" s="2369"/>
      <c r="K45" s="2326"/>
      <c r="L45" s="2243"/>
      <c r="M45" s="2020"/>
      <c r="N45" s="2018"/>
      <c r="O45" s="2019"/>
      <c r="P45" s="2020"/>
      <c r="Q45" s="2020"/>
      <c r="R45" s="2025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075"/>
      <c r="AD45" s="2157"/>
      <c r="AE45" s="2033"/>
    </row>
    <row r="46" s="10" customFormat="1" spans="1:31">
      <c r="A46" s="1389" t="s">
        <v>509</v>
      </c>
      <c r="B46" s="2034" t="s">
        <v>274</v>
      </c>
      <c r="C46" s="1903" t="s">
        <v>574</v>
      </c>
      <c r="D46" s="819"/>
      <c r="E46" s="1976"/>
      <c r="F46" s="2164">
        <v>8055</v>
      </c>
      <c r="G46" s="1327"/>
      <c r="H46" s="1977">
        <f>I46*F46</f>
        <v>52272.9225</v>
      </c>
      <c r="I46" s="1992">
        <v>6.4895</v>
      </c>
      <c r="J46" s="2370" t="s">
        <v>575</v>
      </c>
      <c r="K46" s="2337">
        <f>SUM(H46:H48)</f>
        <v>359300.2135</v>
      </c>
      <c r="L46" s="2164"/>
      <c r="M46" s="1389"/>
      <c r="N46" s="1187"/>
      <c r="O46" s="2070"/>
      <c r="P46" s="1389"/>
      <c r="Q46" s="1389"/>
      <c r="R46" s="945"/>
      <c r="S46" s="1389"/>
      <c r="T46" s="1389"/>
      <c r="U46" s="1389"/>
      <c r="V46" s="1389"/>
      <c r="W46" s="1389"/>
      <c r="X46" s="1389"/>
      <c r="Y46" s="1389"/>
      <c r="Z46" s="1389"/>
      <c r="AA46" s="1389"/>
      <c r="AB46" s="1389"/>
      <c r="AC46" s="2076"/>
      <c r="AD46" s="648" t="s">
        <v>513</v>
      </c>
      <c r="AE46" s="1389"/>
    </row>
    <row r="47" s="10" customFormat="1" spans="1:31">
      <c r="A47" s="1389"/>
      <c r="B47" s="2034" t="s">
        <v>274</v>
      </c>
      <c r="C47" s="1903" t="s">
        <v>576</v>
      </c>
      <c r="D47" s="819"/>
      <c r="E47" s="1976"/>
      <c r="F47" s="2164">
        <v>14258</v>
      </c>
      <c r="G47" s="1327"/>
      <c r="H47" s="1977">
        <f>I47*F47</f>
        <v>92527.291</v>
      </c>
      <c r="I47" s="1992">
        <v>6.4895</v>
      </c>
      <c r="J47" s="2371" t="s">
        <v>577</v>
      </c>
      <c r="K47" s="2337"/>
      <c r="L47" s="2164"/>
      <c r="M47" s="1389"/>
      <c r="N47" s="1187"/>
      <c r="O47" s="2070"/>
      <c r="P47" s="1389"/>
      <c r="Q47" s="1389"/>
      <c r="R47" s="945"/>
      <c r="S47" s="1389"/>
      <c r="T47" s="1389"/>
      <c r="U47" s="1389"/>
      <c r="V47" s="1389"/>
      <c r="W47" s="1389"/>
      <c r="X47" s="1389"/>
      <c r="Y47" s="1389"/>
      <c r="Z47" s="1389"/>
      <c r="AA47" s="1389"/>
      <c r="AB47" s="1389"/>
      <c r="AC47" s="2076"/>
      <c r="AD47" s="648"/>
      <c r="AE47" s="1389"/>
    </row>
    <row r="48" s="10" customFormat="1" spans="1:31">
      <c r="A48" s="1389"/>
      <c r="B48" s="2034" t="s">
        <v>324</v>
      </c>
      <c r="C48" s="1903" t="s">
        <v>578</v>
      </c>
      <c r="D48" s="819" t="s">
        <v>354</v>
      </c>
      <c r="E48" s="1976">
        <v>66</v>
      </c>
      <c r="F48" s="2164">
        <v>500</v>
      </c>
      <c r="G48" s="1327"/>
      <c r="H48" s="1977">
        <v>214500</v>
      </c>
      <c r="I48" s="1992">
        <v>6.4895</v>
      </c>
      <c r="J48" s="1073" t="s">
        <v>565</v>
      </c>
      <c r="K48" s="2337"/>
      <c r="L48" s="2164"/>
      <c r="M48" s="1389"/>
      <c r="N48" s="1187"/>
      <c r="O48" s="2070"/>
      <c r="P48" s="1389"/>
      <c r="Q48" s="1389"/>
      <c r="R48" s="945"/>
      <c r="S48" s="1389"/>
      <c r="T48" s="1389"/>
      <c r="U48" s="1389"/>
      <c r="V48" s="1389"/>
      <c r="W48" s="1389"/>
      <c r="X48" s="1389"/>
      <c r="Y48" s="1389"/>
      <c r="Z48" s="1389"/>
      <c r="AA48" s="1389"/>
      <c r="AB48" s="1389"/>
      <c r="AC48" s="2076"/>
      <c r="AD48" s="648"/>
      <c r="AE48" s="1389"/>
    </row>
    <row r="49" s="10" customFormat="1" spans="1:31">
      <c r="A49" s="1389"/>
      <c r="B49" s="2034"/>
      <c r="C49" s="561"/>
      <c r="D49" s="819"/>
      <c r="E49" s="1976"/>
      <c r="F49" s="2164"/>
      <c r="G49" s="1327"/>
      <c r="H49" s="1977"/>
      <c r="I49" s="1992"/>
      <c r="J49" s="1073"/>
      <c r="K49" s="2337"/>
      <c r="L49" s="2164"/>
      <c r="M49" s="1389"/>
      <c r="N49" s="1187"/>
      <c r="O49" s="2070"/>
      <c r="P49" s="1389"/>
      <c r="Q49" s="1389"/>
      <c r="R49" s="945"/>
      <c r="S49" s="1389"/>
      <c r="T49" s="1389"/>
      <c r="U49" s="1389"/>
      <c r="V49" s="1389"/>
      <c r="W49" s="1389"/>
      <c r="X49" s="1389"/>
      <c r="Y49" s="1389"/>
      <c r="Z49" s="1389"/>
      <c r="AA49" s="1389"/>
      <c r="AB49" s="1389"/>
      <c r="AC49" s="2076"/>
      <c r="AD49" s="648"/>
      <c r="AE49" s="1389"/>
    </row>
    <row r="50" s="10" customFormat="1" spans="1:31">
      <c r="A50" s="1389"/>
      <c r="B50" s="2359"/>
      <c r="C50" s="2360"/>
      <c r="D50" s="2282"/>
      <c r="E50" s="2284"/>
      <c r="F50" s="2285"/>
      <c r="G50" s="2046"/>
      <c r="H50" s="2047"/>
      <c r="I50" s="2055"/>
      <c r="J50" s="2372"/>
      <c r="K50" s="2063"/>
      <c r="L50" s="2054"/>
      <c r="M50" s="1389"/>
      <c r="N50" s="1187"/>
      <c r="O50" s="2070"/>
      <c r="P50" s="1389"/>
      <c r="Q50" s="1389"/>
      <c r="R50" s="2291"/>
      <c r="S50" s="1389"/>
      <c r="T50" s="1389"/>
      <c r="U50" s="1389"/>
      <c r="V50" s="1389"/>
      <c r="W50" s="1389"/>
      <c r="X50" s="1389"/>
      <c r="Y50" s="1389"/>
      <c r="Z50" s="1389"/>
      <c r="AA50" s="1389"/>
      <c r="AB50" s="1389"/>
      <c r="AC50" s="2341"/>
      <c r="AD50" s="2342"/>
      <c r="AE50" s="2343"/>
    </row>
    <row r="51" ht="17.25" spans="1:31">
      <c r="A51" s="2011"/>
      <c r="B51" s="2361"/>
      <c r="C51" s="2362"/>
      <c r="D51" s="2363"/>
      <c r="E51" s="2366"/>
      <c r="F51" s="2367"/>
      <c r="G51" s="2368"/>
      <c r="H51" s="2047"/>
      <c r="I51" s="2055"/>
      <c r="J51" s="2373"/>
      <c r="K51" s="2064"/>
      <c r="L51" s="2065"/>
      <c r="M51" s="2020"/>
      <c r="N51" s="2071"/>
      <c r="O51" s="2019"/>
      <c r="P51" s="2020"/>
      <c r="Q51" s="2020"/>
      <c r="R51" s="2073"/>
      <c r="S51" s="2020"/>
      <c r="T51" s="2020"/>
      <c r="U51" s="2020"/>
      <c r="V51" s="2020"/>
      <c r="W51" s="2020"/>
      <c r="X51" s="2020"/>
      <c r="Y51" s="2020"/>
      <c r="Z51" s="2020"/>
      <c r="AA51" s="2020"/>
      <c r="AB51" s="2020"/>
      <c r="AC51" s="2332"/>
      <c r="AD51" s="2333"/>
      <c r="AE51" s="2334"/>
    </row>
    <row r="52" ht="17.25" spans="1:31">
      <c r="A52" s="2035"/>
      <c r="B52" s="2035"/>
      <c r="C52" s="2362"/>
      <c r="D52" s="2363"/>
      <c r="E52" s="2366"/>
      <c r="F52" s="2367"/>
      <c r="G52" s="2368"/>
      <c r="H52" s="2047"/>
      <c r="I52" s="2055"/>
      <c r="J52" s="2373"/>
      <c r="K52" s="2064"/>
      <c r="L52" s="2065"/>
      <c r="M52" s="2020"/>
      <c r="N52" s="2071"/>
      <c r="O52" s="2019"/>
      <c r="P52" s="2020"/>
      <c r="Q52" s="2020"/>
      <c r="R52" s="2073"/>
      <c r="S52" s="2020"/>
      <c r="T52" s="2020"/>
      <c r="U52" s="2020"/>
      <c r="V52" s="2020"/>
      <c r="W52" s="2020"/>
      <c r="X52" s="2020"/>
      <c r="Y52" s="2020"/>
      <c r="Z52" s="2020"/>
      <c r="AA52" s="2020"/>
      <c r="AB52" s="2020"/>
      <c r="AC52" s="2332"/>
      <c r="AD52" s="2333"/>
      <c r="AE52" s="2334"/>
    </row>
    <row r="53" customHeight="1" spans="1:31">
      <c r="A53" s="2039" t="s">
        <v>67</v>
      </c>
      <c r="B53" s="2039"/>
      <c r="C53" s="2040"/>
      <c r="D53" s="2040"/>
      <c r="E53" s="2048"/>
      <c r="F53" s="2049"/>
      <c r="G53" s="2049"/>
      <c r="H53" s="2050">
        <f>SUM(H33:H52)</f>
        <v>1970662.532</v>
      </c>
      <c r="I53" s="2066"/>
      <c r="J53" s="2050">
        <v>0</v>
      </c>
      <c r="K53" s="2067">
        <v>0</v>
      </c>
      <c r="L53" s="2068">
        <v>0</v>
      </c>
      <c r="M53" s="474"/>
      <c r="N53" s="474"/>
      <c r="O53" s="2072"/>
      <c r="P53" s="2011"/>
      <c r="Q53" s="2011"/>
      <c r="R53" s="2074"/>
      <c r="S53" s="2011"/>
      <c r="T53" s="2011"/>
      <c r="U53" s="2011"/>
      <c r="V53" s="2011"/>
      <c r="W53" s="2011"/>
      <c r="X53" s="2011"/>
      <c r="Y53" s="2011"/>
      <c r="Z53" s="2011"/>
      <c r="AA53" s="2011"/>
      <c r="AB53" s="2011"/>
      <c r="AC53" s="2295"/>
      <c r="AD53" s="2040" t="s">
        <v>325</v>
      </c>
      <c r="AE53" s="2040"/>
    </row>
    <row r="54" spans="1:31">
      <c r="A54" s="2001"/>
      <c r="B54" s="2001"/>
      <c r="C54" s="2001"/>
      <c r="D54" s="2001"/>
      <c r="E54" s="2051"/>
      <c r="F54" s="2001"/>
      <c r="G54" s="2001"/>
      <c r="H54" s="2052"/>
      <c r="I54" s="2001"/>
      <c r="J54" s="2001"/>
      <c r="K54" s="2001"/>
      <c r="L54" s="2001"/>
      <c r="M54" s="2001"/>
      <c r="N54" s="2001"/>
      <c r="O54" s="2002"/>
      <c r="P54" s="2001"/>
      <c r="Q54" s="2001"/>
      <c r="R54" s="2001"/>
      <c r="S54" s="2001"/>
      <c r="T54" s="2001"/>
      <c r="U54" s="2001"/>
      <c r="V54" s="2001"/>
      <c r="W54" s="2001"/>
      <c r="X54" s="2001"/>
      <c r="Y54" s="2001"/>
      <c r="Z54" s="2001"/>
      <c r="AA54" s="2001"/>
      <c r="AB54" s="2001"/>
      <c r="AC54" s="2001"/>
      <c r="AD54" s="2001"/>
      <c r="AE54" s="2001"/>
    </row>
    <row r="55" spans="1:31">
      <c r="A55" s="2001"/>
      <c r="B55" s="2001"/>
      <c r="C55" s="2001"/>
      <c r="D55" s="2001"/>
      <c r="E55" s="2051"/>
      <c r="F55" s="2001"/>
      <c r="G55" s="2001"/>
      <c r="H55" s="2052"/>
      <c r="I55" s="2001"/>
      <c r="J55" s="2001"/>
      <c r="K55" s="2001"/>
      <c r="L55" s="2001"/>
      <c r="M55" s="2001"/>
      <c r="N55" s="2001"/>
      <c r="O55" s="2002"/>
      <c r="P55" s="2001"/>
      <c r="Q55" s="2001"/>
      <c r="R55" s="2001"/>
      <c r="S55" s="2001"/>
      <c r="T55" s="2001"/>
      <c r="U55" s="2001"/>
      <c r="V55" s="2001"/>
      <c r="W55" s="2001"/>
      <c r="X55" s="2001"/>
      <c r="Y55" s="2001"/>
      <c r="Z55" s="2001"/>
      <c r="AA55" s="2001"/>
      <c r="AB55" s="2001"/>
      <c r="AC55" s="2001"/>
      <c r="AD55" s="2001"/>
      <c r="AE55" s="2001"/>
    </row>
    <row r="56" spans="1:31">
      <c r="A56" s="2001"/>
      <c r="B56" s="2001"/>
      <c r="C56" s="2001" t="s">
        <v>139</v>
      </c>
      <c r="D56" s="2001" t="s">
        <v>140</v>
      </c>
      <c r="E56" s="2051"/>
      <c r="F56" s="2001" t="s">
        <v>141</v>
      </c>
      <c r="G56" s="2001"/>
      <c r="H56" s="2052">
        <f>H17+H32+H53</f>
        <v>6555977.808</v>
      </c>
      <c r="I56" s="2001"/>
      <c r="J56" s="2001" t="s">
        <v>579</v>
      </c>
      <c r="K56" s="2069">
        <f>H17</f>
        <v>2748854.5</v>
      </c>
      <c r="L56" s="2001"/>
      <c r="M56" s="2069"/>
      <c r="N56" s="2001"/>
      <c r="O56" s="2002"/>
      <c r="P56" s="2001"/>
      <c r="Q56" s="2001"/>
      <c r="R56" s="2001"/>
      <c r="S56" s="2001"/>
      <c r="T56" s="2001"/>
      <c r="U56" s="2001"/>
      <c r="V56" s="2001"/>
      <c r="W56" s="2001"/>
      <c r="X56" s="2001"/>
      <c r="Y56" s="2001"/>
      <c r="Z56" s="2001"/>
      <c r="AA56" s="2001"/>
      <c r="AB56" s="2001"/>
      <c r="AC56" s="2001"/>
      <c r="AD56" s="2001"/>
      <c r="AE56" s="2001"/>
    </row>
    <row r="57" spans="1:31">
      <c r="A57" s="2001"/>
      <c r="B57" s="2001"/>
      <c r="C57" s="2001"/>
      <c r="D57" s="2001"/>
      <c r="E57" s="2051"/>
      <c r="F57" s="2001"/>
      <c r="G57" s="2001"/>
      <c r="H57" s="2052"/>
      <c r="I57" s="2001"/>
      <c r="J57" s="2001" t="s">
        <v>580</v>
      </c>
      <c r="K57" s="2069">
        <f>H32</f>
        <v>1836460.776</v>
      </c>
      <c r="L57" s="2001"/>
      <c r="M57" s="2069"/>
      <c r="N57" s="2001"/>
      <c r="O57" s="2002"/>
      <c r="P57" s="2001"/>
      <c r="Q57" s="2001"/>
      <c r="R57" s="2001"/>
      <c r="S57" s="2001"/>
      <c r="T57" s="2001"/>
      <c r="U57" s="2001"/>
      <c r="V57" s="2001"/>
      <c r="W57" s="2001"/>
      <c r="X57" s="2001"/>
      <c r="Y57" s="2001"/>
      <c r="Z57" s="2001"/>
      <c r="AA57" s="2001"/>
      <c r="AB57" s="2001"/>
      <c r="AC57" s="2001"/>
      <c r="AD57" s="2001"/>
      <c r="AE57" s="2001"/>
    </row>
    <row r="58" spans="1:31">
      <c r="A58" s="2001"/>
      <c r="B58" s="2001"/>
      <c r="C58" s="2001"/>
      <c r="D58" s="2001"/>
      <c r="E58" s="2051"/>
      <c r="F58" s="2001"/>
      <c r="G58" s="2001"/>
      <c r="H58" s="2052"/>
      <c r="I58" s="2001"/>
      <c r="J58" s="2001" t="s">
        <v>581</v>
      </c>
      <c r="K58" s="2069">
        <f>H53</f>
        <v>1970662.532</v>
      </c>
      <c r="L58" s="2001"/>
      <c r="M58" s="2069"/>
      <c r="N58" s="2001"/>
      <c r="O58" s="2002"/>
      <c r="P58" s="2001"/>
      <c r="Q58" s="2001"/>
      <c r="R58" s="2001"/>
      <c r="S58" s="2001"/>
      <c r="T58" s="2001"/>
      <c r="U58" s="2001"/>
      <c r="V58" s="2001"/>
      <c r="W58" s="2001"/>
      <c r="X58" s="2001"/>
      <c r="Y58" s="2001"/>
      <c r="Z58" s="2001"/>
      <c r="AA58" s="2001"/>
      <c r="AB58" s="2001"/>
      <c r="AC58" s="2001"/>
      <c r="AD58" s="2001"/>
      <c r="AE58" s="2001"/>
    </row>
    <row r="59" spans="1:31">
      <c r="A59" s="2001"/>
      <c r="B59" s="2001"/>
      <c r="C59" s="2001"/>
      <c r="D59" s="2001"/>
      <c r="E59" s="2051"/>
      <c r="F59" s="2001"/>
      <c r="G59" s="2001"/>
      <c r="H59" s="2052"/>
      <c r="I59" s="2001"/>
      <c r="J59" s="2001"/>
      <c r="K59" s="2069">
        <f>SUM(K56:K58)</f>
        <v>6555977.808</v>
      </c>
      <c r="L59" s="2001"/>
      <c r="M59" s="2069"/>
      <c r="N59" s="2001"/>
      <c r="O59" s="2002"/>
      <c r="P59" s="2001"/>
      <c r="Q59" s="2001"/>
      <c r="R59" s="2001"/>
      <c r="S59" s="2001"/>
      <c r="T59" s="2001"/>
      <c r="U59" s="2001"/>
      <c r="V59" s="2001"/>
      <c r="W59" s="2001"/>
      <c r="X59" s="2001"/>
      <c r="Y59" s="2001"/>
      <c r="Z59" s="2001"/>
      <c r="AA59" s="2001"/>
      <c r="AB59" s="2001"/>
      <c r="AC59" s="2001"/>
      <c r="AD59" s="2001"/>
      <c r="AE59" s="2001"/>
    </row>
    <row r="60" spans="1:31">
      <c r="A60" s="2001"/>
      <c r="B60" s="2001"/>
      <c r="C60" s="2001"/>
      <c r="D60" s="2001"/>
      <c r="E60" s="2051"/>
      <c r="F60" s="2001"/>
      <c r="G60" s="2001"/>
      <c r="H60" s="2052"/>
      <c r="I60" s="2001"/>
      <c r="J60" s="2001"/>
      <c r="K60" s="2069"/>
      <c r="L60" s="2001"/>
      <c r="M60" s="2069"/>
      <c r="N60" s="2001"/>
      <c r="O60" s="2002"/>
      <c r="P60" s="2001"/>
      <c r="Q60" s="2001"/>
      <c r="R60" s="2001"/>
      <c r="S60" s="2001"/>
      <c r="T60" s="2001"/>
      <c r="U60" s="2001"/>
      <c r="V60" s="2001"/>
      <c r="W60" s="2001"/>
      <c r="X60" s="2001"/>
      <c r="Y60" s="2001"/>
      <c r="Z60" s="2001"/>
      <c r="AA60" s="2001"/>
      <c r="AB60" s="2001"/>
      <c r="AC60" s="2001"/>
      <c r="AD60" s="2001"/>
      <c r="AE60" s="2001"/>
    </row>
    <row r="61" spans="1:31">
      <c r="A61" s="2041"/>
      <c r="B61" s="2041"/>
      <c r="C61" s="2041"/>
      <c r="D61" s="2041"/>
      <c r="E61" s="2051"/>
      <c r="F61" s="2041"/>
      <c r="G61" s="2041"/>
      <c r="H61" s="2052"/>
      <c r="I61" s="2041"/>
      <c r="J61" s="2041"/>
      <c r="K61" s="2041"/>
      <c r="L61" s="2041"/>
      <c r="M61" s="2069"/>
      <c r="N61" s="2041"/>
      <c r="O61" s="2002"/>
      <c r="P61" s="2041"/>
      <c r="Q61" s="2041"/>
      <c r="R61" s="2041"/>
      <c r="S61" s="2041"/>
      <c r="T61" s="2041"/>
      <c r="U61" s="2041"/>
      <c r="V61" s="2041"/>
      <c r="W61" s="2041"/>
      <c r="X61" s="2041"/>
      <c r="Y61" s="2041"/>
      <c r="Z61" s="2041"/>
      <c r="AA61" s="2041"/>
      <c r="AB61" s="2041"/>
      <c r="AC61" s="2041"/>
      <c r="AD61" s="2041"/>
      <c r="AE61" s="2041"/>
    </row>
    <row r="62" spans="1:31">
      <c r="A62" s="2041"/>
      <c r="B62" s="2041"/>
      <c r="C62" s="2041"/>
      <c r="D62" s="2041"/>
      <c r="E62" s="2051"/>
      <c r="F62" s="2041"/>
      <c r="G62" s="2041"/>
      <c r="H62" s="2052"/>
      <c r="I62" s="2041"/>
      <c r="J62" s="2041"/>
      <c r="K62" s="2041"/>
      <c r="L62" s="2041"/>
      <c r="M62" s="2041"/>
      <c r="N62" s="2041"/>
      <c r="O62" s="2002"/>
      <c r="P62" s="2041"/>
      <c r="Q62" s="2041"/>
      <c r="R62" s="2041"/>
      <c r="S62" s="2041"/>
      <c r="T62" s="2041"/>
      <c r="U62" s="2041"/>
      <c r="V62" s="2041"/>
      <c r="W62" s="2041"/>
      <c r="X62" s="2041"/>
      <c r="Y62" s="2041"/>
      <c r="Z62" s="2041"/>
      <c r="AA62" s="2041"/>
      <c r="AB62" s="2041"/>
      <c r="AC62" s="2041"/>
      <c r="AD62" s="2041"/>
      <c r="AE62" s="2041"/>
    </row>
    <row r="63" spans="1:31">
      <c r="A63" s="2041"/>
      <c r="B63" s="2041"/>
      <c r="C63" s="2041"/>
      <c r="D63" s="2041"/>
      <c r="E63" s="2051"/>
      <c r="F63" s="2041"/>
      <c r="G63" s="2041"/>
      <c r="H63" s="2052"/>
      <c r="I63" s="2041"/>
      <c r="J63" s="2041"/>
      <c r="K63" s="2041"/>
      <c r="L63" s="2041"/>
      <c r="M63" s="2041"/>
      <c r="N63" s="2041"/>
      <c r="O63" s="2002"/>
      <c r="P63" s="2041"/>
      <c r="Q63" s="2041"/>
      <c r="R63" s="2041"/>
      <c r="S63" s="2041"/>
      <c r="T63" s="2041"/>
      <c r="U63" s="2041"/>
      <c r="V63" s="2041"/>
      <c r="W63" s="2041"/>
      <c r="X63" s="2041"/>
      <c r="Y63" s="2041"/>
      <c r="Z63" s="2041"/>
      <c r="AA63" s="2041"/>
      <c r="AB63" s="2041"/>
      <c r="AC63" s="2041"/>
      <c r="AD63" s="2041"/>
      <c r="AE63" s="2041"/>
    </row>
  </sheetData>
  <sheetProtection formatCells="0" insertHyperlinks="0" autoFilter="0"/>
  <mergeCells count="15">
    <mergeCell ref="A1:M1"/>
    <mergeCell ref="A17:B17"/>
    <mergeCell ref="C17:D17"/>
    <mergeCell ref="A32:B32"/>
    <mergeCell ref="C32:D32"/>
    <mergeCell ref="A53:B53"/>
    <mergeCell ref="C53:D53"/>
    <mergeCell ref="A3:A7"/>
    <mergeCell ref="A8:A11"/>
    <mergeCell ref="A12:A16"/>
    <mergeCell ref="A23:A25"/>
    <mergeCell ref="A26:A31"/>
    <mergeCell ref="A33:A41"/>
    <mergeCell ref="A43:A44"/>
    <mergeCell ref="A46:A49"/>
  </mergeCells>
  <hyperlinks>
    <hyperlink ref="C34" r:id="rId1" display="EJ-321" tooltip="../무역서류/수입선적서류/Shuhua-X6, X5,X1 런닝머신/PI/X3/EJ-156"/>
    <hyperlink ref="C33" r:id="rId1" display="EJ-320" tooltip="../무역서류/수입선적서류/Shuhua-X6, X5,X1 런닝머신/PI/X3/EJ-156"/>
    <hyperlink ref="C36" r:id="rId1" display="EJ-323" tooltip="../무역서류/수입선적서류/Shuhua-X6, X5,X1 런닝머신/PI/X3/EJ-156"/>
    <hyperlink ref="C35" r:id="rId1" display="EJ-322" tooltip="../무역서류/수입선적서류/Shuhua-X6, X5,X1 런닝머신/PI/X3/EJ-156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AE90"/>
  <sheetViews>
    <sheetView workbookViewId="0">
      <selection activeCell="K41" sqref="K41"/>
    </sheetView>
  </sheetViews>
  <sheetFormatPr defaultColWidth="9" defaultRowHeight="16.5"/>
  <cols>
    <col min="1" max="1" width="13.4416666666667" customWidth="1"/>
    <col min="2" max="2" width="17.625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9.375"/>
    <col min="10" max="10" width="13.6083333333333" customWidth="1"/>
    <col min="11" max="11" width="17.3583333333333" customWidth="1"/>
    <col min="12" max="12" width="14.875"/>
    <col min="13" max="13" width="20.5416666666667" customWidth="1"/>
    <col min="14" max="14" width="18.1916666666667" customWidth="1"/>
    <col min="15" max="15" width="18.925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582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2192" t="s">
        <v>38</v>
      </c>
      <c r="B3" s="1397" t="s">
        <v>53</v>
      </c>
      <c r="C3" s="2020" t="s">
        <v>583</v>
      </c>
      <c r="D3" s="2190" t="s">
        <v>584</v>
      </c>
      <c r="E3" s="2195">
        <v>100</v>
      </c>
      <c r="F3" s="2020"/>
      <c r="G3" s="2020"/>
      <c r="H3" s="2264">
        <v>200000</v>
      </c>
      <c r="I3" s="2198"/>
      <c r="J3" s="73"/>
      <c r="K3" s="2097"/>
      <c r="L3" s="2199"/>
      <c r="M3" s="2020"/>
      <c r="N3" s="2020"/>
      <c r="O3" s="2019"/>
      <c r="P3" s="2310"/>
      <c r="Q3" s="2310"/>
      <c r="R3" s="1399"/>
      <c r="S3" s="2310"/>
      <c r="T3" s="2310"/>
      <c r="U3" s="2310"/>
      <c r="V3" s="2310"/>
      <c r="W3" s="2310"/>
      <c r="X3" s="2310"/>
      <c r="Y3" s="2310"/>
      <c r="Z3" s="2310"/>
      <c r="AA3" s="2310"/>
      <c r="AB3" s="2310"/>
      <c r="AC3" s="2076"/>
      <c r="AD3" s="2184"/>
      <c r="AE3" s="2020"/>
    </row>
    <row r="4" customFormat="1" spans="1:31">
      <c r="A4" s="1941"/>
      <c r="B4" s="1397" t="s">
        <v>201</v>
      </c>
      <c r="C4" s="2020" t="s">
        <v>585</v>
      </c>
      <c r="D4" s="2190"/>
      <c r="E4" s="2195"/>
      <c r="F4" s="2020"/>
      <c r="G4" s="2020"/>
      <c r="H4" s="2264">
        <v>300000</v>
      </c>
      <c r="I4" s="2198"/>
      <c r="J4" s="73"/>
      <c r="K4" s="2097"/>
      <c r="L4" s="2199"/>
      <c r="M4" s="2020"/>
      <c r="N4" s="2020"/>
      <c r="O4" s="2019"/>
      <c r="P4" s="2310"/>
      <c r="Q4" s="2310"/>
      <c r="R4" s="1399"/>
      <c r="S4" s="2310"/>
      <c r="T4" s="2310"/>
      <c r="U4" s="2310"/>
      <c r="V4" s="2310"/>
      <c r="W4" s="2310"/>
      <c r="X4" s="2310"/>
      <c r="Y4" s="2310"/>
      <c r="Z4" s="2310"/>
      <c r="AA4" s="2310"/>
      <c r="AB4" s="2310"/>
      <c r="AC4" s="2076"/>
      <c r="AD4" s="2184"/>
      <c r="AE4" s="2020"/>
    </row>
    <row r="5" customFormat="1" spans="1:31">
      <c r="A5" s="1941"/>
      <c r="B5" s="1397" t="s">
        <v>157</v>
      </c>
      <c r="C5" s="2020" t="s">
        <v>586</v>
      </c>
      <c r="D5" s="2190" t="s">
        <v>587</v>
      </c>
      <c r="E5" s="2195"/>
      <c r="F5" s="2020"/>
      <c r="G5" s="2020"/>
      <c r="H5" s="2264">
        <v>200000</v>
      </c>
      <c r="I5" s="2198"/>
      <c r="J5" s="73"/>
      <c r="K5" s="2097"/>
      <c r="L5" s="2199"/>
      <c r="M5" s="2020"/>
      <c r="N5" s="2020"/>
      <c r="O5" s="2019"/>
      <c r="P5" s="2310"/>
      <c r="Q5" s="2310"/>
      <c r="R5" s="1399"/>
      <c r="S5" s="2310"/>
      <c r="T5" s="2310"/>
      <c r="U5" s="2310"/>
      <c r="V5" s="2310"/>
      <c r="W5" s="2310"/>
      <c r="X5" s="2310"/>
      <c r="Y5" s="2310"/>
      <c r="Z5" s="2310"/>
      <c r="AA5" s="2310"/>
      <c r="AB5" s="2310"/>
      <c r="AC5" s="2076"/>
      <c r="AD5" s="2184"/>
      <c r="AE5" s="2020"/>
    </row>
    <row r="6" customFormat="1" ht="23.45" customHeight="1" spans="1:31">
      <c r="A6" s="1941"/>
      <c r="B6" s="2076" t="s">
        <v>145</v>
      </c>
      <c r="C6" s="2020" t="s">
        <v>588</v>
      </c>
      <c r="D6" s="2190" t="s">
        <v>290</v>
      </c>
      <c r="E6" s="2195"/>
      <c r="F6" s="2020"/>
      <c r="G6" s="2020"/>
      <c r="H6" s="2264">
        <v>200000</v>
      </c>
      <c r="I6" s="2198"/>
      <c r="J6" s="73"/>
      <c r="K6" s="2097"/>
      <c r="L6" s="2199"/>
      <c r="M6" s="2020"/>
      <c r="N6" s="2020"/>
      <c r="O6" s="2019"/>
      <c r="P6" s="2311"/>
      <c r="Q6" s="2311"/>
      <c r="R6" s="1399"/>
      <c r="S6" s="2311"/>
      <c r="T6" s="2311"/>
      <c r="U6" s="2311"/>
      <c r="V6" s="2311"/>
      <c r="W6" s="2311"/>
      <c r="X6" s="2311"/>
      <c r="Y6" s="2311"/>
      <c r="Z6" s="2311"/>
      <c r="AA6" s="2311"/>
      <c r="AB6" s="2311"/>
      <c r="AC6" s="2076"/>
      <c r="AD6" s="2184"/>
      <c r="AE6" s="2020"/>
    </row>
    <row r="7" s="23" customFormat="1" customHeight="1" spans="1:31">
      <c r="A7" s="2169" t="s">
        <v>209</v>
      </c>
      <c r="B7" s="1141" t="s">
        <v>527</v>
      </c>
      <c r="C7" s="2022"/>
      <c r="D7" s="2088"/>
      <c r="E7" s="1967"/>
      <c r="F7" s="1946"/>
      <c r="G7" s="1946"/>
      <c r="H7" s="1966">
        <v>1000000</v>
      </c>
      <c r="I7" s="2104"/>
      <c r="J7" s="1984"/>
      <c r="K7" s="1966"/>
      <c r="L7" s="1985"/>
      <c r="M7" s="1946"/>
      <c r="N7" s="1946"/>
      <c r="O7" s="2312"/>
      <c r="P7" s="2099"/>
      <c r="Q7" s="2099"/>
      <c r="R7" s="2022"/>
      <c r="S7" s="2099"/>
      <c r="T7" s="2099"/>
      <c r="U7" s="2099"/>
      <c r="V7" s="2099"/>
      <c r="W7" s="2099"/>
      <c r="X7" s="2099"/>
      <c r="Y7" s="2099"/>
      <c r="Z7" s="2099"/>
      <c r="AA7" s="2099"/>
      <c r="AB7" s="2099"/>
      <c r="AC7" s="1141"/>
      <c r="AD7" s="2029"/>
      <c r="AE7" s="1946"/>
    </row>
    <row r="8" s="23" customFormat="1" spans="1:31">
      <c r="A8" s="2123"/>
      <c r="B8" s="2086" t="s">
        <v>149</v>
      </c>
      <c r="C8" s="2022"/>
      <c r="D8" s="2088"/>
      <c r="E8" s="1967"/>
      <c r="F8" s="1946"/>
      <c r="G8" s="1946"/>
      <c r="H8" s="1966">
        <v>200000</v>
      </c>
      <c r="I8" s="2104"/>
      <c r="J8" s="1984"/>
      <c r="K8" s="2272"/>
      <c r="L8" s="1985"/>
      <c r="M8" s="1946"/>
      <c r="N8" s="1946"/>
      <c r="O8" s="2312"/>
      <c r="P8" s="2099"/>
      <c r="Q8" s="2099"/>
      <c r="R8" s="2022"/>
      <c r="S8" s="2099"/>
      <c r="T8" s="2099"/>
      <c r="U8" s="2099"/>
      <c r="V8" s="2099"/>
      <c r="W8" s="2099"/>
      <c r="X8" s="2099"/>
      <c r="Y8" s="2099"/>
      <c r="Z8" s="2099"/>
      <c r="AA8" s="2099"/>
      <c r="AB8" s="2099"/>
      <c r="AC8" s="1141"/>
      <c r="AD8" s="2029"/>
      <c r="AE8" s="1946"/>
    </row>
    <row r="9" s="23" customFormat="1" customHeight="1" spans="1:31">
      <c r="A9" s="2123"/>
      <c r="B9" s="1141" t="s">
        <v>589</v>
      </c>
      <c r="C9" s="2022" t="s">
        <v>590</v>
      </c>
      <c r="D9" s="2088" t="s">
        <v>591</v>
      </c>
      <c r="E9" s="1967">
        <v>81</v>
      </c>
      <c r="F9" s="1946">
        <v>344</v>
      </c>
      <c r="G9" s="1946"/>
      <c r="H9" s="1966">
        <f>L9*I9</f>
        <v>181116</v>
      </c>
      <c r="I9" s="2104">
        <v>6.5</v>
      </c>
      <c r="J9" s="1984">
        <v>181116</v>
      </c>
      <c r="K9" s="1966">
        <f>O9*L9</f>
        <v>0</v>
      </c>
      <c r="L9" s="1985">
        <f>F9*E9</f>
        <v>27864</v>
      </c>
      <c r="M9" s="1946"/>
      <c r="N9" s="1946"/>
      <c r="O9" s="2312"/>
      <c r="P9" s="2099"/>
      <c r="Q9" s="2099"/>
      <c r="R9" s="2022"/>
      <c r="S9" s="2099"/>
      <c r="T9" s="2099"/>
      <c r="U9" s="2099"/>
      <c r="V9" s="2099"/>
      <c r="W9" s="2099"/>
      <c r="X9" s="2099"/>
      <c r="Y9" s="2099"/>
      <c r="Z9" s="2099"/>
      <c r="AA9" s="2099"/>
      <c r="AB9" s="2099"/>
      <c r="AC9" s="1141"/>
      <c r="AD9" s="2029"/>
      <c r="AE9" s="1946"/>
    </row>
    <row r="10" s="23" customFormat="1" customHeight="1" spans="1:31">
      <c r="A10" s="2221"/>
      <c r="B10" s="1141" t="s">
        <v>592</v>
      </c>
      <c r="C10" s="2022"/>
      <c r="D10" s="2088"/>
      <c r="E10" s="1967"/>
      <c r="F10" s="1946"/>
      <c r="G10" s="1946"/>
      <c r="H10" s="1966">
        <v>150000</v>
      </c>
      <c r="I10" s="2104"/>
      <c r="J10" s="1984"/>
      <c r="K10" s="1966"/>
      <c r="L10" s="1985"/>
      <c r="M10" s="1946"/>
      <c r="N10" s="1946"/>
      <c r="O10" s="2312"/>
      <c r="P10" s="2099"/>
      <c r="Q10" s="2099"/>
      <c r="R10" s="2022"/>
      <c r="S10" s="2099"/>
      <c r="T10" s="2099"/>
      <c r="U10" s="2099"/>
      <c r="V10" s="2099"/>
      <c r="W10" s="2099"/>
      <c r="X10" s="2099"/>
      <c r="Y10" s="2099"/>
      <c r="Z10" s="2099"/>
      <c r="AA10" s="2099"/>
      <c r="AB10" s="2099"/>
      <c r="AC10" s="1141"/>
      <c r="AD10" s="2029"/>
      <c r="AE10" s="1946"/>
    </row>
    <row r="11" customFormat="1" spans="1:31">
      <c r="A11" s="2206" t="s">
        <v>380</v>
      </c>
      <c r="B11" s="1489" t="s">
        <v>593</v>
      </c>
      <c r="C11" s="2020" t="s">
        <v>594</v>
      </c>
      <c r="D11" s="2190"/>
      <c r="E11" s="2195"/>
      <c r="F11" s="2020"/>
      <c r="G11" s="2020"/>
      <c r="H11" s="2264">
        <f>I11*L11</f>
        <v>623712</v>
      </c>
      <c r="I11" s="2198">
        <v>6.4</v>
      </c>
      <c r="J11" s="73">
        <f>H11</f>
        <v>623712</v>
      </c>
      <c r="K11" s="2097"/>
      <c r="L11" s="2199">
        <v>97455</v>
      </c>
      <c r="M11" s="2020"/>
      <c r="N11" s="2020"/>
      <c r="O11" s="2019">
        <v>44358</v>
      </c>
      <c r="P11" s="2310"/>
      <c r="Q11" s="2310"/>
      <c r="R11" s="2318"/>
      <c r="S11" s="2310"/>
      <c r="T11" s="2310"/>
      <c r="U11" s="2310"/>
      <c r="V11" s="2310"/>
      <c r="W11" s="2310"/>
      <c r="X11" s="2310"/>
      <c r="Y11" s="2310"/>
      <c r="Z11" s="2310"/>
      <c r="AA11" s="2310"/>
      <c r="AB11" s="2310"/>
      <c r="AC11" s="2170"/>
      <c r="AD11" s="2220"/>
      <c r="AE11" s="2171"/>
    </row>
    <row r="12" customFormat="1" ht="17.15" customHeight="1" spans="1:31">
      <c r="A12" s="2207"/>
      <c r="B12" s="2191" t="s">
        <v>595</v>
      </c>
      <c r="C12" s="2020" t="s">
        <v>596</v>
      </c>
      <c r="D12" s="2190"/>
      <c r="E12" s="2195"/>
      <c r="F12" s="2020"/>
      <c r="G12" s="2020"/>
      <c r="H12" s="2264">
        <f>I12*L12</f>
        <v>274528</v>
      </c>
      <c r="I12" s="2198">
        <v>6.4</v>
      </c>
      <c r="J12" s="73">
        <f>H12</f>
        <v>274528</v>
      </c>
      <c r="K12" s="2097"/>
      <c r="L12" s="2199">
        <v>42895</v>
      </c>
      <c r="M12" s="2020"/>
      <c r="N12" s="2217"/>
      <c r="O12" s="2019">
        <v>44357</v>
      </c>
      <c r="P12" s="2310"/>
      <c r="Q12" s="2310"/>
      <c r="R12" s="2318"/>
      <c r="S12" s="2310"/>
      <c r="T12" s="2310"/>
      <c r="U12" s="2310"/>
      <c r="V12" s="2310"/>
      <c r="W12" s="2310"/>
      <c r="X12" s="2310"/>
      <c r="Y12" s="2310"/>
      <c r="Z12" s="2310"/>
      <c r="AA12" s="2310"/>
      <c r="AB12" s="2310"/>
      <c r="AC12" s="2170"/>
      <c r="AD12" s="2220"/>
      <c r="AE12" s="2171"/>
    </row>
    <row r="13" customFormat="1" ht="17.15" customHeight="1" spans="1:31">
      <c r="A13" s="2207"/>
      <c r="B13" s="2191" t="s">
        <v>143</v>
      </c>
      <c r="C13" s="2020" t="s">
        <v>597</v>
      </c>
      <c r="D13" s="2190"/>
      <c r="E13" s="2195"/>
      <c r="F13" s="2020"/>
      <c r="G13" s="2020"/>
      <c r="H13" s="2264">
        <v>200000</v>
      </c>
      <c r="I13" s="2198"/>
      <c r="J13" s="73"/>
      <c r="K13" s="2097"/>
      <c r="L13" s="2199"/>
      <c r="M13" s="2020"/>
      <c r="N13" s="2218"/>
      <c r="O13" s="2019">
        <v>44352</v>
      </c>
      <c r="P13" s="2310"/>
      <c r="Q13" s="2310"/>
      <c r="R13" s="2318"/>
      <c r="S13" s="2310"/>
      <c r="T13" s="2310"/>
      <c r="U13" s="2310"/>
      <c r="V13" s="2310"/>
      <c r="W13" s="2310"/>
      <c r="X13" s="2310"/>
      <c r="Y13" s="2310"/>
      <c r="Z13" s="2310"/>
      <c r="AA13" s="2310"/>
      <c r="AB13" s="2310"/>
      <c r="AC13" s="2170"/>
      <c r="AD13" s="2220"/>
      <c r="AE13" s="2171"/>
    </row>
    <row r="14" customFormat="1" ht="17.15" customHeight="1" spans="1:31">
      <c r="A14" s="2207"/>
      <c r="B14" s="2191" t="s">
        <v>143</v>
      </c>
      <c r="C14" s="2020" t="s">
        <v>598</v>
      </c>
      <c r="D14" s="2190"/>
      <c r="E14" s="2195"/>
      <c r="F14" s="2020"/>
      <c r="G14" s="2020"/>
      <c r="H14" s="2264">
        <v>200000</v>
      </c>
      <c r="I14" s="2198"/>
      <c r="J14" s="73"/>
      <c r="K14" s="2097"/>
      <c r="L14" s="2199"/>
      <c r="M14" s="2020"/>
      <c r="N14" s="2218"/>
      <c r="O14" s="2019">
        <v>44362</v>
      </c>
      <c r="P14" s="2310"/>
      <c r="Q14" s="2310"/>
      <c r="R14" s="2318"/>
      <c r="S14" s="2310"/>
      <c r="T14" s="2310"/>
      <c r="U14" s="2310"/>
      <c r="V14" s="2310"/>
      <c r="W14" s="2310"/>
      <c r="X14" s="2310"/>
      <c r="Y14" s="2310"/>
      <c r="Z14" s="2310"/>
      <c r="AA14" s="2310"/>
      <c r="AB14" s="2310"/>
      <c r="AC14" s="2170"/>
      <c r="AD14" s="2220"/>
      <c r="AE14" s="2171"/>
    </row>
    <row r="15" customFormat="1" customHeight="1" spans="1:31">
      <c r="A15" s="1950" t="s">
        <v>343</v>
      </c>
      <c r="B15" s="1950"/>
      <c r="C15" s="1951"/>
      <c r="D15" s="1951"/>
      <c r="E15" s="1968"/>
      <c r="F15" s="1969"/>
      <c r="G15" s="1970"/>
      <c r="H15" s="1971">
        <f>SUM(H3:H14)</f>
        <v>3729356</v>
      </c>
      <c r="I15" s="1989"/>
      <c r="J15" s="1990">
        <v>0</v>
      </c>
      <c r="K15" s="1991">
        <v>0</v>
      </c>
      <c r="L15" s="1991">
        <v>0</v>
      </c>
      <c r="M15" s="2009"/>
      <c r="N15" s="2009"/>
      <c r="O15" s="2313"/>
      <c r="P15" s="2226"/>
      <c r="Q15" s="2226"/>
      <c r="R15" s="523"/>
      <c r="S15" s="2226"/>
      <c r="T15" s="2226"/>
      <c r="U15" s="2226"/>
      <c r="V15" s="2226"/>
      <c r="W15" s="2226"/>
      <c r="X15" s="2226"/>
      <c r="Y15" s="2226"/>
      <c r="Z15" s="2226"/>
      <c r="AA15" s="2226"/>
      <c r="AB15" s="2226"/>
      <c r="AC15" s="1950"/>
      <c r="AD15" s="1951" t="s">
        <v>285</v>
      </c>
      <c r="AE15" s="1951"/>
    </row>
    <row r="16" s="418" customFormat="1" ht="22.85" customHeight="1" spans="1:31">
      <c r="A16" s="2296" t="s">
        <v>331</v>
      </c>
      <c r="B16" s="2297" t="s">
        <v>599</v>
      </c>
      <c r="C16" s="2298"/>
      <c r="D16" s="2298"/>
      <c r="E16" s="2298"/>
      <c r="F16" s="2298"/>
      <c r="G16" s="2298"/>
      <c r="H16" s="2213">
        <f>I16*L16</f>
        <v>542881.908</v>
      </c>
      <c r="I16" s="2309">
        <v>6.498</v>
      </c>
      <c r="J16" s="2213"/>
      <c r="K16" s="2213"/>
      <c r="L16" s="2127">
        <v>83546</v>
      </c>
      <c r="M16" s="2314"/>
      <c r="N16" s="2314" t="s">
        <v>228</v>
      </c>
      <c r="O16" s="2315" t="s">
        <v>600</v>
      </c>
      <c r="P16" s="280"/>
      <c r="Q16" s="280"/>
      <c r="R16" s="2319"/>
      <c r="S16" s="280"/>
      <c r="T16" s="280"/>
      <c r="U16" s="280"/>
      <c r="V16" s="280"/>
      <c r="W16" s="280"/>
      <c r="X16" s="44"/>
      <c r="Y16" s="44"/>
      <c r="Z16" s="44"/>
      <c r="AA16" s="44"/>
      <c r="AB16" s="44"/>
      <c r="AC16" s="2320"/>
      <c r="AD16" s="523"/>
      <c r="AE16" s="523"/>
    </row>
    <row r="17" s="418" customFormat="1" ht="22.85" customHeight="1" spans="1:31">
      <c r="A17" s="2296" t="s">
        <v>331</v>
      </c>
      <c r="B17" s="2297" t="s">
        <v>165</v>
      </c>
      <c r="C17" s="2299" t="s">
        <v>601</v>
      </c>
      <c r="D17" s="2299"/>
      <c r="E17" s="2301"/>
      <c r="F17" s="2304"/>
      <c r="G17" s="2304"/>
      <c r="H17" s="2213">
        <f>L17*I17</f>
        <v>208156.932</v>
      </c>
      <c r="I17" s="2309">
        <v>6.498</v>
      </c>
      <c r="J17" s="2213"/>
      <c r="K17" s="2213"/>
      <c r="L17" s="2127">
        <v>32034</v>
      </c>
      <c r="M17" s="2314"/>
      <c r="N17" s="2314" t="s">
        <v>228</v>
      </c>
      <c r="O17" s="2315" t="s">
        <v>602</v>
      </c>
      <c r="P17" s="280"/>
      <c r="Q17" s="280"/>
      <c r="R17" s="2319"/>
      <c r="S17" s="280"/>
      <c r="T17" s="280"/>
      <c r="U17" s="280"/>
      <c r="V17" s="280"/>
      <c r="W17" s="280"/>
      <c r="X17" s="44"/>
      <c r="Y17" s="44"/>
      <c r="Z17" s="44"/>
      <c r="AA17" s="44"/>
      <c r="AB17" s="44"/>
      <c r="AC17" s="2320"/>
      <c r="AD17" s="523"/>
      <c r="AE17" s="523"/>
    </row>
    <row r="18" s="418" customFormat="1" ht="22.85" customHeight="1" spans="1:31">
      <c r="A18" s="1141" t="s">
        <v>331</v>
      </c>
      <c r="B18" s="2173" t="s">
        <v>165</v>
      </c>
      <c r="C18" s="2121" t="s">
        <v>603</v>
      </c>
      <c r="D18" s="2121"/>
      <c r="E18" s="245"/>
      <c r="F18" s="2177"/>
      <c r="G18" s="2177"/>
      <c r="H18" s="2127">
        <f>L18*I18</f>
        <v>224739.7344</v>
      </c>
      <c r="I18" s="2215">
        <v>6.3572</v>
      </c>
      <c r="J18" s="2174"/>
      <c r="K18" s="2127"/>
      <c r="L18" s="1985">
        <v>35352</v>
      </c>
      <c r="M18" s="2314"/>
      <c r="N18" s="2314"/>
      <c r="O18" s="2315"/>
      <c r="P18" s="280"/>
      <c r="Q18" s="280"/>
      <c r="R18" s="2319"/>
      <c r="S18" s="280"/>
      <c r="T18" s="280"/>
      <c r="U18" s="280"/>
      <c r="V18" s="280"/>
      <c r="W18" s="280"/>
      <c r="X18" s="44"/>
      <c r="Y18" s="44"/>
      <c r="Z18" s="44"/>
      <c r="AA18" s="44"/>
      <c r="AB18" s="44"/>
      <c r="AC18" s="2320"/>
      <c r="AD18" s="523"/>
      <c r="AE18" s="523"/>
    </row>
    <row r="19" s="418" customFormat="1" ht="22.85" customHeight="1" spans="1:31">
      <c r="A19" s="664" t="s">
        <v>331</v>
      </c>
      <c r="B19" s="1552" t="s">
        <v>165</v>
      </c>
      <c r="C19" s="1952" t="s">
        <v>604</v>
      </c>
      <c r="E19" s="35"/>
      <c r="F19" s="349"/>
      <c r="G19" s="349"/>
      <c r="H19" s="1972">
        <f>L19*I19</f>
        <v>236201.766</v>
      </c>
      <c r="I19" s="1992">
        <v>6.3572</v>
      </c>
      <c r="J19" s="1953"/>
      <c r="K19" s="380"/>
      <c r="L19" s="2199">
        <v>37155</v>
      </c>
      <c r="M19" s="364"/>
      <c r="N19" s="364" t="s">
        <v>605</v>
      </c>
      <c r="O19" s="2114">
        <v>44336</v>
      </c>
      <c r="P19" s="280"/>
      <c r="Q19" s="280"/>
      <c r="R19" s="2319"/>
      <c r="S19" s="280"/>
      <c r="T19" s="280"/>
      <c r="U19" s="280"/>
      <c r="V19" s="280"/>
      <c r="W19" s="280"/>
      <c r="X19" s="44"/>
      <c r="Y19" s="44"/>
      <c r="Z19" s="44"/>
      <c r="AA19" s="44"/>
      <c r="AB19" s="44"/>
      <c r="AC19" s="2320"/>
      <c r="AD19" s="523"/>
      <c r="AE19" s="523"/>
    </row>
    <row r="20" s="418" customFormat="1" ht="22.85" customHeight="1" spans="1:31">
      <c r="A20" s="664" t="s">
        <v>331</v>
      </c>
      <c r="B20" s="1552" t="s">
        <v>165</v>
      </c>
      <c r="C20" s="1952" t="s">
        <v>606</v>
      </c>
      <c r="D20" s="1952"/>
      <c r="E20" s="35"/>
      <c r="F20" s="349"/>
      <c r="G20" s="2305"/>
      <c r="H20" s="1972">
        <f>L20*I20</f>
        <v>236201.766</v>
      </c>
      <c r="I20" s="1992">
        <v>6.3572</v>
      </c>
      <c r="J20" s="380"/>
      <c r="K20" s="380"/>
      <c r="L20" s="2199">
        <v>37155</v>
      </c>
      <c r="M20" s="364"/>
      <c r="N20" s="364"/>
      <c r="O20" s="2114"/>
      <c r="P20" s="280"/>
      <c r="Q20" s="280"/>
      <c r="R20" s="2319"/>
      <c r="S20" s="280"/>
      <c r="T20" s="280"/>
      <c r="U20" s="280"/>
      <c r="V20" s="280"/>
      <c r="W20" s="280"/>
      <c r="X20" s="44"/>
      <c r="Y20" s="44"/>
      <c r="Z20" s="44"/>
      <c r="AA20" s="44"/>
      <c r="AB20" s="44"/>
      <c r="AC20" s="2320"/>
      <c r="AD20" s="523"/>
      <c r="AE20" s="523"/>
    </row>
    <row r="21" s="418" customFormat="1" ht="22.85" customHeight="1" spans="1:31">
      <c r="A21" s="666" t="s">
        <v>393</v>
      </c>
      <c r="B21" s="2297" t="s">
        <v>607</v>
      </c>
      <c r="C21" s="2299"/>
      <c r="D21" s="2300" t="s">
        <v>608</v>
      </c>
      <c r="E21" s="2298"/>
      <c r="F21" s="2298"/>
      <c r="G21" s="2306"/>
      <c r="H21" s="2213">
        <v>166000</v>
      </c>
      <c r="I21" s="2309">
        <v>6.38</v>
      </c>
      <c r="J21" s="2127"/>
      <c r="K21" s="2127"/>
      <c r="L21" s="2127"/>
      <c r="M21" s="2111"/>
      <c r="O21" s="2316" t="s">
        <v>609</v>
      </c>
      <c r="P21" s="280"/>
      <c r="Q21" s="280"/>
      <c r="R21" s="2319"/>
      <c r="S21" s="280"/>
      <c r="T21" s="280"/>
      <c r="U21" s="280"/>
      <c r="V21" s="280"/>
      <c r="W21" s="280"/>
      <c r="X21" s="44"/>
      <c r="Y21" s="44"/>
      <c r="Z21" s="44"/>
      <c r="AA21" s="44"/>
      <c r="AB21" s="44"/>
      <c r="AC21" s="2320"/>
      <c r="AD21" s="523"/>
      <c r="AE21" s="523"/>
    </row>
    <row r="22" s="418" customFormat="1" ht="22.85" customHeight="1" spans="1:31">
      <c r="A22" s="556"/>
      <c r="B22" s="2297" t="s">
        <v>174</v>
      </c>
      <c r="C22" s="2299"/>
      <c r="D22" s="2301" t="s">
        <v>610</v>
      </c>
      <c r="E22" s="2301"/>
      <c r="F22" s="2304"/>
      <c r="G22" s="2307"/>
      <c r="H22" s="2213">
        <v>272000</v>
      </c>
      <c r="I22" s="2309">
        <v>6.38</v>
      </c>
      <c r="J22" s="1984"/>
      <c r="K22" s="1984"/>
      <c r="L22" s="1985"/>
      <c r="M22" s="2111"/>
      <c r="O22" s="2316" t="s">
        <v>609</v>
      </c>
      <c r="P22" s="280"/>
      <c r="Q22" s="280"/>
      <c r="R22" s="2319"/>
      <c r="S22" s="280"/>
      <c r="T22" s="280"/>
      <c r="U22" s="280"/>
      <c r="V22" s="280"/>
      <c r="W22" s="280"/>
      <c r="X22" s="44"/>
      <c r="Y22" s="44"/>
      <c r="Z22" s="44"/>
      <c r="AA22" s="44"/>
      <c r="AB22" s="44"/>
      <c r="AC22" s="2320"/>
      <c r="AD22" s="523"/>
      <c r="AE22" s="523"/>
    </row>
    <row r="23" s="418" customFormat="1" ht="22.85" customHeight="1" spans="1:31">
      <c r="A23" s="556"/>
      <c r="B23" s="2173" t="s">
        <v>249</v>
      </c>
      <c r="C23" s="2121"/>
      <c r="D23" s="245" t="s">
        <v>252</v>
      </c>
      <c r="E23" s="245"/>
      <c r="F23" s="2177"/>
      <c r="G23" s="2308"/>
      <c r="H23" s="2127">
        <v>37000</v>
      </c>
      <c r="I23" s="2215">
        <v>6.3572</v>
      </c>
      <c r="J23" s="1984"/>
      <c r="K23" s="1984"/>
      <c r="L23" s="1985"/>
      <c r="M23" s="2111"/>
      <c r="O23" s="2316"/>
      <c r="P23" s="280"/>
      <c r="Q23" s="280"/>
      <c r="R23" s="2319"/>
      <c r="S23" s="280"/>
      <c r="T23" s="280"/>
      <c r="U23" s="280"/>
      <c r="V23" s="280"/>
      <c r="W23" s="280"/>
      <c r="X23" s="44"/>
      <c r="Y23" s="44"/>
      <c r="Z23" s="44"/>
      <c r="AA23" s="44"/>
      <c r="AB23" s="44"/>
      <c r="AC23" s="2320"/>
      <c r="AD23" s="523"/>
      <c r="AE23" s="523"/>
    </row>
    <row r="24" s="418" customFormat="1" ht="22.85" customHeight="1" spans="1:31">
      <c r="A24" s="556"/>
      <c r="B24" s="2173" t="s">
        <v>611</v>
      </c>
      <c r="C24" s="2121"/>
      <c r="D24" s="245" t="s">
        <v>612</v>
      </c>
      <c r="E24" s="245"/>
      <c r="F24" s="2177"/>
      <c r="G24" s="2308"/>
      <c r="H24" s="2127">
        <v>201000</v>
      </c>
      <c r="I24" s="2215">
        <v>6.3572</v>
      </c>
      <c r="J24" s="1984"/>
      <c r="K24" s="1984"/>
      <c r="L24" s="1985"/>
      <c r="M24" s="364"/>
      <c r="O24" s="2316"/>
      <c r="P24" s="280"/>
      <c r="Q24" s="280"/>
      <c r="R24" s="2319"/>
      <c r="S24" s="280"/>
      <c r="T24" s="280"/>
      <c r="U24" s="280"/>
      <c r="V24" s="280"/>
      <c r="W24" s="280"/>
      <c r="X24" s="44"/>
      <c r="Y24" s="44"/>
      <c r="Z24" s="44"/>
      <c r="AA24" s="44"/>
      <c r="AB24" s="44"/>
      <c r="AC24" s="2320"/>
      <c r="AD24" s="523"/>
      <c r="AE24" s="523"/>
    </row>
    <row r="25" s="1933" customFormat="1" ht="23.75" customHeight="1" spans="1:31">
      <c r="A25" s="556"/>
      <c r="B25" s="2173" t="s">
        <v>172</v>
      </c>
      <c r="C25" s="2121"/>
      <c r="D25" s="245" t="s">
        <v>462</v>
      </c>
      <c r="E25" s="245"/>
      <c r="F25" s="2177"/>
      <c r="G25" s="2308"/>
      <c r="H25" s="2127">
        <v>133000</v>
      </c>
      <c r="I25" s="2215">
        <v>6.3572</v>
      </c>
      <c r="J25" s="2127"/>
      <c r="K25" s="1984"/>
      <c r="L25" s="1985"/>
      <c r="M25" s="364"/>
      <c r="N25" s="34"/>
      <c r="O25" s="2114"/>
      <c r="P25" s="34"/>
      <c r="Q25" s="34"/>
      <c r="R25" s="1952"/>
      <c r="S25" s="2276"/>
      <c r="T25" s="34"/>
      <c r="U25" s="34"/>
      <c r="V25" s="34"/>
      <c r="W25" s="34"/>
      <c r="X25" s="40"/>
      <c r="Y25" s="40"/>
      <c r="Z25" s="40"/>
      <c r="AA25" s="40"/>
      <c r="AB25" s="40"/>
      <c r="AC25" s="664"/>
      <c r="AD25" s="185"/>
      <c r="AE25" s="40"/>
    </row>
    <row r="26" s="1933" customFormat="1" ht="23.75" customHeight="1" spans="1:31">
      <c r="A26" s="556"/>
      <c r="B26" s="2173" t="s">
        <v>613</v>
      </c>
      <c r="C26" s="2121"/>
      <c r="D26" s="245" t="s">
        <v>612</v>
      </c>
      <c r="E26" s="245"/>
      <c r="F26" s="2177"/>
      <c r="G26" s="2308"/>
      <c r="H26" s="2127">
        <v>220000</v>
      </c>
      <c r="I26" s="2215">
        <v>6.3572</v>
      </c>
      <c r="J26" s="1984"/>
      <c r="K26" s="1984"/>
      <c r="L26" s="1985"/>
      <c r="M26" s="364"/>
      <c r="N26" s="34"/>
      <c r="O26" s="2114"/>
      <c r="P26" s="34"/>
      <c r="Q26" s="34"/>
      <c r="R26" s="1952"/>
      <c r="S26" s="2276"/>
      <c r="T26" s="34"/>
      <c r="U26" s="34"/>
      <c r="V26" s="34"/>
      <c r="W26" s="34"/>
      <c r="X26" s="40"/>
      <c r="Y26" s="40"/>
      <c r="Z26" s="40"/>
      <c r="AA26" s="40"/>
      <c r="AB26" s="40"/>
      <c r="AC26" s="664"/>
      <c r="AD26" s="185"/>
      <c r="AE26" s="40"/>
    </row>
    <row r="27" s="1933" customFormat="1" ht="23.75" customHeight="1" spans="1:31">
      <c r="A27" s="556"/>
      <c r="B27" s="2173" t="s">
        <v>256</v>
      </c>
      <c r="C27" s="2121"/>
      <c r="D27" s="245" t="s">
        <v>614</v>
      </c>
      <c r="E27" s="245"/>
      <c r="F27" s="2177"/>
      <c r="G27" s="2308"/>
      <c r="H27" s="2127">
        <v>227400</v>
      </c>
      <c r="I27" s="2215">
        <v>6.3572</v>
      </c>
      <c r="J27" s="2127"/>
      <c r="K27" s="1984"/>
      <c r="L27" s="1985"/>
      <c r="M27" s="364"/>
      <c r="N27" s="34"/>
      <c r="O27" s="2114"/>
      <c r="P27" s="34"/>
      <c r="Q27" s="34"/>
      <c r="R27" s="1952"/>
      <c r="S27" s="2276"/>
      <c r="T27" s="34"/>
      <c r="U27" s="34"/>
      <c r="V27" s="34"/>
      <c r="W27" s="34"/>
      <c r="X27" s="40"/>
      <c r="Y27" s="40"/>
      <c r="Z27" s="40"/>
      <c r="AA27" s="40"/>
      <c r="AB27" s="40"/>
      <c r="AC27" s="664"/>
      <c r="AD27" s="185"/>
      <c r="AE27" s="40"/>
    </row>
    <row r="28" s="1933" customFormat="1" ht="23.75" customHeight="1" spans="1:31">
      <c r="A28" s="556"/>
      <c r="B28" s="2173" t="s">
        <v>615</v>
      </c>
      <c r="C28" s="2121"/>
      <c r="D28" s="245" t="s">
        <v>616</v>
      </c>
      <c r="E28" s="245"/>
      <c r="F28" s="2177"/>
      <c r="G28" s="2308"/>
      <c r="H28" s="2127">
        <v>165000</v>
      </c>
      <c r="I28" s="2215">
        <v>6.3572</v>
      </c>
      <c r="J28" s="2127"/>
      <c r="K28" s="1984"/>
      <c r="L28" s="1985"/>
      <c r="M28" s="1765"/>
      <c r="N28" s="34"/>
      <c r="O28" s="2114"/>
      <c r="P28" s="34"/>
      <c r="Q28" s="34"/>
      <c r="R28" s="1952"/>
      <c r="S28" s="2276"/>
      <c r="T28" s="34"/>
      <c r="U28" s="34"/>
      <c r="V28" s="34"/>
      <c r="W28" s="34"/>
      <c r="X28" s="40"/>
      <c r="Y28" s="40"/>
      <c r="Z28" s="40"/>
      <c r="AA28" s="40"/>
      <c r="AB28" s="40"/>
      <c r="AC28" s="664"/>
      <c r="AD28" s="185"/>
      <c r="AE28" s="40"/>
    </row>
    <row r="29" s="1933" customFormat="1" ht="23.75" customHeight="1" spans="1:31">
      <c r="A29" s="556"/>
      <c r="B29" s="2173" t="s">
        <v>617</v>
      </c>
      <c r="C29" s="2121"/>
      <c r="D29" s="245" t="s">
        <v>618</v>
      </c>
      <c r="E29" s="245"/>
      <c r="F29" s="2177"/>
      <c r="G29" s="2308"/>
      <c r="H29" s="2127">
        <v>210000</v>
      </c>
      <c r="I29" s="2215">
        <v>6.3572</v>
      </c>
      <c r="J29" s="2127"/>
      <c r="K29" s="1984"/>
      <c r="L29" s="1985"/>
      <c r="M29" s="1765"/>
      <c r="N29" s="34"/>
      <c r="O29" s="2114"/>
      <c r="P29" s="34"/>
      <c r="Q29" s="34"/>
      <c r="R29" s="1952"/>
      <c r="S29" s="2276"/>
      <c r="T29" s="34"/>
      <c r="U29" s="34"/>
      <c r="V29" s="34"/>
      <c r="W29" s="34"/>
      <c r="X29" s="40"/>
      <c r="Y29" s="40"/>
      <c r="Z29" s="40"/>
      <c r="AA29" s="40"/>
      <c r="AB29" s="40"/>
      <c r="AC29" s="664"/>
      <c r="AD29" s="185"/>
      <c r="AE29" s="40"/>
    </row>
    <row r="30" s="1933" customFormat="1" ht="23.75" customHeight="1" spans="1:31">
      <c r="A30" s="556"/>
      <c r="B30" s="2173" t="s">
        <v>619</v>
      </c>
      <c r="C30" s="2302"/>
      <c r="D30" s="245" t="s">
        <v>618</v>
      </c>
      <c r="E30" s="245"/>
      <c r="F30" s="2177"/>
      <c r="G30" s="2308"/>
      <c r="H30" s="2127">
        <v>140000</v>
      </c>
      <c r="I30" s="2215">
        <v>6.3572</v>
      </c>
      <c r="J30" s="2127"/>
      <c r="K30" s="1984"/>
      <c r="L30" s="1985"/>
      <c r="M30" s="1765"/>
      <c r="N30" s="34"/>
      <c r="O30" s="2114"/>
      <c r="P30" s="34"/>
      <c r="Q30" s="34"/>
      <c r="R30" s="1952"/>
      <c r="S30" s="2276"/>
      <c r="T30" s="34"/>
      <c r="U30" s="34"/>
      <c r="V30" s="34"/>
      <c r="W30" s="34"/>
      <c r="X30" s="40"/>
      <c r="Y30" s="40"/>
      <c r="Z30" s="40"/>
      <c r="AA30" s="40"/>
      <c r="AB30" s="40"/>
      <c r="AC30" s="664"/>
      <c r="AD30" s="185"/>
      <c r="AE30" s="40"/>
    </row>
    <row r="31" s="1933" customFormat="1" ht="23.75" customHeight="1" spans="1:31">
      <c r="A31" s="2094" t="s">
        <v>224</v>
      </c>
      <c r="B31" s="2297" t="s">
        <v>620</v>
      </c>
      <c r="C31" s="2303"/>
      <c r="D31" s="2301"/>
      <c r="E31" s="2301"/>
      <c r="F31" s="2304"/>
      <c r="G31" s="2307">
        <v>8059</v>
      </c>
      <c r="H31" s="2213">
        <f>G31*I31</f>
        <v>51416.42</v>
      </c>
      <c r="I31" s="2309">
        <v>6.38</v>
      </c>
      <c r="J31" s="1972"/>
      <c r="K31" s="72"/>
      <c r="L31" s="1996"/>
      <c r="M31" s="2317" t="s">
        <v>621</v>
      </c>
      <c r="N31" s="34"/>
      <c r="O31" s="2114"/>
      <c r="P31" s="34"/>
      <c r="Q31" s="34"/>
      <c r="R31" s="1952"/>
      <c r="S31" s="2276"/>
      <c r="T31" s="34"/>
      <c r="U31" s="34"/>
      <c r="V31" s="34"/>
      <c r="W31" s="34"/>
      <c r="X31" s="40"/>
      <c r="Y31" s="40"/>
      <c r="Z31" s="40"/>
      <c r="AA31" s="40"/>
      <c r="AB31" s="40"/>
      <c r="AC31" s="664"/>
      <c r="AD31" s="185"/>
      <c r="AE31" s="40"/>
    </row>
    <row r="32" s="11" customFormat="1" ht="23.75" customHeight="1" spans="1:31">
      <c r="A32" s="2095"/>
      <c r="B32" s="2296" t="s">
        <v>333</v>
      </c>
      <c r="C32" s="2299" t="s">
        <v>622</v>
      </c>
      <c r="D32" s="2299" t="s">
        <v>540</v>
      </c>
      <c r="E32" s="2301"/>
      <c r="F32" s="2304"/>
      <c r="G32" s="2304">
        <v>40007</v>
      </c>
      <c r="H32" s="2213">
        <v>255244.66</v>
      </c>
      <c r="I32" s="2309">
        <v>6.38</v>
      </c>
      <c r="J32" s="1972"/>
      <c r="K32" s="68"/>
      <c r="L32" s="1996"/>
      <c r="M32" s="1764" t="s">
        <v>623</v>
      </c>
      <c r="N32" s="130" t="s">
        <v>624</v>
      </c>
      <c r="O32" s="68"/>
      <c r="P32" s="34"/>
      <c r="Q32" s="34"/>
      <c r="R32" s="1952"/>
      <c r="S32" s="2276"/>
      <c r="T32" s="34"/>
      <c r="U32" s="34"/>
      <c r="V32" s="34"/>
      <c r="W32" s="34"/>
      <c r="X32" s="40"/>
      <c r="Y32" s="40"/>
      <c r="Z32" s="40"/>
      <c r="AA32" s="40"/>
      <c r="AB32" s="40"/>
      <c r="AC32" s="664"/>
      <c r="AD32" s="185"/>
      <c r="AE32" s="40"/>
    </row>
    <row r="33" s="11" customFormat="1" ht="23.75" customHeight="1" spans="1:31">
      <c r="A33" s="2095"/>
      <c r="B33" s="1141" t="s">
        <v>405</v>
      </c>
      <c r="C33" s="2121" t="s">
        <v>625</v>
      </c>
      <c r="D33" s="2121" t="s">
        <v>626</v>
      </c>
      <c r="E33" s="245"/>
      <c r="F33" s="2177"/>
      <c r="G33" s="2177">
        <v>52203</v>
      </c>
      <c r="H33" s="2127">
        <v>333055.14</v>
      </c>
      <c r="I33" s="2215">
        <v>6.3572</v>
      </c>
      <c r="J33" s="1972"/>
      <c r="K33" s="68"/>
      <c r="L33" s="1996"/>
      <c r="M33" s="1764" t="s">
        <v>623</v>
      </c>
      <c r="N33" s="130" t="s">
        <v>624</v>
      </c>
      <c r="O33" s="2114">
        <v>44354</v>
      </c>
      <c r="P33" s="34"/>
      <c r="Q33" s="34"/>
      <c r="R33" s="2328"/>
      <c r="S33" s="2276"/>
      <c r="T33" s="34"/>
      <c r="U33" s="34"/>
      <c r="V33" s="34"/>
      <c r="W33" s="34"/>
      <c r="X33" s="40"/>
      <c r="Y33" s="40"/>
      <c r="Z33" s="40"/>
      <c r="AA33" s="40"/>
      <c r="AB33" s="40"/>
      <c r="AC33" s="664"/>
      <c r="AD33" s="2329"/>
      <c r="AE33" s="523"/>
    </row>
    <row r="34" s="11" customFormat="1" ht="23.75" customHeight="1" spans="1:31">
      <c r="A34" s="2095"/>
      <c r="B34" s="1141" t="s">
        <v>286</v>
      </c>
      <c r="C34" s="2121" t="s">
        <v>627</v>
      </c>
      <c r="D34" s="2121" t="s">
        <v>628</v>
      </c>
      <c r="E34" s="245"/>
      <c r="F34" s="2177"/>
      <c r="G34" s="2177">
        <v>32475</v>
      </c>
      <c r="H34" s="2127">
        <v>207190.5</v>
      </c>
      <c r="I34" s="2215">
        <v>6.3572</v>
      </c>
      <c r="J34" s="1972"/>
      <c r="K34" s="68"/>
      <c r="L34" s="257"/>
      <c r="M34" s="1764" t="s">
        <v>629</v>
      </c>
      <c r="N34" s="130" t="s">
        <v>624</v>
      </c>
      <c r="O34" s="532"/>
      <c r="P34" s="34"/>
      <c r="Q34" s="34"/>
      <c r="R34" s="2328"/>
      <c r="S34" s="2276"/>
      <c r="T34" s="34"/>
      <c r="U34" s="34"/>
      <c r="V34" s="34"/>
      <c r="W34" s="34"/>
      <c r="X34" s="40"/>
      <c r="Y34" s="40"/>
      <c r="Z34" s="40"/>
      <c r="AA34" s="40"/>
      <c r="AB34" s="40"/>
      <c r="AC34" s="664"/>
      <c r="AD34" s="2329"/>
      <c r="AE34" s="523"/>
    </row>
    <row r="35" s="11" customFormat="1" ht="23.75" customHeight="1" spans="1:31">
      <c r="A35" s="2095"/>
      <c r="B35" s="1141" t="s">
        <v>630</v>
      </c>
      <c r="C35" s="2121" t="s">
        <v>631</v>
      </c>
      <c r="D35" s="2121" t="s">
        <v>632</v>
      </c>
      <c r="E35" s="245"/>
      <c r="F35" s="2177"/>
      <c r="G35" s="2177">
        <v>29325</v>
      </c>
      <c r="H35" s="2127">
        <v>187093.5</v>
      </c>
      <c r="I35" s="2215">
        <v>6.3572</v>
      </c>
      <c r="J35" s="1972"/>
      <c r="K35" s="68"/>
      <c r="L35" s="1996"/>
      <c r="M35" s="1764" t="s">
        <v>629</v>
      </c>
      <c r="N35" s="130" t="s">
        <v>624</v>
      </c>
      <c r="O35" s="40"/>
      <c r="P35" s="34"/>
      <c r="Q35" s="34"/>
      <c r="R35" s="2328"/>
      <c r="S35" s="2276"/>
      <c r="T35" s="34"/>
      <c r="U35" s="34"/>
      <c r="V35" s="34"/>
      <c r="W35" s="34"/>
      <c r="X35" s="40"/>
      <c r="Y35" s="40"/>
      <c r="Z35" s="40"/>
      <c r="AA35" s="40"/>
      <c r="AB35" s="40"/>
      <c r="AC35" s="664"/>
      <c r="AD35" s="2329"/>
      <c r="AE35" s="523"/>
    </row>
    <row r="36" s="11" customFormat="1" ht="23.75" customHeight="1" spans="1:31">
      <c r="A36" s="2095"/>
      <c r="B36" s="1141" t="s">
        <v>394</v>
      </c>
      <c r="C36" s="2121" t="s">
        <v>633</v>
      </c>
      <c r="D36" s="2121" t="s">
        <v>540</v>
      </c>
      <c r="E36" s="245"/>
      <c r="F36" s="2177"/>
      <c r="G36" s="2177">
        <v>31239</v>
      </c>
      <c r="H36" s="2127">
        <v>199304.82</v>
      </c>
      <c r="I36" s="2215">
        <v>6.3572</v>
      </c>
      <c r="J36" s="1972"/>
      <c r="K36" s="68"/>
      <c r="L36" s="1996"/>
      <c r="M36" s="1764" t="s">
        <v>634</v>
      </c>
      <c r="N36" s="130" t="s">
        <v>552</v>
      </c>
      <c r="O36" s="2114" t="s">
        <v>635</v>
      </c>
      <c r="P36" s="34"/>
      <c r="Q36" s="34"/>
      <c r="R36" s="1952"/>
      <c r="S36" s="2276"/>
      <c r="T36" s="34"/>
      <c r="U36" s="34"/>
      <c r="V36" s="34"/>
      <c r="W36" s="34"/>
      <c r="X36" s="40"/>
      <c r="Y36" s="40"/>
      <c r="Z36" s="40"/>
      <c r="AA36" s="40"/>
      <c r="AB36" s="40"/>
      <c r="AC36" s="664"/>
      <c r="AD36" s="185"/>
      <c r="AE36" s="40"/>
    </row>
    <row r="37" s="11" customFormat="1" ht="23.75" customHeight="1" spans="1:31">
      <c r="A37" s="2095"/>
      <c r="B37" s="1141" t="s">
        <v>169</v>
      </c>
      <c r="C37" s="2121" t="s">
        <v>636</v>
      </c>
      <c r="D37" s="2321"/>
      <c r="E37" s="2322"/>
      <c r="F37" s="2323"/>
      <c r="G37" s="2177">
        <v>14271</v>
      </c>
      <c r="H37" s="2127">
        <v>91048.98</v>
      </c>
      <c r="I37" s="2215">
        <v>6.3572</v>
      </c>
      <c r="J37" s="1972"/>
      <c r="K37" s="68"/>
      <c r="L37" s="1996"/>
      <c r="M37" s="1764" t="s">
        <v>637</v>
      </c>
      <c r="N37" s="130"/>
      <c r="O37" s="2114"/>
      <c r="P37" s="34"/>
      <c r="Q37" s="34"/>
      <c r="R37" s="2328"/>
      <c r="S37" s="2276"/>
      <c r="T37" s="34"/>
      <c r="U37" s="34"/>
      <c r="V37" s="34"/>
      <c r="W37" s="34"/>
      <c r="X37" s="40"/>
      <c r="Y37" s="40"/>
      <c r="Z37" s="40"/>
      <c r="AA37" s="40"/>
      <c r="AB37" s="40"/>
      <c r="AC37" s="664"/>
      <c r="AD37" s="2329"/>
      <c r="AE37" s="523"/>
    </row>
    <row r="38" s="11" customFormat="1" ht="30.7" customHeight="1" spans="1:31">
      <c r="A38" s="2095"/>
      <c r="B38" s="1141" t="s">
        <v>638</v>
      </c>
      <c r="C38" s="2121" t="s">
        <v>639</v>
      </c>
      <c r="D38" s="2121" t="s">
        <v>640</v>
      </c>
      <c r="E38" s="245"/>
      <c r="F38" s="2177"/>
      <c r="G38" s="2177">
        <v>42000</v>
      </c>
      <c r="H38" s="2127">
        <v>267960</v>
      </c>
      <c r="I38" s="2127">
        <v>6.3572</v>
      </c>
      <c r="J38" s="1972"/>
      <c r="K38" s="68"/>
      <c r="L38" s="1996"/>
      <c r="M38" s="1764" t="s">
        <v>637</v>
      </c>
      <c r="N38" s="2014" t="s">
        <v>641</v>
      </c>
      <c r="O38" s="2114" t="s">
        <v>642</v>
      </c>
      <c r="P38" s="2014" t="s">
        <v>643</v>
      </c>
      <c r="Q38" s="34"/>
      <c r="R38" s="2328"/>
      <c r="S38" s="2276"/>
      <c r="T38" s="34"/>
      <c r="U38" s="34"/>
      <c r="V38" s="34"/>
      <c r="W38" s="34"/>
      <c r="X38" s="40"/>
      <c r="Y38" s="40"/>
      <c r="Z38" s="40"/>
      <c r="AA38" s="40"/>
      <c r="AB38" s="40"/>
      <c r="AC38" s="664"/>
      <c r="AD38" s="2329"/>
      <c r="AE38" s="523"/>
    </row>
    <row r="39" s="11" customFormat="1" ht="30.7" customHeight="1" spans="1:31">
      <c r="A39" s="2163"/>
      <c r="B39"/>
      <c r="C39"/>
      <c r="D39"/>
      <c r="E39"/>
      <c r="F39"/>
      <c r="G39"/>
      <c r="H39"/>
      <c r="I39"/>
      <c r="J39"/>
      <c r="K39"/>
      <c r="L39"/>
      <c r="M39"/>
      <c r="N39" s="2014"/>
      <c r="O39" s="2114"/>
      <c r="P39" s="2014"/>
      <c r="Q39" s="34"/>
      <c r="R39" s="2328"/>
      <c r="S39" s="2276"/>
      <c r="T39" s="34"/>
      <c r="U39" s="34"/>
      <c r="V39" s="34"/>
      <c r="W39" s="34"/>
      <c r="X39" s="40"/>
      <c r="Y39" s="40"/>
      <c r="Z39" s="40"/>
      <c r="AA39" s="40"/>
      <c r="AB39" s="40"/>
      <c r="AC39" s="664"/>
      <c r="AD39" s="2329"/>
      <c r="AE39" s="523"/>
    </row>
    <row r="40" ht="27.5" customHeight="1" spans="1:31">
      <c r="A40" s="1956" t="s">
        <v>67</v>
      </c>
      <c r="B40" s="1956"/>
      <c r="C40" s="1951"/>
      <c r="D40" s="1951"/>
      <c r="E40" s="1973"/>
      <c r="F40" s="1974"/>
      <c r="G40" s="1974"/>
      <c r="H40" s="1975">
        <f>SUM(H16:H38)</f>
        <v>4811896.1264</v>
      </c>
      <c r="I40" s="1981"/>
      <c r="J40" s="1972"/>
      <c r="K40" s="99"/>
      <c r="L40" s="99"/>
      <c r="M40" s="185"/>
      <c r="N40" s="185"/>
      <c r="O40" s="2016"/>
      <c r="P40" s="40"/>
      <c r="Q40" s="40"/>
      <c r="R40" s="523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1956"/>
      <c r="AD40" s="1951" t="s">
        <v>293</v>
      </c>
      <c r="AE40" s="1951"/>
    </row>
    <row r="41" ht="17.25" customHeight="1" spans="1:31">
      <c r="A41" s="1958" t="s">
        <v>344</v>
      </c>
      <c r="B41" s="1959" t="s">
        <v>299</v>
      </c>
      <c r="C41" s="1883" t="s">
        <v>644</v>
      </c>
      <c r="D41" s="819" t="s">
        <v>348</v>
      </c>
      <c r="E41" s="1976">
        <v>91</v>
      </c>
      <c r="F41" s="1545">
        <v>361</v>
      </c>
      <c r="G41" s="1545">
        <f>F41*E41</f>
        <v>32851</v>
      </c>
      <c r="H41" s="1977">
        <f>E41*F41*I41</f>
        <v>208840.3772</v>
      </c>
      <c r="I41" s="1992">
        <v>6.3572</v>
      </c>
      <c r="J41" s="2324" t="s">
        <v>645</v>
      </c>
      <c r="K41" s="1999">
        <v>2608014</v>
      </c>
      <c r="L41" s="656"/>
      <c r="M41" s="750"/>
      <c r="N41" s="185"/>
      <c r="O41" s="2016"/>
      <c r="P41" s="40"/>
      <c r="Q41" s="40"/>
      <c r="R41" s="523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2330"/>
      <c r="AD41" s="1951"/>
      <c r="AE41" s="1951"/>
    </row>
    <row r="42" ht="17.25" customHeight="1" spans="1:31">
      <c r="A42" s="37"/>
      <c r="B42" s="1959" t="s">
        <v>299</v>
      </c>
      <c r="C42" s="1883" t="s">
        <v>646</v>
      </c>
      <c r="D42" s="819" t="s">
        <v>348</v>
      </c>
      <c r="E42" s="1976">
        <v>91</v>
      </c>
      <c r="F42" s="1545">
        <v>361</v>
      </c>
      <c r="G42" s="1545">
        <f t="shared" ref="G42:G56" si="0">F42*E42</f>
        <v>32851</v>
      </c>
      <c r="H42" s="1977">
        <f>E42*F42*I42</f>
        <v>208840.3772</v>
      </c>
      <c r="I42" s="1992">
        <v>6.3572</v>
      </c>
      <c r="J42" s="2324" t="s">
        <v>645</v>
      </c>
      <c r="K42" s="919"/>
      <c r="L42" s="656"/>
      <c r="M42" s="750"/>
      <c r="N42" s="185"/>
      <c r="O42" s="2016"/>
      <c r="P42" s="40"/>
      <c r="Q42" s="40"/>
      <c r="R42" s="523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2330"/>
      <c r="AD42" s="1951"/>
      <c r="AE42" s="1951"/>
    </row>
    <row r="43" ht="17.25" spans="1:31">
      <c r="A43" s="1958"/>
      <c r="B43" s="1959" t="s">
        <v>299</v>
      </c>
      <c r="C43" s="1883" t="s">
        <v>647</v>
      </c>
      <c r="D43" s="819" t="s">
        <v>348</v>
      </c>
      <c r="E43" s="1976">
        <v>91</v>
      </c>
      <c r="F43" s="1545">
        <v>361</v>
      </c>
      <c r="G43" s="1545">
        <f t="shared" si="0"/>
        <v>32851</v>
      </c>
      <c r="H43" s="1977">
        <f t="shared" ref="H43:H51" si="1">E43*F43*I43</f>
        <v>208840.3772</v>
      </c>
      <c r="I43" s="1992">
        <v>6.3572</v>
      </c>
      <c r="J43" s="2324" t="s">
        <v>645</v>
      </c>
      <c r="K43" s="2324"/>
      <c r="L43" s="2164"/>
      <c r="M43" s="2327"/>
      <c r="N43" s="2018"/>
      <c r="O43" s="2019"/>
      <c r="P43" s="2020"/>
      <c r="Q43" s="2020"/>
      <c r="R43" s="2025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31"/>
      <c r="AD43" s="1959"/>
      <c r="AE43" s="2020"/>
    </row>
    <row r="44" ht="17.25" spans="1:31">
      <c r="A44" s="1958"/>
      <c r="B44" s="1959" t="s">
        <v>299</v>
      </c>
      <c r="C44" s="1883" t="s">
        <v>648</v>
      </c>
      <c r="D44" s="819" t="s">
        <v>348</v>
      </c>
      <c r="E44" s="1976">
        <v>91</v>
      </c>
      <c r="F44" s="1545">
        <v>361</v>
      </c>
      <c r="G44" s="1545">
        <f t="shared" si="0"/>
        <v>32851</v>
      </c>
      <c r="H44" s="1977">
        <f t="shared" si="1"/>
        <v>208840.3772</v>
      </c>
      <c r="I44" s="1992">
        <v>6.3572</v>
      </c>
      <c r="J44" s="2324" t="s">
        <v>645</v>
      </c>
      <c r="K44" s="1999">
        <f>SUM(H41:H53)</f>
        <v>2168243.8468</v>
      </c>
      <c r="L44" s="2000"/>
      <c r="M44" s="2327"/>
      <c r="N44" s="2018"/>
      <c r="O44" s="2019"/>
      <c r="P44" s="2020"/>
      <c r="Q44" s="2020"/>
      <c r="R44" s="2025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31"/>
      <c r="AD44" s="2331"/>
      <c r="AE44" s="2033"/>
    </row>
    <row r="45" ht="17.25" spans="1:31">
      <c r="A45" s="1958"/>
      <c r="B45" s="1959" t="s">
        <v>299</v>
      </c>
      <c r="C45" s="1883" t="s">
        <v>649</v>
      </c>
      <c r="D45" s="819" t="s">
        <v>348</v>
      </c>
      <c r="E45" s="1976">
        <v>91</v>
      </c>
      <c r="F45" s="1545">
        <v>361</v>
      </c>
      <c r="G45" s="1545">
        <f t="shared" si="0"/>
        <v>32851</v>
      </c>
      <c r="H45" s="1977">
        <f t="shared" si="1"/>
        <v>208840.3772</v>
      </c>
      <c r="I45" s="1992">
        <v>6.3572</v>
      </c>
      <c r="J45" s="2324" t="s">
        <v>645</v>
      </c>
      <c r="K45" s="1999">
        <f>SUM(H57:H67)</f>
        <v>2031449.6172</v>
      </c>
      <c r="L45" s="2000"/>
      <c r="M45" s="2327"/>
      <c r="N45" s="2018"/>
      <c r="O45" s="2019"/>
      <c r="P45" s="2020"/>
      <c r="Q45" s="2020"/>
      <c r="R45" s="2025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031"/>
      <c r="AD45" s="2032"/>
      <c r="AE45" s="2033"/>
    </row>
    <row r="46" ht="17.25" spans="1:31">
      <c r="A46" s="1958"/>
      <c r="B46" s="1959" t="s">
        <v>299</v>
      </c>
      <c r="C46" s="1883" t="s">
        <v>650</v>
      </c>
      <c r="D46" s="819" t="s">
        <v>348</v>
      </c>
      <c r="E46" s="1976">
        <v>91</v>
      </c>
      <c r="F46" s="1545">
        <v>361</v>
      </c>
      <c r="G46" s="1545">
        <f t="shared" si="0"/>
        <v>32851</v>
      </c>
      <c r="H46" s="1509">
        <f t="shared" si="1"/>
        <v>208840.3772</v>
      </c>
      <c r="I46" s="1992">
        <v>6.3572</v>
      </c>
      <c r="J46" s="2324" t="s">
        <v>651</v>
      </c>
      <c r="K46" s="1999">
        <f>SUM(H71:H76)</f>
        <v>1211586.962</v>
      </c>
      <c r="L46" s="2000"/>
      <c r="M46" s="2327"/>
      <c r="N46" s="2018"/>
      <c r="O46" s="2019"/>
      <c r="P46" s="2020"/>
      <c r="Q46" s="2020"/>
      <c r="R46" s="2025"/>
      <c r="S46" s="2020"/>
      <c r="T46" s="2020"/>
      <c r="U46" s="2020"/>
      <c r="V46" s="2020"/>
      <c r="W46" s="2020"/>
      <c r="X46" s="2020"/>
      <c r="Y46" s="2020"/>
      <c r="Z46" s="2020"/>
      <c r="AA46" s="2020"/>
      <c r="AB46" s="2020"/>
      <c r="AC46" s="2031"/>
      <c r="AD46" s="2032"/>
      <c r="AE46" s="2033"/>
    </row>
    <row r="47" ht="17.25" spans="1:31">
      <c r="A47" s="1958"/>
      <c r="B47" s="1959" t="s">
        <v>299</v>
      </c>
      <c r="C47" s="1883" t="s">
        <v>652</v>
      </c>
      <c r="D47" s="819" t="s">
        <v>348</v>
      </c>
      <c r="E47" s="1976">
        <v>91</v>
      </c>
      <c r="F47" s="1545">
        <v>361</v>
      </c>
      <c r="G47" s="1545">
        <f t="shared" si="0"/>
        <v>32851</v>
      </c>
      <c r="H47" s="1509">
        <f t="shared" si="1"/>
        <v>208840.3772</v>
      </c>
      <c r="I47" s="1992">
        <v>6.3572</v>
      </c>
      <c r="J47" s="2324" t="s">
        <v>651</v>
      </c>
      <c r="K47" s="1999"/>
      <c r="L47" s="2000"/>
      <c r="M47" s="2327"/>
      <c r="N47" s="2018"/>
      <c r="O47" s="2019"/>
      <c r="P47" s="2020"/>
      <c r="Q47" s="2020"/>
      <c r="R47" s="2025"/>
      <c r="S47" s="2020"/>
      <c r="T47" s="2020"/>
      <c r="U47" s="2020"/>
      <c r="V47" s="2020"/>
      <c r="W47" s="2020"/>
      <c r="X47" s="2020"/>
      <c r="Y47" s="2020"/>
      <c r="Z47" s="2020"/>
      <c r="AA47" s="2020"/>
      <c r="AB47" s="2020"/>
      <c r="AC47" s="2031"/>
      <c r="AD47" s="2032"/>
      <c r="AE47" s="2033"/>
    </row>
    <row r="48" ht="17.25" spans="1:31">
      <c r="A48" s="1958"/>
      <c r="B48" s="1959" t="s">
        <v>299</v>
      </c>
      <c r="C48" s="1883" t="s">
        <v>653</v>
      </c>
      <c r="D48" s="819" t="s">
        <v>348</v>
      </c>
      <c r="E48" s="1976">
        <v>91</v>
      </c>
      <c r="F48" s="1545">
        <v>374</v>
      </c>
      <c r="G48" s="1545">
        <f t="shared" si="0"/>
        <v>34034</v>
      </c>
      <c r="H48" s="1977">
        <f t="shared" si="1"/>
        <v>216360.9448</v>
      </c>
      <c r="I48" s="1992">
        <v>6.3572</v>
      </c>
      <c r="J48" s="2324" t="s">
        <v>654</v>
      </c>
      <c r="K48" s="1999"/>
      <c r="L48" s="2000"/>
      <c r="M48" s="2327"/>
      <c r="N48" s="2018"/>
      <c r="O48" s="2019"/>
      <c r="P48" s="2020"/>
      <c r="Q48" s="2020"/>
      <c r="R48" s="2025"/>
      <c r="S48" s="2020"/>
      <c r="T48" s="2020"/>
      <c r="U48" s="2020"/>
      <c r="V48" s="2020"/>
      <c r="W48" s="2020"/>
      <c r="X48" s="2020"/>
      <c r="Y48" s="2020"/>
      <c r="Z48" s="2020"/>
      <c r="AA48" s="2020"/>
      <c r="AB48" s="2020"/>
      <c r="AC48" s="2031"/>
      <c r="AD48" s="2032"/>
      <c r="AE48" s="2033"/>
    </row>
    <row r="49" ht="17.25" spans="1:31">
      <c r="A49" s="1958"/>
      <c r="B49" s="1959" t="s">
        <v>299</v>
      </c>
      <c r="C49" s="1883" t="s">
        <v>655</v>
      </c>
      <c r="D49" s="819" t="s">
        <v>348</v>
      </c>
      <c r="E49" s="1976">
        <v>91</v>
      </c>
      <c r="F49" s="1545">
        <v>374</v>
      </c>
      <c r="G49" s="1545">
        <f t="shared" si="0"/>
        <v>34034</v>
      </c>
      <c r="H49" s="1977">
        <f t="shared" si="1"/>
        <v>216360.9448</v>
      </c>
      <c r="I49" s="1992">
        <v>6.3572</v>
      </c>
      <c r="J49" s="2324" t="s">
        <v>654</v>
      </c>
      <c r="K49" s="1999"/>
      <c r="L49" s="2000"/>
      <c r="M49" s="2327"/>
      <c r="N49" s="2018"/>
      <c r="O49" s="2019"/>
      <c r="P49" s="2020"/>
      <c r="Q49" s="2020"/>
      <c r="R49" s="2025"/>
      <c r="S49" s="2020"/>
      <c r="T49" s="2020"/>
      <c r="U49" s="2020"/>
      <c r="V49" s="2020"/>
      <c r="W49" s="2020"/>
      <c r="X49" s="2020"/>
      <c r="Y49" s="2020"/>
      <c r="Z49" s="2020"/>
      <c r="AA49" s="2020"/>
      <c r="AB49" s="2020"/>
      <c r="AC49" s="2031"/>
      <c r="AD49" s="2032"/>
      <c r="AE49" s="2033"/>
    </row>
    <row r="50" ht="17.25" spans="1:31">
      <c r="A50" s="1958"/>
      <c r="B50" s="2225"/>
      <c r="C50" s="819"/>
      <c r="D50" s="1976"/>
      <c r="E50" s="1545"/>
      <c r="F50" s="1545"/>
      <c r="G50" s="1545"/>
      <c r="H50" s="1992"/>
      <c r="I50" s="606"/>
      <c r="J50" s="683"/>
      <c r="K50" s="683"/>
      <c r="L50" s="2000"/>
      <c r="M50" s="2327"/>
      <c r="N50" s="2018"/>
      <c r="O50" s="2019"/>
      <c r="P50" s="2020"/>
      <c r="Q50" s="2020"/>
      <c r="R50" s="2025"/>
      <c r="S50" s="2020"/>
      <c r="T50" s="2020"/>
      <c r="U50" s="2020"/>
      <c r="V50" s="2020"/>
      <c r="W50" s="2020"/>
      <c r="X50" s="2020"/>
      <c r="Y50" s="2020"/>
      <c r="Z50" s="2020"/>
      <c r="AA50" s="2020"/>
      <c r="AB50" s="2020"/>
      <c r="AC50" s="2031"/>
      <c r="AD50" s="2032"/>
      <c r="AE50" s="2033"/>
    </row>
    <row r="51" ht="17.25" spans="1:31">
      <c r="A51" s="1958"/>
      <c r="B51" s="1959" t="s">
        <v>299</v>
      </c>
      <c r="C51" s="1883" t="s">
        <v>656</v>
      </c>
      <c r="D51" s="819" t="s">
        <v>427</v>
      </c>
      <c r="E51" s="1976">
        <v>168</v>
      </c>
      <c r="F51" s="1545">
        <v>242</v>
      </c>
      <c r="G51" s="1545">
        <f>F51*E51</f>
        <v>40656</v>
      </c>
      <c r="H51" s="1977">
        <f>E51*F51*I51</f>
        <v>258458.3232</v>
      </c>
      <c r="I51" s="1992">
        <v>6.3572</v>
      </c>
      <c r="J51" s="2324" t="s">
        <v>645</v>
      </c>
      <c r="K51" s="2325"/>
      <c r="L51" s="2237"/>
      <c r="M51" s="2017"/>
      <c r="N51" s="2018"/>
      <c r="O51" s="2019"/>
      <c r="P51" s="2020"/>
      <c r="Q51" s="2020"/>
      <c r="R51" s="2025"/>
      <c r="S51" s="2020"/>
      <c r="T51" s="2020"/>
      <c r="U51" s="2020"/>
      <c r="V51" s="2020"/>
      <c r="W51" s="2020"/>
      <c r="X51" s="2020"/>
      <c r="Y51" s="2020"/>
      <c r="Z51" s="2020"/>
      <c r="AA51" s="2020"/>
      <c r="AB51" s="2020"/>
      <c r="AC51" s="2031"/>
      <c r="AD51" s="2032"/>
      <c r="AE51" s="2033"/>
    </row>
    <row r="52" ht="17.25" spans="1:31">
      <c r="A52" s="1958"/>
      <c r="B52" s="2225"/>
      <c r="C52" s="819"/>
      <c r="D52" s="1976"/>
      <c r="E52" s="1545"/>
      <c r="F52" s="1545"/>
      <c r="G52" s="1545"/>
      <c r="H52" s="1992"/>
      <c r="I52" s="2241"/>
      <c r="J52" s="683"/>
      <c r="K52" s="2325"/>
      <c r="L52" s="2237"/>
      <c r="M52" s="2017"/>
      <c r="N52" s="2018"/>
      <c r="O52" s="2019"/>
      <c r="P52" s="2020"/>
      <c r="Q52" s="2020"/>
      <c r="R52" s="2025"/>
      <c r="S52" s="2020"/>
      <c r="T52" s="2020"/>
      <c r="U52" s="2020"/>
      <c r="V52" s="2020"/>
      <c r="W52" s="2020"/>
      <c r="X52" s="2020"/>
      <c r="Y52" s="2020"/>
      <c r="Z52" s="2020"/>
      <c r="AA52" s="2020"/>
      <c r="AB52" s="2020"/>
      <c r="AC52" s="2031"/>
      <c r="AD52" s="2032"/>
      <c r="AE52" s="2033"/>
    </row>
    <row r="53" ht="17.25" spans="1:31">
      <c r="A53" s="1958"/>
      <c r="B53" s="1959" t="s">
        <v>657</v>
      </c>
      <c r="C53" s="1883" t="s">
        <v>658</v>
      </c>
      <c r="D53" s="819" t="s">
        <v>659</v>
      </c>
      <c r="E53" s="1976">
        <v>1</v>
      </c>
      <c r="F53" s="2234">
        <v>2388</v>
      </c>
      <c r="G53" s="1545">
        <f>F53*E53</f>
        <v>2388</v>
      </c>
      <c r="H53" s="1977">
        <f>E53*F53*I53</f>
        <v>15180.9936</v>
      </c>
      <c r="I53" s="1992">
        <v>6.3572</v>
      </c>
      <c r="J53" s="474"/>
      <c r="K53" s="2326"/>
      <c r="L53" s="2243"/>
      <c r="M53" s="2020" t="s">
        <v>160</v>
      </c>
      <c r="N53" s="2018"/>
      <c r="O53" s="2019"/>
      <c r="P53" s="2020"/>
      <c r="Q53" s="2020"/>
      <c r="R53" s="2025"/>
      <c r="S53" s="2020"/>
      <c r="T53" s="2020"/>
      <c r="U53" s="2020"/>
      <c r="V53" s="2020"/>
      <c r="W53" s="2020"/>
      <c r="X53" s="2020"/>
      <c r="Y53" s="2020"/>
      <c r="Z53" s="2020"/>
      <c r="AA53" s="2020"/>
      <c r="AB53" s="2020"/>
      <c r="AC53" s="2031"/>
      <c r="AD53" s="2034"/>
      <c r="AE53" s="2020"/>
    </row>
    <row r="54" ht="17.25" spans="1:31">
      <c r="A54" s="1958"/>
      <c r="B54" s="1959"/>
      <c r="C54" s="2225"/>
      <c r="D54" s="819"/>
      <c r="E54" s="1976"/>
      <c r="F54" s="2234"/>
      <c r="G54" s="1545"/>
      <c r="H54" s="1977"/>
      <c r="I54" s="1992"/>
      <c r="J54" s="247"/>
      <c r="K54" s="2326"/>
      <c r="L54" s="2243"/>
      <c r="M54" s="2020"/>
      <c r="N54" s="2018"/>
      <c r="O54" s="2019"/>
      <c r="P54" s="2020"/>
      <c r="Q54" s="2020"/>
      <c r="R54" s="2025"/>
      <c r="S54" s="2020"/>
      <c r="T54" s="2020"/>
      <c r="U54" s="2020"/>
      <c r="V54" s="2020"/>
      <c r="W54" s="2020"/>
      <c r="X54" s="2020"/>
      <c r="Y54" s="2020"/>
      <c r="Z54" s="2020"/>
      <c r="AA54" s="2020"/>
      <c r="AB54" s="2020"/>
      <c r="AC54" s="2031"/>
      <c r="AD54" s="2034"/>
      <c r="AE54" s="2020"/>
    </row>
    <row r="55" ht="17.25" spans="1:31">
      <c r="A55" s="2226"/>
      <c r="B55" s="1959"/>
      <c r="C55" s="2225"/>
      <c r="D55" s="819"/>
      <c r="E55" s="1976"/>
      <c r="F55" s="2234"/>
      <c r="G55" s="1545"/>
      <c r="H55" s="1977"/>
      <c r="I55" s="1992"/>
      <c r="J55" s="247"/>
      <c r="K55" s="2326"/>
      <c r="L55" s="2243"/>
      <c r="M55" s="2020"/>
      <c r="N55" s="2018"/>
      <c r="O55" s="2019"/>
      <c r="P55" s="2020"/>
      <c r="Q55" s="2020"/>
      <c r="R55" s="2025"/>
      <c r="S55" s="2020"/>
      <c r="T55" s="2020"/>
      <c r="U55" s="2020"/>
      <c r="V55" s="2020"/>
      <c r="W55" s="2020"/>
      <c r="X55" s="2020"/>
      <c r="Y55" s="2020"/>
      <c r="Z55" s="2020"/>
      <c r="AA55" s="2020"/>
      <c r="AB55" s="2020"/>
      <c r="AC55" s="2031"/>
      <c r="AD55" s="2034"/>
      <c r="AE55" s="2020"/>
    </row>
    <row r="56" ht="17.25" spans="1:31">
      <c r="A56" s="2011"/>
      <c r="B56" s="1959"/>
      <c r="C56" s="2225"/>
      <c r="D56" s="819"/>
      <c r="E56" s="2270"/>
      <c r="F56" s="2234"/>
      <c r="G56" s="1545"/>
      <c r="H56" s="1977"/>
      <c r="I56" s="1992"/>
      <c r="J56" s="247"/>
      <c r="K56" s="2326"/>
      <c r="L56" s="2243"/>
      <c r="M56" s="2020"/>
      <c r="N56" s="2018"/>
      <c r="O56" s="2019"/>
      <c r="P56" s="2020"/>
      <c r="Q56" s="2020"/>
      <c r="R56" s="2025"/>
      <c r="S56" s="2020"/>
      <c r="T56" s="2020"/>
      <c r="U56" s="2020"/>
      <c r="V56" s="2020"/>
      <c r="W56" s="2020"/>
      <c r="X56" s="2020"/>
      <c r="Y56" s="2020"/>
      <c r="Z56" s="2020"/>
      <c r="AA56" s="2020"/>
      <c r="AB56" s="2020"/>
      <c r="AC56" s="2031"/>
      <c r="AD56" s="2034"/>
      <c r="AE56" s="2020"/>
    </row>
    <row r="57" spans="1:31">
      <c r="A57" s="2153" t="s">
        <v>220</v>
      </c>
      <c r="B57" s="1426" t="s">
        <v>660</v>
      </c>
      <c r="C57" s="1883" t="s">
        <v>661</v>
      </c>
      <c r="D57" s="971"/>
      <c r="E57" s="971">
        <v>1</v>
      </c>
      <c r="F57" s="2283">
        <v>13152</v>
      </c>
      <c r="G57" s="2046">
        <f>F57*E57</f>
        <v>13152</v>
      </c>
      <c r="H57" s="1977">
        <f>I57*F57</f>
        <v>83609.8944</v>
      </c>
      <c r="I57" s="1992">
        <v>6.3572</v>
      </c>
      <c r="J57" s="2273" t="s">
        <v>662</v>
      </c>
      <c r="K57" s="2064"/>
      <c r="L57" s="2065"/>
      <c r="M57" s="2020"/>
      <c r="N57" s="2018"/>
      <c r="O57" s="2019"/>
      <c r="P57" s="2020"/>
      <c r="Q57" s="2020"/>
      <c r="R57" s="2025"/>
      <c r="S57" s="2020"/>
      <c r="T57" s="2020"/>
      <c r="U57" s="2020"/>
      <c r="V57" s="2020"/>
      <c r="W57" s="2020"/>
      <c r="X57" s="2020"/>
      <c r="Y57" s="2020"/>
      <c r="Z57" s="2020"/>
      <c r="AA57" s="2020"/>
      <c r="AB57" s="2020"/>
      <c r="AC57" s="2332"/>
      <c r="AD57" s="2333"/>
      <c r="AE57" s="2334"/>
    </row>
    <row r="58" spans="1:31">
      <c r="A58" s="2153"/>
      <c r="B58" s="2204" t="s">
        <v>663</v>
      </c>
      <c r="C58" s="1883" t="s">
        <v>664</v>
      </c>
      <c r="D58" s="571" t="s">
        <v>665</v>
      </c>
      <c r="E58" s="648">
        <v>44</v>
      </c>
      <c r="F58" s="2235">
        <v>840</v>
      </c>
      <c r="G58" s="2046">
        <f t="shared" ref="G58:G67" si="2">E58*F58</f>
        <v>36960</v>
      </c>
      <c r="H58" s="1977">
        <f t="shared" ref="H58:H70" si="3">G58*I58</f>
        <v>234962.112</v>
      </c>
      <c r="I58" s="1992">
        <v>6.3572</v>
      </c>
      <c r="J58" s="2273" t="s">
        <v>666</v>
      </c>
      <c r="K58" s="2064"/>
      <c r="L58" s="2065"/>
      <c r="M58" s="2020"/>
      <c r="N58" s="2018"/>
      <c r="O58" s="2019"/>
      <c r="P58" s="2020"/>
      <c r="Q58" s="2020"/>
      <c r="R58" s="2025"/>
      <c r="S58" s="2020"/>
      <c r="T58" s="2020"/>
      <c r="U58" s="2020"/>
      <c r="V58" s="2020"/>
      <c r="W58" s="2020"/>
      <c r="X58" s="2020"/>
      <c r="Y58" s="2020"/>
      <c r="Z58" s="2020"/>
      <c r="AA58" s="2020"/>
      <c r="AB58" s="2020"/>
      <c r="AC58" s="2332"/>
      <c r="AD58" s="2333"/>
      <c r="AE58" s="2334"/>
    </row>
    <row r="59" spans="1:31">
      <c r="A59" s="2153"/>
      <c r="B59" s="2204" t="s">
        <v>663</v>
      </c>
      <c r="C59" s="1883" t="s">
        <v>664</v>
      </c>
      <c r="D59" s="571" t="s">
        <v>667</v>
      </c>
      <c r="E59" s="648">
        <v>64</v>
      </c>
      <c r="F59" s="2235">
        <v>475</v>
      </c>
      <c r="G59" s="2046">
        <f t="shared" si="2"/>
        <v>30400</v>
      </c>
      <c r="H59" s="1977">
        <f t="shared" si="3"/>
        <v>193258.88</v>
      </c>
      <c r="I59" s="1992">
        <v>6.3572</v>
      </c>
      <c r="J59" s="2273" t="s">
        <v>666</v>
      </c>
      <c r="K59" s="2064"/>
      <c r="L59" s="2065"/>
      <c r="M59" s="2020"/>
      <c r="N59" s="2018"/>
      <c r="O59" s="2019"/>
      <c r="P59" s="2020"/>
      <c r="Q59" s="2020"/>
      <c r="R59" s="2025"/>
      <c r="S59" s="2020"/>
      <c r="T59" s="2020"/>
      <c r="U59" s="2020"/>
      <c r="V59" s="2020"/>
      <c r="W59" s="2020"/>
      <c r="X59" s="2020"/>
      <c r="Y59" s="2020"/>
      <c r="Z59" s="2020"/>
      <c r="AA59" s="2020"/>
      <c r="AB59" s="2020"/>
      <c r="AC59" s="2332"/>
      <c r="AD59" s="2333"/>
      <c r="AE59" s="2334"/>
    </row>
    <row r="60" spans="1:31">
      <c r="A60" s="2153"/>
      <c r="B60" s="2204" t="s">
        <v>663</v>
      </c>
      <c r="C60" s="1883" t="s">
        <v>664</v>
      </c>
      <c r="D60" s="571" t="s">
        <v>668</v>
      </c>
      <c r="E60" s="648">
        <v>51</v>
      </c>
      <c r="F60" s="2235">
        <v>430</v>
      </c>
      <c r="G60" s="2046">
        <f t="shared" si="2"/>
        <v>21930</v>
      </c>
      <c r="H60" s="1977">
        <f t="shared" si="3"/>
        <v>139413.396</v>
      </c>
      <c r="I60" s="1992">
        <v>6.3572</v>
      </c>
      <c r="J60" s="2273" t="s">
        <v>666</v>
      </c>
      <c r="K60" s="2064"/>
      <c r="L60" s="2065"/>
      <c r="M60" s="2020"/>
      <c r="N60" s="2018"/>
      <c r="O60" s="2019"/>
      <c r="P60" s="2020"/>
      <c r="Q60" s="2020"/>
      <c r="R60" s="2025"/>
      <c r="S60" s="2020"/>
      <c r="T60" s="2020"/>
      <c r="U60" s="2020"/>
      <c r="V60" s="2020"/>
      <c r="W60" s="2020"/>
      <c r="X60" s="2020"/>
      <c r="Y60" s="2020"/>
      <c r="Z60" s="2020"/>
      <c r="AA60" s="2020"/>
      <c r="AB60" s="2020"/>
      <c r="AC60" s="2332"/>
      <c r="AD60" s="2333"/>
      <c r="AE60" s="2334"/>
    </row>
    <row r="61" spans="1:31">
      <c r="A61" s="2153"/>
      <c r="B61" s="2204" t="s">
        <v>663</v>
      </c>
      <c r="C61" s="1883" t="s">
        <v>669</v>
      </c>
      <c r="D61" s="571">
        <v>5907</v>
      </c>
      <c r="E61" s="648">
        <v>10</v>
      </c>
      <c r="F61" s="2235">
        <v>734</v>
      </c>
      <c r="G61" s="2046">
        <f t="shared" si="2"/>
        <v>7340</v>
      </c>
      <c r="H61" s="1977">
        <f t="shared" si="3"/>
        <v>46661.848</v>
      </c>
      <c r="I61" s="1992">
        <v>6.3572</v>
      </c>
      <c r="J61" s="2273" t="s">
        <v>666</v>
      </c>
      <c r="K61" s="2064"/>
      <c r="L61" s="2065"/>
      <c r="M61" s="2020"/>
      <c r="N61" s="2018"/>
      <c r="O61" s="2019"/>
      <c r="P61" s="2020"/>
      <c r="Q61" s="2020"/>
      <c r="R61" s="2025"/>
      <c r="S61" s="2020"/>
      <c r="T61" s="2020"/>
      <c r="U61" s="2020"/>
      <c r="V61" s="2020"/>
      <c r="W61" s="2020"/>
      <c r="X61" s="2020"/>
      <c r="Y61" s="2020"/>
      <c r="Z61" s="2020"/>
      <c r="AA61" s="2020"/>
      <c r="AB61" s="2020"/>
      <c r="AC61" s="2332"/>
      <c r="AD61" s="2333"/>
      <c r="AE61" s="2334"/>
    </row>
    <row r="62" spans="1:31">
      <c r="A62" s="2153"/>
      <c r="B62" s="2204" t="s">
        <v>670</v>
      </c>
      <c r="C62" s="1883" t="s">
        <v>671</v>
      </c>
      <c r="D62" s="571">
        <v>8919</v>
      </c>
      <c r="E62" s="571">
        <v>44</v>
      </c>
      <c r="F62" s="1257">
        <v>1000</v>
      </c>
      <c r="G62" s="2046">
        <f t="shared" si="2"/>
        <v>44000</v>
      </c>
      <c r="H62" s="1977">
        <f t="shared" si="3"/>
        <v>279716.8</v>
      </c>
      <c r="I62" s="1992">
        <v>6.3572</v>
      </c>
      <c r="J62" s="2273" t="s">
        <v>666</v>
      </c>
      <c r="K62" s="2064"/>
      <c r="L62" s="2065"/>
      <c r="M62" s="2020"/>
      <c r="N62" s="2018"/>
      <c r="O62" s="2019"/>
      <c r="P62" s="2020"/>
      <c r="Q62" s="2020"/>
      <c r="R62" s="2025"/>
      <c r="S62" s="2020"/>
      <c r="T62" s="2020"/>
      <c r="U62" s="2020"/>
      <c r="V62" s="2020"/>
      <c r="W62" s="2020"/>
      <c r="X62" s="2020"/>
      <c r="Y62" s="2020"/>
      <c r="Z62" s="2020"/>
      <c r="AA62" s="2020"/>
      <c r="AB62" s="2020"/>
      <c r="AC62" s="2332"/>
      <c r="AD62" s="2333"/>
      <c r="AE62" s="2334"/>
    </row>
    <row r="63" spans="1:31">
      <c r="A63" s="2153"/>
      <c r="B63" s="2204" t="s">
        <v>355</v>
      </c>
      <c r="C63" s="1883" t="s">
        <v>672</v>
      </c>
      <c r="D63" s="571" t="s">
        <v>673</v>
      </c>
      <c r="E63" s="571">
        <v>44</v>
      </c>
      <c r="F63" s="1257">
        <v>734</v>
      </c>
      <c r="G63" s="2046">
        <f t="shared" si="2"/>
        <v>32296</v>
      </c>
      <c r="H63" s="1977">
        <f t="shared" si="3"/>
        <v>205312.1312</v>
      </c>
      <c r="I63" s="1992">
        <v>6.3572</v>
      </c>
      <c r="J63" s="2273" t="s">
        <v>674</v>
      </c>
      <c r="K63" s="2064"/>
      <c r="L63" s="2065"/>
      <c r="M63" s="2020"/>
      <c r="N63" s="2018"/>
      <c r="O63" s="2019"/>
      <c r="P63" s="2020"/>
      <c r="Q63" s="2020"/>
      <c r="R63" s="2025"/>
      <c r="S63" s="2020"/>
      <c r="T63" s="2020"/>
      <c r="U63" s="2020"/>
      <c r="V63" s="2020"/>
      <c r="W63" s="2020"/>
      <c r="X63" s="2020"/>
      <c r="Y63" s="2020"/>
      <c r="Z63" s="2020"/>
      <c r="AA63" s="2020"/>
      <c r="AB63" s="2020"/>
      <c r="AC63" s="2332"/>
      <c r="AD63" s="2333"/>
      <c r="AE63" s="2334"/>
    </row>
    <row r="64" spans="1:31">
      <c r="A64" s="2153"/>
      <c r="B64" s="2204" t="s">
        <v>355</v>
      </c>
      <c r="C64" s="1883" t="s">
        <v>675</v>
      </c>
      <c r="D64" s="571" t="s">
        <v>673</v>
      </c>
      <c r="E64" s="571">
        <v>44</v>
      </c>
      <c r="F64" s="1257">
        <v>734</v>
      </c>
      <c r="G64" s="2046">
        <f t="shared" si="2"/>
        <v>32296</v>
      </c>
      <c r="H64" s="1977">
        <f t="shared" si="3"/>
        <v>205312.1312</v>
      </c>
      <c r="I64" s="1992">
        <v>6.3572</v>
      </c>
      <c r="J64" s="2273" t="s">
        <v>674</v>
      </c>
      <c r="K64" s="2064"/>
      <c r="L64" s="2065"/>
      <c r="M64" s="2020"/>
      <c r="N64" s="2018"/>
      <c r="O64" s="2019"/>
      <c r="P64" s="2020"/>
      <c r="Q64" s="2020"/>
      <c r="R64" s="2025"/>
      <c r="S64" s="2020"/>
      <c r="T64" s="2020"/>
      <c r="U64" s="2020"/>
      <c r="V64" s="2020"/>
      <c r="W64" s="2020"/>
      <c r="X64" s="2020"/>
      <c r="Y64" s="2020"/>
      <c r="Z64" s="2020"/>
      <c r="AA64" s="2020"/>
      <c r="AB64" s="2020"/>
      <c r="AC64" s="2332"/>
      <c r="AD64" s="2333"/>
      <c r="AE64" s="2334"/>
    </row>
    <row r="65" spans="1:31">
      <c r="A65" s="2153"/>
      <c r="B65" s="2204" t="s">
        <v>355</v>
      </c>
      <c r="C65" s="1883" t="s">
        <v>676</v>
      </c>
      <c r="D65" s="571" t="s">
        <v>673</v>
      </c>
      <c r="E65" s="571">
        <v>44</v>
      </c>
      <c r="F65" s="1257">
        <v>734</v>
      </c>
      <c r="G65" s="2046">
        <f t="shared" si="2"/>
        <v>32296</v>
      </c>
      <c r="H65" s="1977">
        <f t="shared" si="3"/>
        <v>205312.1312</v>
      </c>
      <c r="I65" s="1992">
        <v>6.3572</v>
      </c>
      <c r="J65" s="2273" t="s">
        <v>674</v>
      </c>
      <c r="K65" s="2064"/>
      <c r="L65" s="2065"/>
      <c r="M65" s="2020"/>
      <c r="N65" s="2018"/>
      <c r="O65" s="2019"/>
      <c r="P65" s="2020"/>
      <c r="Q65" s="2020"/>
      <c r="R65" s="2025"/>
      <c r="S65" s="2020"/>
      <c r="T65" s="2020"/>
      <c r="U65" s="2020"/>
      <c r="V65" s="2020"/>
      <c r="W65" s="2020"/>
      <c r="X65" s="2020"/>
      <c r="Y65" s="2020"/>
      <c r="Z65" s="2020"/>
      <c r="AA65" s="2020"/>
      <c r="AB65" s="2020"/>
      <c r="AC65" s="2332"/>
      <c r="AD65" s="2333"/>
      <c r="AE65" s="2334"/>
    </row>
    <row r="66" spans="1:31">
      <c r="A66" s="2153"/>
      <c r="B66" s="2204" t="s">
        <v>355</v>
      </c>
      <c r="C66" s="1883" t="s">
        <v>677</v>
      </c>
      <c r="D66" s="571" t="s">
        <v>673</v>
      </c>
      <c r="E66" s="571">
        <v>43</v>
      </c>
      <c r="F66" s="1257">
        <v>734</v>
      </c>
      <c r="G66" s="2046">
        <f t="shared" si="2"/>
        <v>31562</v>
      </c>
      <c r="H66" s="1977">
        <f t="shared" si="3"/>
        <v>200645.9464</v>
      </c>
      <c r="I66" s="1992">
        <v>6.3572</v>
      </c>
      <c r="J66" s="2273" t="s">
        <v>674</v>
      </c>
      <c r="K66" s="2064"/>
      <c r="L66" s="2065"/>
      <c r="M66" s="2020"/>
      <c r="N66" s="2018"/>
      <c r="O66" s="2019"/>
      <c r="P66" s="2020"/>
      <c r="Q66" s="2020"/>
      <c r="R66" s="2025"/>
      <c r="S66" s="2020"/>
      <c r="T66" s="2020"/>
      <c r="U66" s="2020"/>
      <c r="V66" s="2020"/>
      <c r="W66" s="2020"/>
      <c r="X66" s="2020"/>
      <c r="Y66" s="2020"/>
      <c r="Z66" s="2020"/>
      <c r="AA66" s="2020"/>
      <c r="AB66" s="2020"/>
      <c r="AC66" s="2332"/>
      <c r="AD66" s="2333"/>
      <c r="AE66" s="2334"/>
    </row>
    <row r="67" spans="1:31">
      <c r="A67" s="2153"/>
      <c r="B67" s="2335" t="s">
        <v>258</v>
      </c>
      <c r="C67" s="1883" t="s">
        <v>678</v>
      </c>
      <c r="D67" s="648" t="s">
        <v>481</v>
      </c>
      <c r="E67" s="648">
        <v>67</v>
      </c>
      <c r="F67" s="2235">
        <v>557</v>
      </c>
      <c r="G67" s="2046">
        <f t="shared" si="2"/>
        <v>37319</v>
      </c>
      <c r="H67" s="1977">
        <f t="shared" si="3"/>
        <v>237244.3468</v>
      </c>
      <c r="I67" s="1992">
        <v>6.3572</v>
      </c>
      <c r="J67" s="2273" t="s">
        <v>679</v>
      </c>
      <c r="K67" s="2326"/>
      <c r="L67" s="2243"/>
      <c r="M67" s="2020"/>
      <c r="N67" s="2018"/>
      <c r="O67" s="2019"/>
      <c r="P67" s="2020"/>
      <c r="Q67" s="2020"/>
      <c r="R67" s="2025"/>
      <c r="S67" s="2020"/>
      <c r="T67" s="2020"/>
      <c r="U67" s="2020"/>
      <c r="V67" s="2020"/>
      <c r="W67" s="2020"/>
      <c r="X67" s="2020"/>
      <c r="Y67" s="2020"/>
      <c r="Z67" s="2020"/>
      <c r="AA67" s="2020"/>
      <c r="AB67" s="2020"/>
      <c r="AC67" s="2075"/>
      <c r="AD67" s="2157"/>
      <c r="AE67" s="2033"/>
    </row>
    <row r="68" spans="1:31">
      <c r="A68" s="2153"/>
      <c r="B68" s="1426"/>
      <c r="C68" s="1303"/>
      <c r="D68" s="571"/>
      <c r="E68" s="571"/>
      <c r="F68" s="1257"/>
      <c r="G68" s="2046"/>
      <c r="I68" s="1992"/>
      <c r="J68" s="2273"/>
      <c r="K68" s="2326"/>
      <c r="L68" s="2243"/>
      <c r="M68" s="2020"/>
      <c r="N68" s="2018"/>
      <c r="O68" s="2019"/>
      <c r="P68" s="2020"/>
      <c r="Q68" s="2020"/>
      <c r="R68" s="2025"/>
      <c r="S68" s="2020"/>
      <c r="T68" s="2020"/>
      <c r="U68" s="2020"/>
      <c r="V68" s="2020"/>
      <c r="W68" s="2020"/>
      <c r="X68" s="2020"/>
      <c r="Y68" s="2020"/>
      <c r="Z68" s="2020"/>
      <c r="AA68" s="2020"/>
      <c r="AB68" s="2020"/>
      <c r="AC68" s="2075"/>
      <c r="AD68" s="2157"/>
      <c r="AE68" s="2033"/>
    </row>
    <row r="69" spans="1:31">
      <c r="A69" s="2280"/>
      <c r="B69" s="1426"/>
      <c r="C69" s="1303"/>
      <c r="D69" s="571"/>
      <c r="E69" s="571"/>
      <c r="F69" s="1257"/>
      <c r="G69" s="2046"/>
      <c r="H69" s="1977"/>
      <c r="I69" s="1992"/>
      <c r="J69" s="2273"/>
      <c r="K69" s="2326"/>
      <c r="L69" s="2243"/>
      <c r="M69" s="2020"/>
      <c r="N69" s="2018"/>
      <c r="O69" s="2019"/>
      <c r="P69" s="2020"/>
      <c r="Q69" s="2020"/>
      <c r="R69" s="2025"/>
      <c r="S69" s="2020"/>
      <c r="T69" s="2020"/>
      <c r="U69" s="2020"/>
      <c r="V69" s="2020"/>
      <c r="W69" s="2020"/>
      <c r="X69" s="2020"/>
      <c r="Y69" s="2020"/>
      <c r="Z69" s="2020"/>
      <c r="AA69" s="2020"/>
      <c r="AB69" s="2020"/>
      <c r="AC69" s="2075"/>
      <c r="AD69" s="2157"/>
      <c r="AE69" s="2033"/>
    </row>
    <row r="70" spans="1:31">
      <c r="A70" s="2154"/>
      <c r="B70" s="1426"/>
      <c r="C70" s="1303"/>
      <c r="D70" s="571"/>
      <c r="E70" s="571"/>
      <c r="F70" s="1257"/>
      <c r="G70" s="1327"/>
      <c r="H70" s="1977"/>
      <c r="I70" s="1992"/>
      <c r="J70" s="2273"/>
      <c r="K70" s="2326"/>
      <c r="L70" s="2243"/>
      <c r="M70" s="2020"/>
      <c r="N70" s="2018"/>
      <c r="O70" s="2019"/>
      <c r="P70" s="2020"/>
      <c r="Q70" s="2020"/>
      <c r="R70" s="2025"/>
      <c r="S70" s="2020"/>
      <c r="T70" s="2020"/>
      <c r="U70" s="2020"/>
      <c r="V70" s="2020"/>
      <c r="W70" s="2020"/>
      <c r="X70" s="2020"/>
      <c r="Y70" s="2020"/>
      <c r="Z70" s="2020"/>
      <c r="AA70" s="2020"/>
      <c r="AB70" s="2020"/>
      <c r="AC70" s="2075"/>
      <c r="AD70" s="2157"/>
      <c r="AE70" s="2033"/>
    </row>
    <row r="71" customFormat="1" spans="1:31">
      <c r="A71" s="2185" t="s">
        <v>509</v>
      </c>
      <c r="B71" s="1346" t="s">
        <v>680</v>
      </c>
      <c r="C71" s="1903" t="s">
        <v>681</v>
      </c>
      <c r="D71" s="571"/>
      <c r="E71" s="572">
        <v>1</v>
      </c>
      <c r="F71" s="1257"/>
      <c r="G71" s="2336">
        <v>47673</v>
      </c>
      <c r="H71" s="1977">
        <f>SUM(G71*I71)</f>
        <v>303066.7956</v>
      </c>
      <c r="I71" s="1992">
        <v>6.3572</v>
      </c>
      <c r="J71" s="708" t="s">
        <v>682</v>
      </c>
      <c r="K71" s="2326"/>
      <c r="L71" s="2243"/>
      <c r="M71" s="2020"/>
      <c r="N71" s="2018"/>
      <c r="O71" s="2019"/>
      <c r="P71" s="2020"/>
      <c r="Q71" s="2020"/>
      <c r="R71" s="2025"/>
      <c r="S71" s="2020"/>
      <c r="T71" s="2020"/>
      <c r="U71" s="2020"/>
      <c r="V71" s="2020"/>
      <c r="W71" s="2020"/>
      <c r="X71" s="2020"/>
      <c r="Y71" s="2020"/>
      <c r="Z71" s="2020"/>
      <c r="AA71" s="2020"/>
      <c r="AB71" s="2020"/>
      <c r="AC71" s="2075"/>
      <c r="AD71" s="2157"/>
      <c r="AE71" s="2033"/>
    </row>
    <row r="72" s="10" customFormat="1" spans="1:31">
      <c r="A72" s="2186"/>
      <c r="B72" s="2034" t="s">
        <v>274</v>
      </c>
      <c r="C72" s="1903" t="s">
        <v>683</v>
      </c>
      <c r="D72" s="571"/>
      <c r="E72" s="572">
        <v>1</v>
      </c>
      <c r="F72" s="2164"/>
      <c r="G72" s="979">
        <v>53899</v>
      </c>
      <c r="H72" s="1977">
        <f>G72*I72</f>
        <v>342646.7228</v>
      </c>
      <c r="I72" s="1992">
        <v>6.3572</v>
      </c>
      <c r="J72" s="708" t="s">
        <v>684</v>
      </c>
      <c r="K72" s="2337"/>
      <c r="L72" s="2164"/>
      <c r="M72" s="1389"/>
      <c r="N72" s="1187"/>
      <c r="O72" s="2070"/>
      <c r="P72" s="1389"/>
      <c r="Q72" s="1389"/>
      <c r="R72" s="1303"/>
      <c r="S72" s="1389"/>
      <c r="T72" s="1389"/>
      <c r="U72" s="1389"/>
      <c r="V72" s="1389"/>
      <c r="W72" s="1389"/>
      <c r="X72" s="1389"/>
      <c r="Y72" s="1389"/>
      <c r="Z72" s="1389"/>
      <c r="AA72" s="1389"/>
      <c r="AB72" s="1389"/>
      <c r="AC72" s="2076"/>
      <c r="AD72" s="628"/>
      <c r="AE72" s="2163"/>
    </row>
    <row r="73" s="10" customFormat="1" spans="1:31">
      <c r="A73" s="2186"/>
      <c r="B73" s="2034" t="s">
        <v>274</v>
      </c>
      <c r="C73" s="1903" t="s">
        <v>685</v>
      </c>
      <c r="D73" s="819"/>
      <c r="E73" s="1976">
        <v>1</v>
      </c>
      <c r="F73" s="2164"/>
      <c r="G73" s="979">
        <v>20794</v>
      </c>
      <c r="H73" s="1977">
        <f>G73*I73</f>
        <v>132191.6168</v>
      </c>
      <c r="I73" s="1992">
        <v>6.3572</v>
      </c>
      <c r="J73" s="1356" t="s">
        <v>686</v>
      </c>
      <c r="K73" s="2337"/>
      <c r="L73" s="2164"/>
      <c r="M73" s="1389"/>
      <c r="N73" s="1187"/>
      <c r="O73" s="2070"/>
      <c r="P73" s="1389"/>
      <c r="Q73" s="1389"/>
      <c r="R73" s="945"/>
      <c r="S73" s="1389"/>
      <c r="T73" s="1389"/>
      <c r="U73" s="1389"/>
      <c r="V73" s="1389"/>
      <c r="W73" s="1389"/>
      <c r="X73" s="1389"/>
      <c r="Y73" s="1389"/>
      <c r="Z73" s="1389"/>
      <c r="AA73" s="1389"/>
      <c r="AB73" s="1389"/>
      <c r="AC73" s="2076"/>
      <c r="AD73" s="648"/>
      <c r="AE73" s="1389"/>
    </row>
    <row r="74" s="10" customFormat="1" spans="1:31">
      <c r="A74" s="2186"/>
      <c r="B74" s="2034" t="s">
        <v>274</v>
      </c>
      <c r="C74" s="1903" t="s">
        <v>687</v>
      </c>
      <c r="D74" s="819"/>
      <c r="E74" s="1976">
        <v>1</v>
      </c>
      <c r="F74" s="2164"/>
      <c r="G74" s="979">
        <v>9145</v>
      </c>
      <c r="H74" s="1977">
        <f>G74*I74</f>
        <v>58136.594</v>
      </c>
      <c r="I74" s="1992">
        <v>6.3572</v>
      </c>
      <c r="J74" s="1356" t="s">
        <v>688</v>
      </c>
      <c r="K74" s="2338"/>
      <c r="L74" s="2054"/>
      <c r="M74" s="1389"/>
      <c r="N74" s="1187"/>
      <c r="O74" s="2070"/>
      <c r="P74" s="1389"/>
      <c r="Q74" s="1389"/>
      <c r="R74" s="2291"/>
      <c r="S74" s="1389"/>
      <c r="T74" s="1389"/>
      <c r="U74" s="1389"/>
      <c r="V74" s="1389"/>
      <c r="W74" s="1389"/>
      <c r="X74" s="1389"/>
      <c r="Y74" s="1389"/>
      <c r="Z74" s="1389"/>
      <c r="AA74" s="1389"/>
      <c r="AB74" s="1389"/>
      <c r="AC74" s="2341"/>
      <c r="AD74" s="2342"/>
      <c r="AE74" s="2343"/>
    </row>
    <row r="75" s="10" customFormat="1" spans="1:31">
      <c r="A75" s="2186"/>
      <c r="B75" s="1229" t="s">
        <v>689</v>
      </c>
      <c r="C75" s="1903" t="s">
        <v>690</v>
      </c>
      <c r="D75" s="819"/>
      <c r="E75" s="1976">
        <v>1</v>
      </c>
      <c r="F75" s="2164"/>
      <c r="G75" s="979">
        <v>22840</v>
      </c>
      <c r="H75" s="1977">
        <f>G75*I75</f>
        <v>145198.448</v>
      </c>
      <c r="I75" s="1992">
        <v>6.3572</v>
      </c>
      <c r="J75" s="707" t="s">
        <v>691</v>
      </c>
      <c r="K75" s="2338"/>
      <c r="L75" s="2054"/>
      <c r="M75" s="1389"/>
      <c r="N75" s="1187"/>
      <c r="O75" s="2070"/>
      <c r="P75" s="1389"/>
      <c r="Q75" s="1389"/>
      <c r="R75" s="2291"/>
      <c r="S75" s="1389"/>
      <c r="T75" s="1389"/>
      <c r="U75" s="1389"/>
      <c r="V75" s="1389"/>
      <c r="W75" s="1389"/>
      <c r="X75" s="1389"/>
      <c r="Y75" s="1389"/>
      <c r="Z75" s="1389"/>
      <c r="AA75" s="1389"/>
      <c r="AB75" s="1389"/>
      <c r="AC75" s="2341"/>
      <c r="AD75" s="2342"/>
      <c r="AE75" s="2343"/>
    </row>
    <row r="76" s="10" customFormat="1" spans="1:31">
      <c r="A76" s="2186"/>
      <c r="B76" s="561" t="s">
        <v>324</v>
      </c>
      <c r="C76" s="1903" t="s">
        <v>692</v>
      </c>
      <c r="D76" s="819" t="s">
        <v>354</v>
      </c>
      <c r="E76" s="1976">
        <v>66</v>
      </c>
      <c r="F76" s="2164">
        <v>549</v>
      </c>
      <c r="G76" s="979">
        <f>F76*E76</f>
        <v>36234</v>
      </c>
      <c r="H76" s="1977">
        <f>G76*I76</f>
        <v>230346.7848</v>
      </c>
      <c r="I76" s="1992">
        <v>6.3572</v>
      </c>
      <c r="J76" s="707" t="s">
        <v>693</v>
      </c>
      <c r="K76" s="2338"/>
      <c r="L76" s="2054"/>
      <c r="M76" s="1389"/>
      <c r="N76" s="1040"/>
      <c r="O76" s="2070"/>
      <c r="P76" s="1389"/>
      <c r="Q76" s="1389"/>
      <c r="R76" s="2340"/>
      <c r="S76" s="1389"/>
      <c r="T76" s="1389"/>
      <c r="U76" s="1389"/>
      <c r="V76" s="1389"/>
      <c r="W76" s="1389"/>
      <c r="X76" s="1389"/>
      <c r="Y76" s="1389"/>
      <c r="Z76" s="1389"/>
      <c r="AA76" s="1389"/>
      <c r="AB76" s="1389"/>
      <c r="AC76" s="2341"/>
      <c r="AD76" s="2333"/>
      <c r="AE76" s="2343"/>
    </row>
    <row r="77" spans="1:31">
      <c r="A77" s="2011"/>
      <c r="B77" s="2096"/>
      <c r="C77" s="2037"/>
      <c r="D77" s="2038"/>
      <c r="E77" s="2043"/>
      <c r="F77" s="2044"/>
      <c r="G77" s="2286"/>
      <c r="H77" s="1977"/>
      <c r="I77" s="2059"/>
      <c r="J77" s="2060"/>
      <c r="K77" s="2339"/>
      <c r="L77" s="2065"/>
      <c r="M77" s="2020"/>
      <c r="N77" s="2071"/>
      <c r="O77" s="2019"/>
      <c r="P77" s="2020"/>
      <c r="Q77" s="2020"/>
      <c r="R77" s="2073"/>
      <c r="S77" s="2020"/>
      <c r="T77" s="2020"/>
      <c r="U77" s="2020"/>
      <c r="V77" s="2020"/>
      <c r="W77" s="2020"/>
      <c r="X77" s="2020"/>
      <c r="Y77" s="2020"/>
      <c r="Z77" s="2020"/>
      <c r="AA77" s="2020"/>
      <c r="AB77" s="2020"/>
      <c r="AC77" s="2332"/>
      <c r="AD77" s="2333"/>
      <c r="AE77" s="2334"/>
    </row>
    <row r="78" spans="1:31">
      <c r="A78" s="2035"/>
      <c r="B78" s="2036"/>
      <c r="C78" s="2037"/>
      <c r="D78" s="2038"/>
      <c r="E78" s="2043"/>
      <c r="F78" s="2044"/>
      <c r="G78" s="2046"/>
      <c r="H78" s="2047"/>
      <c r="I78" s="2055"/>
      <c r="J78" s="2062"/>
      <c r="K78" s="2064"/>
      <c r="L78" s="2065"/>
      <c r="M78" s="2020"/>
      <c r="N78" s="2071"/>
      <c r="O78" s="2019"/>
      <c r="P78" s="2020"/>
      <c r="Q78" s="2020"/>
      <c r="R78" s="2073"/>
      <c r="S78" s="2020"/>
      <c r="T78" s="2020"/>
      <c r="U78" s="2020"/>
      <c r="V78" s="2020"/>
      <c r="W78" s="2020"/>
      <c r="X78" s="2020"/>
      <c r="Y78" s="2020"/>
      <c r="Z78" s="2020"/>
      <c r="AA78" s="2020"/>
      <c r="AB78" s="2020"/>
      <c r="AC78" s="2332"/>
      <c r="AD78" s="2333"/>
      <c r="AE78" s="2334"/>
    </row>
    <row r="79" spans="1:31">
      <c r="A79" s="2035"/>
      <c r="B79" s="2036"/>
      <c r="C79" s="2037"/>
      <c r="D79" s="2038"/>
      <c r="E79" s="2043"/>
      <c r="F79" s="2044"/>
      <c r="G79" s="2046"/>
      <c r="H79" s="2047"/>
      <c r="I79" s="2055"/>
      <c r="J79" s="2062"/>
      <c r="K79" s="2064"/>
      <c r="L79" s="2065"/>
      <c r="M79" s="2020"/>
      <c r="N79" s="2071"/>
      <c r="O79" s="2019"/>
      <c r="P79" s="2020"/>
      <c r="Q79" s="2020"/>
      <c r="R79" s="2073"/>
      <c r="S79" s="2020"/>
      <c r="T79" s="2020"/>
      <c r="U79" s="2020"/>
      <c r="V79" s="2020"/>
      <c r="W79" s="2020"/>
      <c r="X79" s="2020"/>
      <c r="Y79" s="2020"/>
      <c r="Z79" s="2020"/>
      <c r="AA79" s="2020"/>
      <c r="AB79" s="2020"/>
      <c r="AC79" s="2332"/>
      <c r="AD79" s="2333"/>
      <c r="AE79" s="2334"/>
    </row>
    <row r="80" customHeight="1" spans="1:31">
      <c r="A80" s="2039" t="s">
        <v>67</v>
      </c>
      <c r="B80" s="2039"/>
      <c r="C80" s="2040"/>
      <c r="D80" s="2040"/>
      <c r="E80" s="2048"/>
      <c r="F80" s="2049"/>
      <c r="G80" s="2049"/>
      <c r="H80" s="2050">
        <f>SUM(H41:H79)</f>
        <v>5411280.426</v>
      </c>
      <c r="I80" s="2066"/>
      <c r="J80" s="2050">
        <v>0</v>
      </c>
      <c r="K80" s="2067">
        <v>0</v>
      </c>
      <c r="L80" s="2068">
        <v>0</v>
      </c>
      <c r="M80" s="474"/>
      <c r="N80" s="474"/>
      <c r="O80" s="2072"/>
      <c r="P80" s="2011"/>
      <c r="Q80" s="2011"/>
      <c r="R80" s="2074"/>
      <c r="S80" s="2011"/>
      <c r="T80" s="2011"/>
      <c r="U80" s="2011"/>
      <c r="V80" s="2011"/>
      <c r="W80" s="2011"/>
      <c r="X80" s="2011"/>
      <c r="Y80" s="2011"/>
      <c r="Z80" s="2011"/>
      <c r="AA80" s="2011"/>
      <c r="AB80" s="2011"/>
      <c r="AC80" s="2295"/>
      <c r="AD80" s="2040" t="s">
        <v>325</v>
      </c>
      <c r="AE80" s="2040"/>
    </row>
    <row r="81" spans="1:31">
      <c r="A81" s="2001"/>
      <c r="B81" s="2001"/>
      <c r="C81" s="2001"/>
      <c r="D81" s="2001"/>
      <c r="E81" s="2051"/>
      <c r="F81" s="2001"/>
      <c r="G81" s="2001"/>
      <c r="H81" s="2052"/>
      <c r="I81" s="2001"/>
      <c r="J81" s="2001"/>
      <c r="K81" s="2001"/>
      <c r="L81" s="2001"/>
      <c r="M81" s="2001"/>
      <c r="N81" s="2001"/>
      <c r="O81" s="2002"/>
      <c r="P81" s="2001"/>
      <c r="Q81" s="2001"/>
      <c r="R81" s="2001"/>
      <c r="S81" s="2001"/>
      <c r="T81" s="2001"/>
      <c r="U81" s="2001"/>
      <c r="V81" s="2001"/>
      <c r="W81" s="2001"/>
      <c r="X81" s="2001"/>
      <c r="Y81" s="2001"/>
      <c r="Z81" s="2001"/>
      <c r="AA81" s="2001"/>
      <c r="AB81" s="2001"/>
      <c r="AC81" s="2001"/>
      <c r="AD81" s="2001"/>
      <c r="AE81" s="2001"/>
    </row>
    <row r="82" spans="1:31">
      <c r="A82" s="2001"/>
      <c r="B82" s="2001"/>
      <c r="C82" s="2001"/>
      <c r="D82" s="2001"/>
      <c r="E82" s="2051"/>
      <c r="F82" s="2001"/>
      <c r="G82" s="2001"/>
      <c r="H82" s="2052"/>
      <c r="I82" s="2001"/>
      <c r="J82" s="2001"/>
      <c r="K82" s="2001"/>
      <c r="L82" s="2001"/>
      <c r="M82" s="2001"/>
      <c r="N82" s="2001"/>
      <c r="O82" s="2002"/>
      <c r="P82" s="2001"/>
      <c r="Q82" s="2001"/>
      <c r="R82" s="2001"/>
      <c r="S82" s="2001"/>
      <c r="T82" s="2001"/>
      <c r="U82" s="2001"/>
      <c r="V82" s="2001"/>
      <c r="W82" s="2001"/>
      <c r="X82" s="2001"/>
      <c r="Y82" s="2001"/>
      <c r="Z82" s="2001"/>
      <c r="AA82" s="2001"/>
      <c r="AB82" s="2001"/>
      <c r="AC82" s="2001"/>
      <c r="AD82" s="2001"/>
      <c r="AE82" s="2001"/>
    </row>
    <row r="83" spans="1:31">
      <c r="A83" s="2001"/>
      <c r="B83" s="2001"/>
      <c r="C83" s="2001" t="s">
        <v>139</v>
      </c>
      <c r="D83" s="2001" t="s">
        <v>140</v>
      </c>
      <c r="E83" s="2051"/>
      <c r="F83" s="2001" t="s">
        <v>141</v>
      </c>
      <c r="G83" s="2001"/>
      <c r="H83" s="2052">
        <f>H15+H40+H80</f>
        <v>13952532.5524</v>
      </c>
      <c r="I83" s="2001"/>
      <c r="J83" s="2001" t="s">
        <v>579</v>
      </c>
      <c r="K83" s="2069">
        <f>H15</f>
        <v>3729356</v>
      </c>
      <c r="L83" s="2001"/>
      <c r="M83" s="2069"/>
      <c r="N83" s="2001"/>
      <c r="O83" s="2002"/>
      <c r="P83" s="2001"/>
      <c r="Q83" s="2001"/>
      <c r="R83" s="2001"/>
      <c r="S83" s="2001"/>
      <c r="T83" s="2001"/>
      <c r="U83" s="2001"/>
      <c r="V83" s="2001"/>
      <c r="W83" s="2001"/>
      <c r="X83" s="2001"/>
      <c r="Y83" s="2001"/>
      <c r="Z83" s="2001"/>
      <c r="AA83" s="2001"/>
      <c r="AB83" s="2001"/>
      <c r="AC83" s="2001"/>
      <c r="AD83" s="2001"/>
      <c r="AE83" s="2001"/>
    </row>
    <row r="84" spans="1:31">
      <c r="A84" s="2001"/>
      <c r="B84" s="2001"/>
      <c r="C84" s="2001"/>
      <c r="D84" s="2001"/>
      <c r="E84" s="2051"/>
      <c r="F84" s="2001"/>
      <c r="G84" s="2001"/>
      <c r="H84" s="2052"/>
      <c r="I84" s="2001"/>
      <c r="J84" s="2001" t="s">
        <v>580</v>
      </c>
      <c r="K84" s="2069">
        <f>H40</f>
        <v>4811896.1264</v>
      </c>
      <c r="L84" s="2001"/>
      <c r="M84" s="2069"/>
      <c r="N84" s="2001"/>
      <c r="O84" s="2002"/>
      <c r="P84" s="2001"/>
      <c r="Q84" s="2001"/>
      <c r="R84" s="2001"/>
      <c r="S84" s="2001"/>
      <c r="T84" s="2001"/>
      <c r="U84" s="2001"/>
      <c r="V84" s="2001"/>
      <c r="W84" s="2001"/>
      <c r="X84" s="2001"/>
      <c r="Y84" s="2001"/>
      <c r="Z84" s="2001"/>
      <c r="AA84" s="2001"/>
      <c r="AB84" s="2001"/>
      <c r="AC84" s="2001"/>
      <c r="AD84" s="2001"/>
      <c r="AE84" s="2001"/>
    </row>
    <row r="85" spans="1:31">
      <c r="A85" s="2001"/>
      <c r="B85" s="2001"/>
      <c r="C85" s="2001"/>
      <c r="D85" s="2001"/>
      <c r="E85" s="2051"/>
      <c r="F85" s="2001"/>
      <c r="G85" s="2001"/>
      <c r="H85" s="2052"/>
      <c r="I85" s="2001"/>
      <c r="J85" s="2001" t="s">
        <v>581</v>
      </c>
      <c r="K85" s="2069">
        <f>H80</f>
        <v>5411280.426</v>
      </c>
      <c r="L85" s="2001"/>
      <c r="M85" s="2069"/>
      <c r="N85" s="2001"/>
      <c r="O85" s="2002"/>
      <c r="P85" s="2001"/>
      <c r="Q85" s="2001"/>
      <c r="R85" s="2001"/>
      <c r="S85" s="2001"/>
      <c r="T85" s="2001"/>
      <c r="U85" s="2001"/>
      <c r="V85" s="2001"/>
      <c r="W85" s="2001"/>
      <c r="X85" s="2001"/>
      <c r="Y85" s="2001"/>
      <c r="Z85" s="2001"/>
      <c r="AA85" s="2001"/>
      <c r="AB85" s="2001"/>
      <c r="AC85" s="2001"/>
      <c r="AD85" s="2001"/>
      <c r="AE85" s="2001"/>
    </row>
    <row r="86" spans="1:31">
      <c r="A86" s="2001"/>
      <c r="B86" s="2001"/>
      <c r="C86" s="2001"/>
      <c r="D86" s="2001"/>
      <c r="E86" s="2051"/>
      <c r="F86" s="2001"/>
      <c r="G86" s="2001"/>
      <c r="H86" s="2052"/>
      <c r="I86" s="2001"/>
      <c r="J86" s="2001"/>
      <c r="K86" s="2069">
        <f>SUM(K83:K85)</f>
        <v>13952532.5524</v>
      </c>
      <c r="L86" s="2001"/>
      <c r="M86" s="2069"/>
      <c r="N86" s="2001"/>
      <c r="O86" s="2002"/>
      <c r="P86" s="2001"/>
      <c r="Q86" s="2001"/>
      <c r="R86" s="2001"/>
      <c r="S86" s="2001"/>
      <c r="T86" s="2001"/>
      <c r="U86" s="2001"/>
      <c r="V86" s="2001"/>
      <c r="W86" s="2001"/>
      <c r="X86" s="2001"/>
      <c r="Y86" s="2001"/>
      <c r="Z86" s="2001"/>
      <c r="AA86" s="2001"/>
      <c r="AB86" s="2001"/>
      <c r="AC86" s="2001"/>
      <c r="AD86" s="2001"/>
      <c r="AE86" s="2001"/>
    </row>
    <row r="87" spans="1:31">
      <c r="A87" s="2001"/>
      <c r="B87" s="2001"/>
      <c r="C87" s="2001"/>
      <c r="D87" s="2001"/>
      <c r="E87" s="2051"/>
      <c r="F87" s="2001"/>
      <c r="G87" s="2001"/>
      <c r="H87" s="2052"/>
      <c r="I87" s="2001"/>
      <c r="J87" s="2001"/>
      <c r="K87" s="2069"/>
      <c r="L87" s="2001"/>
      <c r="M87" s="2069"/>
      <c r="N87" s="2001"/>
      <c r="O87" s="2002"/>
      <c r="P87" s="2001"/>
      <c r="Q87" s="2001"/>
      <c r="R87" s="2001"/>
      <c r="S87" s="2001"/>
      <c r="T87" s="2001"/>
      <c r="U87" s="2001"/>
      <c r="V87" s="2001"/>
      <c r="W87" s="2001"/>
      <c r="X87" s="2001"/>
      <c r="Y87" s="2001"/>
      <c r="Z87" s="2001"/>
      <c r="AA87" s="2001"/>
      <c r="AB87" s="2001"/>
      <c r="AC87" s="2001"/>
      <c r="AD87" s="2001"/>
      <c r="AE87" s="2001"/>
    </row>
    <row r="88" spans="1:31">
      <c r="A88" s="2041"/>
      <c r="B88" s="2041"/>
      <c r="C88" s="2041"/>
      <c r="D88" s="2041"/>
      <c r="E88" s="2051"/>
      <c r="F88" s="2041"/>
      <c r="G88" s="2041"/>
      <c r="H88" s="2052"/>
      <c r="I88" s="2041"/>
      <c r="J88" s="2041"/>
      <c r="K88" s="2041"/>
      <c r="L88" s="2041"/>
      <c r="M88" s="2069"/>
      <c r="N88" s="2041"/>
      <c r="O88" s="2002"/>
      <c r="P88" s="2041"/>
      <c r="Q88" s="2041"/>
      <c r="R88" s="2041"/>
      <c r="S88" s="2041"/>
      <c r="T88" s="2041"/>
      <c r="U88" s="2041"/>
      <c r="V88" s="2041"/>
      <c r="W88" s="2041"/>
      <c r="X88" s="2041"/>
      <c r="Y88" s="2041"/>
      <c r="Z88" s="2041"/>
      <c r="AA88" s="2041"/>
      <c r="AB88" s="2041"/>
      <c r="AC88" s="2041"/>
      <c r="AD88" s="2041"/>
      <c r="AE88" s="2041"/>
    </row>
    <row r="89" spans="1:31">
      <c r="A89" s="2041"/>
      <c r="B89" s="2041"/>
      <c r="C89" s="2041"/>
      <c r="D89" s="2041"/>
      <c r="E89" s="2051"/>
      <c r="F89" s="2041"/>
      <c r="G89" s="2041"/>
      <c r="H89" s="2052"/>
      <c r="I89" s="2041"/>
      <c r="J89" s="2041"/>
      <c r="K89" s="2041"/>
      <c r="L89" s="2041"/>
      <c r="M89" s="2041"/>
      <c r="N89" s="2041"/>
      <c r="O89" s="2002"/>
      <c r="P89" s="2041"/>
      <c r="Q89" s="2041"/>
      <c r="R89" s="2041"/>
      <c r="S89" s="2041"/>
      <c r="T89" s="2041"/>
      <c r="U89" s="2041"/>
      <c r="V89" s="2041"/>
      <c r="W89" s="2041"/>
      <c r="X89" s="2041"/>
      <c r="Y89" s="2041"/>
      <c r="Z89" s="2041"/>
      <c r="AA89" s="2041"/>
      <c r="AB89" s="2041"/>
      <c r="AC89" s="2041"/>
      <c r="AD89" s="2041"/>
      <c r="AE89" s="2041"/>
    </row>
    <row r="90" spans="1:31">
      <c r="A90" s="2041"/>
      <c r="B90" s="2041"/>
      <c r="C90" s="2041"/>
      <c r="D90" s="2041"/>
      <c r="E90" s="2051"/>
      <c r="F90" s="2041"/>
      <c r="G90" s="2041"/>
      <c r="H90" s="2052"/>
      <c r="I90" s="2041"/>
      <c r="J90" s="2041"/>
      <c r="K90" s="2041"/>
      <c r="L90" s="2041"/>
      <c r="M90" s="2041"/>
      <c r="N90" s="2041"/>
      <c r="O90" s="2002"/>
      <c r="P90" s="2041"/>
      <c r="Q90" s="2041"/>
      <c r="R90" s="2041"/>
      <c r="S90" s="2041"/>
      <c r="T90" s="2041"/>
      <c r="U90" s="2041"/>
      <c r="V90" s="2041"/>
      <c r="W90" s="2041"/>
      <c r="X90" s="2041"/>
      <c r="Y90" s="2041"/>
      <c r="Z90" s="2041"/>
      <c r="AA90" s="2041"/>
      <c r="AB90" s="2041"/>
      <c r="AC90" s="2041"/>
      <c r="AD90" s="2041"/>
      <c r="AE90" s="2041"/>
    </row>
  </sheetData>
  <sheetProtection formatCells="0" insertHyperlinks="0" autoFilter="0"/>
  <mergeCells count="15">
    <mergeCell ref="A1:M1"/>
    <mergeCell ref="A15:B15"/>
    <mergeCell ref="C15:D15"/>
    <mergeCell ref="A40:B40"/>
    <mergeCell ref="C40:D40"/>
    <mergeCell ref="A80:B80"/>
    <mergeCell ref="C80:D80"/>
    <mergeCell ref="A3:A6"/>
    <mergeCell ref="A7:A10"/>
    <mergeCell ref="A11:A14"/>
    <mergeCell ref="A21:A30"/>
    <mergeCell ref="A31:A39"/>
    <mergeCell ref="A41:A55"/>
    <mergeCell ref="A57:A69"/>
    <mergeCell ref="A71:A76"/>
  </mergeCells>
  <hyperlinks>
    <hyperlink ref="C46" r:id="rId3" display="EJ-329" tooltip="../무역서류/수입선적서류/Shuhua-X6, X5,X1 런닝머신/PI/X3/EJ-156"/>
    <hyperlink ref="C45" r:id="rId3" display="EJ-328" tooltip="../무역서류/수입선적서류/Shuhua-X6, X5,X1 런닝머신/PI/X3/EJ-156"/>
    <hyperlink ref="C44" r:id="rId3" display="EJ-327" tooltip="../무역서류/수입선적서류/Shuhua-X6, X5,X1 런닝머신/PI/X3/EJ-156"/>
    <hyperlink ref="C43" r:id="rId3" display="EJ-326" tooltip="../무역서류/수입선적서류/Shuhua-X6, X5,X1 런닝머신/PI/X3/EJ-156"/>
    <hyperlink ref="C47" r:id="rId3" display="EJ-330" tooltip="../무역서류/수입선적서류/Shuhua-X6, X5,X1 런닝머신/PI/X3/EJ-156"/>
    <hyperlink ref="C48" r:id="rId3" display="EJ-E3-001" tooltip="../무역서류/수입선적서류/Shuhua-X6, X5,X1 런닝머신/PI/X3/EJ-156"/>
    <hyperlink ref="C42" r:id="rId3" display="EJ-325" tooltip="../무역서류/수입선적서류/Shuhua-X6, X5,X1 런닝머신/PI/X3/EJ-156"/>
    <hyperlink ref="C41" r:id="rId3" display="EJ-324" tooltip="../무역서류/수입선적서류/Shuhua-X6, X5,X1 런닝머신/PI/X3/EJ-156"/>
    <hyperlink ref="C49" r:id="rId3" display="EJ-E3-002" tooltip="../무역서류/수입선적서류/Shuhua-X6, X5,X1 런닝머신/PI/X3/EJ-156"/>
  </hyperlinks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AE60"/>
  <sheetViews>
    <sheetView zoomScale="70" zoomScaleNormal="70" workbookViewId="0">
      <selection activeCell="J30" sqref="J30"/>
    </sheetView>
  </sheetViews>
  <sheetFormatPr defaultColWidth="9" defaultRowHeight="16.5"/>
  <cols>
    <col min="1" max="1" width="13.4416666666667" customWidth="1"/>
    <col min="2" max="2" width="20.41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9.375"/>
    <col min="10" max="10" width="18.4416666666667" customWidth="1"/>
    <col min="11" max="11" width="17.3583333333333" customWidth="1"/>
    <col min="12" max="12" width="22.8333333333333" customWidth="1"/>
    <col min="13" max="13" width="34.5" customWidth="1"/>
    <col min="14" max="14" width="24.3083333333333" customWidth="1"/>
    <col min="15" max="15" width="18.925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694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2255" t="s">
        <v>695</v>
      </c>
      <c r="C3" s="2020"/>
      <c r="D3" s="2190"/>
      <c r="E3" s="2195"/>
      <c r="F3" s="2020"/>
      <c r="G3" s="2020"/>
      <c r="H3" s="2262">
        <v>840000</v>
      </c>
      <c r="I3" s="2198"/>
      <c r="J3" s="73"/>
      <c r="K3" s="2097"/>
      <c r="L3" s="2199"/>
      <c r="M3" s="2020"/>
      <c r="N3" s="2020"/>
      <c r="O3" s="2203"/>
      <c r="P3" s="2020"/>
      <c r="Q3" s="2020"/>
      <c r="R3" s="1399"/>
      <c r="S3" s="2020"/>
      <c r="T3" s="2020"/>
      <c r="U3" s="2020"/>
      <c r="V3" s="2020"/>
      <c r="W3" s="2020"/>
      <c r="X3" s="2020"/>
      <c r="Y3" s="2020"/>
      <c r="Z3" s="2020"/>
      <c r="AA3" s="2020"/>
      <c r="AB3" s="2020"/>
      <c r="AC3" s="2076"/>
      <c r="AD3" s="2184"/>
      <c r="AE3" s="2020"/>
    </row>
    <row r="4" customFormat="1" spans="1:31">
      <c r="A4" s="1941"/>
      <c r="B4" s="2256" t="s">
        <v>696</v>
      </c>
      <c r="C4" s="2020"/>
      <c r="D4" s="2190"/>
      <c r="E4" s="2195"/>
      <c r="F4" s="2020"/>
      <c r="G4" s="2020"/>
      <c r="H4" s="2263">
        <v>100000</v>
      </c>
      <c r="I4" s="2198"/>
      <c r="J4" s="73"/>
      <c r="K4" s="2097"/>
      <c r="L4" s="2199"/>
      <c r="M4" s="2020"/>
      <c r="N4" s="2020"/>
      <c r="O4" s="2203"/>
      <c r="P4" s="2020"/>
      <c r="Q4" s="2020"/>
      <c r="R4" s="1399"/>
      <c r="S4" s="2020"/>
      <c r="T4" s="2020"/>
      <c r="U4" s="2020"/>
      <c r="V4" s="2020"/>
      <c r="W4" s="2020"/>
      <c r="X4" s="2020"/>
      <c r="Y4" s="2020"/>
      <c r="Z4" s="2020"/>
      <c r="AA4" s="2020"/>
      <c r="AB4" s="2020"/>
      <c r="AC4" s="2076"/>
      <c r="AD4" s="2184"/>
      <c r="AE4" s="2020"/>
    </row>
    <row r="5" customFormat="1" spans="1:31">
      <c r="A5" s="1941"/>
      <c r="B5" s="2256" t="s">
        <v>697</v>
      </c>
      <c r="C5" s="2020"/>
      <c r="D5" s="2190"/>
      <c r="E5" s="2195"/>
      <c r="F5" s="2020"/>
      <c r="G5" s="2020"/>
      <c r="H5" s="2263">
        <v>120000</v>
      </c>
      <c r="I5" s="2198"/>
      <c r="J5" s="73"/>
      <c r="K5" s="2097"/>
      <c r="L5" s="2199"/>
      <c r="M5" s="2020"/>
      <c r="N5" s="2020"/>
      <c r="O5" s="2203"/>
      <c r="P5" s="2020"/>
      <c r="Q5" s="2020"/>
      <c r="R5" s="1399"/>
      <c r="S5" s="2020"/>
      <c r="T5" s="2020"/>
      <c r="U5" s="2020"/>
      <c r="V5" s="2020"/>
      <c r="W5" s="2020"/>
      <c r="X5" s="2020"/>
      <c r="Y5" s="2020"/>
      <c r="Z5" s="2020"/>
      <c r="AA5" s="2020"/>
      <c r="AB5" s="2020"/>
      <c r="AC5" s="2076"/>
      <c r="AD5" s="2184"/>
      <c r="AE5" s="2020"/>
    </row>
    <row r="6" customFormat="1" spans="1:31">
      <c r="A6" s="1941"/>
      <c r="B6" s="764" t="s">
        <v>698</v>
      </c>
      <c r="C6" s="764"/>
      <c r="D6" s="764"/>
      <c r="E6" s="764"/>
      <c r="F6" s="764"/>
      <c r="G6" s="764"/>
      <c r="H6" s="764">
        <v>130000</v>
      </c>
      <c r="I6" s="764"/>
      <c r="J6" s="2271"/>
      <c r="K6" s="2097"/>
      <c r="L6" s="2199"/>
      <c r="M6" s="2020"/>
      <c r="N6" s="2020"/>
      <c r="O6" s="2203"/>
      <c r="P6" s="2020"/>
      <c r="Q6" s="2020"/>
      <c r="R6" s="1399"/>
      <c r="S6" s="2020"/>
      <c r="T6" s="2020"/>
      <c r="U6" s="2020"/>
      <c r="V6" s="2020"/>
      <c r="W6" s="2020"/>
      <c r="X6" s="2020"/>
      <c r="Y6" s="2020"/>
      <c r="Z6" s="2020"/>
      <c r="AA6" s="2020"/>
      <c r="AB6" s="2020"/>
      <c r="AC6" s="2076"/>
      <c r="AD6" s="2184"/>
      <c r="AE6" s="2020"/>
    </row>
    <row r="7" s="23" customFormat="1" customHeight="1" spans="1:31">
      <c r="A7" s="2169" t="s">
        <v>209</v>
      </c>
      <c r="B7" s="1947" t="s">
        <v>527</v>
      </c>
      <c r="C7" s="1947"/>
      <c r="D7" s="1947" t="s">
        <v>699</v>
      </c>
      <c r="E7" s="1947"/>
      <c r="F7" s="1947"/>
      <c r="G7" s="1947"/>
      <c r="H7" s="1947">
        <v>800000</v>
      </c>
      <c r="I7" s="1947"/>
      <c r="J7" s="1984"/>
      <c r="K7" s="1966"/>
      <c r="L7" s="1985"/>
      <c r="M7" s="1946"/>
      <c r="N7" s="1946"/>
      <c r="O7" s="23" t="s">
        <v>700</v>
      </c>
      <c r="P7" s="1946"/>
      <c r="Q7" s="1946"/>
      <c r="R7" s="2022"/>
      <c r="S7" s="1946"/>
      <c r="T7" s="1946"/>
      <c r="U7" s="1946"/>
      <c r="V7" s="1946"/>
      <c r="W7" s="1946"/>
      <c r="X7" s="1946"/>
      <c r="Y7" s="1946"/>
      <c r="Z7" s="1946"/>
      <c r="AA7" s="1946"/>
      <c r="AB7" s="1946"/>
      <c r="AC7" s="1141"/>
      <c r="AD7" s="2029"/>
      <c r="AE7" s="1946"/>
    </row>
    <row r="8" s="23" customFormat="1" customHeight="1" spans="1:31">
      <c r="A8" s="2123"/>
      <c r="B8" s="1141" t="s">
        <v>151</v>
      </c>
      <c r="C8" s="2022"/>
      <c r="D8" s="2088"/>
      <c r="E8" s="1967"/>
      <c r="F8" s="1946"/>
      <c r="G8" s="1946"/>
      <c r="H8" s="1966">
        <v>200000</v>
      </c>
      <c r="I8" s="2104"/>
      <c r="J8" s="1984"/>
      <c r="K8" s="1966"/>
      <c r="L8" s="1985"/>
      <c r="M8" s="1946"/>
      <c r="N8" s="1946"/>
      <c r="O8" s="2110"/>
      <c r="P8" s="1946"/>
      <c r="Q8" s="1946"/>
      <c r="R8" s="2022"/>
      <c r="S8" s="1946"/>
      <c r="T8" s="1946"/>
      <c r="U8" s="1946"/>
      <c r="V8" s="1946"/>
      <c r="W8" s="1946"/>
      <c r="X8" s="1946"/>
      <c r="Y8" s="1946"/>
      <c r="Z8" s="1946"/>
      <c r="AA8" s="1946"/>
      <c r="AB8" s="1946"/>
      <c r="AC8" s="1141"/>
      <c r="AD8" s="2029"/>
      <c r="AE8" s="1946"/>
    </row>
    <row r="9" s="23" customFormat="1" spans="1:31">
      <c r="A9" s="2123"/>
      <c r="B9" s="2086" t="s">
        <v>149</v>
      </c>
      <c r="C9" s="2022"/>
      <c r="D9" s="2088"/>
      <c r="E9" s="1967"/>
      <c r="F9" s="1946"/>
      <c r="G9" s="1946"/>
      <c r="H9" s="1966">
        <v>500000</v>
      </c>
      <c r="I9" s="2104"/>
      <c r="J9" s="1984"/>
      <c r="K9" s="2272"/>
      <c r="L9" s="1985"/>
      <c r="M9" s="1946"/>
      <c r="N9" s="1946"/>
      <c r="O9" s="2110"/>
      <c r="P9" s="1946"/>
      <c r="Q9" s="1946"/>
      <c r="R9" s="2022"/>
      <c r="S9" s="1946"/>
      <c r="T9" s="1946"/>
      <c r="U9" s="1946"/>
      <c r="V9" s="1946"/>
      <c r="W9" s="1946"/>
      <c r="X9" s="1946"/>
      <c r="Y9" s="1946"/>
      <c r="Z9" s="1946"/>
      <c r="AA9" s="1946"/>
      <c r="AB9" s="1946"/>
      <c r="AC9" s="1141"/>
      <c r="AD9" s="2029"/>
      <c r="AE9" s="1946"/>
    </row>
    <row r="10" customFormat="1" ht="17.15" customHeight="1" spans="1:31">
      <c r="A10" s="2257" t="s">
        <v>380</v>
      </c>
      <c r="B10" s="2258" t="s">
        <v>202</v>
      </c>
      <c r="C10" s="2020" t="s">
        <v>701</v>
      </c>
      <c r="D10" s="2190"/>
      <c r="E10" s="2195"/>
      <c r="F10" s="2020"/>
      <c r="G10" s="2020"/>
      <c r="H10" s="2264">
        <v>300000</v>
      </c>
      <c r="I10" s="2198"/>
      <c r="J10" s="73"/>
      <c r="K10" s="2097"/>
      <c r="L10" s="2199"/>
      <c r="M10" s="2020"/>
      <c r="N10" s="2217"/>
      <c r="O10" s="2203"/>
      <c r="P10" s="2020"/>
      <c r="Q10" s="2020"/>
      <c r="R10" s="1399"/>
      <c r="S10" s="2020"/>
      <c r="T10" s="2020"/>
      <c r="U10" s="2020"/>
      <c r="V10" s="2020"/>
      <c r="W10" s="2020"/>
      <c r="X10" s="2020"/>
      <c r="Y10" s="2020"/>
      <c r="Z10" s="2020"/>
      <c r="AA10" s="2020"/>
      <c r="AB10" s="2020"/>
      <c r="AC10" s="2076"/>
      <c r="AD10" s="2184"/>
      <c r="AE10" s="2020"/>
    </row>
    <row r="11" customFormat="1" ht="17.15" customHeight="1" spans="1:31">
      <c r="A11" s="2207"/>
      <c r="B11" s="2258" t="s">
        <v>202</v>
      </c>
      <c r="C11" s="2020" t="s">
        <v>702</v>
      </c>
      <c r="D11" s="2190"/>
      <c r="E11" s="2195"/>
      <c r="F11" s="2020"/>
      <c r="G11" s="2001"/>
      <c r="H11" s="2264">
        <v>300000</v>
      </c>
      <c r="I11" s="2198"/>
      <c r="J11" s="73"/>
      <c r="K11" s="2097"/>
      <c r="L11" s="2199"/>
      <c r="M11" s="2020"/>
      <c r="N11" s="2218"/>
      <c r="O11" s="2203"/>
      <c r="P11" s="2020"/>
      <c r="Q11" s="2020"/>
      <c r="R11" s="1399"/>
      <c r="S11" s="2020"/>
      <c r="T11" s="2020"/>
      <c r="U11" s="2020"/>
      <c r="V11" s="2020"/>
      <c r="W11" s="2020"/>
      <c r="X11" s="2020"/>
      <c r="Y11" s="2020"/>
      <c r="Z11" s="2020"/>
      <c r="AA11" s="2020"/>
      <c r="AB11" s="2020"/>
      <c r="AC11" s="2076"/>
      <c r="AD11" s="2184"/>
      <c r="AE11" s="2020"/>
    </row>
    <row r="12" customFormat="1" ht="17.15" customHeight="1" spans="1:31">
      <c r="A12" s="2207"/>
      <c r="B12" s="2259" t="s">
        <v>221</v>
      </c>
      <c r="C12" s="510" t="s">
        <v>703</v>
      </c>
      <c r="D12" s="259"/>
      <c r="E12" s="259"/>
      <c r="F12" s="259"/>
      <c r="H12" s="2264">
        <v>300000</v>
      </c>
      <c r="I12" s="2198"/>
      <c r="J12" s="73"/>
      <c r="K12" s="2097"/>
      <c r="L12" s="2199"/>
      <c r="M12" s="2020"/>
      <c r="N12" s="2218"/>
      <c r="O12" s="2203"/>
      <c r="P12" s="2020"/>
      <c r="Q12" s="2020"/>
      <c r="R12" s="1399"/>
      <c r="S12" s="2020"/>
      <c r="T12" s="2020"/>
      <c r="U12" s="2020"/>
      <c r="V12" s="2020"/>
      <c r="W12" s="2020"/>
      <c r="X12" s="2020"/>
      <c r="Y12" s="2020"/>
      <c r="Z12" s="2020"/>
      <c r="AA12" s="2020"/>
      <c r="AB12" s="2020"/>
      <c r="AC12" s="2076"/>
      <c r="AD12" s="2184"/>
      <c r="AE12" s="2020"/>
    </row>
    <row r="13" customFormat="1" ht="17.15" customHeight="1" spans="1:31">
      <c r="A13" s="2207"/>
      <c r="B13" s="2191" t="s">
        <v>704</v>
      </c>
      <c r="C13" s="2020" t="s">
        <v>705</v>
      </c>
      <c r="D13" s="2190"/>
      <c r="E13" s="2195"/>
      <c r="F13" s="2020"/>
      <c r="G13" s="2020"/>
      <c r="H13" s="2264">
        <v>120000</v>
      </c>
      <c r="I13" s="2198"/>
      <c r="J13" s="73"/>
      <c r="K13" s="2097"/>
      <c r="L13" s="2199"/>
      <c r="M13" s="2020"/>
      <c r="N13" s="2218"/>
      <c r="O13" s="2203"/>
      <c r="P13" s="2020"/>
      <c r="Q13" s="2020"/>
      <c r="R13" s="1399"/>
      <c r="S13" s="2020"/>
      <c r="T13" s="2020"/>
      <c r="U13" s="2020"/>
      <c r="V13" s="2020"/>
      <c r="W13" s="2020"/>
      <c r="X13" s="2020"/>
      <c r="Y13" s="2020"/>
      <c r="Z13" s="2020"/>
      <c r="AA13" s="2020"/>
      <c r="AB13" s="2020"/>
      <c r="AC13" s="2076"/>
      <c r="AD13" s="2184"/>
      <c r="AE13" s="2020"/>
    </row>
    <row r="14" customFormat="1" customHeight="1" spans="1:31">
      <c r="A14" s="1950" t="s">
        <v>343</v>
      </c>
      <c r="B14" s="1950"/>
      <c r="C14" s="1951"/>
      <c r="D14" s="1951"/>
      <c r="E14" s="1968"/>
      <c r="F14" s="1969"/>
      <c r="G14" s="1970"/>
      <c r="H14" s="1971">
        <f>SUM(H3:H13)</f>
        <v>3710000</v>
      </c>
      <c r="I14" s="1989"/>
      <c r="J14" s="1990">
        <v>0</v>
      </c>
      <c r="K14" s="1991">
        <v>0</v>
      </c>
      <c r="L14" s="1991">
        <v>0</v>
      </c>
      <c r="M14" s="2009"/>
      <c r="N14" s="2009"/>
      <c r="O14" s="2010"/>
      <c r="P14" s="2011"/>
      <c r="Q14" s="2011"/>
      <c r="R14" s="40"/>
      <c r="S14" s="2011"/>
      <c r="T14" s="2011"/>
      <c r="U14" s="2011"/>
      <c r="V14" s="2011"/>
      <c r="W14" s="2011"/>
      <c r="X14" s="2011"/>
      <c r="Y14" s="2011"/>
      <c r="Z14" s="2011"/>
      <c r="AA14" s="2011"/>
      <c r="AB14" s="2011"/>
      <c r="AC14" s="2030"/>
      <c r="AD14" s="1956" t="s">
        <v>285</v>
      </c>
      <c r="AE14" s="1956"/>
    </row>
    <row r="15" s="418" customFormat="1" ht="22.85" customHeight="1" spans="1:31">
      <c r="A15" s="1141" t="s">
        <v>331</v>
      </c>
      <c r="B15" s="2173" t="s">
        <v>165</v>
      </c>
      <c r="C15" s="2121" t="s">
        <v>706</v>
      </c>
      <c r="D15" s="2174"/>
      <c r="E15" s="245"/>
      <c r="F15" s="2177"/>
      <c r="G15" s="2177"/>
      <c r="H15" s="2127">
        <f>I15*K15</f>
        <v>244519.5</v>
      </c>
      <c r="I15" s="2104">
        <v>6.45</v>
      </c>
      <c r="J15" s="23"/>
      <c r="K15" s="2127">
        <v>37910</v>
      </c>
      <c r="L15" s="380"/>
      <c r="M15" s="2111"/>
      <c r="N15" s="2111" t="s">
        <v>605</v>
      </c>
      <c r="O15" s="2274">
        <v>44336</v>
      </c>
      <c r="P15" s="34"/>
      <c r="Q15" s="34"/>
      <c r="R15" s="34"/>
      <c r="S15" s="34"/>
      <c r="T15" s="34"/>
      <c r="U15" s="34"/>
      <c r="V15" s="34"/>
      <c r="W15" s="34"/>
      <c r="X15" s="40"/>
      <c r="Y15" s="40"/>
      <c r="Z15" s="40"/>
      <c r="AA15" s="40"/>
      <c r="AB15" s="40"/>
      <c r="AC15" s="664"/>
      <c r="AD15" s="40"/>
      <c r="AE15" s="40"/>
    </row>
    <row r="16" s="418" customFormat="1" ht="22.85" customHeight="1" spans="1:31">
      <c r="A16" s="1141" t="s">
        <v>331</v>
      </c>
      <c r="B16" s="2173" t="s">
        <v>165</v>
      </c>
      <c r="C16" s="2121" t="s">
        <v>707</v>
      </c>
      <c r="D16" s="2174"/>
      <c r="E16" s="245"/>
      <c r="F16" s="2177"/>
      <c r="G16" s="2177"/>
      <c r="H16" s="2127">
        <f>I16*K16</f>
        <v>241429.95</v>
      </c>
      <c r="I16" s="2104">
        <v>6.45</v>
      </c>
      <c r="J16" s="23"/>
      <c r="K16" s="2127">
        <v>37431</v>
      </c>
      <c r="L16" s="380"/>
      <c r="M16" s="2111"/>
      <c r="N16" s="2111"/>
      <c r="O16" s="2274"/>
      <c r="P16" s="34"/>
      <c r="Q16" s="34"/>
      <c r="R16" s="34"/>
      <c r="S16" s="34"/>
      <c r="T16" s="34"/>
      <c r="U16" s="34"/>
      <c r="V16" s="34"/>
      <c r="W16" s="34"/>
      <c r="X16" s="40"/>
      <c r="Y16" s="40"/>
      <c r="Z16" s="40"/>
      <c r="AA16" s="40"/>
      <c r="AB16" s="40"/>
      <c r="AC16" s="664"/>
      <c r="AD16" s="40"/>
      <c r="AE16" s="40"/>
    </row>
    <row r="17" s="418" customFormat="1" ht="22.85" customHeight="1" spans="1:31">
      <c r="A17" s="1141" t="s">
        <v>331</v>
      </c>
      <c r="B17" s="2173" t="s">
        <v>165</v>
      </c>
      <c r="C17" s="2121" t="s">
        <v>708</v>
      </c>
      <c r="D17" s="2174"/>
      <c r="E17" s="245"/>
      <c r="F17" s="2177"/>
      <c r="G17" s="2177"/>
      <c r="H17" s="2127">
        <f>I17*K17</f>
        <v>293649.15</v>
      </c>
      <c r="I17" s="2104">
        <v>6.45</v>
      </c>
      <c r="J17" s="23"/>
      <c r="K17" s="2127">
        <v>45527</v>
      </c>
      <c r="L17" s="380"/>
      <c r="M17" s="2111" t="s">
        <v>709</v>
      </c>
      <c r="N17" s="2111"/>
      <c r="O17" s="2274"/>
      <c r="P17" s="34"/>
      <c r="Q17" s="34"/>
      <c r="R17" s="34"/>
      <c r="S17" s="34"/>
      <c r="T17" s="34"/>
      <c r="U17" s="34"/>
      <c r="V17" s="34"/>
      <c r="W17" s="34"/>
      <c r="X17" s="40"/>
      <c r="Y17" s="40"/>
      <c r="Z17" s="40"/>
      <c r="AA17" s="40"/>
      <c r="AB17" s="40"/>
      <c r="AC17" s="664"/>
      <c r="AD17" s="40"/>
      <c r="AE17" s="40"/>
    </row>
    <row r="18" s="418" customFormat="1" ht="22.85" customHeight="1" spans="1:31">
      <c r="A18" s="1141" t="s">
        <v>331</v>
      </c>
      <c r="B18" s="2173" t="s">
        <v>165</v>
      </c>
      <c r="C18" s="2121" t="s">
        <v>710</v>
      </c>
      <c r="D18" s="2174"/>
      <c r="E18" s="245"/>
      <c r="F18" s="2177"/>
      <c r="G18" s="2177"/>
      <c r="H18" s="2127">
        <f>I18*K18</f>
        <v>225105</v>
      </c>
      <c r="I18" s="2104">
        <v>6.45</v>
      </c>
      <c r="J18" s="23"/>
      <c r="K18" s="2127">
        <v>34900</v>
      </c>
      <c r="L18" s="380"/>
      <c r="M18" s="2111" t="s">
        <v>709</v>
      </c>
      <c r="N18" s="2111"/>
      <c r="O18" s="2274"/>
      <c r="P18" s="34"/>
      <c r="Q18" s="34"/>
      <c r="R18" s="34"/>
      <c r="S18" s="34"/>
      <c r="T18" s="34"/>
      <c r="U18" s="34"/>
      <c r="V18" s="34"/>
      <c r="W18" s="34"/>
      <c r="X18" s="40"/>
      <c r="Y18" s="40"/>
      <c r="Z18" s="40"/>
      <c r="AA18" s="40"/>
      <c r="AB18" s="40"/>
      <c r="AC18" s="664"/>
      <c r="AD18" s="40"/>
      <c r="AE18" s="40"/>
    </row>
    <row r="19" s="418" customFormat="1" ht="22.85" customHeight="1" spans="1:31">
      <c r="A19" s="666" t="s">
        <v>245</v>
      </c>
      <c r="B19" s="2208" t="s">
        <v>249</v>
      </c>
      <c r="C19" s="2209"/>
      <c r="D19" s="2209" t="s">
        <v>711</v>
      </c>
      <c r="E19" s="2193"/>
      <c r="F19" s="2193"/>
      <c r="G19" s="2214"/>
      <c r="H19" s="2127">
        <v>118000</v>
      </c>
      <c r="I19" s="2201"/>
      <c r="J19" s="23"/>
      <c r="K19" s="2197"/>
      <c r="L19" s="379"/>
      <c r="M19" s="2111"/>
      <c r="N19" s="2111"/>
      <c r="O19" s="2274"/>
      <c r="P19" s="34"/>
      <c r="Q19" s="34"/>
      <c r="R19" s="34"/>
      <c r="S19" s="34"/>
      <c r="T19" s="34"/>
      <c r="U19" s="34"/>
      <c r="V19" s="34"/>
      <c r="W19" s="34"/>
      <c r="X19" s="40"/>
      <c r="Y19" s="40"/>
      <c r="Z19" s="40"/>
      <c r="AA19" s="40"/>
      <c r="AB19" s="40"/>
      <c r="AC19" s="664"/>
      <c r="AD19" s="40"/>
      <c r="AE19" s="40"/>
    </row>
    <row r="20" s="418" customFormat="1" ht="22.85" customHeight="1" spans="1:31">
      <c r="A20" s="556"/>
      <c r="B20" s="2208" t="s">
        <v>256</v>
      </c>
      <c r="C20" s="2209"/>
      <c r="D20" s="2209" t="s">
        <v>712</v>
      </c>
      <c r="E20" s="2265"/>
      <c r="F20" s="2265"/>
      <c r="G20" s="2266"/>
      <c r="H20" s="2127">
        <v>249000</v>
      </c>
      <c r="I20" s="2201"/>
      <c r="J20" s="23"/>
      <c r="K20" s="2197"/>
      <c r="L20" s="379"/>
      <c r="M20" s="2111"/>
      <c r="N20" s="2111"/>
      <c r="O20" s="2274"/>
      <c r="P20" s="34"/>
      <c r="Q20" s="34"/>
      <c r="R20" s="34"/>
      <c r="S20" s="34"/>
      <c r="T20" s="34"/>
      <c r="U20" s="34"/>
      <c r="V20" s="34"/>
      <c r="W20" s="34"/>
      <c r="X20" s="40"/>
      <c r="Y20" s="40"/>
      <c r="Z20" s="40"/>
      <c r="AA20" s="40"/>
      <c r="AB20" s="40"/>
      <c r="AC20" s="664"/>
      <c r="AD20" s="40"/>
      <c r="AE20" s="40"/>
    </row>
    <row r="21" s="418" customFormat="1" ht="22.85" customHeight="1" spans="1:31">
      <c r="A21" s="556"/>
      <c r="B21" s="2208" t="s">
        <v>247</v>
      </c>
      <c r="C21" s="2209" t="s">
        <v>713</v>
      </c>
      <c r="D21" s="2260" t="s">
        <v>714</v>
      </c>
      <c r="E21" s="2193"/>
      <c r="F21" s="2193"/>
      <c r="G21" s="2196"/>
      <c r="H21" s="2197">
        <v>280000</v>
      </c>
      <c r="I21" s="2201"/>
      <c r="J21" s="379"/>
      <c r="K21" s="379"/>
      <c r="L21" s="379"/>
      <c r="M21" s="2111" t="s">
        <v>715</v>
      </c>
      <c r="N21" s="2111"/>
      <c r="O21" s="2274"/>
      <c r="P21" s="34"/>
      <c r="Q21" s="34"/>
      <c r="R21" s="34"/>
      <c r="S21" s="34"/>
      <c r="T21" s="34"/>
      <c r="U21" s="34"/>
      <c r="V21" s="34"/>
      <c r="W21" s="34"/>
      <c r="X21" s="40"/>
      <c r="Y21" s="40"/>
      <c r="Z21" s="40"/>
      <c r="AA21" s="40"/>
      <c r="AB21" s="40"/>
      <c r="AC21" s="664"/>
      <c r="AD21" s="40"/>
      <c r="AE21" s="40"/>
    </row>
    <row r="22" s="418" customFormat="1" ht="22.85" customHeight="1" spans="1:31">
      <c r="A22" s="556"/>
      <c r="B22" s="2208" t="s">
        <v>174</v>
      </c>
      <c r="C22" s="2209" t="s">
        <v>716</v>
      </c>
      <c r="D22" s="2260" t="s">
        <v>717</v>
      </c>
      <c r="E22" s="2193"/>
      <c r="F22" s="2193"/>
      <c r="G22" s="2196"/>
      <c r="H22" s="2197">
        <v>350000</v>
      </c>
      <c r="I22" s="2201"/>
      <c r="J22" s="379"/>
      <c r="K22" s="379"/>
      <c r="L22" s="379"/>
      <c r="M22" s="2111" t="s">
        <v>718</v>
      </c>
      <c r="N22" s="2111"/>
      <c r="O22" s="2274"/>
      <c r="P22" s="34"/>
      <c r="Q22" s="34"/>
      <c r="R22" s="34"/>
      <c r="S22" s="34"/>
      <c r="T22" s="34"/>
      <c r="U22" s="34"/>
      <c r="V22" s="34"/>
      <c r="W22" s="34"/>
      <c r="X22" s="40"/>
      <c r="Y22" s="40"/>
      <c r="Z22" s="40"/>
      <c r="AA22" s="40"/>
      <c r="AB22" s="40"/>
      <c r="AC22" s="664"/>
      <c r="AD22" s="40"/>
      <c r="AE22" s="40"/>
    </row>
    <row r="23" s="1933" customFormat="1" ht="23.75" customHeight="1" spans="1:31">
      <c r="A23" s="666" t="s">
        <v>719</v>
      </c>
      <c r="B23" s="1141" t="s">
        <v>720</v>
      </c>
      <c r="C23" s="2121" t="s">
        <v>721</v>
      </c>
      <c r="D23" s="2121"/>
      <c r="E23" s="2121"/>
      <c r="F23" s="245"/>
      <c r="G23" s="2177">
        <v>10830</v>
      </c>
      <c r="H23" s="2177">
        <f>G23*I23</f>
        <v>68848.476</v>
      </c>
      <c r="I23" s="2127">
        <v>6.3572</v>
      </c>
      <c r="J23" s="1972"/>
      <c r="K23" s="68"/>
      <c r="L23" s="1996"/>
      <c r="M23" s="364" t="s">
        <v>722</v>
      </c>
      <c r="N23" s="226"/>
      <c r="O23" s="2114"/>
      <c r="P23" s="34"/>
      <c r="Q23" s="34"/>
      <c r="R23" s="1952"/>
      <c r="S23" s="2276"/>
      <c r="T23" s="34"/>
      <c r="U23" s="34"/>
      <c r="V23" s="34"/>
      <c r="W23" s="34"/>
      <c r="X23" s="40"/>
      <c r="Y23" s="40"/>
      <c r="Z23" s="40"/>
      <c r="AA23" s="40"/>
      <c r="AB23" s="40"/>
      <c r="AC23" s="664"/>
      <c r="AD23" s="185"/>
      <c r="AE23" s="40"/>
    </row>
    <row r="24" s="1933" customFormat="1" ht="23.75" customHeight="1" spans="1:31">
      <c r="A24" s="556"/>
      <c r="B24" s="1141" t="s">
        <v>167</v>
      </c>
      <c r="C24" s="2121" t="s">
        <v>723</v>
      </c>
      <c r="D24" s="2121"/>
      <c r="E24" s="245"/>
      <c r="F24" s="2177"/>
      <c r="G24" s="2177"/>
      <c r="H24" s="2127">
        <v>80000</v>
      </c>
      <c r="I24" s="2201"/>
      <c r="J24" s="379"/>
      <c r="K24" s="380"/>
      <c r="L24" s="1996"/>
      <c r="M24" s="364"/>
      <c r="N24" s="2014"/>
      <c r="O24" s="2114"/>
      <c r="P24" s="34"/>
      <c r="Q24" s="34"/>
      <c r="R24" s="1952"/>
      <c r="S24" s="2276"/>
      <c r="T24" s="34"/>
      <c r="U24" s="34"/>
      <c r="V24" s="34"/>
      <c r="W24" s="34"/>
      <c r="X24" s="40"/>
      <c r="Y24" s="40"/>
      <c r="Z24" s="40"/>
      <c r="AA24" s="40"/>
      <c r="AB24" s="40"/>
      <c r="AC24" s="664"/>
      <c r="AD24" s="185"/>
      <c r="AE24" s="40"/>
    </row>
    <row r="25" s="1933" customFormat="1" ht="23.75" customHeight="1" spans="1:31">
      <c r="A25" s="556"/>
      <c r="B25" s="1141" t="s">
        <v>724</v>
      </c>
      <c r="C25" s="2121" t="s">
        <v>725</v>
      </c>
      <c r="D25" s="2121"/>
      <c r="E25" s="245"/>
      <c r="F25" s="2177"/>
      <c r="G25" s="2177"/>
      <c r="H25" s="2127">
        <v>200000</v>
      </c>
      <c r="I25" s="2201"/>
      <c r="J25" s="379"/>
      <c r="K25" s="380"/>
      <c r="L25" s="1996"/>
      <c r="M25" s="518" t="s">
        <v>726</v>
      </c>
      <c r="N25" s="2275"/>
      <c r="O25" s="2114"/>
      <c r="P25" s="34"/>
      <c r="Q25" s="34"/>
      <c r="R25" s="1952"/>
      <c r="S25" s="2276"/>
      <c r="T25" s="34"/>
      <c r="U25" s="34"/>
      <c r="V25" s="34"/>
      <c r="W25" s="34"/>
      <c r="X25" s="40"/>
      <c r="Y25" s="40"/>
      <c r="Z25" s="40"/>
      <c r="AA25" s="40"/>
      <c r="AB25" s="40"/>
      <c r="AC25" s="664"/>
      <c r="AD25" s="185"/>
      <c r="AE25" s="40"/>
    </row>
    <row r="26" s="1933" customFormat="1" ht="23.75" customHeight="1" spans="1:31">
      <c r="A26" s="556"/>
      <c r="B26" s="1141" t="s">
        <v>638</v>
      </c>
      <c r="C26" s="2121"/>
      <c r="D26" s="2121"/>
      <c r="E26" s="245"/>
      <c r="F26" s="2177"/>
      <c r="G26" s="2177"/>
      <c r="H26" s="2127">
        <v>280000</v>
      </c>
      <c r="I26" s="2201"/>
      <c r="J26" s="379"/>
      <c r="K26" s="380"/>
      <c r="L26" s="1996"/>
      <c r="M26" s="518"/>
      <c r="N26" s="2275"/>
      <c r="O26" s="2114"/>
      <c r="P26" s="34"/>
      <c r="Q26" s="34"/>
      <c r="R26" s="1952"/>
      <c r="S26" s="2276"/>
      <c r="T26" s="34"/>
      <c r="U26" s="34"/>
      <c r="V26" s="34"/>
      <c r="W26" s="34"/>
      <c r="X26" s="40"/>
      <c r="Y26" s="40"/>
      <c r="Z26" s="40"/>
      <c r="AA26" s="40"/>
      <c r="AB26" s="40"/>
      <c r="AC26" s="664"/>
      <c r="AD26" s="185"/>
      <c r="AE26" s="40"/>
    </row>
    <row r="27" s="1933" customFormat="1" ht="23.75" customHeight="1" spans="1:31">
      <c r="A27" s="556"/>
      <c r="B27" s="1141" t="s">
        <v>163</v>
      </c>
      <c r="C27" s="2121" t="s">
        <v>727</v>
      </c>
      <c r="D27" s="2121" t="s">
        <v>728</v>
      </c>
      <c r="E27" s="245"/>
      <c r="F27" s="2177"/>
      <c r="G27" s="2177"/>
      <c r="H27" s="2127">
        <v>280000</v>
      </c>
      <c r="I27" s="2104"/>
      <c r="J27" s="380"/>
      <c r="K27" s="380"/>
      <c r="L27" s="1996"/>
      <c r="M27" s="518" t="s">
        <v>726</v>
      </c>
      <c r="N27" s="2275"/>
      <c r="O27" s="2114"/>
      <c r="P27" s="34"/>
      <c r="Q27" s="34"/>
      <c r="R27" s="1952"/>
      <c r="S27" s="2276"/>
      <c r="T27" s="34"/>
      <c r="U27" s="34"/>
      <c r="V27" s="34"/>
      <c r="W27" s="34"/>
      <c r="X27" s="40"/>
      <c r="Y27" s="40"/>
      <c r="Z27" s="40"/>
      <c r="AA27" s="40"/>
      <c r="AB27" s="40"/>
      <c r="AC27" s="664"/>
      <c r="AD27" s="185"/>
      <c r="AE27" s="40"/>
    </row>
    <row r="28" s="1933" customFormat="1" ht="23.75" customHeight="1" spans="1:31">
      <c r="A28" s="556"/>
      <c r="B28" s="2221" t="s">
        <v>402</v>
      </c>
      <c r="C28" s="2209" t="s">
        <v>729</v>
      </c>
      <c r="D28" s="2261" t="s">
        <v>427</v>
      </c>
      <c r="E28" s="2267">
        <v>168</v>
      </c>
      <c r="F28" s="2268">
        <v>243</v>
      </c>
      <c r="G28" s="2269">
        <f>E28*F28</f>
        <v>40824</v>
      </c>
      <c r="H28" s="2197">
        <f>G28*I28</f>
        <v>265356</v>
      </c>
      <c r="I28" s="2201">
        <v>6.5</v>
      </c>
      <c r="J28" s="379">
        <f>I28*K28</f>
        <v>1724814</v>
      </c>
      <c r="K28" s="379">
        <v>265356</v>
      </c>
      <c r="L28" s="2106"/>
      <c r="M28" s="518" t="s">
        <v>726</v>
      </c>
      <c r="N28" s="2275"/>
      <c r="O28" s="2114"/>
      <c r="P28" s="34"/>
      <c r="Q28" s="34"/>
      <c r="R28" s="1952"/>
      <c r="S28" s="2276"/>
      <c r="T28" s="34"/>
      <c r="U28" s="34"/>
      <c r="V28" s="34"/>
      <c r="W28" s="34"/>
      <c r="X28" s="40"/>
      <c r="Y28" s="40"/>
      <c r="Z28" s="40"/>
      <c r="AA28" s="40"/>
      <c r="AB28" s="40"/>
      <c r="AC28" s="664"/>
      <c r="AD28" s="185"/>
      <c r="AE28" s="40"/>
    </row>
    <row r="29" ht="27.5" customHeight="1" spans="1:31">
      <c r="A29" s="1956" t="s">
        <v>67</v>
      </c>
      <c r="B29" s="1957"/>
      <c r="C29" s="1951"/>
      <c r="D29" s="1951"/>
      <c r="E29" s="1973"/>
      <c r="F29" s="1974"/>
      <c r="G29" s="1974"/>
      <c r="H29" s="1975">
        <f>SUM(H15:H28)</f>
        <v>3175908.076</v>
      </c>
      <c r="I29" s="1974"/>
      <c r="J29" s="1998"/>
      <c r="K29" s="99"/>
      <c r="L29" s="99"/>
      <c r="M29" s="185"/>
      <c r="N29" s="2275"/>
      <c r="O29" s="2016"/>
      <c r="P29" s="40"/>
      <c r="Q29" s="40"/>
      <c r="R29" s="523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1956"/>
      <c r="AD29" s="1951" t="s">
        <v>293</v>
      </c>
      <c r="AE29" s="1951"/>
    </row>
    <row r="30" ht="17.25" spans="1:31">
      <c r="A30" s="1958" t="s">
        <v>344</v>
      </c>
      <c r="B30" s="1959" t="s">
        <v>299</v>
      </c>
      <c r="C30" s="1883" t="s">
        <v>730</v>
      </c>
      <c r="D30" s="819" t="s">
        <v>348</v>
      </c>
      <c r="E30" s="1976">
        <v>91</v>
      </c>
      <c r="F30" s="1545">
        <v>374</v>
      </c>
      <c r="G30" s="1545">
        <f>F30*E30</f>
        <v>34034</v>
      </c>
      <c r="H30" s="1977">
        <f>G30*I30</f>
        <v>220230.6106</v>
      </c>
      <c r="I30" s="1992">
        <v>6.4709</v>
      </c>
      <c r="J30" s="2273" t="s">
        <v>731</v>
      </c>
      <c r="K30" s="2168">
        <f>H30</f>
        <v>220230.6106</v>
      </c>
      <c r="L30" s="2237"/>
      <c r="M30" s="2017"/>
      <c r="N30" s="2018"/>
      <c r="O30" s="2019"/>
      <c r="P30" s="2020"/>
      <c r="Q30" s="2020"/>
      <c r="R30" s="2025"/>
      <c r="S30" s="2020"/>
      <c r="T30" s="2020"/>
      <c r="U30" s="2020"/>
      <c r="V30" s="2020"/>
      <c r="W30" s="2020"/>
      <c r="X30" s="2020"/>
      <c r="Y30" s="2020"/>
      <c r="Z30" s="2020"/>
      <c r="AA30" s="2020"/>
      <c r="AB30" s="2020"/>
      <c r="AC30" s="2031"/>
      <c r="AD30" s="2032"/>
      <c r="AE30" s="2033"/>
    </row>
    <row r="31" ht="17.25" spans="1:31">
      <c r="A31" s="2226"/>
      <c r="B31" s="1959"/>
      <c r="C31" s="2225"/>
      <c r="D31" s="819"/>
      <c r="E31" s="1976"/>
      <c r="F31" s="2234"/>
      <c r="G31" s="1545"/>
      <c r="H31" s="1977"/>
      <c r="I31" s="1992"/>
      <c r="J31" s="247"/>
      <c r="K31" s="2168">
        <f>SUM(H33:H40)</f>
        <v>1004477.807</v>
      </c>
      <c r="L31" s="2164"/>
      <c r="M31" s="2020"/>
      <c r="N31" s="2018"/>
      <c r="O31" s="2019"/>
      <c r="P31" s="2020"/>
      <c r="Q31" s="2020"/>
      <c r="R31" s="2025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277"/>
      <c r="AD31" s="1959"/>
      <c r="AE31" s="2020"/>
    </row>
    <row r="32" ht="17.25" spans="1:31">
      <c r="A32" s="2011"/>
      <c r="B32" s="1959"/>
      <c r="C32" s="2225"/>
      <c r="D32" s="819"/>
      <c r="E32" s="2270"/>
      <c r="F32" s="2234"/>
      <c r="G32" s="1545"/>
      <c r="H32" s="1977"/>
      <c r="I32" s="1992"/>
      <c r="J32" s="247"/>
      <c r="K32" s="2168">
        <f>SUM(H43:H46)</f>
        <v>1018823.7923</v>
      </c>
      <c r="L32" s="2164"/>
      <c r="M32" s="2020"/>
      <c r="N32" s="2018"/>
      <c r="O32" s="2019"/>
      <c r="P32" s="2020"/>
      <c r="Q32" s="2020"/>
      <c r="R32" s="2025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277"/>
      <c r="AD32" s="1959"/>
      <c r="AE32" s="2020"/>
    </row>
    <row r="33" ht="17.25" spans="1:31">
      <c r="A33" s="2278" t="s">
        <v>220</v>
      </c>
      <c r="B33" s="2279" t="s">
        <v>732</v>
      </c>
      <c r="C33" s="1903" t="s">
        <v>733</v>
      </c>
      <c r="D33" s="648" t="s">
        <v>734</v>
      </c>
      <c r="E33" s="648">
        <v>5</v>
      </c>
      <c r="F33" s="2235">
        <v>750</v>
      </c>
      <c r="G33" s="1545">
        <f t="shared" ref="G33:G35" si="0">E33*F33</f>
        <v>3750</v>
      </c>
      <c r="H33" s="1977">
        <f t="shared" ref="H33:H44" si="1">G33*I33</f>
        <v>24265.875</v>
      </c>
      <c r="I33" s="1992">
        <v>6.4709</v>
      </c>
      <c r="J33" s="2273" t="s">
        <v>735</v>
      </c>
      <c r="K33" s="2168"/>
      <c r="L33" s="2164"/>
      <c r="M33" s="2020"/>
      <c r="N33" s="2018"/>
      <c r="O33" s="2019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292"/>
      <c r="AD33" s="2157"/>
      <c r="AE33" s="2020"/>
    </row>
    <row r="34" ht="17.25" spans="1:31">
      <c r="A34" s="2153"/>
      <c r="B34" s="2279" t="s">
        <v>732</v>
      </c>
      <c r="C34" s="1903" t="s">
        <v>733</v>
      </c>
      <c r="D34" s="648" t="s">
        <v>507</v>
      </c>
      <c r="E34" s="648">
        <v>14</v>
      </c>
      <c r="F34" s="2235">
        <v>525</v>
      </c>
      <c r="G34" s="1545">
        <f t="shared" si="0"/>
        <v>7350</v>
      </c>
      <c r="H34" s="1977">
        <f t="shared" si="1"/>
        <v>47561.115</v>
      </c>
      <c r="I34" s="1992">
        <v>6.4709</v>
      </c>
      <c r="J34" s="2273" t="s">
        <v>735</v>
      </c>
      <c r="K34" s="2168"/>
      <c r="L34" s="2164"/>
      <c r="M34" s="2020"/>
      <c r="N34" s="2018"/>
      <c r="O34" s="2019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292"/>
      <c r="AD34" s="2157"/>
      <c r="AE34" s="2020"/>
    </row>
    <row r="35" ht="17.25" spans="1:31">
      <c r="A35" s="2153"/>
      <c r="B35" s="2279" t="s">
        <v>732</v>
      </c>
      <c r="C35" s="1903" t="s">
        <v>733</v>
      </c>
      <c r="D35" s="648" t="s">
        <v>736</v>
      </c>
      <c r="E35" s="648">
        <v>10</v>
      </c>
      <c r="F35" s="2235">
        <v>416</v>
      </c>
      <c r="G35" s="1545">
        <f t="shared" si="0"/>
        <v>4160</v>
      </c>
      <c r="H35" s="1977">
        <f t="shared" si="1"/>
        <v>26918.944</v>
      </c>
      <c r="I35" s="1992">
        <v>6.4709</v>
      </c>
      <c r="J35" s="2273" t="s">
        <v>735</v>
      </c>
      <c r="K35" s="2168"/>
      <c r="L35" s="2164"/>
      <c r="M35" s="2020"/>
      <c r="N35" s="2018"/>
      <c r="O35" s="2019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292"/>
      <c r="AD35" s="2157"/>
      <c r="AE35" s="2020"/>
    </row>
    <row r="36" ht="17.25" spans="1:31">
      <c r="A36" s="2153"/>
      <c r="B36" s="1959" t="s">
        <v>295</v>
      </c>
      <c r="C36" s="1903" t="s">
        <v>737</v>
      </c>
      <c r="D36" s="971"/>
      <c r="E36" s="971">
        <v>1</v>
      </c>
      <c r="F36" s="2283">
        <v>29864</v>
      </c>
      <c r="G36" s="1545">
        <f>F36*E36</f>
        <v>29864</v>
      </c>
      <c r="H36" s="2188">
        <f t="shared" si="1"/>
        <v>193246.9576</v>
      </c>
      <c r="I36" s="1992">
        <v>6.4709</v>
      </c>
      <c r="J36" s="2273" t="s">
        <v>735</v>
      </c>
      <c r="K36" s="2053"/>
      <c r="L36" s="2054"/>
      <c r="M36" s="2020"/>
      <c r="N36" s="2018"/>
      <c r="O36" s="2019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293"/>
      <c r="AD36" s="1959"/>
      <c r="AE36" s="2020"/>
    </row>
    <row r="37" ht="17.25" spans="1:31">
      <c r="A37" s="2153"/>
      <c r="B37" s="1959" t="s">
        <v>442</v>
      </c>
      <c r="C37" s="1903" t="s">
        <v>738</v>
      </c>
      <c r="D37" s="971"/>
      <c r="E37" s="971">
        <v>1</v>
      </c>
      <c r="F37" s="2283">
        <v>13348</v>
      </c>
      <c r="G37" s="1545">
        <f>F37*E37</f>
        <v>13348</v>
      </c>
      <c r="H37" s="1977">
        <f t="shared" si="1"/>
        <v>86373.5732</v>
      </c>
      <c r="I37" s="1992">
        <v>6.4709</v>
      </c>
      <c r="J37" s="2062" t="s">
        <v>739</v>
      </c>
      <c r="K37" s="2053"/>
      <c r="L37" s="2054"/>
      <c r="M37" s="2020"/>
      <c r="N37" s="2018"/>
      <c r="O37" s="2019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293"/>
      <c r="AD37" s="1959"/>
      <c r="AE37" s="2020"/>
    </row>
    <row r="38" ht="17.25" spans="1:31">
      <c r="A38" s="2153"/>
      <c r="B38" s="1959" t="s">
        <v>295</v>
      </c>
      <c r="C38" s="1903" t="s">
        <v>740</v>
      </c>
      <c r="D38" s="971" t="s">
        <v>741</v>
      </c>
      <c r="E38" s="971">
        <v>1</v>
      </c>
      <c r="F38" s="2283">
        <v>48306</v>
      </c>
      <c r="G38" s="1545">
        <f>F38*E38</f>
        <v>48306</v>
      </c>
      <c r="H38" s="1977">
        <f t="shared" si="1"/>
        <v>312583.2954</v>
      </c>
      <c r="I38" s="1992">
        <v>6.4709</v>
      </c>
      <c r="J38" s="2062" t="s">
        <v>742</v>
      </c>
      <c r="K38" s="2053"/>
      <c r="L38" s="2054"/>
      <c r="M38" s="2020"/>
      <c r="N38" s="2018"/>
      <c r="O38" s="2019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293"/>
      <c r="AD38" s="1959"/>
      <c r="AE38" s="2020"/>
    </row>
    <row r="39" ht="17.25" spans="1:31">
      <c r="A39" s="2153"/>
      <c r="B39" s="2204" t="s">
        <v>358</v>
      </c>
      <c r="C39" s="1903" t="s">
        <v>743</v>
      </c>
      <c r="D39" s="571" t="s">
        <v>744</v>
      </c>
      <c r="E39" s="571">
        <v>35</v>
      </c>
      <c r="F39" s="1257">
        <v>339</v>
      </c>
      <c r="G39" s="1545">
        <f>F39*E39</f>
        <v>11865</v>
      </c>
      <c r="H39" s="1977">
        <f t="shared" si="1"/>
        <v>76777.2285</v>
      </c>
      <c r="I39" s="1992">
        <v>6.4709</v>
      </c>
      <c r="J39" s="2062" t="s">
        <v>745</v>
      </c>
      <c r="K39" s="2053"/>
      <c r="L39" s="2054"/>
      <c r="M39" s="2020"/>
      <c r="N39" s="2018"/>
      <c r="O39" s="2019"/>
      <c r="P39" s="2020"/>
      <c r="Q39" s="2020"/>
      <c r="R39" s="2025"/>
      <c r="S39" s="2020"/>
      <c r="T39" s="2020"/>
      <c r="U39" s="2020"/>
      <c r="V39" s="2020"/>
      <c r="W39" s="2020"/>
      <c r="X39" s="2020"/>
      <c r="Y39" s="2020"/>
      <c r="Z39" s="2020"/>
      <c r="AA39" s="2020"/>
      <c r="AB39" s="2020"/>
      <c r="AC39" s="2293"/>
      <c r="AD39" s="1959"/>
      <c r="AE39" s="2020"/>
    </row>
    <row r="40" ht="17.25" spans="1:31">
      <c r="A40" s="2153"/>
      <c r="B40" s="1426" t="s">
        <v>267</v>
      </c>
      <c r="C40" s="1903" t="s">
        <v>746</v>
      </c>
      <c r="D40" s="571"/>
      <c r="E40" s="571">
        <v>1</v>
      </c>
      <c r="F40" s="1257">
        <v>36587</v>
      </c>
      <c r="G40" s="1545">
        <f>F40*E40</f>
        <v>36587</v>
      </c>
      <c r="H40" s="1977">
        <f t="shared" si="1"/>
        <v>236750.8183</v>
      </c>
      <c r="I40" s="1992">
        <v>6.4709</v>
      </c>
      <c r="J40" s="2273" t="s">
        <v>747</v>
      </c>
      <c r="K40" s="2168"/>
      <c r="L40" s="2164"/>
      <c r="M40" s="2020"/>
      <c r="N40" s="2018"/>
      <c r="O40" s="2019"/>
      <c r="P40" s="2020"/>
      <c r="Q40" s="2020"/>
      <c r="R40" s="2025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292"/>
      <c r="AD40" s="2157"/>
      <c r="AE40" s="2020"/>
    </row>
    <row r="41" ht="17.25" spans="1:31">
      <c r="A41" s="2280"/>
      <c r="B41" s="1426"/>
      <c r="C41" s="1303"/>
      <c r="D41" s="571"/>
      <c r="E41" s="571"/>
      <c r="F41" s="1257"/>
      <c r="G41" s="1545"/>
      <c r="H41" s="1977"/>
      <c r="I41" s="1992"/>
      <c r="J41" s="2273"/>
      <c r="K41" s="2168"/>
      <c r="L41" s="2164"/>
      <c r="M41" s="2020"/>
      <c r="N41" s="2018"/>
      <c r="O41" s="2019"/>
      <c r="P41" s="2020"/>
      <c r="Q41" s="2020"/>
      <c r="R41" s="2025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75"/>
      <c r="AD41" s="2157"/>
      <c r="AE41" s="2033"/>
    </row>
    <row r="42" spans="1:31">
      <c r="A42" s="2154"/>
      <c r="B42" s="1426"/>
      <c r="C42" s="1303"/>
      <c r="D42" s="571"/>
      <c r="E42" s="571"/>
      <c r="F42" s="1257"/>
      <c r="G42" s="1327"/>
      <c r="H42" s="1977"/>
      <c r="I42" s="1992"/>
      <c r="J42" s="2273"/>
      <c r="K42" s="2168"/>
      <c r="L42" s="2164"/>
      <c r="M42" s="2020"/>
      <c r="N42" s="2018"/>
      <c r="O42" s="2019"/>
      <c r="P42" s="2020"/>
      <c r="Q42" s="2020"/>
      <c r="R42" s="2025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75"/>
      <c r="AD42" s="2157"/>
      <c r="AE42" s="2033"/>
    </row>
    <row r="43" customFormat="1" spans="1:31">
      <c r="A43" s="1389" t="s">
        <v>509</v>
      </c>
      <c r="B43" s="1229" t="s">
        <v>324</v>
      </c>
      <c r="C43" s="2281" t="s">
        <v>748</v>
      </c>
      <c r="D43" s="2282" t="s">
        <v>749</v>
      </c>
      <c r="E43" s="2284">
        <v>104</v>
      </c>
      <c r="F43" s="2285">
        <v>333</v>
      </c>
      <c r="G43" s="969">
        <f>F43*E43</f>
        <v>34632</v>
      </c>
      <c r="H43" s="1977">
        <f>G43*I43</f>
        <v>224100.2088</v>
      </c>
      <c r="I43" s="1992">
        <v>6.4709</v>
      </c>
      <c r="J43" s="707" t="s">
        <v>750</v>
      </c>
      <c r="K43" s="2168" t="s">
        <v>751</v>
      </c>
      <c r="L43" s="2164">
        <f>SUM(H44:H45)</f>
        <v>654693.3075</v>
      </c>
      <c r="M43" s="2020"/>
      <c r="N43" s="2018"/>
      <c r="O43" s="2019"/>
      <c r="P43" s="2020"/>
      <c r="Q43" s="2020"/>
      <c r="R43" s="2025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75"/>
      <c r="AD43" s="2157"/>
      <c r="AE43" s="2033"/>
    </row>
    <row r="44" customFormat="1" spans="1:31">
      <c r="A44" s="1389"/>
      <c r="B44" s="2034" t="s">
        <v>274</v>
      </c>
      <c r="C44" s="1903" t="s">
        <v>752</v>
      </c>
      <c r="D44" s="819"/>
      <c r="E44" s="1976">
        <v>1</v>
      </c>
      <c r="F44" s="2164"/>
      <c r="G44" s="979">
        <v>45238</v>
      </c>
      <c r="H44" s="2188">
        <f>G44*I44</f>
        <v>292730.5742</v>
      </c>
      <c r="I44" s="1992">
        <v>6.4709</v>
      </c>
      <c r="J44" s="707" t="s">
        <v>753</v>
      </c>
      <c r="K44" s="2244"/>
      <c r="L44" s="2243"/>
      <c r="M44" s="2020"/>
      <c r="N44" s="2018"/>
      <c r="O44" s="2019"/>
      <c r="P44" s="2020"/>
      <c r="Q44" s="2020"/>
      <c r="R44" s="2025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75"/>
      <c r="AD44" s="2157"/>
      <c r="AE44" s="2033"/>
    </row>
    <row r="45" s="10" customFormat="1" spans="1:31">
      <c r="A45" s="1389"/>
      <c r="B45" s="2034" t="s">
        <v>274</v>
      </c>
      <c r="C45" s="1903" t="s">
        <v>754</v>
      </c>
      <c r="D45" s="819"/>
      <c r="E45" s="1976">
        <v>1</v>
      </c>
      <c r="F45" s="2164"/>
      <c r="G45" s="2164">
        <v>55937</v>
      </c>
      <c r="H45" s="1977">
        <f>G45*I45</f>
        <v>361962.7333</v>
      </c>
      <c r="I45" s="1992">
        <v>6.4709</v>
      </c>
      <c r="J45" s="707" t="s">
        <v>755</v>
      </c>
      <c r="K45" s="2109" t="s">
        <v>756</v>
      </c>
      <c r="L45" s="2287" t="s">
        <v>757</v>
      </c>
      <c r="M45" s="2290" t="s">
        <v>758</v>
      </c>
      <c r="N45" s="1187"/>
      <c r="O45" s="2070"/>
      <c r="P45" s="1389"/>
      <c r="Q45" s="1389"/>
      <c r="R45" s="1303"/>
      <c r="S45" s="1389"/>
      <c r="T45" s="1389"/>
      <c r="U45" s="1389"/>
      <c r="V45" s="1389"/>
      <c r="W45" s="1389"/>
      <c r="X45" s="1389"/>
      <c r="Y45" s="1389"/>
      <c r="Z45" s="1389"/>
      <c r="AA45" s="1389"/>
      <c r="AB45" s="1389"/>
      <c r="AC45" s="2076"/>
      <c r="AD45" s="628"/>
      <c r="AE45" s="2163"/>
    </row>
    <row r="46" s="10" customFormat="1" ht="17.25" spans="1:31">
      <c r="A46" s="1389"/>
      <c r="B46" s="2034" t="s">
        <v>133</v>
      </c>
      <c r="C46" s="1903" t="s">
        <v>759</v>
      </c>
      <c r="D46" s="819" t="s">
        <v>567</v>
      </c>
      <c r="E46" s="1976">
        <v>1</v>
      </c>
      <c r="F46" s="2234"/>
      <c r="G46" s="2234">
        <v>21640</v>
      </c>
      <c r="H46" s="1509">
        <f>G46*I46</f>
        <v>140030.276</v>
      </c>
      <c r="I46" s="1992">
        <v>6.4709</v>
      </c>
      <c r="J46" s="707" t="s">
        <v>760</v>
      </c>
      <c r="K46" s="2288"/>
      <c r="L46" s="2054"/>
      <c r="M46" s="1389"/>
      <c r="N46" s="1187"/>
      <c r="O46" s="2070"/>
      <c r="P46" s="1389"/>
      <c r="Q46" s="1389"/>
      <c r="R46" s="2291"/>
      <c r="S46" s="1389"/>
      <c r="T46" s="1389"/>
      <c r="U46" s="1389"/>
      <c r="V46" s="1389"/>
      <c r="W46" s="1389"/>
      <c r="X46" s="1389"/>
      <c r="Y46" s="1389"/>
      <c r="Z46" s="1389"/>
      <c r="AA46" s="1389"/>
      <c r="AB46" s="1389"/>
      <c r="AC46" s="2294"/>
      <c r="AD46" s="648"/>
      <c r="AE46" s="1389"/>
    </row>
    <row r="47" spans="1:31">
      <c r="A47" s="2035"/>
      <c r="B47" s="2036"/>
      <c r="C47" s="2037"/>
      <c r="D47" s="2038"/>
      <c r="E47" s="2043"/>
      <c r="F47" s="2044"/>
      <c r="G47" s="2286"/>
      <c r="H47" s="2047"/>
      <c r="I47" s="2059"/>
      <c r="J47" s="2060"/>
      <c r="K47" s="2289"/>
      <c r="L47" s="2065"/>
      <c r="M47" s="2020"/>
      <c r="N47" s="2071"/>
      <c r="O47" s="2019"/>
      <c r="P47" s="2020"/>
      <c r="Q47" s="2020"/>
      <c r="R47" s="2073"/>
      <c r="S47" s="2020"/>
      <c r="T47" s="2020"/>
      <c r="U47" s="2020"/>
      <c r="V47" s="2020"/>
      <c r="W47" s="2020"/>
      <c r="X47" s="2020"/>
      <c r="Y47" s="2020"/>
      <c r="Z47" s="2020"/>
      <c r="AA47" s="2020"/>
      <c r="AB47" s="2020"/>
      <c r="AC47" s="2293"/>
      <c r="AD47" s="1959"/>
      <c r="AE47" s="2020"/>
    </row>
    <row r="48" spans="1:31">
      <c r="A48" s="2035"/>
      <c r="B48" s="2036"/>
      <c r="C48" s="2037"/>
      <c r="D48" s="2038"/>
      <c r="E48" s="2043"/>
      <c r="F48" s="2044"/>
      <c r="G48" s="2046"/>
      <c r="H48" s="2047"/>
      <c r="I48" s="2055"/>
      <c r="J48" s="2062"/>
      <c r="K48" s="2064"/>
      <c r="L48" s="2065"/>
      <c r="M48" s="2020"/>
      <c r="N48" s="2071"/>
      <c r="O48" s="2019"/>
      <c r="P48" s="2020"/>
      <c r="Q48" s="2020"/>
      <c r="R48" s="2073"/>
      <c r="S48" s="2020"/>
      <c r="T48" s="2020"/>
      <c r="U48" s="2020"/>
      <c r="V48" s="2020"/>
      <c r="W48" s="2020"/>
      <c r="X48" s="2020"/>
      <c r="Y48" s="2020"/>
      <c r="Z48" s="2020"/>
      <c r="AA48" s="2020"/>
      <c r="AB48" s="2020"/>
      <c r="AC48" s="2293"/>
      <c r="AD48" s="1959"/>
      <c r="AE48" s="2020"/>
    </row>
    <row r="49" spans="1:31">
      <c r="A49" s="2035"/>
      <c r="B49" s="2036"/>
      <c r="C49" s="2037"/>
      <c r="D49" s="2038"/>
      <c r="E49" s="2043"/>
      <c r="F49" s="2044"/>
      <c r="G49" s="2046"/>
      <c r="H49" s="2047"/>
      <c r="I49" s="2055"/>
      <c r="J49" s="2062"/>
      <c r="K49" s="2064"/>
      <c r="L49" s="2065"/>
      <c r="M49" s="2020"/>
      <c r="N49" s="2071"/>
      <c r="O49" s="2019"/>
      <c r="P49" s="2020"/>
      <c r="Q49" s="2020"/>
      <c r="R49" s="2073"/>
      <c r="S49" s="2020"/>
      <c r="T49" s="2020"/>
      <c r="U49" s="2020"/>
      <c r="V49" s="2020"/>
      <c r="W49" s="2020"/>
      <c r="X49" s="2020"/>
      <c r="Y49" s="2020"/>
      <c r="Z49" s="2020"/>
      <c r="AA49" s="2020"/>
      <c r="AB49" s="2020"/>
      <c r="AC49" s="2293"/>
      <c r="AD49" s="1959"/>
      <c r="AE49" s="2020"/>
    </row>
    <row r="50" customHeight="1" spans="1:31">
      <c r="A50" s="2039" t="s">
        <v>67</v>
      </c>
      <c r="B50" s="2039"/>
      <c r="C50" s="2040"/>
      <c r="D50" s="2040"/>
      <c r="E50" s="2048"/>
      <c r="F50" s="2049"/>
      <c r="G50" s="2049"/>
      <c r="H50" s="2050">
        <f>SUM(H30:H49)</f>
        <v>2243532.2099</v>
      </c>
      <c r="I50" s="2066"/>
      <c r="J50" s="2050">
        <v>0</v>
      </c>
      <c r="K50" s="2067">
        <v>0</v>
      </c>
      <c r="L50" s="2068">
        <v>0</v>
      </c>
      <c r="M50" s="474"/>
      <c r="N50" s="474"/>
      <c r="O50" s="2072"/>
      <c r="P50" s="2011"/>
      <c r="Q50" s="2011"/>
      <c r="R50" s="2074"/>
      <c r="S50" s="2011"/>
      <c r="T50" s="2011"/>
      <c r="U50" s="2011"/>
      <c r="V50" s="2011"/>
      <c r="W50" s="2011"/>
      <c r="X50" s="2011"/>
      <c r="Y50" s="2011"/>
      <c r="Z50" s="2011"/>
      <c r="AA50" s="2011"/>
      <c r="AB50" s="2011"/>
      <c r="AC50" s="2295"/>
      <c r="AD50" s="2077" t="s">
        <v>325</v>
      </c>
      <c r="AE50" s="2077"/>
    </row>
    <row r="51" spans="1:31">
      <c r="A51" s="2001"/>
      <c r="B51" s="2001"/>
      <c r="C51" s="2001"/>
      <c r="D51" s="2001"/>
      <c r="E51" s="2051"/>
      <c r="F51" s="2001"/>
      <c r="G51" s="2001"/>
      <c r="H51" s="2052"/>
      <c r="I51" s="2001"/>
      <c r="J51" s="2001"/>
      <c r="K51" s="2001"/>
      <c r="L51" s="2001"/>
      <c r="M51" s="2001"/>
      <c r="N51" s="2001"/>
      <c r="O51" s="2002"/>
      <c r="P51" s="2001"/>
      <c r="Q51" s="2001"/>
      <c r="R51" s="2001"/>
      <c r="S51" s="2001"/>
      <c r="T51" s="2001"/>
      <c r="U51" s="2001"/>
      <c r="V51" s="2001"/>
      <c r="W51" s="2001"/>
      <c r="X51" s="2001"/>
      <c r="Y51" s="2001"/>
      <c r="Z51" s="2001"/>
      <c r="AA51" s="2001"/>
      <c r="AB51" s="2001"/>
      <c r="AC51" s="2001"/>
      <c r="AD51" s="2001"/>
      <c r="AE51" s="2001"/>
    </row>
    <row r="52" spans="1:31">
      <c r="A52" s="2001"/>
      <c r="B52" s="2001"/>
      <c r="C52" s="2001"/>
      <c r="D52" s="2001"/>
      <c r="E52" s="2051"/>
      <c r="F52" s="2001"/>
      <c r="G52" s="2001"/>
      <c r="H52" s="2052"/>
      <c r="I52" s="2001"/>
      <c r="J52" s="2001"/>
      <c r="K52" s="2001"/>
      <c r="L52" s="2001"/>
      <c r="M52" s="2001"/>
      <c r="N52" s="2001"/>
      <c r="O52" s="2002"/>
      <c r="P52" s="2001"/>
      <c r="Q52" s="2001"/>
      <c r="R52" s="2001"/>
      <c r="S52" s="2001"/>
      <c r="T52" s="2001"/>
      <c r="U52" s="2001"/>
      <c r="V52" s="2001"/>
      <c r="W52" s="2001"/>
      <c r="X52" s="2001"/>
      <c r="Y52" s="2001"/>
      <c r="Z52" s="2001"/>
      <c r="AA52" s="2001"/>
      <c r="AB52" s="2001"/>
      <c r="AC52" s="2001"/>
      <c r="AD52" s="2001"/>
      <c r="AE52" s="2001"/>
    </row>
    <row r="53" spans="1:31">
      <c r="A53" s="2001"/>
      <c r="B53" s="2001"/>
      <c r="C53" s="2001" t="s">
        <v>139</v>
      </c>
      <c r="D53" s="2001" t="s">
        <v>140</v>
      </c>
      <c r="E53" s="2051"/>
      <c r="F53" s="2001" t="s">
        <v>141</v>
      </c>
      <c r="G53" s="2001"/>
      <c r="H53" s="2052">
        <f>H14+H29+H50</f>
        <v>9129440.2859</v>
      </c>
      <c r="I53" s="2001"/>
      <c r="J53" s="2001" t="s">
        <v>579</v>
      </c>
      <c r="K53" s="2069">
        <f>H14</f>
        <v>3710000</v>
      </c>
      <c r="L53" s="2001"/>
      <c r="M53" s="2069"/>
      <c r="N53" s="2001"/>
      <c r="O53" s="2002"/>
      <c r="P53" s="2001"/>
      <c r="Q53" s="2001"/>
      <c r="R53" s="2001"/>
      <c r="S53" s="2001"/>
      <c r="T53" s="2001"/>
      <c r="U53" s="2001"/>
      <c r="V53" s="2001"/>
      <c r="W53" s="2001"/>
      <c r="X53" s="2001"/>
      <c r="Y53" s="2001"/>
      <c r="Z53" s="2001"/>
      <c r="AA53" s="2001"/>
      <c r="AB53" s="2001"/>
      <c r="AC53" s="2001"/>
      <c r="AD53" s="2001"/>
      <c r="AE53" s="2001"/>
    </row>
    <row r="54" spans="1:31">
      <c r="A54" s="2001"/>
      <c r="B54" s="2001"/>
      <c r="C54" s="2001"/>
      <c r="D54" s="2001"/>
      <c r="E54" s="2051"/>
      <c r="F54" s="2001"/>
      <c r="G54" s="2001"/>
      <c r="H54" s="2052"/>
      <c r="I54" s="2001"/>
      <c r="J54" s="2001" t="s">
        <v>580</v>
      </c>
      <c r="K54" s="2069">
        <f>H29</f>
        <v>3175908.076</v>
      </c>
      <c r="L54" s="2001"/>
      <c r="M54" s="2069"/>
      <c r="N54" s="2001"/>
      <c r="O54" s="2002"/>
      <c r="P54" s="2001"/>
      <c r="Q54" s="2001"/>
      <c r="R54" s="2001"/>
      <c r="S54" s="2001"/>
      <c r="T54" s="2001"/>
      <c r="U54" s="2001"/>
      <c r="V54" s="2001"/>
      <c r="W54" s="2001"/>
      <c r="X54" s="2001"/>
      <c r="Y54" s="2001"/>
      <c r="Z54" s="2001"/>
      <c r="AA54" s="2001"/>
      <c r="AB54" s="2001"/>
      <c r="AC54" s="2001"/>
      <c r="AD54" s="2001"/>
      <c r="AE54" s="2001"/>
    </row>
    <row r="55" spans="1:31">
      <c r="A55" s="2001"/>
      <c r="B55" s="2001"/>
      <c r="C55" s="2001"/>
      <c r="D55" s="2001"/>
      <c r="E55" s="2051"/>
      <c r="F55" s="2001"/>
      <c r="G55" s="2001"/>
      <c r="H55" s="2052"/>
      <c r="I55" s="2001"/>
      <c r="J55" s="2001" t="s">
        <v>581</v>
      </c>
      <c r="K55" s="2069">
        <f>H50</f>
        <v>2243532.2099</v>
      </c>
      <c r="L55" s="2001"/>
      <c r="M55" s="2069"/>
      <c r="N55" s="2001"/>
      <c r="O55" s="2002"/>
      <c r="P55" s="2001"/>
      <c r="Q55" s="2001"/>
      <c r="R55" s="2001"/>
      <c r="S55" s="2001"/>
      <c r="T55" s="2001"/>
      <c r="U55" s="2001"/>
      <c r="V55" s="2001"/>
      <c r="W55" s="2001"/>
      <c r="X55" s="2001"/>
      <c r="Y55" s="2001"/>
      <c r="Z55" s="2001"/>
      <c r="AA55" s="2001"/>
      <c r="AB55" s="2001"/>
      <c r="AC55" s="2001"/>
      <c r="AD55" s="2001"/>
      <c r="AE55" s="2001"/>
    </row>
    <row r="56" spans="1:31">
      <c r="A56" s="2001"/>
      <c r="B56" s="2001"/>
      <c r="C56" s="2001"/>
      <c r="D56" s="2001"/>
      <c r="E56" s="2051"/>
      <c r="F56" s="2001"/>
      <c r="G56" s="2001"/>
      <c r="H56" s="2052"/>
      <c r="I56" s="2001"/>
      <c r="J56" s="2001"/>
      <c r="K56" s="2069">
        <f>SUM(K53:K55)</f>
        <v>9129440.2859</v>
      </c>
      <c r="L56" s="2001"/>
      <c r="M56" s="2069"/>
      <c r="N56" s="2001"/>
      <c r="O56" s="2002"/>
      <c r="P56" s="2001"/>
      <c r="Q56" s="2001"/>
      <c r="R56" s="2001"/>
      <c r="S56" s="2001"/>
      <c r="T56" s="2001"/>
      <c r="U56" s="2001"/>
      <c r="V56" s="2001"/>
      <c r="W56" s="2001"/>
      <c r="X56" s="2001"/>
      <c r="Y56" s="2001"/>
      <c r="Z56" s="2001"/>
      <c r="AA56" s="2001"/>
      <c r="AB56" s="2001"/>
      <c r="AC56" s="2001"/>
      <c r="AD56" s="2001"/>
      <c r="AE56" s="2001"/>
    </row>
    <row r="57" spans="1:31">
      <c r="A57" s="2001"/>
      <c r="B57" s="2001"/>
      <c r="C57" s="2001"/>
      <c r="D57" s="2001"/>
      <c r="E57" s="2051"/>
      <c r="F57" s="2001"/>
      <c r="G57" s="2001"/>
      <c r="H57" s="2052"/>
      <c r="I57" s="2001"/>
      <c r="J57" s="2001"/>
      <c r="K57" s="2069"/>
      <c r="L57" s="2001"/>
      <c r="M57" s="2069"/>
      <c r="N57" s="2001"/>
      <c r="O57" s="2002"/>
      <c r="P57" s="2001"/>
      <c r="Q57" s="2001"/>
      <c r="R57" s="2001"/>
      <c r="S57" s="2001"/>
      <c r="T57" s="2001"/>
      <c r="U57" s="2001"/>
      <c r="V57" s="2001"/>
      <c r="W57" s="2001"/>
      <c r="X57" s="2001"/>
      <c r="Y57" s="2001"/>
      <c r="Z57" s="2001"/>
      <c r="AA57" s="2001"/>
      <c r="AB57" s="2001"/>
      <c r="AC57" s="2001"/>
      <c r="AD57" s="2001"/>
      <c r="AE57" s="2001"/>
    </row>
    <row r="58" spans="1:31">
      <c r="A58" s="2041"/>
      <c r="B58" s="2041"/>
      <c r="C58" s="2041"/>
      <c r="D58" s="2041"/>
      <c r="E58" s="2051"/>
      <c r="F58" s="2041"/>
      <c r="G58" s="2041"/>
      <c r="H58" s="2052"/>
      <c r="I58" s="2041"/>
      <c r="J58" s="2041"/>
      <c r="K58" s="2041"/>
      <c r="L58" s="2041"/>
      <c r="M58" s="2069"/>
      <c r="N58" s="2041"/>
      <c r="O58" s="2002"/>
      <c r="P58" s="2041"/>
      <c r="Q58" s="2041"/>
      <c r="R58" s="2041"/>
      <c r="S58" s="2041"/>
      <c r="T58" s="2041"/>
      <c r="U58" s="2041"/>
      <c r="V58" s="2041"/>
      <c r="W58" s="2041"/>
      <c r="X58" s="2041"/>
      <c r="Y58" s="2041"/>
      <c r="Z58" s="2041"/>
      <c r="AA58" s="2041"/>
      <c r="AB58" s="2041"/>
      <c r="AC58" s="2041"/>
      <c r="AD58" s="2041"/>
      <c r="AE58" s="2041"/>
    </row>
    <row r="59" spans="1:31">
      <c r="A59" s="2041"/>
      <c r="B59" s="2041"/>
      <c r="C59" s="2041"/>
      <c r="D59" s="2041"/>
      <c r="E59" s="2051"/>
      <c r="F59" s="2041"/>
      <c r="G59" s="2041"/>
      <c r="H59" s="2052"/>
      <c r="I59" s="2041"/>
      <c r="J59" s="2041"/>
      <c r="K59" s="2041"/>
      <c r="L59" s="2041"/>
      <c r="M59" s="2041"/>
      <c r="N59" s="2041"/>
      <c r="O59" s="2002"/>
      <c r="P59" s="2041"/>
      <c r="Q59" s="2041"/>
      <c r="R59" s="2041"/>
      <c r="S59" s="2041"/>
      <c r="T59" s="2041"/>
      <c r="U59" s="2041"/>
      <c r="V59" s="2041"/>
      <c r="W59" s="2041"/>
      <c r="X59" s="2041"/>
      <c r="Y59" s="2041"/>
      <c r="Z59" s="2041"/>
      <c r="AA59" s="2041"/>
      <c r="AB59" s="2041"/>
      <c r="AC59" s="2041"/>
      <c r="AD59" s="2041"/>
      <c r="AE59" s="2041"/>
    </row>
    <row r="60" spans="1:31">
      <c r="A60" s="2041"/>
      <c r="B60" s="2041"/>
      <c r="C60" s="2041"/>
      <c r="D60" s="2041"/>
      <c r="E60" s="2051"/>
      <c r="F60" s="2041"/>
      <c r="G60" s="2041"/>
      <c r="H60" s="2052"/>
      <c r="I60" s="2041"/>
      <c r="J60" s="2041"/>
      <c r="K60" s="2041"/>
      <c r="L60" s="2041"/>
      <c r="M60" s="2041"/>
      <c r="N60" s="2041"/>
      <c r="O60" s="2002"/>
      <c r="P60" s="2041"/>
      <c r="Q60" s="2041"/>
      <c r="R60" s="2041"/>
      <c r="S60" s="2041"/>
      <c r="T60" s="2041"/>
      <c r="U60" s="2041"/>
      <c r="V60" s="2041"/>
      <c r="W60" s="2041"/>
      <c r="X60" s="2041"/>
      <c r="Y60" s="2041"/>
      <c r="Z60" s="2041"/>
      <c r="AA60" s="2041"/>
      <c r="AB60" s="2041"/>
      <c r="AC60" s="2041"/>
      <c r="AD60" s="2041"/>
      <c r="AE60" s="2041"/>
    </row>
  </sheetData>
  <sheetProtection formatCells="0" insertHyperlinks="0" autoFilter="0"/>
  <mergeCells count="16">
    <mergeCell ref="A1:M1"/>
    <mergeCell ref="A14:B14"/>
    <mergeCell ref="C14:D14"/>
    <mergeCell ref="A29:B29"/>
    <mergeCell ref="C29:D29"/>
    <mergeCell ref="A50:B50"/>
    <mergeCell ref="C50:D50"/>
    <mergeCell ref="A3:A6"/>
    <mergeCell ref="A7:A9"/>
    <mergeCell ref="A10:A13"/>
    <mergeCell ref="A19:A22"/>
    <mergeCell ref="A23:A28"/>
    <mergeCell ref="A30:A31"/>
    <mergeCell ref="A33:A41"/>
    <mergeCell ref="A43:A46"/>
    <mergeCell ref="M23:M2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AE82"/>
  <sheetViews>
    <sheetView workbookViewId="0">
      <selection activeCell="H56" sqref="H56"/>
    </sheetView>
  </sheetViews>
  <sheetFormatPr defaultColWidth="9" defaultRowHeight="16.5"/>
  <cols>
    <col min="1" max="1" width="13.4416666666667" customWidth="1"/>
    <col min="2" max="2" width="20.41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9.375"/>
    <col min="10" max="10" width="18.4416666666667" customWidth="1"/>
    <col min="11" max="11" width="22.7833333333333" customWidth="1"/>
    <col min="12" max="12" width="17.125"/>
    <col min="13" max="13" width="14.025" customWidth="1"/>
    <col min="14" max="14" width="18.1916666666667" customWidth="1"/>
    <col min="15" max="15" width="18.925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761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1397" t="s">
        <v>762</v>
      </c>
      <c r="C3" s="2020"/>
      <c r="D3" s="2190"/>
      <c r="E3" s="2195"/>
      <c r="F3" s="2020"/>
      <c r="G3" s="2020"/>
      <c r="H3" s="1396">
        <v>250000</v>
      </c>
      <c r="I3" s="2198"/>
      <c r="J3" s="73"/>
      <c r="K3" s="2097"/>
      <c r="L3" s="2199"/>
      <c r="M3" s="2020"/>
      <c r="N3" s="2020"/>
      <c r="O3" s="2203"/>
      <c r="P3" s="2020"/>
      <c r="Q3" s="2020"/>
      <c r="R3" s="1399"/>
      <c r="S3" s="2020"/>
      <c r="T3" s="2020"/>
      <c r="U3" s="2020"/>
      <c r="V3" s="2020"/>
      <c r="W3" s="2020"/>
      <c r="X3" s="2020"/>
      <c r="Y3" s="2020"/>
      <c r="Z3" s="2020"/>
      <c r="AA3" s="2020"/>
      <c r="AB3" s="2020"/>
      <c r="AC3" s="2183"/>
      <c r="AD3" s="2184"/>
      <c r="AE3" s="2020"/>
    </row>
    <row r="4" customFormat="1" spans="1:31">
      <c r="A4" s="1941"/>
      <c r="B4" s="1397" t="s">
        <v>763</v>
      </c>
      <c r="C4" s="2020"/>
      <c r="D4" s="2190"/>
      <c r="E4" s="2195"/>
      <c r="F4" s="2020"/>
      <c r="G4" s="2020"/>
      <c r="H4" s="1396">
        <v>250000</v>
      </c>
      <c r="I4" s="2198"/>
      <c r="J4" s="73"/>
      <c r="K4" s="2097"/>
      <c r="L4" s="2199"/>
      <c r="M4" s="2020"/>
      <c r="N4" s="2020"/>
      <c r="O4" s="2203"/>
      <c r="P4" s="2020"/>
      <c r="Q4" s="2020"/>
      <c r="R4" s="1399"/>
      <c r="S4" s="2020"/>
      <c r="T4" s="2020"/>
      <c r="U4" s="2020"/>
      <c r="V4" s="2020"/>
      <c r="W4" s="2020"/>
      <c r="X4" s="2020"/>
      <c r="Y4" s="2020"/>
      <c r="Z4" s="2020"/>
      <c r="AA4" s="2020"/>
      <c r="AB4" s="2020"/>
      <c r="AC4" s="2183"/>
      <c r="AD4" s="2184"/>
      <c r="AE4" s="2020"/>
    </row>
    <row r="5" customFormat="1" spans="1:31">
      <c r="A5" s="1941"/>
      <c r="B5" s="2191" t="s">
        <v>764</v>
      </c>
      <c r="C5" s="2020"/>
      <c r="D5" s="2190"/>
      <c r="E5" s="2195"/>
      <c r="F5" s="2020"/>
      <c r="G5" s="2020"/>
      <c r="H5" s="1396">
        <v>240000</v>
      </c>
      <c r="I5" s="2198"/>
      <c r="J5" s="73"/>
      <c r="K5" s="2097"/>
      <c r="L5" s="2199"/>
      <c r="M5" s="2020"/>
      <c r="N5" s="2020"/>
      <c r="O5" s="2203"/>
      <c r="P5" s="2020"/>
      <c r="Q5" s="2020"/>
      <c r="R5" s="1399"/>
      <c r="S5" s="2020"/>
      <c r="T5" s="2020"/>
      <c r="U5" s="2020"/>
      <c r="V5" s="2020"/>
      <c r="W5" s="2020"/>
      <c r="X5" s="2020"/>
      <c r="Y5" s="2020"/>
      <c r="Z5" s="2020"/>
      <c r="AA5" s="2020"/>
      <c r="AB5" s="2020"/>
      <c r="AC5" s="2183"/>
      <c r="AD5" s="2184"/>
      <c r="AE5" s="2020"/>
    </row>
    <row r="6" customFormat="1" spans="1:31">
      <c r="A6" s="1941"/>
      <c r="B6" s="2191" t="s">
        <v>765</v>
      </c>
      <c r="C6" s="2020"/>
      <c r="D6" s="2190"/>
      <c r="E6" s="2195"/>
      <c r="F6" s="2020"/>
      <c r="G6" s="2020"/>
      <c r="H6" s="1396">
        <v>200000</v>
      </c>
      <c r="I6" s="2198"/>
      <c r="J6" s="73"/>
      <c r="K6" s="2097"/>
      <c r="L6" s="2199"/>
      <c r="M6" s="2020"/>
      <c r="N6" s="2020"/>
      <c r="O6" s="2203"/>
      <c r="P6" s="2020"/>
      <c r="Q6" s="2020"/>
      <c r="R6" s="1399"/>
      <c r="S6" s="2020"/>
      <c r="T6" s="2020"/>
      <c r="U6" s="2020"/>
      <c r="V6" s="2020"/>
      <c r="W6" s="2020"/>
      <c r="X6" s="2020"/>
      <c r="Y6" s="2020"/>
      <c r="Z6" s="2020"/>
      <c r="AA6" s="2020"/>
      <c r="AB6" s="2020"/>
      <c r="AC6" s="2183"/>
      <c r="AD6" s="2184"/>
      <c r="AE6" s="2020"/>
    </row>
    <row r="7" customFormat="1" spans="1:31">
      <c r="A7" s="1941"/>
      <c r="B7" s="2205" t="s">
        <v>766</v>
      </c>
      <c r="C7" s="2020"/>
      <c r="D7" s="2190"/>
      <c r="E7" s="2195"/>
      <c r="F7" s="2020"/>
      <c r="G7" s="2020"/>
      <c r="H7" s="1396">
        <v>100000</v>
      </c>
      <c r="I7" s="2198"/>
      <c r="J7" s="73"/>
      <c r="K7" s="2097"/>
      <c r="L7" s="2199"/>
      <c r="M7" s="2020"/>
      <c r="N7" s="2020"/>
      <c r="O7" s="2203"/>
      <c r="P7" s="2020"/>
      <c r="Q7" s="2020"/>
      <c r="R7" s="1399"/>
      <c r="S7" s="2020"/>
      <c r="T7" s="2020"/>
      <c r="U7" s="2020"/>
      <c r="V7" s="2020"/>
      <c r="W7" s="2020"/>
      <c r="X7" s="2020"/>
      <c r="Y7" s="2020"/>
      <c r="Z7" s="2020"/>
      <c r="AA7" s="2020"/>
      <c r="AB7" s="2020"/>
      <c r="AC7" s="2183"/>
      <c r="AD7" s="2184"/>
      <c r="AE7" s="2020"/>
    </row>
    <row r="8" customFormat="1" spans="1:31">
      <c r="A8" s="1941"/>
      <c r="B8" s="2135" t="s">
        <v>767</v>
      </c>
      <c r="C8" s="2020"/>
      <c r="D8" s="2190"/>
      <c r="E8" s="2195"/>
      <c r="F8" s="2020"/>
      <c r="G8" s="2020"/>
      <c r="H8" s="2097">
        <v>840000</v>
      </c>
      <c r="I8" s="2198"/>
      <c r="J8" s="73"/>
      <c r="K8" s="2097"/>
      <c r="L8" s="2199"/>
      <c r="M8" s="2020"/>
      <c r="N8" s="2020"/>
      <c r="O8" s="2203"/>
      <c r="P8" s="2020"/>
      <c r="Q8" s="2020"/>
      <c r="R8" s="1399"/>
      <c r="S8" s="2020"/>
      <c r="T8" s="2020"/>
      <c r="U8" s="2020"/>
      <c r="V8" s="2020"/>
      <c r="W8" s="2020"/>
      <c r="X8" s="2020"/>
      <c r="Y8" s="2020"/>
      <c r="Z8" s="2020"/>
      <c r="AA8" s="2020"/>
      <c r="AB8" s="2020"/>
      <c r="AC8" s="2183"/>
      <c r="AD8" s="2184"/>
      <c r="AE8" s="2020"/>
    </row>
    <row r="9" customFormat="1" customHeight="1" spans="1:31">
      <c r="A9" s="2192" t="s">
        <v>209</v>
      </c>
      <c r="B9" s="561" t="s">
        <v>768</v>
      </c>
      <c r="C9" s="764"/>
      <c r="D9" s="764"/>
      <c r="E9" s="764"/>
      <c r="F9" s="764"/>
      <c r="G9" s="2020"/>
      <c r="H9" s="1340">
        <v>200000</v>
      </c>
      <c r="I9" s="764"/>
      <c r="J9" s="72"/>
      <c r="K9" s="2200"/>
      <c r="L9" s="2199"/>
      <c r="M9" s="2020"/>
      <c r="N9" s="2020"/>
      <c r="P9" s="2020"/>
      <c r="Q9" s="2020"/>
      <c r="R9" s="2182"/>
      <c r="S9" s="2020"/>
      <c r="T9" s="2020"/>
      <c r="U9" s="2020"/>
      <c r="V9" s="2020"/>
      <c r="W9" s="2020"/>
      <c r="X9" s="2020"/>
      <c r="Y9" s="2020"/>
      <c r="Z9" s="2020"/>
      <c r="AA9" s="2020"/>
      <c r="AB9" s="2020"/>
      <c r="AC9" s="2183"/>
      <c r="AD9" s="2184"/>
      <c r="AE9" s="2020"/>
    </row>
    <row r="10" s="23" customFormat="1" customHeight="1" spans="1:31">
      <c r="A10" s="2123"/>
      <c r="B10" s="677" t="s">
        <v>527</v>
      </c>
      <c r="C10" s="2022"/>
      <c r="D10" s="2088"/>
      <c r="E10" s="1967"/>
      <c r="F10" s="1946"/>
      <c r="G10" s="1946"/>
      <c r="H10" s="1966">
        <v>700000</v>
      </c>
      <c r="I10" s="2104"/>
      <c r="J10" s="1984"/>
      <c r="K10" s="1966"/>
      <c r="L10" s="1985"/>
      <c r="M10" s="1946"/>
      <c r="N10" s="1946"/>
      <c r="O10" s="2110"/>
      <c r="P10" s="1946"/>
      <c r="Q10" s="1946"/>
      <c r="R10" s="2022"/>
      <c r="S10" s="1946"/>
      <c r="T10" s="1946"/>
      <c r="U10" s="1946"/>
      <c r="V10" s="1946"/>
      <c r="W10" s="1946"/>
      <c r="X10" s="1946"/>
      <c r="Y10" s="1946"/>
      <c r="Z10" s="1946"/>
      <c r="AA10" s="1946"/>
      <c r="AB10" s="1946"/>
      <c r="AC10" s="2028"/>
      <c r="AD10" s="2029"/>
      <c r="AE10" s="1946"/>
    </row>
    <row r="11" customFormat="1" customHeight="1" spans="1:31">
      <c r="A11" s="1941"/>
      <c r="B11" s="561" t="s">
        <v>148</v>
      </c>
      <c r="C11" s="1789"/>
      <c r="D11" s="2161"/>
      <c r="E11" s="1384"/>
      <c r="F11" s="1397"/>
      <c r="G11" s="2020"/>
      <c r="H11" s="1340">
        <v>600000</v>
      </c>
      <c r="I11" s="1993"/>
      <c r="J11" s="72"/>
      <c r="K11" s="2200"/>
      <c r="L11" s="2199"/>
      <c r="M11" s="2020"/>
      <c r="N11" s="2020"/>
      <c r="O11" s="2203"/>
      <c r="P11" s="2020"/>
      <c r="Q11" s="2020"/>
      <c r="R11" s="2182"/>
      <c r="S11" s="2020"/>
      <c r="T11" s="2020"/>
      <c r="U11" s="2020"/>
      <c r="V11" s="2020"/>
      <c r="W11" s="2020"/>
      <c r="X11" s="2020"/>
      <c r="Y11" s="2020"/>
      <c r="Z11" s="2020"/>
      <c r="AA11" s="2020"/>
      <c r="AB11" s="2020"/>
      <c r="AC11" s="2183"/>
      <c r="AD11" s="2184"/>
      <c r="AE11" s="2020"/>
    </row>
    <row r="12" s="417" customFormat="1" spans="1:31">
      <c r="A12" s="544"/>
      <c r="B12" s="561" t="s">
        <v>149</v>
      </c>
      <c r="C12" s="1789"/>
      <c r="D12" s="2161"/>
      <c r="E12" s="1384"/>
      <c r="F12" s="1397"/>
      <c r="G12" s="1397"/>
      <c r="H12" s="1340">
        <v>400000</v>
      </c>
      <c r="I12" s="1993"/>
      <c r="J12" s="72"/>
      <c r="K12" s="1396"/>
      <c r="L12" s="1996"/>
      <c r="M12" s="1397"/>
      <c r="N12" s="1397"/>
      <c r="O12" s="1405"/>
      <c r="P12" s="1397"/>
      <c r="Q12" s="1397"/>
      <c r="R12" s="1789"/>
      <c r="S12" s="1397"/>
      <c r="T12" s="1397"/>
      <c r="U12" s="1397"/>
      <c r="V12" s="1397"/>
      <c r="W12" s="1397"/>
      <c r="X12" s="1397"/>
      <c r="Y12" s="1397"/>
      <c r="Z12" s="1397"/>
      <c r="AA12" s="1397"/>
      <c r="AB12" s="1397"/>
      <c r="AC12" s="1218"/>
      <c r="AD12" s="2114"/>
      <c r="AE12" s="1397"/>
    </row>
    <row r="13" customFormat="1" spans="1:31">
      <c r="A13" s="2206" t="s">
        <v>380</v>
      </c>
      <c r="B13" s="561" t="s">
        <v>769</v>
      </c>
      <c r="C13" s="1397" t="s">
        <v>770</v>
      </c>
      <c r="D13" s="2161"/>
      <c r="E13" s="1384"/>
      <c r="F13" s="1397"/>
      <c r="G13" s="2020"/>
      <c r="H13" s="1340">
        <v>19522</v>
      </c>
      <c r="I13" s="1993"/>
      <c r="J13" s="72"/>
      <c r="K13" s="2097"/>
      <c r="L13" s="2199"/>
      <c r="M13" s="2020"/>
      <c r="N13" s="2020"/>
      <c r="O13" s="2203"/>
      <c r="P13" s="2020"/>
      <c r="Q13" s="2020"/>
      <c r="R13" s="1399"/>
      <c r="S13" s="2020"/>
      <c r="T13" s="2020"/>
      <c r="U13" s="2020"/>
      <c r="V13" s="2020"/>
      <c r="W13" s="2020"/>
      <c r="X13" s="2020"/>
      <c r="Y13" s="2020"/>
      <c r="Z13" s="2020"/>
      <c r="AA13" s="2020"/>
      <c r="AB13" s="2020"/>
      <c r="AC13" s="2219"/>
      <c r="AD13" s="2220"/>
      <c r="AE13" s="2171"/>
    </row>
    <row r="14" customFormat="1" spans="1:31">
      <c r="A14" s="2207"/>
      <c r="B14" s="561" t="s">
        <v>771</v>
      </c>
      <c r="C14" s="1397" t="s">
        <v>772</v>
      </c>
      <c r="D14" s="2161"/>
      <c r="E14" s="1384"/>
      <c r="F14" s="1397"/>
      <c r="G14" s="2020"/>
      <c r="H14" s="1340">
        <v>20000</v>
      </c>
      <c r="I14" s="1993"/>
      <c r="J14" s="72"/>
      <c r="K14" s="2097"/>
      <c r="L14" s="2199"/>
      <c r="M14" s="2020"/>
      <c r="N14" s="2217"/>
      <c r="O14" s="2203"/>
      <c r="P14" s="2020"/>
      <c r="Q14" s="2020"/>
      <c r="R14" s="1399"/>
      <c r="S14" s="2020"/>
      <c r="T14" s="2020"/>
      <c r="U14" s="2020"/>
      <c r="V14" s="2020"/>
      <c r="W14" s="2020"/>
      <c r="X14" s="2020"/>
      <c r="Y14" s="2020"/>
      <c r="Z14" s="2020"/>
      <c r="AA14" s="2020"/>
      <c r="AB14" s="2020"/>
      <c r="AC14" s="2183"/>
      <c r="AD14" s="2184"/>
      <c r="AE14" s="2020"/>
    </row>
    <row r="15" customFormat="1" ht="17.15" customHeight="1" spans="1:31">
      <c r="A15" s="2207"/>
      <c r="B15" s="561" t="s">
        <v>150</v>
      </c>
      <c r="C15" s="1397" t="s">
        <v>530</v>
      </c>
      <c r="D15" s="2161"/>
      <c r="E15" s="1384"/>
      <c r="F15" s="1397"/>
      <c r="G15" s="1397"/>
      <c r="H15" s="1340">
        <v>200000</v>
      </c>
      <c r="I15" s="2198"/>
      <c r="J15" s="73"/>
      <c r="K15" s="2097"/>
      <c r="L15" s="2199"/>
      <c r="M15" s="2020"/>
      <c r="N15" s="2217"/>
      <c r="O15" s="2203"/>
      <c r="P15" s="2020"/>
      <c r="Q15" s="2020"/>
      <c r="R15" s="1399"/>
      <c r="S15" s="2020"/>
      <c r="T15" s="2020"/>
      <c r="U15" s="2020"/>
      <c r="V15" s="2020"/>
      <c r="W15" s="2020"/>
      <c r="X15" s="2020"/>
      <c r="Y15" s="2020"/>
      <c r="Z15" s="2020"/>
      <c r="AA15" s="2020"/>
      <c r="AB15" s="2020"/>
      <c r="AC15" s="2076"/>
      <c r="AD15" s="2184"/>
      <c r="AE15" s="2020"/>
    </row>
    <row r="16" customFormat="1" ht="17.15" customHeight="1" spans="1:31">
      <c r="A16" s="2207"/>
      <c r="B16" s="561" t="s">
        <v>143</v>
      </c>
      <c r="C16" s="2020" t="s">
        <v>701</v>
      </c>
      <c r="D16" s="2190"/>
      <c r="E16" s="2195"/>
      <c r="F16" s="2020"/>
      <c r="G16" s="2020"/>
      <c r="H16" s="1340">
        <v>200000</v>
      </c>
      <c r="I16" s="2198"/>
      <c r="J16" s="73"/>
      <c r="K16" s="2097"/>
      <c r="L16" s="2199"/>
      <c r="M16" s="2020"/>
      <c r="N16" s="2218"/>
      <c r="O16" s="2203"/>
      <c r="P16" s="2020"/>
      <c r="Q16" s="2020"/>
      <c r="R16" s="1399"/>
      <c r="S16" s="2020"/>
      <c r="T16" s="2020"/>
      <c r="U16" s="2020"/>
      <c r="V16" s="2020"/>
      <c r="W16" s="2020"/>
      <c r="X16" s="2020"/>
      <c r="Y16" s="2020"/>
      <c r="Z16" s="2020"/>
      <c r="AA16" s="2020"/>
      <c r="AB16" s="2020"/>
      <c r="AC16" s="2076"/>
      <c r="AD16" s="2184"/>
      <c r="AE16" s="2020"/>
    </row>
    <row r="17" customFormat="1" ht="17.15" customHeight="1" spans="1:31">
      <c r="A17" s="2207"/>
      <c r="B17" s="561"/>
      <c r="C17" s="510"/>
      <c r="D17" s="259"/>
      <c r="E17" s="259"/>
      <c r="F17" s="259"/>
      <c r="G17" s="2020"/>
      <c r="H17" s="1340"/>
      <c r="I17" s="2198"/>
      <c r="J17" s="73"/>
      <c r="K17" s="2097"/>
      <c r="L17" s="2199"/>
      <c r="M17" s="2020"/>
      <c r="N17" s="2218"/>
      <c r="O17" s="2203"/>
      <c r="P17" s="2020"/>
      <c r="Q17" s="2020"/>
      <c r="R17" s="1399"/>
      <c r="S17" s="2020"/>
      <c r="T17" s="2020"/>
      <c r="U17" s="2020"/>
      <c r="V17" s="2020"/>
      <c r="W17" s="2020"/>
      <c r="X17" s="2020"/>
      <c r="Y17" s="2020"/>
      <c r="Z17" s="2020"/>
      <c r="AA17" s="2020"/>
      <c r="AB17" s="2020"/>
      <c r="AC17" s="2076"/>
      <c r="AD17" s="2184"/>
      <c r="AE17" s="2020"/>
    </row>
    <row r="18" customFormat="1" ht="17.15" customHeight="1" spans="1:31">
      <c r="A18" s="2207"/>
      <c r="B18" s="561"/>
      <c r="C18" s="2020"/>
      <c r="D18" s="2190"/>
      <c r="E18" s="2195"/>
      <c r="F18" s="2020"/>
      <c r="G18" s="2020"/>
      <c r="H18" s="1340"/>
      <c r="I18" s="2198"/>
      <c r="J18" s="73"/>
      <c r="K18" s="2097"/>
      <c r="L18" s="2199"/>
      <c r="M18" s="2020"/>
      <c r="N18" s="2218"/>
      <c r="O18" s="2203"/>
      <c r="P18" s="2020"/>
      <c r="Q18" s="2020"/>
      <c r="R18" s="1399"/>
      <c r="S18" s="2020"/>
      <c r="T18" s="2020"/>
      <c r="U18" s="2020"/>
      <c r="V18" s="2020"/>
      <c r="W18" s="2020"/>
      <c r="X18" s="2020"/>
      <c r="Y18" s="2020"/>
      <c r="Z18" s="2020"/>
      <c r="AA18" s="2020"/>
      <c r="AB18" s="2020"/>
      <c r="AC18" s="2076"/>
      <c r="AD18" s="2184"/>
      <c r="AE18" s="2020"/>
    </row>
    <row r="19" customFormat="1" customHeight="1" spans="1:31">
      <c r="A19" s="1950" t="s">
        <v>343</v>
      </c>
      <c r="B19" s="1950"/>
      <c r="C19" s="1951"/>
      <c r="D19" s="1951"/>
      <c r="E19" s="1968"/>
      <c r="F19" s="1969"/>
      <c r="G19" s="1970"/>
      <c r="H19" s="1971">
        <f>SUM(H3:H18)</f>
        <v>4219522</v>
      </c>
      <c r="I19" s="1989"/>
      <c r="J19" s="1990">
        <v>0</v>
      </c>
      <c r="K19" s="1991">
        <v>0</v>
      </c>
      <c r="L19" s="1991">
        <v>0</v>
      </c>
      <c r="M19" s="2009"/>
      <c r="N19" s="2009"/>
      <c r="O19" s="2010"/>
      <c r="P19" s="2011"/>
      <c r="Q19" s="2011"/>
      <c r="R19" s="40"/>
      <c r="S19" s="2011"/>
      <c r="T19" s="2011"/>
      <c r="U19" s="2011"/>
      <c r="V19" s="2011"/>
      <c r="W19" s="2011"/>
      <c r="X19" s="2011"/>
      <c r="Y19" s="2011"/>
      <c r="Z19" s="2011"/>
      <c r="AA19" s="2011"/>
      <c r="AB19" s="2011"/>
      <c r="AC19" s="2030"/>
      <c r="AD19" s="1956" t="s">
        <v>285</v>
      </c>
      <c r="AE19" s="1956"/>
    </row>
    <row r="20" s="418" customFormat="1" ht="22.85" customHeight="1" spans="1:31">
      <c r="A20" s="666" t="s">
        <v>331</v>
      </c>
      <c r="B20" s="2173" t="s">
        <v>773</v>
      </c>
      <c r="C20" s="2121" t="s">
        <v>774</v>
      </c>
      <c r="D20" s="23"/>
      <c r="E20" s="245"/>
      <c r="F20" s="2177"/>
      <c r="G20" s="2174"/>
      <c r="H20" s="2127">
        <f>I20*J20</f>
        <v>106042.4</v>
      </c>
      <c r="I20" s="2215">
        <v>6.466</v>
      </c>
      <c r="J20" s="2104">
        <v>16400</v>
      </c>
      <c r="K20" s="380"/>
      <c r="L20" s="1972"/>
      <c r="M20" s="2012"/>
      <c r="N20" s="2012"/>
      <c r="O20" s="2013"/>
      <c r="P20" s="44"/>
      <c r="Q20" s="153"/>
      <c r="R20" s="40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664"/>
      <c r="AD20" s="40"/>
      <c r="AE20" s="40"/>
    </row>
    <row r="21" s="418" customFormat="1" ht="22.85" customHeight="1" spans="1:31">
      <c r="A21" s="556"/>
      <c r="B21" s="1552" t="s">
        <v>775</v>
      </c>
      <c r="C21" s="1952" t="s">
        <v>776</v>
      </c>
      <c r="D21" s="1953"/>
      <c r="E21" s="1953"/>
      <c r="F21" s="1953"/>
      <c r="G21" s="2212">
        <f>J21*I21</f>
        <v>177459.37</v>
      </c>
      <c r="H21" s="2213">
        <f>G21*0.87</f>
        <v>154389.6519</v>
      </c>
      <c r="I21" s="1992">
        <v>6.466</v>
      </c>
      <c r="J21" s="1545">
        <v>27445</v>
      </c>
      <c r="K21" s="380"/>
      <c r="L21" s="1972"/>
      <c r="M21" s="2012"/>
      <c r="N21" s="2012"/>
      <c r="O21" s="2013"/>
      <c r="P21" s="44"/>
      <c r="Q21" s="153"/>
      <c r="R21" s="40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664"/>
      <c r="AD21" s="40"/>
      <c r="AE21" s="40"/>
    </row>
    <row r="22" s="418" customFormat="1" ht="22.85" customHeight="1" spans="1:31">
      <c r="A22" s="556"/>
      <c r="B22" s="2173" t="s">
        <v>165</v>
      </c>
      <c r="C22" s="2121" t="s">
        <v>777</v>
      </c>
      <c r="D22" s="2174"/>
      <c r="E22" s="245"/>
      <c r="F22" s="2177"/>
      <c r="G22" s="2177"/>
      <c r="H22" s="2127">
        <f>J22*I22</f>
        <v>222301.08</v>
      </c>
      <c r="I22" s="2215">
        <v>6.466</v>
      </c>
      <c r="J22" s="2216">
        <v>34380</v>
      </c>
      <c r="K22" s="1972"/>
      <c r="L22" s="1972"/>
      <c r="M22" s="2012"/>
      <c r="N22" s="2012"/>
      <c r="O22" s="2013"/>
      <c r="P22" s="44"/>
      <c r="Q22" s="153"/>
      <c r="R22" s="40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664"/>
      <c r="AD22" s="40"/>
      <c r="AE22" s="40"/>
    </row>
    <row r="23" s="418" customFormat="1" ht="22.85" customHeight="1" spans="1:31">
      <c r="A23" s="556"/>
      <c r="B23" s="2173" t="s">
        <v>165</v>
      </c>
      <c r="C23" s="2121" t="s">
        <v>778</v>
      </c>
      <c r="D23" s="2174"/>
      <c r="E23" s="245"/>
      <c r="F23" s="2177"/>
      <c r="G23" s="2177"/>
      <c r="H23" s="2127">
        <f>J23*I23</f>
        <v>228443.78</v>
      </c>
      <c r="I23" s="2215">
        <v>6.466</v>
      </c>
      <c r="J23" s="2216">
        <v>35330</v>
      </c>
      <c r="K23" s="1972"/>
      <c r="L23" s="1972"/>
      <c r="M23" s="2012"/>
      <c r="N23" s="2012"/>
      <c r="O23" s="2013"/>
      <c r="P23" s="44"/>
      <c r="Q23" s="153"/>
      <c r="R23" s="40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664"/>
      <c r="AD23" s="40"/>
      <c r="AE23" s="40"/>
    </row>
    <row r="24" s="418" customFormat="1" ht="22.85" customHeight="1" spans="1:31">
      <c r="A24" s="556"/>
      <c r="B24" s="2173" t="s">
        <v>165</v>
      </c>
      <c r="C24" s="2121" t="s">
        <v>779</v>
      </c>
      <c r="D24" s="2174"/>
      <c r="E24" s="2174"/>
      <c r="F24" s="2174"/>
      <c r="G24" s="2174"/>
      <c r="H24" s="2127">
        <f>J24*I24</f>
        <v>244350.14</v>
      </c>
      <c r="I24" s="2215">
        <v>6.466</v>
      </c>
      <c r="J24" s="2216">
        <v>37790</v>
      </c>
      <c r="K24" s="1972"/>
      <c r="L24" s="1972"/>
      <c r="M24" s="2012"/>
      <c r="N24" s="2012"/>
      <c r="O24" s="2013"/>
      <c r="P24" s="44"/>
      <c r="Q24" s="153"/>
      <c r="R24" s="40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664"/>
      <c r="AD24" s="40"/>
      <c r="AE24" s="40"/>
    </row>
    <row r="25" s="418" customFormat="1" ht="22.85" customHeight="1" spans="1:31">
      <c r="A25" s="670"/>
      <c r="B25" s="2173" t="s">
        <v>165</v>
      </c>
      <c r="C25" s="2121" t="s">
        <v>780</v>
      </c>
      <c r="D25" s="2174"/>
      <c r="E25" s="2174"/>
      <c r="F25" s="2174"/>
      <c r="G25" s="2174"/>
      <c r="H25" s="2127">
        <v>220000</v>
      </c>
      <c r="I25" s="2215">
        <v>6.466</v>
      </c>
      <c r="J25" s="2216">
        <v>37055</v>
      </c>
      <c r="K25" s="1972"/>
      <c r="L25" s="1972"/>
      <c r="M25" s="2012"/>
      <c r="N25" s="2012"/>
      <c r="O25" s="2013"/>
      <c r="P25" s="44"/>
      <c r="Q25" s="153"/>
      <c r="R25" s="40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664"/>
      <c r="AD25" s="40"/>
      <c r="AE25" s="40"/>
    </row>
    <row r="26" s="418" customFormat="1" ht="22.85" customHeight="1" spans="1:31">
      <c r="A26" s="666" t="s">
        <v>245</v>
      </c>
      <c r="B26" s="2208" t="s">
        <v>175</v>
      </c>
      <c r="C26" s="2209" t="s">
        <v>781</v>
      </c>
      <c r="D26" s="2194" t="s">
        <v>540</v>
      </c>
      <c r="E26" s="2193"/>
      <c r="F26" s="2193"/>
      <c r="G26" s="2214"/>
      <c r="H26" s="2197">
        <v>179159</v>
      </c>
      <c r="I26" s="2215">
        <v>6.466</v>
      </c>
      <c r="J26" s="2197"/>
      <c r="K26" s="1994"/>
      <c r="L26" s="1994"/>
      <c r="M26" s="2012"/>
      <c r="N26" s="2111" t="s">
        <v>782</v>
      </c>
      <c r="O26" s="2013"/>
      <c r="P26" s="44"/>
      <c r="Q26" s="153"/>
      <c r="R26" s="40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664"/>
      <c r="AD26" s="40"/>
      <c r="AE26" s="40"/>
    </row>
    <row r="27" s="418" customFormat="1" ht="22.85" customHeight="1" spans="1:31">
      <c r="A27" s="556"/>
      <c r="B27" s="2210" t="s">
        <v>783</v>
      </c>
      <c r="C27" s="2209"/>
      <c r="D27" s="2124" t="s">
        <v>784</v>
      </c>
      <c r="E27" s="2193"/>
      <c r="F27" s="2193"/>
      <c r="G27" s="2196"/>
      <c r="H27" s="2197">
        <v>86967</v>
      </c>
      <c r="I27" s="2215">
        <v>6.466</v>
      </c>
      <c r="J27" s="2197"/>
      <c r="K27" s="1994"/>
      <c r="L27" s="1994"/>
      <c r="M27" s="2012"/>
      <c r="N27" s="1997" t="s">
        <v>785</v>
      </c>
      <c r="O27" s="2013"/>
      <c r="P27" s="44" t="s">
        <v>786</v>
      </c>
      <c r="Q27" s="153"/>
      <c r="R27" s="40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664"/>
      <c r="AD27" s="40"/>
      <c r="AE27" s="40"/>
    </row>
    <row r="28" s="418" customFormat="1" ht="22.85" customHeight="1" spans="1:31">
      <c r="A28" s="556"/>
      <c r="B28" s="2210" t="s">
        <v>256</v>
      </c>
      <c r="C28" s="2209"/>
      <c r="D28" s="2124"/>
      <c r="E28" s="2193"/>
      <c r="F28" s="2193"/>
      <c r="G28" s="2196"/>
      <c r="H28" s="2197">
        <v>489165</v>
      </c>
      <c r="I28" s="2215">
        <v>6.466</v>
      </c>
      <c r="J28" s="2197"/>
      <c r="K28" s="1994"/>
      <c r="L28" s="1994"/>
      <c r="M28" s="2012"/>
      <c r="N28" s="1997" t="s">
        <v>787</v>
      </c>
      <c r="O28" s="2013"/>
      <c r="P28" s="44"/>
      <c r="Q28" s="153"/>
      <c r="R28" s="40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664"/>
      <c r="AD28" s="40"/>
      <c r="AE28" s="40"/>
    </row>
    <row r="29" s="418" customFormat="1" ht="22.85" customHeight="1" spans="1:31">
      <c r="A29" s="556"/>
      <c r="B29" s="2210" t="s">
        <v>246</v>
      </c>
      <c r="C29" s="2209"/>
      <c r="D29" s="2124"/>
      <c r="E29" s="2193"/>
      <c r="F29" s="2193"/>
      <c r="G29" s="2196"/>
      <c r="H29" s="2197">
        <v>101836</v>
      </c>
      <c r="I29" s="2215">
        <v>6.466</v>
      </c>
      <c r="J29" s="2197"/>
      <c r="K29" s="1994" t="s">
        <v>788</v>
      </c>
      <c r="L29" s="1994"/>
      <c r="M29" s="2012"/>
      <c r="N29" s="1997" t="s">
        <v>555</v>
      </c>
      <c r="O29" s="2013"/>
      <c r="P29" s="44"/>
      <c r="Q29" s="153"/>
      <c r="R29" s="40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664"/>
      <c r="AD29" s="40"/>
      <c r="AE29" s="40"/>
    </row>
    <row r="30" s="418" customFormat="1" ht="22.85" customHeight="1" spans="1:31">
      <c r="A30" s="556"/>
      <c r="B30" s="2208" t="s">
        <v>174</v>
      </c>
      <c r="C30" s="2209"/>
      <c r="D30" s="2124" t="s">
        <v>789</v>
      </c>
      <c r="E30" s="2193"/>
      <c r="F30" s="2193"/>
      <c r="G30" s="2196"/>
      <c r="H30" s="2197">
        <v>480973</v>
      </c>
      <c r="I30" s="2215">
        <v>6.466</v>
      </c>
      <c r="J30" s="2197"/>
      <c r="K30" s="1994"/>
      <c r="L30" s="1994"/>
      <c r="M30" s="2012"/>
      <c r="N30" s="2012" t="s">
        <v>790</v>
      </c>
      <c r="O30" s="2013"/>
      <c r="P30" s="44"/>
      <c r="Q30" s="153"/>
      <c r="R30" s="40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664"/>
      <c r="AD30" s="40"/>
      <c r="AE30" s="40"/>
    </row>
    <row r="31" s="418" customFormat="1" ht="22.85" customHeight="1" spans="1:31">
      <c r="A31" s="556"/>
      <c r="B31" s="2208" t="s">
        <v>611</v>
      </c>
      <c r="C31" s="2209"/>
      <c r="D31" s="2124" t="s">
        <v>540</v>
      </c>
      <c r="E31" s="2193"/>
      <c r="F31" s="2193"/>
      <c r="G31" s="2196"/>
      <c r="H31" s="2127">
        <f>I31*J31</f>
        <v>411412.182</v>
      </c>
      <c r="I31" s="2215">
        <v>6.466</v>
      </c>
      <c r="J31" s="2216">
        <v>63627</v>
      </c>
      <c r="K31" s="1994"/>
      <c r="L31" s="1994"/>
      <c r="M31" s="2012"/>
      <c r="N31" s="1997" t="s">
        <v>791</v>
      </c>
      <c r="O31" s="2013"/>
      <c r="P31" s="44"/>
      <c r="Q31" s="153"/>
      <c r="R31" s="40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664"/>
      <c r="AD31" s="40"/>
      <c r="AE31" s="40"/>
    </row>
    <row r="32" s="418" customFormat="1" ht="22.85" customHeight="1" spans="1:31">
      <c r="A32" s="556"/>
      <c r="B32" s="1107" t="s">
        <v>256</v>
      </c>
      <c r="C32" s="2211"/>
      <c r="D32" s="2125" t="s">
        <v>540</v>
      </c>
      <c r="E32" s="2140"/>
      <c r="F32" s="2140"/>
      <c r="G32" s="2212">
        <v>240000</v>
      </c>
      <c r="H32" s="2213">
        <v>214429</v>
      </c>
      <c r="I32" s="733">
        <v>6.466</v>
      </c>
      <c r="J32" s="1994"/>
      <c r="K32" s="1994"/>
      <c r="L32" s="1994"/>
      <c r="M32" s="2012"/>
      <c r="N32" s="1997"/>
      <c r="O32" s="2013"/>
      <c r="P32" s="44"/>
      <c r="Q32" s="153"/>
      <c r="R32" s="40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664"/>
      <c r="AD32" s="40"/>
      <c r="AE32" s="40"/>
    </row>
    <row r="33" s="418" customFormat="1" ht="22.85" customHeight="1" spans="1:31">
      <c r="A33" s="670"/>
      <c r="B33" s="1648" t="s">
        <v>175</v>
      </c>
      <c r="C33" s="1953"/>
      <c r="D33" s="1953"/>
      <c r="E33" s="1953"/>
      <c r="F33" s="1953"/>
      <c r="G33" s="2212">
        <v>100000</v>
      </c>
      <c r="H33" s="2213">
        <v>108643</v>
      </c>
      <c r="I33" s="733">
        <v>6.466</v>
      </c>
      <c r="J33" s="1994"/>
      <c r="K33" s="1994"/>
      <c r="L33" s="1994"/>
      <c r="M33" s="2012"/>
      <c r="N33" s="1997"/>
      <c r="O33" s="2013"/>
      <c r="P33" s="44"/>
      <c r="Q33" s="153"/>
      <c r="R33" s="40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664"/>
      <c r="AD33" s="40"/>
      <c r="AE33" s="40"/>
    </row>
    <row r="34" s="1933" customFormat="1" ht="23.75" customHeight="1" spans="1:31">
      <c r="A34" s="664" t="s">
        <v>224</v>
      </c>
      <c r="B34" s="2221" t="s">
        <v>792</v>
      </c>
      <c r="C34" s="2209" t="s">
        <v>793</v>
      </c>
      <c r="D34" s="2194"/>
      <c r="E34" s="2230"/>
      <c r="F34" s="1998"/>
      <c r="G34" s="2231"/>
      <c r="H34" s="2127">
        <v>169945</v>
      </c>
      <c r="I34" s="2201"/>
      <c r="J34" s="2197"/>
      <c r="K34" s="380"/>
      <c r="L34" s="364"/>
      <c r="M34" s="2112" t="s">
        <v>794</v>
      </c>
      <c r="N34" s="2014"/>
      <c r="O34" s="2016"/>
      <c r="P34" s="40"/>
      <c r="Q34" s="40"/>
      <c r="R34" s="2023"/>
      <c r="S34" s="2024"/>
      <c r="T34" s="40"/>
      <c r="U34" s="40"/>
      <c r="V34" s="40"/>
      <c r="W34" s="40"/>
      <c r="X34" s="40"/>
      <c r="Y34" s="40"/>
      <c r="Z34" s="40"/>
      <c r="AA34" s="40"/>
      <c r="AB34" s="40"/>
      <c r="AC34" s="664"/>
      <c r="AD34" s="185"/>
      <c r="AE34" s="40"/>
    </row>
    <row r="35" s="1933" customFormat="1" ht="23.75" customHeight="1" spans="1:31">
      <c r="A35" s="664"/>
      <c r="B35" s="1141" t="s">
        <v>795</v>
      </c>
      <c r="C35" s="2121" t="s">
        <v>796</v>
      </c>
      <c r="D35" s="2194"/>
      <c r="E35" s="2126"/>
      <c r="F35" s="2126"/>
      <c r="G35" s="2127">
        <v>4900</v>
      </c>
      <c r="H35" s="2127"/>
      <c r="I35" s="2201"/>
      <c r="J35" s="2197"/>
      <c r="K35" s="1933" t="s">
        <v>797</v>
      </c>
      <c r="L35" s="364"/>
      <c r="M35" s="2112"/>
      <c r="N35" s="2014"/>
      <c r="O35" s="2016"/>
      <c r="P35" s="40"/>
      <c r="Q35" s="40"/>
      <c r="R35" s="2023"/>
      <c r="S35" s="2024"/>
      <c r="T35" s="40"/>
      <c r="U35" s="40"/>
      <c r="V35" s="40"/>
      <c r="W35" s="40"/>
      <c r="X35" s="40"/>
      <c r="Y35" s="40"/>
      <c r="Z35" s="40"/>
      <c r="AA35" s="40"/>
      <c r="AB35" s="40"/>
      <c r="AC35" s="664"/>
      <c r="AD35" s="185"/>
      <c r="AE35" s="40"/>
    </row>
    <row r="36" s="1933" customFormat="1" ht="23.75" customHeight="1" spans="1:31">
      <c r="A36" s="664"/>
      <c r="B36" s="1141" t="s">
        <v>287</v>
      </c>
      <c r="C36" s="2121"/>
      <c r="D36" s="2194"/>
      <c r="E36" s="2126"/>
      <c r="F36" s="2126"/>
      <c r="G36" s="2232">
        <v>11606</v>
      </c>
      <c r="H36" s="2127">
        <v>11097</v>
      </c>
      <c r="I36" s="2201"/>
      <c r="J36" s="2197"/>
      <c r="K36" s="380"/>
      <c r="L36" s="364"/>
      <c r="M36" s="2112"/>
      <c r="N36" s="2014"/>
      <c r="O36" s="2016"/>
      <c r="P36" s="40"/>
      <c r="Q36" s="40"/>
      <c r="R36" s="2023"/>
      <c r="S36" s="2024"/>
      <c r="T36" s="40"/>
      <c r="U36" s="40"/>
      <c r="V36" s="40"/>
      <c r="W36" s="40"/>
      <c r="X36" s="40"/>
      <c r="Y36" s="40"/>
      <c r="Z36" s="40"/>
      <c r="AA36" s="40"/>
      <c r="AB36" s="40"/>
      <c r="AC36" s="664"/>
      <c r="AD36" s="185"/>
      <c r="AE36" s="40"/>
    </row>
    <row r="37" s="1933" customFormat="1" ht="23.75" customHeight="1" spans="1:31">
      <c r="A37" s="664"/>
      <c r="B37" s="1141" t="s">
        <v>798</v>
      </c>
      <c r="C37" s="2121" t="s">
        <v>799</v>
      </c>
      <c r="D37" s="2194"/>
      <c r="E37" s="2126"/>
      <c r="F37" s="2126"/>
      <c r="G37" s="2127"/>
      <c r="H37" s="2127">
        <v>19372</v>
      </c>
      <c r="I37" s="2201"/>
      <c r="J37" s="2197"/>
      <c r="K37" s="380"/>
      <c r="L37" s="364"/>
      <c r="M37" s="2112"/>
      <c r="N37" s="2014"/>
      <c r="O37" s="2016"/>
      <c r="P37" s="40"/>
      <c r="Q37" s="40"/>
      <c r="R37" s="2023"/>
      <c r="S37" s="2024"/>
      <c r="T37" s="40"/>
      <c r="U37" s="40"/>
      <c r="V37" s="40"/>
      <c r="W37" s="40"/>
      <c r="X37" s="40"/>
      <c r="Y37" s="40"/>
      <c r="Z37" s="40"/>
      <c r="AA37" s="40"/>
      <c r="AB37" s="40"/>
      <c r="AC37" s="664"/>
      <c r="AD37" s="185"/>
      <c r="AE37" s="40"/>
    </row>
    <row r="38" s="1933" customFormat="1" ht="23.75" customHeight="1" spans="1:31">
      <c r="A38" s="664"/>
      <c r="B38" s="1141" t="s">
        <v>800</v>
      </c>
      <c r="C38" s="2121" t="s">
        <v>801</v>
      </c>
      <c r="D38" s="2194"/>
      <c r="E38" s="245"/>
      <c r="F38" s="2177"/>
      <c r="G38" s="2127">
        <v>40000</v>
      </c>
      <c r="H38" s="2127">
        <v>40000</v>
      </c>
      <c r="I38" s="2201"/>
      <c r="J38" s="2197"/>
      <c r="K38" s="380"/>
      <c r="L38" s="364"/>
      <c r="M38" s="2112"/>
      <c r="N38" s="2014" t="s">
        <v>802</v>
      </c>
      <c r="O38" s="2016"/>
      <c r="P38" s="40"/>
      <c r="Q38" s="40"/>
      <c r="R38" s="2023"/>
      <c r="S38" s="2024"/>
      <c r="T38" s="40"/>
      <c r="U38" s="40"/>
      <c r="V38" s="40"/>
      <c r="W38" s="40"/>
      <c r="X38" s="40"/>
      <c r="Y38" s="40"/>
      <c r="Z38" s="40"/>
      <c r="AA38" s="40"/>
      <c r="AB38" s="40"/>
      <c r="AC38" s="664"/>
      <c r="AD38" s="185"/>
      <c r="AE38" s="40"/>
    </row>
    <row r="39" s="1933" customFormat="1" ht="23.75" customHeight="1" spans="1:31">
      <c r="A39" s="664"/>
      <c r="B39" s="1141" t="s">
        <v>803</v>
      </c>
      <c r="C39" s="2121" t="s">
        <v>804</v>
      </c>
      <c r="D39" s="2194"/>
      <c r="E39" s="2126"/>
      <c r="F39" s="2126"/>
      <c r="G39" s="2127"/>
      <c r="H39" s="2127">
        <v>253493</v>
      </c>
      <c r="I39" s="2201"/>
      <c r="J39" s="2197"/>
      <c r="K39" s="380"/>
      <c r="L39" s="1996"/>
      <c r="M39" s="364"/>
      <c r="N39" s="2014" t="s">
        <v>805</v>
      </c>
      <c r="O39" s="2016"/>
      <c r="P39" s="40"/>
      <c r="Q39" s="40"/>
      <c r="R39" s="2023"/>
      <c r="S39" s="2024"/>
      <c r="T39" s="40"/>
      <c r="U39" s="40"/>
      <c r="V39" s="40"/>
      <c r="W39" s="40"/>
      <c r="X39" s="40"/>
      <c r="Y39" s="40"/>
      <c r="Z39" s="40"/>
      <c r="AA39" s="40"/>
      <c r="AB39" s="40"/>
      <c r="AC39" s="664"/>
      <c r="AD39" s="185"/>
      <c r="AE39" s="40"/>
    </row>
    <row r="40" s="1933" customFormat="1" ht="23.75" customHeight="1" spans="1:31">
      <c r="A40" s="664"/>
      <c r="B40" s="1141" t="s">
        <v>806</v>
      </c>
      <c r="C40" s="2121"/>
      <c r="D40" s="2194"/>
      <c r="E40" s="2126"/>
      <c r="F40" s="2126"/>
      <c r="G40" s="2127"/>
      <c r="H40" s="2127">
        <v>313478</v>
      </c>
      <c r="I40" s="2201"/>
      <c r="J40" s="2197"/>
      <c r="L40" s="1996"/>
      <c r="M40" s="364"/>
      <c r="N40" s="2014" t="s">
        <v>791</v>
      </c>
      <c r="O40" s="2016"/>
      <c r="P40" s="40"/>
      <c r="Q40" s="40"/>
      <c r="R40" s="2023"/>
      <c r="S40" s="2024"/>
      <c r="T40" s="40"/>
      <c r="U40" s="40"/>
      <c r="V40" s="40"/>
      <c r="W40" s="40"/>
      <c r="X40" s="40"/>
      <c r="Y40" s="40"/>
      <c r="Z40" s="40"/>
      <c r="AA40" s="40"/>
      <c r="AB40" s="40"/>
      <c r="AC40" s="664"/>
      <c r="AD40" s="185"/>
      <c r="AE40" s="40"/>
    </row>
    <row r="41" s="1933" customFormat="1" ht="27.4" customHeight="1" spans="1:31">
      <c r="A41" s="664"/>
      <c r="B41" s="2222" t="s">
        <v>408</v>
      </c>
      <c r="C41" s="2223"/>
      <c r="D41" s="2224" t="s">
        <v>807</v>
      </c>
      <c r="E41" s="2233"/>
      <c r="F41" s="2233"/>
      <c r="G41" s="2232">
        <v>298599</v>
      </c>
      <c r="H41" s="2232">
        <v>298599</v>
      </c>
      <c r="I41" s="1997"/>
      <c r="J41" s="379"/>
      <c r="K41" s="380"/>
      <c r="L41" s="1996"/>
      <c r="M41" s="364" t="s">
        <v>552</v>
      </c>
      <c r="N41" s="2014" t="s">
        <v>808</v>
      </c>
      <c r="O41" s="2016"/>
      <c r="P41" s="40"/>
      <c r="Q41" s="40"/>
      <c r="R41" s="2023"/>
      <c r="S41" s="2024"/>
      <c r="T41" s="40"/>
      <c r="U41" s="40"/>
      <c r="V41" s="40"/>
      <c r="W41" s="40"/>
      <c r="X41" s="40"/>
      <c r="Y41" s="40"/>
      <c r="Z41" s="40"/>
      <c r="AA41" s="40"/>
      <c r="AB41" s="40"/>
      <c r="AC41" s="664"/>
      <c r="AD41" s="185"/>
      <c r="AE41" s="40"/>
    </row>
    <row r="42" ht="27.5" customHeight="1" spans="1:31">
      <c r="A42" s="1956" t="s">
        <v>67</v>
      </c>
      <c r="B42" s="1957"/>
      <c r="C42" s="1951"/>
      <c r="D42" s="1951"/>
      <c r="E42" s="1973"/>
      <c r="F42" s="1974"/>
      <c r="G42" s="1974"/>
      <c r="H42" s="1975">
        <f>SUM(H20:H41)</f>
        <v>4354095.2339</v>
      </c>
      <c r="I42" s="1974"/>
      <c r="J42" s="1998"/>
      <c r="K42" s="99"/>
      <c r="L42" s="99"/>
      <c r="M42" s="185"/>
      <c r="N42" s="185"/>
      <c r="O42" s="2016"/>
      <c r="P42" s="40"/>
      <c r="Q42" s="40"/>
      <c r="R42" s="523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1956"/>
      <c r="AD42" s="1956" t="s">
        <v>293</v>
      </c>
      <c r="AE42" s="1956"/>
    </row>
    <row r="43" ht="17.25" spans="1:31">
      <c r="A43" s="1958" t="s">
        <v>344</v>
      </c>
      <c r="B43" s="1959" t="s">
        <v>299</v>
      </c>
      <c r="C43" s="1883" t="s">
        <v>809</v>
      </c>
      <c r="D43" s="819" t="s">
        <v>348</v>
      </c>
      <c r="E43" s="1976">
        <v>91</v>
      </c>
      <c r="F43" s="1545">
        <v>374</v>
      </c>
      <c r="G43" s="1545">
        <f>F43*E43</f>
        <v>34034</v>
      </c>
      <c r="H43" s="2188">
        <f>G43*I43</f>
        <v>220063.844</v>
      </c>
      <c r="I43" s="1992">
        <v>6.466</v>
      </c>
      <c r="J43" s="2009" t="s">
        <v>810</v>
      </c>
      <c r="K43" s="1999">
        <f>H43+H48+SUM(H54:H60)</f>
        <v>1913677.36</v>
      </c>
      <c r="L43" s="2237"/>
      <c r="M43" s="2017"/>
      <c r="N43" s="2018"/>
      <c r="O43" s="2019"/>
      <c r="P43" s="2020"/>
      <c r="Q43" s="2020"/>
      <c r="R43" s="2025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31"/>
      <c r="AD43" s="2032"/>
      <c r="AE43" s="2033"/>
    </row>
    <row r="44" ht="17.25" spans="1:31">
      <c r="A44" s="1958"/>
      <c r="B44" s="1959" t="s">
        <v>299</v>
      </c>
      <c r="C44" s="1883" t="s">
        <v>811</v>
      </c>
      <c r="D44" s="819" t="s">
        <v>348</v>
      </c>
      <c r="E44" s="1976">
        <v>91</v>
      </c>
      <c r="F44" s="1545">
        <v>374</v>
      </c>
      <c r="G44" s="1545">
        <f>F44*E44</f>
        <v>34034</v>
      </c>
      <c r="H44" s="1977">
        <f>G44*I44</f>
        <v>220063.844</v>
      </c>
      <c r="I44" s="1992">
        <v>6.466</v>
      </c>
      <c r="J44" s="2009" t="s">
        <v>812</v>
      </c>
      <c r="K44" s="2238"/>
      <c r="L44" s="2239">
        <f>SUM(H43:H50)</f>
        <v>1473097.052</v>
      </c>
      <c r="M44" s="2017"/>
      <c r="N44" s="2018"/>
      <c r="O44" s="2019"/>
      <c r="P44" s="2020"/>
      <c r="Q44" s="2020"/>
      <c r="R44" s="2025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31"/>
      <c r="AD44" s="2032"/>
      <c r="AE44" s="2033"/>
    </row>
    <row r="45" ht="17.25" spans="1:31">
      <c r="A45" s="1958"/>
      <c r="B45" s="1959" t="s">
        <v>299</v>
      </c>
      <c r="C45" s="1883" t="s">
        <v>813</v>
      </c>
      <c r="D45" s="819" t="s">
        <v>348</v>
      </c>
      <c r="E45" s="1976">
        <v>91</v>
      </c>
      <c r="F45" s="1545">
        <v>374</v>
      </c>
      <c r="G45" s="1545">
        <f>F45*E45</f>
        <v>34034</v>
      </c>
      <c r="H45" s="1977">
        <f>G45*I45</f>
        <v>220063.844</v>
      </c>
      <c r="I45" s="1992">
        <v>6.466</v>
      </c>
      <c r="J45" s="2009" t="s">
        <v>812</v>
      </c>
      <c r="K45" s="2238"/>
      <c r="L45" s="2239">
        <f>SUM(H54:H65)</f>
        <v>1949634.786</v>
      </c>
      <c r="M45" s="2017"/>
      <c r="N45" s="2018"/>
      <c r="O45" s="2019"/>
      <c r="P45" s="2020"/>
      <c r="Q45" s="2020"/>
      <c r="R45" s="2025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031"/>
      <c r="AD45" s="2032"/>
      <c r="AE45" s="2033"/>
    </row>
    <row r="46" ht="17.25" spans="1:31">
      <c r="A46" s="1958"/>
      <c r="B46" s="1959" t="s">
        <v>299</v>
      </c>
      <c r="C46" s="1883" t="s">
        <v>814</v>
      </c>
      <c r="D46" s="819" t="s">
        <v>348</v>
      </c>
      <c r="E46" s="1976">
        <v>91</v>
      </c>
      <c r="F46" s="1545">
        <v>374</v>
      </c>
      <c r="G46" s="1545">
        <f>F46*E46</f>
        <v>34034</v>
      </c>
      <c r="H46" s="1977">
        <f>G46*I46</f>
        <v>220063.844</v>
      </c>
      <c r="I46" s="1992">
        <v>6.466</v>
      </c>
      <c r="J46" s="2009" t="s">
        <v>812</v>
      </c>
      <c r="K46" s="2238"/>
      <c r="L46" s="2239">
        <f>SUM(H67:H69)</f>
        <v>703041.714</v>
      </c>
      <c r="M46" s="2017"/>
      <c r="N46" s="2018"/>
      <c r="O46" s="2019"/>
      <c r="P46" s="2020"/>
      <c r="Q46" s="2020"/>
      <c r="R46" s="2025"/>
      <c r="S46" s="2020"/>
      <c r="T46" s="2020"/>
      <c r="U46" s="2020"/>
      <c r="V46" s="2020"/>
      <c r="W46" s="2020"/>
      <c r="X46" s="2020"/>
      <c r="Y46" s="2020"/>
      <c r="Z46" s="2020"/>
      <c r="AA46" s="2020"/>
      <c r="AB46" s="2020"/>
      <c r="AC46" s="2031"/>
      <c r="AD46" s="2032"/>
      <c r="AE46" s="2033"/>
    </row>
    <row r="47" ht="17.25" spans="1:31">
      <c r="A47" s="1958"/>
      <c r="B47" s="2225"/>
      <c r="C47" s="614"/>
      <c r="D47" s="1976" t="s">
        <v>160</v>
      </c>
      <c r="E47" s="1545"/>
      <c r="F47" s="1545"/>
      <c r="G47" s="1977"/>
      <c r="H47" s="1992"/>
      <c r="I47" s="1992"/>
      <c r="J47" s="683"/>
      <c r="K47" s="2238">
        <f>SUM(H44:H46)+H50+H69</f>
        <v>1195576.332</v>
      </c>
      <c r="L47" s="2237"/>
      <c r="M47" s="2017"/>
      <c r="N47" s="2018"/>
      <c r="O47" s="2019"/>
      <c r="P47" s="2020"/>
      <c r="Q47" s="2020"/>
      <c r="R47" s="2025"/>
      <c r="S47" s="2020"/>
      <c r="T47" s="2020"/>
      <c r="U47" s="2020"/>
      <c r="V47" s="2020"/>
      <c r="W47" s="2020"/>
      <c r="X47" s="2020"/>
      <c r="Y47" s="2020"/>
      <c r="Z47" s="2020"/>
      <c r="AA47" s="2020"/>
      <c r="AB47" s="2020"/>
      <c r="AC47" s="2031"/>
      <c r="AD47" s="2032"/>
      <c r="AE47" s="2033"/>
    </row>
    <row r="48" ht="17.25" spans="1:31">
      <c r="A48" s="1958"/>
      <c r="B48" s="1959" t="s">
        <v>299</v>
      </c>
      <c r="C48" s="1883" t="s">
        <v>815</v>
      </c>
      <c r="D48" s="819" t="s">
        <v>427</v>
      </c>
      <c r="E48" s="1976">
        <v>168</v>
      </c>
      <c r="F48" s="1545">
        <v>242</v>
      </c>
      <c r="G48" s="1545">
        <f>F48*E48</f>
        <v>40656</v>
      </c>
      <c r="H48" s="2188">
        <f>G48*I48</f>
        <v>262881.696</v>
      </c>
      <c r="I48" s="1992">
        <v>6.466</v>
      </c>
      <c r="J48" s="1073" t="s">
        <v>810</v>
      </c>
      <c r="K48" s="2240">
        <f>SUM(H67:H68)</f>
        <v>497616.894</v>
      </c>
      <c r="L48" s="2237"/>
      <c r="M48" s="2017"/>
      <c r="N48" s="2018"/>
      <c r="O48" s="2019"/>
      <c r="P48" s="2020"/>
      <c r="Q48" s="2020"/>
      <c r="R48" s="2025"/>
      <c r="S48" s="2020"/>
      <c r="T48" s="2020"/>
      <c r="U48" s="2020"/>
      <c r="V48" s="2020"/>
      <c r="W48" s="2020"/>
      <c r="X48" s="2020"/>
      <c r="Y48" s="2020"/>
      <c r="Z48" s="2020"/>
      <c r="AA48" s="2020"/>
      <c r="AB48" s="2020"/>
      <c r="AC48" s="2031"/>
      <c r="AD48" s="2032"/>
      <c r="AE48" s="2033"/>
    </row>
    <row r="49" ht="17.25" spans="1:31">
      <c r="A49" s="1958"/>
      <c r="B49" s="2225"/>
      <c r="C49" s="614"/>
      <c r="D49" s="1976"/>
      <c r="E49" s="1545"/>
      <c r="F49" s="1545"/>
      <c r="G49" s="1977"/>
      <c r="H49" s="1992"/>
      <c r="I49" s="1992"/>
      <c r="J49" s="683"/>
      <c r="K49" s="2238">
        <f>SUM(H61:H64)+'2021.09'!H44</f>
        <v>984152.674</v>
      </c>
      <c r="L49" s="2237"/>
      <c r="M49" s="2017"/>
      <c r="N49" s="2018"/>
      <c r="O49" s="2019"/>
      <c r="P49" s="2020"/>
      <c r="Q49" s="2020"/>
      <c r="R49" s="2025"/>
      <c r="S49" s="2020"/>
      <c r="T49" s="2020"/>
      <c r="U49" s="2020"/>
      <c r="V49" s="2020"/>
      <c r="W49" s="2020"/>
      <c r="X49" s="2020"/>
      <c r="Y49" s="2020"/>
      <c r="Z49" s="2020"/>
      <c r="AA49" s="2020"/>
      <c r="AB49" s="2020"/>
      <c r="AC49" s="2031"/>
      <c r="AD49" s="2032"/>
      <c r="AE49" s="2033"/>
    </row>
    <row r="50" ht="17.25" spans="1:31">
      <c r="A50" s="1958"/>
      <c r="B50" s="1959" t="s">
        <v>299</v>
      </c>
      <c r="C50" s="1883" t="s">
        <v>816</v>
      </c>
      <c r="D50" s="819" t="s">
        <v>817</v>
      </c>
      <c r="E50" s="1976">
        <v>315</v>
      </c>
      <c r="F50" s="1545">
        <v>162</v>
      </c>
      <c r="G50" s="1545">
        <f>F50*E50</f>
        <v>51030</v>
      </c>
      <c r="H50" s="1977">
        <f>G50*I50</f>
        <v>329959.98</v>
      </c>
      <c r="I50" s="1992">
        <v>6.466</v>
      </c>
      <c r="J50" s="2241" t="s">
        <v>812</v>
      </c>
      <c r="K50" s="2242"/>
      <c r="L50" s="2243"/>
      <c r="M50" s="2020"/>
      <c r="N50" s="2018"/>
      <c r="O50" s="2019"/>
      <c r="P50" s="2020"/>
      <c r="Q50" s="2020"/>
      <c r="R50" s="2025"/>
      <c r="S50" s="2020"/>
      <c r="T50" s="2020"/>
      <c r="U50" s="2020"/>
      <c r="V50" s="2020"/>
      <c r="W50" s="2020"/>
      <c r="X50" s="2020"/>
      <c r="Y50" s="2020"/>
      <c r="Z50" s="2020"/>
      <c r="AA50" s="2020"/>
      <c r="AB50" s="2020"/>
      <c r="AC50" s="2031"/>
      <c r="AD50" s="2034"/>
      <c r="AE50" s="2020"/>
    </row>
    <row r="51" ht="17.25" spans="1:31">
      <c r="A51" s="1958"/>
      <c r="B51" s="1959"/>
      <c r="C51" s="2225"/>
      <c r="D51" s="819"/>
      <c r="E51" s="1976"/>
      <c r="F51" s="2234"/>
      <c r="G51" s="1545"/>
      <c r="H51" s="1977"/>
      <c r="I51" s="1992"/>
      <c r="J51" s="247"/>
      <c r="K51" s="2244"/>
      <c r="L51" s="2243"/>
      <c r="M51" s="2020"/>
      <c r="N51" s="2018"/>
      <c r="O51" s="2019"/>
      <c r="P51" s="2020"/>
      <c r="Q51" s="2020"/>
      <c r="R51" s="2025"/>
      <c r="S51" s="2020"/>
      <c r="T51" s="2020"/>
      <c r="U51" s="2020"/>
      <c r="V51" s="2020"/>
      <c r="W51" s="2020"/>
      <c r="X51" s="2020"/>
      <c r="Y51" s="2020"/>
      <c r="Z51" s="2020"/>
      <c r="AA51" s="2020"/>
      <c r="AB51" s="2020"/>
      <c r="AC51" s="2251"/>
      <c r="AD51" s="2252"/>
      <c r="AE51" s="2253"/>
    </row>
    <row r="52" ht="17.25" spans="1:31">
      <c r="A52" s="2226"/>
      <c r="B52" s="1959"/>
      <c r="C52" s="2225"/>
      <c r="D52" s="819"/>
      <c r="E52" s="1976"/>
      <c r="F52" s="2234"/>
      <c r="G52" s="1545"/>
      <c r="H52" s="1977"/>
      <c r="I52" s="1992"/>
      <c r="J52" s="247"/>
      <c r="K52" s="2244"/>
      <c r="L52" s="2243">
        <f>SUM(H44:H46)+H50+SUM(H61:H69)+'2021.09'!H44</f>
        <v>2677345.9</v>
      </c>
      <c r="M52" s="2020"/>
      <c r="N52" s="2018"/>
      <c r="O52" s="2019"/>
      <c r="P52" s="2020"/>
      <c r="Q52" s="2020"/>
      <c r="R52" s="2025"/>
      <c r="S52" s="2020"/>
      <c r="T52" s="2020"/>
      <c r="U52" s="2020"/>
      <c r="V52" s="2020"/>
      <c r="W52" s="2020"/>
      <c r="X52" s="2020"/>
      <c r="Y52" s="2020"/>
      <c r="Z52" s="2020"/>
      <c r="AA52" s="2020"/>
      <c r="AB52" s="2020"/>
      <c r="AC52" s="2075"/>
      <c r="AD52" s="1959"/>
      <c r="AE52" s="2020"/>
    </row>
    <row r="53" ht="17.25" spans="1:31">
      <c r="A53" s="2011"/>
      <c r="B53" s="2227"/>
      <c r="C53" s="2225"/>
      <c r="D53" s="819"/>
      <c r="E53" s="1976"/>
      <c r="F53" s="2234"/>
      <c r="G53" s="1545"/>
      <c r="H53" s="1977"/>
      <c r="I53" s="1992"/>
      <c r="J53" s="2245"/>
      <c r="K53" s="2246"/>
      <c r="L53" s="2065"/>
      <c r="M53" s="2020"/>
      <c r="N53" s="2018"/>
      <c r="O53" s="2019"/>
      <c r="P53" s="2020"/>
      <c r="Q53" s="2020"/>
      <c r="R53" s="2025"/>
      <c r="S53" s="2020"/>
      <c r="T53" s="2020"/>
      <c r="U53" s="2020"/>
      <c r="V53" s="2020"/>
      <c r="W53" s="2020"/>
      <c r="X53" s="2020"/>
      <c r="Y53" s="2020"/>
      <c r="Z53" s="2020"/>
      <c r="AA53" s="2020"/>
      <c r="AB53" s="2020"/>
      <c r="AC53" s="2075"/>
      <c r="AD53" s="1959"/>
      <c r="AE53" s="2020"/>
    </row>
    <row r="54" ht="17.25" spans="1:31">
      <c r="A54" s="2153" t="s">
        <v>220</v>
      </c>
      <c r="B54" s="2204" t="s">
        <v>355</v>
      </c>
      <c r="C54" s="1883" t="s">
        <v>818</v>
      </c>
      <c r="D54" s="571">
        <v>6820</v>
      </c>
      <c r="E54" s="648">
        <v>30</v>
      </c>
      <c r="F54" s="2235">
        <v>889</v>
      </c>
      <c r="G54" s="1545">
        <f t="shared" ref="G51:G66" si="0">F54*E54</f>
        <v>26670</v>
      </c>
      <c r="H54" s="2188">
        <f t="shared" ref="H54:H67" si="1">G54*I54</f>
        <v>172448.22</v>
      </c>
      <c r="I54" s="1992">
        <v>6.466</v>
      </c>
      <c r="J54" s="2062" t="s">
        <v>819</v>
      </c>
      <c r="K54" s="2246"/>
      <c r="L54" s="2065"/>
      <c r="M54" s="2020"/>
      <c r="N54" s="2018"/>
      <c r="O54" s="2019"/>
      <c r="P54" s="2020"/>
      <c r="Q54" s="2020"/>
      <c r="R54" s="2025"/>
      <c r="S54" s="2020"/>
      <c r="T54" s="2020"/>
      <c r="U54" s="2020"/>
      <c r="V54" s="2020"/>
      <c r="W54" s="2020"/>
      <c r="X54" s="2020"/>
      <c r="Y54" s="2020"/>
      <c r="Z54" s="2020"/>
      <c r="AA54" s="2020"/>
      <c r="AB54" s="2020"/>
      <c r="AC54" s="2075"/>
      <c r="AD54" s="1959"/>
      <c r="AE54" s="2020"/>
    </row>
    <row r="55" ht="17.25" spans="1:31">
      <c r="A55" s="2153"/>
      <c r="B55" s="2204" t="s">
        <v>355</v>
      </c>
      <c r="C55" s="1883" t="s">
        <v>818</v>
      </c>
      <c r="D55" s="571" t="s">
        <v>551</v>
      </c>
      <c r="E55" s="571">
        <v>30</v>
      </c>
      <c r="F55" s="2235">
        <v>462</v>
      </c>
      <c r="G55" s="1545">
        <f t="shared" si="0"/>
        <v>13860</v>
      </c>
      <c r="H55" s="2188">
        <f t="shared" si="1"/>
        <v>89618.76</v>
      </c>
      <c r="I55" s="1992">
        <v>6.466</v>
      </c>
      <c r="J55" s="2062" t="s">
        <v>819</v>
      </c>
      <c r="K55" s="2246"/>
      <c r="L55" s="2065"/>
      <c r="M55" s="2020"/>
      <c r="N55" s="2018"/>
      <c r="O55" s="2019"/>
      <c r="P55" s="2020"/>
      <c r="Q55" s="2020"/>
      <c r="R55" s="2025"/>
      <c r="S55" s="2020"/>
      <c r="T55" s="2020"/>
      <c r="U55" s="2020"/>
      <c r="V55" s="2020"/>
      <c r="W55" s="2020"/>
      <c r="X55" s="2020"/>
      <c r="Y55" s="2020"/>
      <c r="Z55" s="2020"/>
      <c r="AA55" s="2020"/>
      <c r="AB55" s="2020"/>
      <c r="AC55" s="2075"/>
      <c r="AD55" s="1959"/>
      <c r="AE55" s="2020"/>
    </row>
    <row r="56" ht="17.25" spans="1:31">
      <c r="A56" s="2153"/>
      <c r="B56" s="2204" t="s">
        <v>355</v>
      </c>
      <c r="C56" s="1883" t="s">
        <v>820</v>
      </c>
      <c r="D56" s="571">
        <v>6820</v>
      </c>
      <c r="E56" s="571">
        <v>30</v>
      </c>
      <c r="F56" s="2235">
        <v>889</v>
      </c>
      <c r="G56" s="1545">
        <f t="shared" si="0"/>
        <v>26670</v>
      </c>
      <c r="H56" s="2188">
        <f t="shared" si="1"/>
        <v>172448.22</v>
      </c>
      <c r="I56" s="1992">
        <v>6.466</v>
      </c>
      <c r="J56" s="2062" t="s">
        <v>819</v>
      </c>
      <c r="K56" s="2246"/>
      <c r="L56" s="2065"/>
      <c r="M56" s="2020"/>
      <c r="N56" s="2018"/>
      <c r="O56" s="2019"/>
      <c r="P56" s="2020"/>
      <c r="Q56" s="2020"/>
      <c r="R56" s="2025"/>
      <c r="S56" s="2020"/>
      <c r="T56" s="2020"/>
      <c r="U56" s="2020"/>
      <c r="V56" s="2020"/>
      <c r="W56" s="2020"/>
      <c r="X56" s="2020"/>
      <c r="Y56" s="2020"/>
      <c r="Z56" s="2020"/>
      <c r="AA56" s="2020"/>
      <c r="AB56" s="2020"/>
      <c r="AC56" s="2075"/>
      <c r="AD56" s="1959"/>
      <c r="AE56" s="2020"/>
    </row>
    <row r="57" ht="17.25" spans="1:31">
      <c r="A57" s="2153"/>
      <c r="B57" s="2204" t="s">
        <v>355</v>
      </c>
      <c r="C57" s="1883" t="s">
        <v>820</v>
      </c>
      <c r="D57" s="648" t="s">
        <v>551</v>
      </c>
      <c r="E57" s="648">
        <v>30</v>
      </c>
      <c r="F57" s="2235">
        <v>462</v>
      </c>
      <c r="G57" s="1545">
        <f t="shared" si="0"/>
        <v>13860</v>
      </c>
      <c r="H57" s="2188">
        <f t="shared" si="1"/>
        <v>89618.76</v>
      </c>
      <c r="I57" s="1992">
        <v>6.466</v>
      </c>
      <c r="J57" s="2062" t="s">
        <v>819</v>
      </c>
      <c r="K57" s="2062"/>
      <c r="L57" s="2065"/>
      <c r="M57" s="2020"/>
      <c r="N57" s="2018"/>
      <c r="O57" s="2019"/>
      <c r="P57" s="2020"/>
      <c r="Q57" s="2020"/>
      <c r="R57" s="2025"/>
      <c r="S57" s="2020"/>
      <c r="T57" s="2020"/>
      <c r="U57" s="2020"/>
      <c r="V57" s="2020"/>
      <c r="W57" s="2020"/>
      <c r="X57" s="2020"/>
      <c r="Y57" s="2020"/>
      <c r="Z57" s="2020"/>
      <c r="AA57" s="2020"/>
      <c r="AB57" s="2020"/>
      <c r="AC57" s="2075"/>
      <c r="AD57" s="1959"/>
      <c r="AE57" s="2020"/>
    </row>
    <row r="58" ht="17.25" spans="1:31">
      <c r="A58" s="2153"/>
      <c r="B58" s="2204" t="s">
        <v>258</v>
      </c>
      <c r="C58" s="1883" t="s">
        <v>821</v>
      </c>
      <c r="D58" s="571" t="s">
        <v>822</v>
      </c>
      <c r="E58" s="571">
        <v>44</v>
      </c>
      <c r="F58" s="1257">
        <v>900</v>
      </c>
      <c r="G58" s="1545">
        <f t="shared" si="0"/>
        <v>39600</v>
      </c>
      <c r="H58" s="2188">
        <f t="shared" si="1"/>
        <v>256053.6</v>
      </c>
      <c r="I58" s="1992">
        <v>6.466</v>
      </c>
      <c r="J58" s="2062" t="s">
        <v>819</v>
      </c>
      <c r="K58" s="2247"/>
      <c r="L58" s="2248"/>
      <c r="M58" s="2020"/>
      <c r="N58" s="2018"/>
      <c r="O58" s="2019"/>
      <c r="P58" s="2020"/>
      <c r="Q58" s="2020"/>
      <c r="R58" s="2025"/>
      <c r="S58" s="2020"/>
      <c r="T58" s="2020"/>
      <c r="U58" s="2020"/>
      <c r="V58" s="2020"/>
      <c r="W58" s="2020"/>
      <c r="X58" s="2020"/>
      <c r="Y58" s="2020"/>
      <c r="Z58" s="2020"/>
      <c r="AA58" s="2020"/>
      <c r="AB58" s="2020"/>
      <c r="AC58" s="2075"/>
      <c r="AD58" s="1959"/>
      <c r="AE58" s="2020"/>
    </row>
    <row r="59" ht="17.25" spans="1:31">
      <c r="A59" s="2153"/>
      <c r="B59" s="1959" t="s">
        <v>663</v>
      </c>
      <c r="C59" s="1883" t="s">
        <v>669</v>
      </c>
      <c r="D59" s="819" t="s">
        <v>823</v>
      </c>
      <c r="E59" s="2229">
        <v>44</v>
      </c>
      <c r="F59" s="2236">
        <v>840</v>
      </c>
      <c r="G59" s="1545">
        <f t="shared" si="0"/>
        <v>36960</v>
      </c>
      <c r="H59" s="2188">
        <f t="shared" si="1"/>
        <v>238983.36</v>
      </c>
      <c r="I59" s="1992">
        <v>6.466</v>
      </c>
      <c r="J59" s="2062" t="s">
        <v>819</v>
      </c>
      <c r="K59" s="2249"/>
      <c r="L59" s="2250"/>
      <c r="M59" s="2020"/>
      <c r="N59" s="2018"/>
      <c r="O59" s="2019"/>
      <c r="P59" s="2020"/>
      <c r="Q59" s="2020"/>
      <c r="R59" s="2025"/>
      <c r="S59" s="2020"/>
      <c r="T59" s="2020"/>
      <c r="U59" s="2020"/>
      <c r="V59" s="2020"/>
      <c r="W59" s="2020"/>
      <c r="X59" s="2020"/>
      <c r="Y59" s="2020"/>
      <c r="Z59" s="2020"/>
      <c r="AA59" s="2020"/>
      <c r="AB59" s="2020"/>
      <c r="AC59" s="2075"/>
      <c r="AD59" s="2157"/>
      <c r="AE59" s="2020"/>
    </row>
    <row r="60" ht="17.25" spans="1:31">
      <c r="A60" s="2153"/>
      <c r="B60" s="1959" t="s">
        <v>663</v>
      </c>
      <c r="C60" s="1883" t="s">
        <v>669</v>
      </c>
      <c r="D60" s="819" t="s">
        <v>824</v>
      </c>
      <c r="E60" s="2229">
        <v>134</v>
      </c>
      <c r="F60" s="2236">
        <v>475</v>
      </c>
      <c r="G60" s="1545">
        <f t="shared" si="0"/>
        <v>63650</v>
      </c>
      <c r="H60" s="2188">
        <f t="shared" si="1"/>
        <v>411560.9</v>
      </c>
      <c r="I60" s="1992">
        <v>6.466</v>
      </c>
      <c r="J60" s="2062" t="s">
        <v>819</v>
      </c>
      <c r="K60" s="2249"/>
      <c r="L60" s="2250"/>
      <c r="M60" s="2020"/>
      <c r="N60" s="2018"/>
      <c r="O60" s="2019"/>
      <c r="P60" s="2020"/>
      <c r="Q60" s="2020"/>
      <c r="R60" s="2025"/>
      <c r="S60" s="2020"/>
      <c r="T60" s="2020"/>
      <c r="U60" s="2020"/>
      <c r="V60" s="2020"/>
      <c r="W60" s="2020"/>
      <c r="X60" s="2020"/>
      <c r="Y60" s="2020"/>
      <c r="Z60" s="2020"/>
      <c r="AA60" s="2020"/>
      <c r="AB60" s="2020"/>
      <c r="AC60" s="2075"/>
      <c r="AD60" s="2157"/>
      <c r="AE60" s="2020"/>
    </row>
    <row r="61" ht="17.25" spans="1:31">
      <c r="A61" s="2153"/>
      <c r="B61" s="2228" t="s">
        <v>825</v>
      </c>
      <c r="C61" s="1883" t="s">
        <v>826</v>
      </c>
      <c r="D61" s="2229" t="s">
        <v>827</v>
      </c>
      <c r="E61" s="2229">
        <v>85</v>
      </c>
      <c r="F61" s="2236">
        <v>278</v>
      </c>
      <c r="G61" s="1545">
        <f t="shared" si="0"/>
        <v>23630</v>
      </c>
      <c r="H61" s="839">
        <f t="shared" si="1"/>
        <v>152791.58</v>
      </c>
      <c r="I61" s="1992">
        <v>6.466</v>
      </c>
      <c r="J61" s="2062" t="s">
        <v>828</v>
      </c>
      <c r="K61" s="2249"/>
      <c r="L61" s="2250"/>
      <c r="M61" s="2020"/>
      <c r="N61" s="2018"/>
      <c r="O61" s="2019"/>
      <c r="P61" s="2020"/>
      <c r="Q61" s="2020"/>
      <c r="R61" s="2025"/>
      <c r="S61" s="2020"/>
      <c r="T61" s="2020"/>
      <c r="U61" s="2020"/>
      <c r="V61" s="2020"/>
      <c r="W61" s="2020"/>
      <c r="X61" s="2020"/>
      <c r="Y61" s="2020"/>
      <c r="Z61" s="2020"/>
      <c r="AA61" s="2020"/>
      <c r="AB61" s="2020"/>
      <c r="AC61" s="2075"/>
      <c r="AD61" s="2157"/>
      <c r="AE61" s="2020"/>
    </row>
    <row r="62" ht="17.25" spans="1:31">
      <c r="A62" s="2153"/>
      <c r="B62" s="2228" t="s">
        <v>825</v>
      </c>
      <c r="C62" s="1883" t="s">
        <v>826</v>
      </c>
      <c r="D62" s="2229" t="s">
        <v>829</v>
      </c>
      <c r="E62" s="2229">
        <v>45</v>
      </c>
      <c r="F62" s="2236">
        <v>381</v>
      </c>
      <c r="G62" s="1545">
        <f t="shared" si="0"/>
        <v>17145</v>
      </c>
      <c r="H62" s="839">
        <f t="shared" si="1"/>
        <v>110859.57</v>
      </c>
      <c r="I62" s="1992">
        <v>6.466</v>
      </c>
      <c r="J62" s="2062" t="s">
        <v>828</v>
      </c>
      <c r="K62" s="2247"/>
      <c r="L62" s="2248"/>
      <c r="M62" s="2020"/>
      <c r="N62" s="2018"/>
      <c r="O62" s="2019"/>
      <c r="P62" s="2020"/>
      <c r="Q62" s="2020"/>
      <c r="R62" s="2025"/>
      <c r="S62" s="2020"/>
      <c r="T62" s="2020"/>
      <c r="U62" s="2020"/>
      <c r="V62" s="2020"/>
      <c r="W62" s="2020"/>
      <c r="X62" s="2020"/>
      <c r="Y62" s="2020"/>
      <c r="Z62" s="2020"/>
      <c r="AA62" s="2020"/>
      <c r="AB62" s="2020"/>
      <c r="AC62" s="2075"/>
      <c r="AD62" s="1959"/>
      <c r="AE62" s="2020"/>
    </row>
    <row r="63" ht="17.25" spans="1:31">
      <c r="A63" s="2153"/>
      <c r="B63" s="2204" t="s">
        <v>830</v>
      </c>
      <c r="C63" s="1883" t="s">
        <v>831</v>
      </c>
      <c r="D63" s="571" t="s">
        <v>481</v>
      </c>
      <c r="E63" s="648">
        <v>25</v>
      </c>
      <c r="F63" s="2235">
        <v>650</v>
      </c>
      <c r="G63" s="1545">
        <f t="shared" si="0"/>
        <v>16250</v>
      </c>
      <c r="H63" s="839">
        <f t="shared" si="1"/>
        <v>105072.5</v>
      </c>
      <c r="I63" s="1992">
        <v>6.466</v>
      </c>
      <c r="J63" s="2062" t="s">
        <v>832</v>
      </c>
      <c r="K63" s="2247"/>
      <c r="L63" s="2248"/>
      <c r="M63" s="2020"/>
      <c r="N63" s="2018"/>
      <c r="O63" s="2019"/>
      <c r="P63" s="2020"/>
      <c r="Q63" s="2020"/>
      <c r="R63" s="2025"/>
      <c r="S63" s="2020"/>
      <c r="T63" s="2020"/>
      <c r="U63" s="2020"/>
      <c r="V63" s="2020"/>
      <c r="W63" s="2020"/>
      <c r="X63" s="2020"/>
      <c r="Y63" s="2020"/>
      <c r="Z63" s="2020"/>
      <c r="AA63" s="2020"/>
      <c r="AB63" s="2020"/>
      <c r="AC63" s="2075"/>
      <c r="AD63" s="1959"/>
      <c r="AE63" s="2020"/>
    </row>
    <row r="64" ht="17.25" spans="1:31">
      <c r="A64" s="2153"/>
      <c r="B64" s="2204" t="s">
        <v>830</v>
      </c>
      <c r="C64" s="1883" t="s">
        <v>831</v>
      </c>
      <c r="D64" s="571" t="s">
        <v>551</v>
      </c>
      <c r="E64" s="648">
        <v>42</v>
      </c>
      <c r="F64" s="2235">
        <v>553</v>
      </c>
      <c r="G64" s="1545">
        <f t="shared" si="0"/>
        <v>23226</v>
      </c>
      <c r="H64" s="839">
        <f t="shared" si="1"/>
        <v>150179.316</v>
      </c>
      <c r="I64" s="1992">
        <v>6.466</v>
      </c>
      <c r="J64" s="2062" t="s">
        <v>832</v>
      </c>
      <c r="K64" s="2247"/>
      <c r="L64" s="2248"/>
      <c r="M64" s="2020"/>
      <c r="N64" s="2018"/>
      <c r="O64" s="2019"/>
      <c r="P64" s="2020"/>
      <c r="Q64" s="2020"/>
      <c r="R64" s="2025"/>
      <c r="S64" s="2020"/>
      <c r="T64" s="2020"/>
      <c r="U64" s="2020"/>
      <c r="V64" s="2020"/>
      <c r="W64" s="2020"/>
      <c r="X64" s="2020"/>
      <c r="Y64" s="2020"/>
      <c r="Z64" s="2020"/>
      <c r="AA64" s="2020"/>
      <c r="AB64" s="2020"/>
      <c r="AC64" s="2075"/>
      <c r="AD64" s="1959"/>
      <c r="AE64" s="2020"/>
    </row>
    <row r="65" ht="17.25" spans="1:31">
      <c r="A65" s="2153"/>
      <c r="B65" s="2228"/>
      <c r="C65" s="2254"/>
      <c r="D65" s="2229"/>
      <c r="E65" s="2229"/>
      <c r="F65" s="2236"/>
      <c r="G65" s="1545"/>
      <c r="H65" s="839"/>
      <c r="I65" s="1992"/>
      <c r="J65" s="2056"/>
      <c r="K65" s="2247"/>
      <c r="L65" s="2248"/>
      <c r="M65" s="2020"/>
      <c r="N65" s="2018"/>
      <c r="O65" s="2019"/>
      <c r="P65" s="2020"/>
      <c r="Q65" s="2020"/>
      <c r="R65" s="2025"/>
      <c r="S65" s="2020"/>
      <c r="T65" s="2020"/>
      <c r="U65" s="2020"/>
      <c r="V65" s="2020"/>
      <c r="W65" s="2020"/>
      <c r="X65" s="2020"/>
      <c r="Y65" s="2020"/>
      <c r="Z65" s="2020"/>
      <c r="AA65" s="2020"/>
      <c r="AB65" s="2020"/>
      <c r="AC65" s="2075"/>
      <c r="AD65" s="1959"/>
      <c r="AE65" s="2020"/>
    </row>
    <row r="66" spans="1:31">
      <c r="A66" s="2154"/>
      <c r="B66" s="1426"/>
      <c r="C66" s="1303"/>
      <c r="D66" s="571"/>
      <c r="E66" s="571"/>
      <c r="F66" s="1257"/>
      <c r="G66" s="1327"/>
      <c r="H66" s="1509"/>
      <c r="I66" s="733"/>
      <c r="J66" s="2129"/>
      <c r="K66" s="2249"/>
      <c r="L66" s="2250"/>
      <c r="M66" s="2020"/>
      <c r="N66" s="2018"/>
      <c r="O66" s="2019"/>
      <c r="P66" s="2020"/>
      <c r="Q66" s="2020"/>
      <c r="R66" s="2025"/>
      <c r="S66" s="2020"/>
      <c r="T66" s="2020"/>
      <c r="U66" s="2020"/>
      <c r="V66" s="2020"/>
      <c r="W66" s="2020"/>
      <c r="X66" s="2020"/>
      <c r="Y66" s="2020"/>
      <c r="Z66" s="2020"/>
      <c r="AA66" s="2020"/>
      <c r="AB66" s="2020"/>
      <c r="AC66" s="2075"/>
      <c r="AD66" s="2157"/>
      <c r="AE66" s="2020"/>
    </row>
    <row r="67" customFormat="1" spans="1:31">
      <c r="A67" s="1389" t="s">
        <v>509</v>
      </c>
      <c r="B67" s="1426" t="s">
        <v>274</v>
      </c>
      <c r="C67" s="1903" t="s">
        <v>833</v>
      </c>
      <c r="D67" s="571"/>
      <c r="E67" s="571">
        <v>1</v>
      </c>
      <c r="F67" s="1257"/>
      <c r="G67" s="752">
        <v>3208</v>
      </c>
      <c r="H67" s="1977">
        <f t="shared" ref="H67:H69" si="2">G67*$I$68</f>
        <v>20742.928</v>
      </c>
      <c r="I67" s="1992">
        <v>6.466</v>
      </c>
      <c r="J67" s="707" t="s">
        <v>834</v>
      </c>
      <c r="K67" s="2249"/>
      <c r="L67" s="2250"/>
      <c r="M67" s="2020"/>
      <c r="N67" s="2018"/>
      <c r="O67" s="2019"/>
      <c r="P67" s="2020"/>
      <c r="Q67" s="2020"/>
      <c r="R67" s="2025"/>
      <c r="S67" s="2020"/>
      <c r="T67" s="2020"/>
      <c r="U67" s="2020"/>
      <c r="V67" s="2020"/>
      <c r="W67" s="2020"/>
      <c r="X67" s="2020"/>
      <c r="Y67" s="2020"/>
      <c r="Z67" s="2020"/>
      <c r="AA67" s="2020"/>
      <c r="AB67" s="2020"/>
      <c r="AC67" s="2075"/>
      <c r="AD67" s="2157"/>
      <c r="AE67" s="2020"/>
    </row>
    <row r="68" customFormat="1" spans="1:31">
      <c r="A68" s="1389"/>
      <c r="B68" s="2034" t="s">
        <v>274</v>
      </c>
      <c r="C68" s="1903" t="s">
        <v>835</v>
      </c>
      <c r="D68" s="819"/>
      <c r="E68" s="1976">
        <v>1</v>
      </c>
      <c r="F68" s="2164"/>
      <c r="G68" s="2164">
        <v>73751</v>
      </c>
      <c r="H68" s="1977">
        <f t="shared" si="2"/>
        <v>476873.966</v>
      </c>
      <c r="I68" s="1992">
        <v>6.466</v>
      </c>
      <c r="J68" s="707" t="s">
        <v>836</v>
      </c>
      <c r="K68" s="2109"/>
      <c r="L68" s="2250"/>
      <c r="M68" s="2020"/>
      <c r="N68" s="2018"/>
      <c r="O68" s="2019"/>
      <c r="P68" s="2020"/>
      <c r="Q68" s="2020"/>
      <c r="R68" s="2025"/>
      <c r="S68" s="2020"/>
      <c r="T68" s="2020"/>
      <c r="U68" s="2020"/>
      <c r="V68" s="2020"/>
      <c r="W68" s="2020"/>
      <c r="X68" s="2020"/>
      <c r="Y68" s="2020"/>
      <c r="Z68" s="2020"/>
      <c r="AA68" s="2020"/>
      <c r="AB68" s="2020"/>
      <c r="AC68" s="2075"/>
      <c r="AD68" s="2157"/>
      <c r="AE68" s="2020"/>
    </row>
    <row r="69" customFormat="1" spans="1:31">
      <c r="A69" s="1389"/>
      <c r="B69" s="2034" t="s">
        <v>133</v>
      </c>
      <c r="C69" s="1883" t="s">
        <v>837</v>
      </c>
      <c r="D69" s="614" t="s">
        <v>744</v>
      </c>
      <c r="E69" s="1050">
        <v>90</v>
      </c>
      <c r="F69" s="1176">
        <v>353</v>
      </c>
      <c r="G69" s="1176">
        <f>F69*E69</f>
        <v>31770</v>
      </c>
      <c r="H69" s="1977">
        <f t="shared" si="2"/>
        <v>205424.82</v>
      </c>
      <c r="I69" s="1992">
        <v>6.466</v>
      </c>
      <c r="J69" s="645" t="s">
        <v>838</v>
      </c>
      <c r="K69" s="2249"/>
      <c r="L69" s="2250"/>
      <c r="M69" s="2020"/>
      <c r="N69" s="2018"/>
      <c r="O69" s="2019"/>
      <c r="P69" s="2020"/>
      <c r="Q69" s="2020"/>
      <c r="R69" s="2025"/>
      <c r="S69" s="2020"/>
      <c r="T69" s="2020"/>
      <c r="U69" s="2020"/>
      <c r="V69" s="2020"/>
      <c r="W69" s="2020"/>
      <c r="X69" s="2020"/>
      <c r="Y69" s="2020"/>
      <c r="Z69" s="2020"/>
      <c r="AA69" s="2020"/>
      <c r="AB69" s="2020"/>
      <c r="AC69" s="2075"/>
      <c r="AD69" s="2157"/>
      <c r="AE69" s="2020"/>
    </row>
    <row r="70" spans="1:31">
      <c r="A70" s="2035"/>
      <c r="B70" s="2036"/>
      <c r="C70" s="1303"/>
      <c r="D70" s="2038"/>
      <c r="E70" s="2043"/>
      <c r="F70" s="2044"/>
      <c r="G70" s="2046"/>
      <c r="H70" s="2047"/>
      <c r="I70" s="2055"/>
      <c r="J70" s="2062"/>
      <c r="K70" s="2064"/>
      <c r="L70" s="2065"/>
      <c r="M70" s="2020"/>
      <c r="N70" s="2071"/>
      <c r="O70" s="2019"/>
      <c r="P70" s="2020"/>
      <c r="Q70" s="2020"/>
      <c r="R70" s="2073"/>
      <c r="S70" s="2020"/>
      <c r="T70" s="2020"/>
      <c r="U70" s="2020"/>
      <c r="V70" s="2020"/>
      <c r="W70" s="2020"/>
      <c r="X70" s="2020"/>
      <c r="Y70" s="2020"/>
      <c r="Z70" s="2020"/>
      <c r="AA70" s="2020"/>
      <c r="AB70" s="2020"/>
      <c r="AC70" s="2075"/>
      <c r="AD70" s="1959"/>
      <c r="AE70" s="2020"/>
    </row>
    <row r="71" spans="1:31">
      <c r="A71" s="2035"/>
      <c r="B71" s="2036"/>
      <c r="C71" s="1303"/>
      <c r="D71" s="2038"/>
      <c r="E71" s="2043"/>
      <c r="F71" s="2044"/>
      <c r="G71" s="2046"/>
      <c r="H71" s="2047"/>
      <c r="I71" s="2055"/>
      <c r="J71" s="2062"/>
      <c r="K71" s="2064"/>
      <c r="L71" s="2065"/>
      <c r="M71" s="2020"/>
      <c r="N71" s="2071"/>
      <c r="O71" s="2019"/>
      <c r="P71" s="2020"/>
      <c r="Q71" s="2020"/>
      <c r="R71" s="2073"/>
      <c r="S71" s="2020"/>
      <c r="T71" s="2020"/>
      <c r="U71" s="2020"/>
      <c r="V71" s="2020"/>
      <c r="W71" s="2020"/>
      <c r="X71" s="2020"/>
      <c r="Y71" s="2020"/>
      <c r="Z71" s="2020"/>
      <c r="AA71" s="2020"/>
      <c r="AB71" s="2020"/>
      <c r="AC71" s="2075"/>
      <c r="AD71" s="1959"/>
      <c r="AE71" s="2020"/>
    </row>
    <row r="72" customHeight="1" spans="1:31">
      <c r="A72" s="2039" t="s">
        <v>67</v>
      </c>
      <c r="B72" s="2039"/>
      <c r="C72" s="2040"/>
      <c r="D72" s="2040"/>
      <c r="E72" s="2048"/>
      <c r="F72" s="2049"/>
      <c r="G72" s="2049"/>
      <c r="H72" s="2050">
        <f>SUM(H43:H71)</f>
        <v>4125773.552</v>
      </c>
      <c r="I72" s="2066"/>
      <c r="J72" s="2050">
        <v>0</v>
      </c>
      <c r="K72" s="2067">
        <v>0</v>
      </c>
      <c r="L72" s="2068">
        <v>0</v>
      </c>
      <c r="M72" s="474"/>
      <c r="N72" s="474"/>
      <c r="O72" s="2072"/>
      <c r="P72" s="2011"/>
      <c r="Q72" s="2011"/>
      <c r="R72" s="2074"/>
      <c r="S72" s="2011"/>
      <c r="T72" s="2011"/>
      <c r="U72" s="2011"/>
      <c r="V72" s="2011"/>
      <c r="W72" s="2011"/>
      <c r="X72" s="2011"/>
      <c r="Y72" s="2011"/>
      <c r="Z72" s="2011"/>
      <c r="AA72" s="2011"/>
      <c r="AB72" s="2011"/>
      <c r="AC72" s="2039"/>
      <c r="AD72" s="2077" t="s">
        <v>325</v>
      </c>
      <c r="AE72" s="2077"/>
    </row>
    <row r="73" spans="1:31">
      <c r="A73" s="2001"/>
      <c r="B73" s="2001"/>
      <c r="C73" s="2001"/>
      <c r="D73" s="2001"/>
      <c r="E73" s="2051"/>
      <c r="F73" s="2001"/>
      <c r="G73" s="2001"/>
      <c r="H73" s="2052"/>
      <c r="I73" s="2001"/>
      <c r="J73" s="2001"/>
      <c r="K73" s="2001"/>
      <c r="L73" s="2001"/>
      <c r="M73" s="2001"/>
      <c r="N73" s="2001"/>
      <c r="O73" s="2002"/>
      <c r="P73" s="2001"/>
      <c r="Q73" s="2001"/>
      <c r="R73" s="2001"/>
      <c r="S73" s="2001"/>
      <c r="T73" s="2001"/>
      <c r="U73" s="2001"/>
      <c r="V73" s="2001"/>
      <c r="W73" s="2001"/>
      <c r="X73" s="2001"/>
      <c r="Y73" s="2001"/>
      <c r="Z73" s="2001"/>
      <c r="AA73" s="2001"/>
      <c r="AB73" s="2001"/>
      <c r="AC73" s="2001"/>
      <c r="AD73" s="2001"/>
      <c r="AE73" s="2001"/>
    </row>
    <row r="74" spans="1:31">
      <c r="A74" s="2001"/>
      <c r="B74" s="2001"/>
      <c r="C74" s="2001"/>
      <c r="D74" s="2001"/>
      <c r="E74" s="2051"/>
      <c r="F74" s="2001"/>
      <c r="G74" s="2001"/>
      <c r="H74" s="2052"/>
      <c r="I74" s="2001"/>
      <c r="J74" s="2001"/>
      <c r="K74" s="2001"/>
      <c r="L74" s="2001"/>
      <c r="M74" s="2001"/>
      <c r="N74" s="2001"/>
      <c r="O74" s="2002"/>
      <c r="P74" s="2001"/>
      <c r="Q74" s="2001"/>
      <c r="R74" s="2001"/>
      <c r="S74" s="2001"/>
      <c r="T74" s="2001"/>
      <c r="U74" s="2001"/>
      <c r="V74" s="2001"/>
      <c r="W74" s="2001"/>
      <c r="X74" s="2001"/>
      <c r="Y74" s="2001"/>
      <c r="Z74" s="2001"/>
      <c r="AA74" s="2001"/>
      <c r="AB74" s="2001"/>
      <c r="AC74" s="2001"/>
      <c r="AD74" s="2001"/>
      <c r="AE74" s="2001"/>
    </row>
    <row r="75" spans="1:31">
      <c r="A75" s="2001"/>
      <c r="B75" s="2001"/>
      <c r="C75" s="2001" t="s">
        <v>139</v>
      </c>
      <c r="D75" s="2001" t="s">
        <v>140</v>
      </c>
      <c r="E75" s="2051"/>
      <c r="F75" s="2001" t="s">
        <v>141</v>
      </c>
      <c r="G75" s="2001"/>
      <c r="H75" s="2052">
        <f>H19+H42+H72</f>
        <v>12699390.7859</v>
      </c>
      <c r="I75" s="2001"/>
      <c r="J75" s="2001" t="s">
        <v>579</v>
      </c>
      <c r="K75" s="2069">
        <f>H19</f>
        <v>4219522</v>
      </c>
      <c r="L75" s="2001"/>
      <c r="M75" s="2069"/>
      <c r="N75" s="2001"/>
      <c r="O75" s="2002"/>
      <c r="P75" s="2001"/>
      <c r="Q75" s="2001"/>
      <c r="R75" s="2001"/>
      <c r="S75" s="2001"/>
      <c r="T75" s="2001"/>
      <c r="U75" s="2001"/>
      <c r="V75" s="2001"/>
      <c r="W75" s="2001"/>
      <c r="X75" s="2001"/>
      <c r="Y75" s="2001"/>
      <c r="Z75" s="2001"/>
      <c r="AA75" s="2001"/>
      <c r="AB75" s="2001"/>
      <c r="AC75" s="2001"/>
      <c r="AD75" s="2001"/>
      <c r="AE75" s="2001"/>
    </row>
    <row r="76" spans="1:31">
      <c r="A76" s="2001"/>
      <c r="B76" s="2001"/>
      <c r="C76" s="2001"/>
      <c r="D76" s="2001"/>
      <c r="E76" s="2051"/>
      <c r="F76" s="2001"/>
      <c r="G76" s="2001"/>
      <c r="H76" s="2052"/>
      <c r="I76" s="2001"/>
      <c r="J76" s="2001" t="s">
        <v>580</v>
      </c>
      <c r="K76" s="2069">
        <f>H42</f>
        <v>4354095.2339</v>
      </c>
      <c r="L76" s="2001"/>
      <c r="M76" s="2069"/>
      <c r="N76" s="2001"/>
      <c r="O76" s="2002"/>
      <c r="P76" s="2001"/>
      <c r="Q76" s="2001"/>
      <c r="R76" s="2001"/>
      <c r="S76" s="2001"/>
      <c r="T76" s="2001"/>
      <c r="U76" s="2001"/>
      <c r="V76" s="2001"/>
      <c r="W76" s="2001"/>
      <c r="X76" s="2001"/>
      <c r="Y76" s="2001"/>
      <c r="Z76" s="2001"/>
      <c r="AA76" s="2001"/>
      <c r="AB76" s="2001"/>
      <c r="AC76" s="2001"/>
      <c r="AD76" s="2001"/>
      <c r="AE76" s="2001"/>
    </row>
    <row r="77" spans="1:31">
      <c r="A77" s="2001"/>
      <c r="B77" s="2001"/>
      <c r="C77" s="2001"/>
      <c r="D77" s="2001"/>
      <c r="E77" s="2051"/>
      <c r="F77" s="2001"/>
      <c r="G77" s="2001"/>
      <c r="H77" s="2052"/>
      <c r="I77" s="2001"/>
      <c r="J77" s="2001" t="s">
        <v>581</v>
      </c>
      <c r="K77" s="2069">
        <f>H72</f>
        <v>4125773.552</v>
      </c>
      <c r="L77" s="2001"/>
      <c r="M77" s="2069"/>
      <c r="N77" s="2001"/>
      <c r="O77" s="2002"/>
      <c r="P77" s="2001"/>
      <c r="Q77" s="2001"/>
      <c r="R77" s="2001"/>
      <c r="S77" s="2001"/>
      <c r="T77" s="2001"/>
      <c r="U77" s="2001"/>
      <c r="V77" s="2001"/>
      <c r="W77" s="2001"/>
      <c r="X77" s="2001"/>
      <c r="Y77" s="2001"/>
      <c r="Z77" s="2001"/>
      <c r="AA77" s="2001"/>
      <c r="AB77" s="2001"/>
      <c r="AC77" s="2001"/>
      <c r="AD77" s="2001"/>
      <c r="AE77" s="2001"/>
    </row>
    <row r="78" spans="1:31">
      <c r="A78" s="2001"/>
      <c r="B78" s="2001"/>
      <c r="C78" s="2001"/>
      <c r="D78" s="2001"/>
      <c r="E78" s="2051"/>
      <c r="F78" s="2001"/>
      <c r="G78" s="2001"/>
      <c r="H78" s="2052"/>
      <c r="I78" s="2001"/>
      <c r="J78" s="2001"/>
      <c r="K78" s="2069">
        <f>SUM(K75:K77)</f>
        <v>12699390.7859</v>
      </c>
      <c r="L78" s="2001"/>
      <c r="M78" s="2069"/>
      <c r="N78" s="2001"/>
      <c r="O78" s="2002"/>
      <c r="P78" s="2001"/>
      <c r="Q78" s="2001"/>
      <c r="R78" s="2001"/>
      <c r="S78" s="2001"/>
      <c r="T78" s="2001"/>
      <c r="U78" s="2001"/>
      <c r="V78" s="2001"/>
      <c r="W78" s="2001"/>
      <c r="X78" s="2001"/>
      <c r="Y78" s="2001"/>
      <c r="Z78" s="2001"/>
      <c r="AA78" s="2001"/>
      <c r="AB78" s="2001"/>
      <c r="AC78" s="2001"/>
      <c r="AD78" s="2001"/>
      <c r="AE78" s="2001"/>
    </row>
    <row r="79" spans="1:31">
      <c r="A79" s="2001"/>
      <c r="B79" s="2001"/>
      <c r="C79" s="2001"/>
      <c r="D79" s="2001"/>
      <c r="E79" s="2051"/>
      <c r="F79" s="2001"/>
      <c r="G79" s="2001"/>
      <c r="H79" s="2052"/>
      <c r="I79" s="2001"/>
      <c r="J79" s="2001"/>
      <c r="K79" s="2069"/>
      <c r="L79" s="2001"/>
      <c r="M79" s="2069"/>
      <c r="N79" s="2001"/>
      <c r="O79" s="2002"/>
      <c r="P79" s="2001"/>
      <c r="Q79" s="2001"/>
      <c r="R79" s="2001"/>
      <c r="S79" s="2001"/>
      <c r="T79" s="2001"/>
      <c r="U79" s="2001"/>
      <c r="V79" s="2001"/>
      <c r="W79" s="2001"/>
      <c r="X79" s="2001"/>
      <c r="Y79" s="2001"/>
      <c r="Z79" s="2001"/>
      <c r="AA79" s="2001"/>
      <c r="AB79" s="2001"/>
      <c r="AC79" s="2001"/>
      <c r="AD79" s="2001"/>
      <c r="AE79" s="2001"/>
    </row>
    <row r="80" spans="1:31">
      <c r="A80" s="2041"/>
      <c r="B80" s="2041"/>
      <c r="C80" s="2041"/>
      <c r="D80" s="2041"/>
      <c r="E80" s="2051"/>
      <c r="F80" s="2041"/>
      <c r="G80" s="2041"/>
      <c r="H80" s="2052"/>
      <c r="I80" s="2041"/>
      <c r="J80" s="2041"/>
      <c r="K80" s="2041"/>
      <c r="L80" s="2041"/>
      <c r="M80" s="2069"/>
      <c r="N80" s="2041"/>
      <c r="O80" s="2002"/>
      <c r="P80" s="2041"/>
      <c r="Q80" s="2041"/>
      <c r="R80" s="2041"/>
      <c r="S80" s="2041"/>
      <c r="T80" s="2041"/>
      <c r="U80" s="2041"/>
      <c r="V80" s="2041"/>
      <c r="W80" s="2041"/>
      <c r="X80" s="2041"/>
      <c r="Y80" s="2041"/>
      <c r="Z80" s="2041"/>
      <c r="AA80" s="2041"/>
      <c r="AB80" s="2041"/>
      <c r="AC80" s="2041"/>
      <c r="AD80" s="2041"/>
      <c r="AE80" s="2041"/>
    </row>
    <row r="81" spans="1:31">
      <c r="A81" s="2041"/>
      <c r="B81" s="2041"/>
      <c r="C81" s="2041"/>
      <c r="D81" s="2041"/>
      <c r="E81" s="2051"/>
      <c r="F81" s="2041"/>
      <c r="G81" s="2041"/>
      <c r="H81" s="2052"/>
      <c r="I81" s="2041"/>
      <c r="J81" s="2041"/>
      <c r="K81" s="2041"/>
      <c r="L81" s="2041"/>
      <c r="M81" s="2041"/>
      <c r="N81" s="2041"/>
      <c r="O81" s="2002"/>
      <c r="P81" s="2041"/>
      <c r="Q81" s="2041"/>
      <c r="R81" s="2041"/>
      <c r="S81" s="2041"/>
      <c r="T81" s="2041"/>
      <c r="U81" s="2041"/>
      <c r="V81" s="2041"/>
      <c r="W81" s="2041"/>
      <c r="X81" s="2041"/>
      <c r="Y81" s="2041"/>
      <c r="Z81" s="2041"/>
      <c r="AA81" s="2041"/>
      <c r="AB81" s="2041"/>
      <c r="AC81" s="2041"/>
      <c r="AD81" s="2041"/>
      <c r="AE81" s="2041"/>
    </row>
    <row r="82" spans="1:31">
      <c r="A82" s="2041"/>
      <c r="B82" s="2041"/>
      <c r="C82" s="2041"/>
      <c r="D82" s="2041"/>
      <c r="E82" s="2051"/>
      <c r="F82" s="2041"/>
      <c r="G82" s="2041"/>
      <c r="H82" s="2052"/>
      <c r="I82" s="2041"/>
      <c r="J82" s="2041"/>
      <c r="K82" s="2041"/>
      <c r="L82" s="2041"/>
      <c r="M82" s="2041"/>
      <c r="N82" s="2041"/>
      <c r="O82" s="2002"/>
      <c r="P82" s="2041"/>
      <c r="Q82" s="2041"/>
      <c r="R82" s="2041"/>
      <c r="S82" s="2041"/>
      <c r="T82" s="2041"/>
      <c r="U82" s="2041"/>
      <c r="V82" s="2041"/>
      <c r="W82" s="2041"/>
      <c r="X82" s="2041"/>
      <c r="Y82" s="2041"/>
      <c r="Z82" s="2041"/>
      <c r="AA82" s="2041"/>
      <c r="AB82" s="2041"/>
      <c r="AC82" s="2041"/>
      <c r="AD82" s="2041"/>
      <c r="AE82" s="2041"/>
    </row>
  </sheetData>
  <sheetProtection formatCells="0" insertHyperlinks="0" autoFilter="0"/>
  <mergeCells count="16">
    <mergeCell ref="A1:M1"/>
    <mergeCell ref="A19:B19"/>
    <mergeCell ref="C19:D19"/>
    <mergeCell ref="A42:B42"/>
    <mergeCell ref="C42:D42"/>
    <mergeCell ref="A72:B72"/>
    <mergeCell ref="C72:D72"/>
    <mergeCell ref="A3:A8"/>
    <mergeCell ref="A9:A12"/>
    <mergeCell ref="A13:A18"/>
    <mergeCell ref="A20:A25"/>
    <mergeCell ref="A26:A33"/>
    <mergeCell ref="A34:A41"/>
    <mergeCell ref="A43:A52"/>
    <mergeCell ref="A54:A65"/>
    <mergeCell ref="A67:A6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AE66"/>
  <sheetViews>
    <sheetView zoomScale="70" zoomScaleNormal="70" workbookViewId="0">
      <selection activeCell="C47" sqref="C47"/>
    </sheetView>
  </sheetViews>
  <sheetFormatPr defaultColWidth="9" defaultRowHeight="16.5"/>
  <cols>
    <col min="1" max="1" width="13.4416666666667" customWidth="1"/>
    <col min="2" max="2" width="20.41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9.375"/>
    <col min="10" max="10" width="21.875" customWidth="1"/>
    <col min="11" max="11" width="17.3583333333333" customWidth="1"/>
    <col min="12" max="12" width="14.875"/>
    <col min="13" max="13" width="14.025" customWidth="1"/>
    <col min="14" max="14" width="18.1916666666667" customWidth="1"/>
    <col min="15" max="15" width="43.7583333333333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839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1397" t="s">
        <v>143</v>
      </c>
      <c r="C3" s="2020"/>
      <c r="D3" s="2190"/>
      <c r="E3" s="2195"/>
      <c r="F3" s="2020"/>
      <c r="G3" s="2020"/>
      <c r="H3" s="1396">
        <v>1000000</v>
      </c>
      <c r="I3" s="2198"/>
      <c r="J3" s="73"/>
      <c r="K3" s="2097"/>
      <c r="L3" s="2199"/>
      <c r="M3" s="2020"/>
      <c r="N3" s="2020"/>
      <c r="O3" s="2203"/>
      <c r="P3" s="2020"/>
      <c r="Q3" s="2020"/>
      <c r="R3" s="1399"/>
      <c r="S3" s="2020"/>
      <c r="T3" s="2020"/>
      <c r="U3" s="2020"/>
      <c r="V3" s="2020"/>
      <c r="W3" s="2020"/>
      <c r="X3" s="2020"/>
      <c r="Y3" s="2020"/>
      <c r="Z3" s="2020"/>
      <c r="AA3" s="2020"/>
      <c r="AB3" s="2020"/>
      <c r="AC3" s="2183"/>
      <c r="AD3" s="2184"/>
      <c r="AE3" s="2020"/>
    </row>
    <row r="4" customFormat="1" spans="1:31">
      <c r="A4" s="1941"/>
      <c r="B4" s="2191" t="s">
        <v>840</v>
      </c>
      <c r="C4" s="2020"/>
      <c r="D4" s="2190"/>
      <c r="E4" s="2195"/>
      <c r="F4" s="2020"/>
      <c r="G4" s="2020"/>
      <c r="H4" s="1396">
        <v>300000</v>
      </c>
      <c r="I4" s="2198"/>
      <c r="J4" s="73"/>
      <c r="K4" s="2097"/>
      <c r="L4" s="2199"/>
      <c r="M4" s="2020"/>
      <c r="N4" s="2020"/>
      <c r="O4" s="2203"/>
      <c r="P4" s="2020"/>
      <c r="Q4" s="2020"/>
      <c r="R4" s="1399"/>
      <c r="S4" s="2020"/>
      <c r="T4" s="2020"/>
      <c r="U4" s="2020"/>
      <c r="V4" s="2020"/>
      <c r="W4" s="2020"/>
      <c r="X4" s="2020"/>
      <c r="Y4" s="2020"/>
      <c r="Z4" s="2020"/>
      <c r="AA4" s="2020"/>
      <c r="AB4" s="2020"/>
      <c r="AC4" s="2183"/>
      <c r="AD4" s="2184"/>
      <c r="AE4" s="2020"/>
    </row>
    <row r="5" customFormat="1" spans="1:31">
      <c r="A5" s="1941"/>
      <c r="B5" s="2191" t="s">
        <v>201</v>
      </c>
      <c r="C5" s="2020"/>
      <c r="D5" s="2190"/>
      <c r="E5" s="2195"/>
      <c r="F5" s="2020"/>
      <c r="G5" s="2020"/>
      <c r="H5" s="1396">
        <v>360000</v>
      </c>
      <c r="I5" s="2198"/>
      <c r="J5" s="73"/>
      <c r="K5" s="2097"/>
      <c r="L5" s="2199"/>
      <c r="M5" s="2020"/>
      <c r="N5" s="2020"/>
      <c r="O5" s="2203"/>
      <c r="P5" s="2020"/>
      <c r="Q5" s="2020"/>
      <c r="R5" s="1399"/>
      <c r="S5" s="2020"/>
      <c r="T5" s="2020"/>
      <c r="U5" s="2020"/>
      <c r="V5" s="2020"/>
      <c r="W5" s="2020"/>
      <c r="X5" s="2020"/>
      <c r="Y5" s="2020"/>
      <c r="Z5" s="2020"/>
      <c r="AA5" s="2020"/>
      <c r="AB5" s="2020"/>
      <c r="AC5" s="2183"/>
      <c r="AD5" s="2184"/>
      <c r="AE5" s="2020"/>
    </row>
    <row r="6" customFormat="1" customHeight="1" spans="1:31">
      <c r="A6" s="2192" t="s">
        <v>209</v>
      </c>
      <c r="B6" s="561" t="s">
        <v>841</v>
      </c>
      <c r="C6" s="2020" t="s">
        <v>842</v>
      </c>
      <c r="D6" s="764"/>
      <c r="E6" s="764"/>
      <c r="F6" s="764"/>
      <c r="G6" s="2020"/>
      <c r="H6" s="1340">
        <v>800000</v>
      </c>
      <c r="I6" s="764"/>
      <c r="J6" s="72"/>
      <c r="K6" s="2200"/>
      <c r="L6" s="2199"/>
      <c r="M6" s="2020"/>
      <c r="N6" s="2020"/>
      <c r="P6" s="2020"/>
      <c r="Q6" s="2020"/>
      <c r="R6" s="2182"/>
      <c r="S6" s="2020"/>
      <c r="T6" s="2020"/>
      <c r="U6" s="2020"/>
      <c r="V6" s="2020"/>
      <c r="W6" s="2020"/>
      <c r="X6" s="2020"/>
      <c r="Y6" s="2020"/>
      <c r="Z6" s="2020"/>
      <c r="AA6" s="2020"/>
      <c r="AB6" s="2020"/>
      <c r="AC6" s="2183"/>
      <c r="AD6" s="2184"/>
      <c r="AE6" s="2020"/>
    </row>
    <row r="7" customFormat="1" customHeight="1" spans="1:31">
      <c r="A7" s="1941"/>
      <c r="B7" s="561" t="s">
        <v>284</v>
      </c>
      <c r="C7" s="1789"/>
      <c r="D7" s="2161" t="s">
        <v>843</v>
      </c>
      <c r="E7" s="1384"/>
      <c r="F7" s="1397"/>
      <c r="G7" s="2020"/>
      <c r="H7" s="1340">
        <v>200000</v>
      </c>
      <c r="I7" s="1993"/>
      <c r="J7" s="72"/>
      <c r="K7" s="2200"/>
      <c r="L7" s="2199"/>
      <c r="M7" s="2020"/>
      <c r="N7" s="2020"/>
      <c r="O7" s="2203"/>
      <c r="P7" s="2020"/>
      <c r="Q7" s="2020"/>
      <c r="R7" s="2182"/>
      <c r="S7" s="2020"/>
      <c r="T7" s="2020"/>
      <c r="U7" s="2020"/>
      <c r="V7" s="2020"/>
      <c r="W7" s="2020"/>
      <c r="X7" s="2020"/>
      <c r="Y7" s="2020"/>
      <c r="Z7" s="2020"/>
      <c r="AA7" s="2020"/>
      <c r="AB7" s="2020"/>
      <c r="AC7" s="2183"/>
      <c r="AD7" s="2184"/>
      <c r="AE7" s="2020"/>
    </row>
    <row r="8" customFormat="1" customHeight="1" spans="1:31">
      <c r="A8" s="1941"/>
      <c r="B8" s="561" t="s">
        <v>844</v>
      </c>
      <c r="C8" s="2020" t="s">
        <v>50</v>
      </c>
      <c r="D8" s="2161"/>
      <c r="E8" s="1384"/>
      <c r="F8" s="1397"/>
      <c r="G8" s="2020"/>
      <c r="H8" s="1340">
        <v>200000</v>
      </c>
      <c r="I8" s="1993"/>
      <c r="J8" s="72"/>
      <c r="K8" s="2200"/>
      <c r="L8" s="2199"/>
      <c r="M8" s="2020"/>
      <c r="N8" s="2020"/>
      <c r="O8" s="2203"/>
      <c r="P8" s="2020"/>
      <c r="Q8" s="2020"/>
      <c r="R8" s="2182"/>
      <c r="S8" s="2020"/>
      <c r="T8" s="2020"/>
      <c r="U8" s="2020"/>
      <c r="V8" s="2020"/>
      <c r="W8" s="2020"/>
      <c r="X8" s="2020"/>
      <c r="Y8" s="2020"/>
      <c r="Z8" s="2020"/>
      <c r="AA8" s="2020"/>
      <c r="AB8" s="2020"/>
      <c r="AC8" s="2183"/>
      <c r="AD8" s="2184"/>
      <c r="AE8" s="2020"/>
    </row>
    <row r="9" s="23" customFormat="1" customHeight="1" spans="1:31">
      <c r="A9" s="2123"/>
      <c r="B9" s="677" t="s">
        <v>527</v>
      </c>
      <c r="C9" s="1946"/>
      <c r="D9" s="2088"/>
      <c r="E9" s="1967"/>
      <c r="F9" s="1946"/>
      <c r="G9" s="1946"/>
      <c r="H9" s="1966">
        <v>150000</v>
      </c>
      <c r="I9" s="2104"/>
      <c r="J9" s="1984"/>
      <c r="K9" s="1966"/>
      <c r="L9" s="1985"/>
      <c r="M9" s="1946"/>
      <c r="N9" s="1946"/>
      <c r="O9" s="2110"/>
      <c r="P9" s="1946"/>
      <c r="Q9" s="1946"/>
      <c r="R9" s="2022"/>
      <c r="S9" s="1946"/>
      <c r="T9" s="1946"/>
      <c r="U9" s="1946"/>
      <c r="V9" s="1946"/>
      <c r="W9" s="1946"/>
      <c r="X9" s="1946"/>
      <c r="Y9" s="1946"/>
      <c r="Z9" s="1946"/>
      <c r="AA9" s="1946"/>
      <c r="AB9" s="1946"/>
      <c r="AC9" s="2028"/>
      <c r="AD9" s="2029"/>
      <c r="AE9" s="1946"/>
    </row>
    <row r="10" s="23" customFormat="1" customHeight="1" spans="1:31">
      <c r="A10" s="2123"/>
      <c r="B10" s="677"/>
      <c r="C10" s="1946"/>
      <c r="D10" s="2088"/>
      <c r="E10" s="1967"/>
      <c r="F10" s="1946"/>
      <c r="G10" s="1946"/>
      <c r="H10" s="1966"/>
      <c r="I10" s="2104"/>
      <c r="J10" s="1984"/>
      <c r="K10" s="1966"/>
      <c r="L10" s="1985"/>
      <c r="M10" s="1946"/>
      <c r="N10" s="1946"/>
      <c r="O10" s="2110"/>
      <c r="P10" s="1946"/>
      <c r="Q10" s="1946"/>
      <c r="R10" s="2022"/>
      <c r="S10" s="1946"/>
      <c r="T10" s="1946"/>
      <c r="U10" s="1946"/>
      <c r="V10" s="1946"/>
      <c r="W10" s="1946"/>
      <c r="X10" s="1946"/>
      <c r="Y10" s="1946"/>
      <c r="Z10" s="1946"/>
      <c r="AA10" s="1946"/>
      <c r="AB10" s="1946"/>
      <c r="AC10" s="2028"/>
      <c r="AD10" s="2029"/>
      <c r="AE10" s="1946"/>
    </row>
    <row r="11" customFormat="1" customHeight="1" spans="1:31">
      <c r="A11" s="1950" t="s">
        <v>343</v>
      </c>
      <c r="B11" s="1950"/>
      <c r="C11" s="1951"/>
      <c r="D11" s="1951"/>
      <c r="E11" s="1968"/>
      <c r="F11" s="1969"/>
      <c r="G11" s="1970"/>
      <c r="H11" s="1971">
        <f>SUM(H3:H10)</f>
        <v>3010000</v>
      </c>
      <c r="I11" s="1989"/>
      <c r="J11" s="1990">
        <v>0</v>
      </c>
      <c r="K11" s="1991">
        <v>0</v>
      </c>
      <c r="L11" s="1991">
        <v>0</v>
      </c>
      <c r="M11" s="2009"/>
      <c r="N11" s="2009"/>
      <c r="O11" s="2010"/>
      <c r="P11" s="2011"/>
      <c r="Q11" s="2011"/>
      <c r="R11" s="40"/>
      <c r="S11" s="2011"/>
      <c r="T11" s="2011"/>
      <c r="U11" s="2011"/>
      <c r="V11" s="2011"/>
      <c r="W11" s="2011"/>
      <c r="X11" s="2011"/>
      <c r="Y11" s="2011"/>
      <c r="Z11" s="2011"/>
      <c r="AA11" s="2011"/>
      <c r="AB11" s="2011"/>
      <c r="AC11" s="2030"/>
      <c r="AD11" s="1956" t="s">
        <v>285</v>
      </c>
      <c r="AE11" s="1956"/>
    </row>
    <row r="12" s="418" customFormat="1" ht="22.85" customHeight="1" spans="1:31">
      <c r="A12" s="666" t="s">
        <v>331</v>
      </c>
      <c r="B12" s="1580" t="s">
        <v>165</v>
      </c>
      <c r="C12" s="2023" t="s">
        <v>845</v>
      </c>
      <c r="D12" s="1953"/>
      <c r="E12" s="41"/>
      <c r="F12" s="99"/>
      <c r="G12" s="99"/>
      <c r="H12" s="1972">
        <v>250000</v>
      </c>
      <c r="I12" s="1953"/>
      <c r="J12" s="1993"/>
      <c r="K12" s="380"/>
      <c r="L12" s="1972"/>
      <c r="M12" s="2012"/>
      <c r="N12" s="2012"/>
      <c r="O12" s="2013"/>
      <c r="P12" s="44"/>
      <c r="Q12" s="153"/>
      <c r="R12" s="40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664"/>
      <c r="AD12" s="40"/>
      <c r="AE12" s="40"/>
    </row>
    <row r="13" s="418" customFormat="1" ht="22.85" customHeight="1" spans="1:31">
      <c r="A13" s="556"/>
      <c r="B13" s="1580" t="s">
        <v>165</v>
      </c>
      <c r="C13" s="2023" t="s">
        <v>846</v>
      </c>
      <c r="D13" s="1953"/>
      <c r="E13" s="41"/>
      <c r="F13" s="99"/>
      <c r="G13" s="99"/>
      <c r="H13" s="1972">
        <v>200000</v>
      </c>
      <c r="I13" s="1953"/>
      <c r="J13" s="1993"/>
      <c r="K13" s="380"/>
      <c r="L13" s="1972"/>
      <c r="M13" s="2012"/>
      <c r="N13" s="2012"/>
      <c r="O13" s="2013"/>
      <c r="P13" s="44"/>
      <c r="Q13" s="153"/>
      <c r="R13" s="40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664"/>
      <c r="AD13" s="40"/>
      <c r="AE13" s="40"/>
    </row>
    <row r="14" s="418" customFormat="1" ht="22.85" customHeight="1" spans="1:31">
      <c r="A14" s="556"/>
      <c r="B14" s="1580" t="s">
        <v>165</v>
      </c>
      <c r="C14" s="2023" t="s">
        <v>847</v>
      </c>
      <c r="D14" s="1953"/>
      <c r="E14" s="1953"/>
      <c r="F14" s="1953"/>
      <c r="G14" s="1953"/>
      <c r="H14" s="1972">
        <v>200000</v>
      </c>
      <c r="I14" s="1981"/>
      <c r="J14" s="1954"/>
      <c r="K14" s="1972"/>
      <c r="L14" s="1972"/>
      <c r="M14" s="2012"/>
      <c r="N14" s="2012"/>
      <c r="O14" s="2013"/>
      <c r="P14" s="44"/>
      <c r="Q14" s="153"/>
      <c r="R14" s="40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664"/>
      <c r="AD14" s="40"/>
      <c r="AE14" s="40"/>
    </row>
    <row r="15" s="418" customFormat="1" ht="22.85" customHeight="1" spans="1:31">
      <c r="A15" s="556"/>
      <c r="B15" s="1580" t="s">
        <v>165</v>
      </c>
      <c r="C15" s="2023" t="s">
        <v>848</v>
      </c>
      <c r="D15" s="1953"/>
      <c r="E15" s="1953"/>
      <c r="F15" s="1953"/>
      <c r="G15" s="1953"/>
      <c r="H15" s="1972">
        <v>200000</v>
      </c>
      <c r="I15" s="1981"/>
      <c r="J15" s="1954"/>
      <c r="K15" s="1972"/>
      <c r="L15" s="1972"/>
      <c r="M15" s="2012"/>
      <c r="N15" s="2012"/>
      <c r="O15" s="2013"/>
      <c r="P15" s="44"/>
      <c r="Q15" s="153"/>
      <c r="R15" s="40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664"/>
      <c r="AD15" s="40"/>
      <c r="AE15" s="40"/>
    </row>
    <row r="16" s="418" customFormat="1" ht="22.85" customHeight="1" spans="1:31">
      <c r="A16" s="556"/>
      <c r="B16" s="1580" t="s">
        <v>167</v>
      </c>
      <c r="C16" s="2023"/>
      <c r="D16" s="1953"/>
      <c r="E16" s="1953"/>
      <c r="F16" s="1953"/>
      <c r="G16" s="1953"/>
      <c r="H16" s="1972">
        <v>200000</v>
      </c>
      <c r="I16" s="1981"/>
      <c r="J16" s="1954"/>
      <c r="K16" s="1972"/>
      <c r="L16" s="1972"/>
      <c r="M16" s="2012"/>
      <c r="N16" s="2012"/>
      <c r="O16" s="2013"/>
      <c r="P16" s="44"/>
      <c r="Q16" s="153"/>
      <c r="R16" s="40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664"/>
      <c r="AD16" s="40"/>
      <c r="AE16" s="40"/>
    </row>
    <row r="17" s="418" customFormat="1" ht="22.85" customHeight="1" spans="1:31">
      <c r="A17" s="556"/>
      <c r="B17" s="1580" t="s">
        <v>849</v>
      </c>
      <c r="C17" s="1953"/>
      <c r="D17" s="1953"/>
      <c r="E17" s="1953"/>
      <c r="F17" s="1953"/>
      <c r="G17" s="1953"/>
      <c r="H17" s="1972">
        <v>150000</v>
      </c>
      <c r="I17" s="1981"/>
      <c r="J17" s="1954"/>
      <c r="K17" s="1972"/>
      <c r="L17" s="1972"/>
      <c r="M17" s="2012"/>
      <c r="N17" s="2012"/>
      <c r="O17" s="2013"/>
      <c r="P17" s="44"/>
      <c r="Q17" s="153"/>
      <c r="R17" s="40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664"/>
      <c r="AD17" s="40"/>
      <c r="AE17" s="40"/>
    </row>
    <row r="18" s="418" customFormat="1" ht="22.85" customHeight="1" spans="1:31">
      <c r="A18" s="664" t="s">
        <v>245</v>
      </c>
      <c r="B18" s="2173" t="s">
        <v>256</v>
      </c>
      <c r="C18" s="2193"/>
      <c r="D18" s="2194" t="s">
        <v>850</v>
      </c>
      <c r="E18" s="2193"/>
      <c r="F18" s="2193"/>
      <c r="G18" s="2196"/>
      <c r="H18" s="2197">
        <v>452400</v>
      </c>
      <c r="I18" s="2201">
        <v>6.45</v>
      </c>
      <c r="J18" s="2194" t="s">
        <v>851</v>
      </c>
      <c r="K18" s="2197"/>
      <c r="L18" s="2197"/>
      <c r="M18" s="2111"/>
      <c r="N18" s="2012"/>
      <c r="O18" s="2013"/>
      <c r="P18" s="44"/>
      <c r="Q18" s="153"/>
      <c r="R18" s="40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664"/>
      <c r="AD18" s="40"/>
      <c r="AE18" s="40"/>
    </row>
    <row r="19" s="418" customFormat="1" ht="22.85" customHeight="1" spans="1:31">
      <c r="A19" s="664"/>
      <c r="B19" s="2173" t="s">
        <v>852</v>
      </c>
      <c r="C19" s="2193"/>
      <c r="D19" s="2194" t="s">
        <v>540</v>
      </c>
      <c r="E19" s="2193"/>
      <c r="F19" s="2193"/>
      <c r="G19" s="2196"/>
      <c r="H19" s="2197">
        <v>100000</v>
      </c>
      <c r="I19" s="2201">
        <v>6.45</v>
      </c>
      <c r="J19" s="2202" t="s">
        <v>853</v>
      </c>
      <c r="K19" s="2197"/>
      <c r="L19" s="2197"/>
      <c r="M19" s="2111"/>
      <c r="N19" s="2012"/>
      <c r="O19" s="2013"/>
      <c r="P19" s="44"/>
      <c r="Q19" s="153"/>
      <c r="R19" s="40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664"/>
      <c r="AD19" s="40"/>
      <c r="AE19" s="40"/>
    </row>
    <row r="20" s="418" customFormat="1" ht="22.85" customHeight="1" spans="1:31">
      <c r="A20" s="664"/>
      <c r="B20" s="2173" t="s">
        <v>246</v>
      </c>
      <c r="C20" s="2193"/>
      <c r="D20" s="2194" t="s">
        <v>854</v>
      </c>
      <c r="E20" s="2193"/>
      <c r="F20" s="2193"/>
      <c r="G20" s="2196"/>
      <c r="H20" s="2197">
        <v>110000</v>
      </c>
      <c r="I20" s="2201">
        <v>6.45</v>
      </c>
      <c r="J20" s="2194"/>
      <c r="K20" s="2197"/>
      <c r="L20" s="2197"/>
      <c r="M20" s="2111"/>
      <c r="N20" s="2012"/>
      <c r="O20" s="2013"/>
      <c r="P20" s="44"/>
      <c r="Q20" s="153"/>
      <c r="R20" s="40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664"/>
      <c r="AD20" s="40"/>
      <c r="AE20" s="40"/>
    </row>
    <row r="21" s="418" customFormat="1" ht="22.85" customHeight="1" spans="1:31">
      <c r="A21" s="664"/>
      <c r="B21" s="1580" t="s">
        <v>855</v>
      </c>
      <c r="C21" s="2020" t="s">
        <v>50</v>
      </c>
      <c r="D21" s="2125" t="s">
        <v>856</v>
      </c>
      <c r="E21" s="2140"/>
      <c r="F21" s="2140"/>
      <c r="G21" s="1953"/>
      <c r="H21" s="1994">
        <v>300000</v>
      </c>
      <c r="I21" s="2149"/>
      <c r="J21" s="1994"/>
      <c r="K21" s="1994"/>
      <c r="L21" s="1994"/>
      <c r="M21" s="2012"/>
      <c r="N21" s="2012"/>
      <c r="O21" s="2013"/>
      <c r="P21" s="44"/>
      <c r="Q21" s="153"/>
      <c r="R21" s="40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664"/>
      <c r="AD21" s="40"/>
      <c r="AE21" s="40"/>
    </row>
    <row r="22" s="1933" customFormat="1" ht="23.75" customHeight="1" spans="1:31">
      <c r="A22" s="666" t="s">
        <v>224</v>
      </c>
      <c r="B22" s="715" t="s">
        <v>857</v>
      </c>
      <c r="C22" s="1952" t="s">
        <v>858</v>
      </c>
      <c r="D22" s="2125"/>
      <c r="E22" s="68"/>
      <c r="F22" s="68"/>
      <c r="G22" s="226"/>
      <c r="H22" s="380">
        <v>280000</v>
      </c>
      <c r="I22" s="1997"/>
      <c r="J22" s="379"/>
      <c r="K22" s="380"/>
      <c r="L22" s="1996"/>
      <c r="M22" s="364"/>
      <c r="N22" s="2014"/>
      <c r="O22" s="2015" t="s">
        <v>859</v>
      </c>
      <c r="P22" s="40"/>
      <c r="Q22" s="40"/>
      <c r="R22" s="2023"/>
      <c r="S22" s="2024"/>
      <c r="T22" s="40"/>
      <c r="U22" s="40"/>
      <c r="V22" s="40"/>
      <c r="W22" s="40"/>
      <c r="X22" s="40"/>
      <c r="Y22" s="40"/>
      <c r="Z22" s="40"/>
      <c r="AA22" s="40"/>
      <c r="AB22" s="40"/>
      <c r="AC22" s="664"/>
      <c r="AD22" s="185"/>
      <c r="AE22" s="40"/>
    </row>
    <row r="23" s="1933" customFormat="1" ht="23.75" customHeight="1" spans="1:31">
      <c r="A23" s="556"/>
      <c r="B23" s="715" t="s">
        <v>408</v>
      </c>
      <c r="C23" s="1952"/>
      <c r="D23" s="2125" t="s">
        <v>860</v>
      </c>
      <c r="E23" s="68"/>
      <c r="F23" s="68"/>
      <c r="G23" s="380"/>
      <c r="H23" s="380">
        <v>250000</v>
      </c>
      <c r="I23" s="1997"/>
      <c r="J23" s="379"/>
      <c r="K23" s="380"/>
      <c r="L23" s="1996"/>
      <c r="M23" s="2111"/>
      <c r="N23" s="2014"/>
      <c r="O23" s="2015" t="s">
        <v>861</v>
      </c>
      <c r="P23" s="40"/>
      <c r="Q23" s="40"/>
      <c r="R23" s="2023"/>
      <c r="S23" s="2024"/>
      <c r="T23" s="40"/>
      <c r="U23" s="40"/>
      <c r="V23" s="40"/>
      <c r="W23" s="40"/>
      <c r="X23" s="40"/>
      <c r="Y23" s="40"/>
      <c r="Z23" s="40"/>
      <c r="AA23" s="40"/>
      <c r="AB23" s="40"/>
      <c r="AC23" s="664"/>
      <c r="AD23" s="185"/>
      <c r="AE23" s="40"/>
    </row>
    <row r="24" s="1933" customFormat="1" ht="23.75" customHeight="1" spans="1:31">
      <c r="A24" s="556"/>
      <c r="B24" s="715" t="s">
        <v>163</v>
      </c>
      <c r="C24" s="1952" t="s">
        <v>862</v>
      </c>
      <c r="D24" s="2125" t="s">
        <v>863</v>
      </c>
      <c r="E24" s="68"/>
      <c r="F24" s="68"/>
      <c r="G24" s="380"/>
      <c r="H24" s="380">
        <v>230000</v>
      </c>
      <c r="I24" s="1997"/>
      <c r="J24" s="379"/>
      <c r="K24" s="380"/>
      <c r="L24" s="364"/>
      <c r="M24" s="2112"/>
      <c r="N24" s="2014"/>
      <c r="O24" s="2015" t="s">
        <v>864</v>
      </c>
      <c r="P24" s="40"/>
      <c r="Q24" s="40"/>
      <c r="R24" s="2023"/>
      <c r="S24" s="2024"/>
      <c r="T24" s="40"/>
      <c r="U24" s="40"/>
      <c r="V24" s="40"/>
      <c r="W24" s="40"/>
      <c r="X24" s="40"/>
      <c r="Y24" s="40"/>
      <c r="Z24" s="40"/>
      <c r="AA24" s="40"/>
      <c r="AB24" s="40"/>
      <c r="AC24" s="664"/>
      <c r="AD24" s="185"/>
      <c r="AE24" s="40"/>
    </row>
    <row r="25" s="1933" customFormat="1" ht="23.75" customHeight="1" spans="1:31">
      <c r="A25" s="556"/>
      <c r="B25" s="715" t="s">
        <v>400</v>
      </c>
      <c r="C25" s="1952" t="s">
        <v>865</v>
      </c>
      <c r="D25" s="2125"/>
      <c r="E25" s="68"/>
      <c r="F25" s="68"/>
      <c r="G25" s="380"/>
      <c r="H25" s="380">
        <v>150000</v>
      </c>
      <c r="I25" s="1997"/>
      <c r="J25" s="379"/>
      <c r="K25" s="380"/>
      <c r="L25" s="1996"/>
      <c r="M25" s="364"/>
      <c r="N25" s="2014"/>
      <c r="O25" s="2016" t="s">
        <v>866</v>
      </c>
      <c r="P25" s="40"/>
      <c r="Q25" s="40"/>
      <c r="R25" s="2023"/>
      <c r="S25" s="2024"/>
      <c r="T25" s="40"/>
      <c r="U25" s="40"/>
      <c r="V25" s="40"/>
      <c r="W25" s="40"/>
      <c r="X25" s="40"/>
      <c r="Y25" s="40"/>
      <c r="Z25" s="40"/>
      <c r="AA25" s="40"/>
      <c r="AB25" s="40"/>
      <c r="AC25" s="664"/>
      <c r="AD25" s="185"/>
      <c r="AE25" s="40"/>
    </row>
    <row r="26" s="1933" customFormat="1" ht="23.75" customHeight="1" spans="1:31">
      <c r="A26" s="556"/>
      <c r="B26" s="715" t="s">
        <v>867</v>
      </c>
      <c r="C26" s="1952" t="s">
        <v>868</v>
      </c>
      <c r="D26" s="2125"/>
      <c r="E26" s="68"/>
      <c r="F26" s="68"/>
      <c r="G26" s="380"/>
      <c r="H26" s="380">
        <v>200000</v>
      </c>
      <c r="I26" s="1997"/>
      <c r="J26" s="379"/>
      <c r="K26" s="380"/>
      <c r="L26" s="1996"/>
      <c r="M26" s="364"/>
      <c r="N26" s="2014"/>
      <c r="O26" s="2016"/>
      <c r="P26" s="40"/>
      <c r="Q26" s="40"/>
      <c r="R26" s="2023"/>
      <c r="S26" s="2024"/>
      <c r="T26" s="40"/>
      <c r="U26" s="40"/>
      <c r="V26" s="40"/>
      <c r="W26" s="40"/>
      <c r="X26" s="40"/>
      <c r="Y26" s="40"/>
      <c r="Z26" s="40"/>
      <c r="AA26" s="40"/>
      <c r="AB26" s="40"/>
      <c r="AC26" s="664"/>
      <c r="AD26" s="185"/>
      <c r="AE26" s="40"/>
    </row>
    <row r="27" s="1933" customFormat="1" ht="23.75" customHeight="1" spans="1:31">
      <c r="A27" s="556"/>
      <c r="B27" s="715" t="s">
        <v>869</v>
      </c>
      <c r="C27" s="1952" t="s">
        <v>868</v>
      </c>
      <c r="D27" s="2125"/>
      <c r="E27" s="68"/>
      <c r="F27" s="68"/>
      <c r="G27" s="380"/>
      <c r="H27" s="380">
        <v>100000</v>
      </c>
      <c r="I27" s="1997"/>
      <c r="J27" s="379"/>
      <c r="K27" s="380"/>
      <c r="L27" s="1996"/>
      <c r="M27" s="364"/>
      <c r="N27" s="2014"/>
      <c r="O27" s="2016"/>
      <c r="P27" s="40"/>
      <c r="Q27" s="40"/>
      <c r="R27" s="2023"/>
      <c r="S27" s="2024"/>
      <c r="T27" s="40"/>
      <c r="U27" s="40"/>
      <c r="V27" s="40"/>
      <c r="W27" s="40"/>
      <c r="X27" s="40"/>
      <c r="Y27" s="40"/>
      <c r="Z27" s="40"/>
      <c r="AA27" s="40"/>
      <c r="AB27" s="40"/>
      <c r="AC27" s="664"/>
      <c r="AD27" s="185"/>
      <c r="AE27" s="40"/>
    </row>
    <row r="28" s="1933" customFormat="1" ht="23.75" customHeight="1" spans="1:31">
      <c r="A28" s="556"/>
      <c r="B28" s="715" t="s">
        <v>464</v>
      </c>
      <c r="C28" s="1952" t="s">
        <v>868</v>
      </c>
      <c r="D28" s="2125"/>
      <c r="E28" s="68"/>
      <c r="F28" s="68"/>
      <c r="G28" s="380"/>
      <c r="H28" s="380">
        <v>200000</v>
      </c>
      <c r="I28" s="1997"/>
      <c r="J28" s="379"/>
      <c r="K28" s="380"/>
      <c r="L28" s="1996"/>
      <c r="M28" s="364"/>
      <c r="N28" s="2014"/>
      <c r="O28" s="2016"/>
      <c r="P28" s="40"/>
      <c r="Q28" s="40"/>
      <c r="R28" s="2023"/>
      <c r="S28" s="2024"/>
      <c r="T28" s="40"/>
      <c r="U28" s="40"/>
      <c r="V28" s="40"/>
      <c r="W28" s="40"/>
      <c r="X28" s="40"/>
      <c r="Y28" s="40"/>
      <c r="Z28" s="40"/>
      <c r="AA28" s="40"/>
      <c r="AB28" s="40"/>
      <c r="AC28" s="664"/>
      <c r="AD28" s="185"/>
      <c r="AE28" s="40"/>
    </row>
    <row r="29" s="1933" customFormat="1" ht="23.75" customHeight="1" spans="1:31">
      <c r="A29" s="556"/>
      <c r="B29" s="715"/>
      <c r="C29" s="1952"/>
      <c r="D29" s="2139"/>
      <c r="E29" s="68"/>
      <c r="F29" s="68"/>
      <c r="G29" s="380"/>
      <c r="H29" s="380"/>
      <c r="I29" s="1997"/>
      <c r="J29" s="379" t="s">
        <v>870</v>
      </c>
      <c r="K29" s="380"/>
      <c r="L29" s="1996"/>
      <c r="M29" s="364"/>
      <c r="N29" s="2014"/>
      <c r="O29" s="2016"/>
      <c r="P29" s="40"/>
      <c r="Q29" s="40"/>
      <c r="R29" s="2023"/>
      <c r="S29" s="2024"/>
      <c r="T29" s="40"/>
      <c r="U29" s="40"/>
      <c r="V29" s="40"/>
      <c r="W29" s="40"/>
      <c r="X29" s="40"/>
      <c r="Y29" s="40"/>
      <c r="Z29" s="40"/>
      <c r="AA29" s="40"/>
      <c r="AB29" s="40"/>
      <c r="AC29" s="664"/>
      <c r="AD29" s="185"/>
      <c r="AE29" s="40"/>
    </row>
    <row r="30" ht="27.5" customHeight="1" spans="1:31">
      <c r="A30" s="1956" t="s">
        <v>67</v>
      </c>
      <c r="B30" s="1957"/>
      <c r="C30" s="1951"/>
      <c r="D30" s="1951"/>
      <c r="E30" s="1973"/>
      <c r="F30" s="1974"/>
      <c r="G30" s="1974"/>
      <c r="H30" s="1975">
        <f>SUM(H12:H29)</f>
        <v>3572400</v>
      </c>
      <c r="I30" s="1974"/>
      <c r="J30" s="1998"/>
      <c r="K30" s="99"/>
      <c r="L30" s="99"/>
      <c r="M30" s="185"/>
      <c r="N30" s="185"/>
      <c r="O30" s="2016"/>
      <c r="P30" s="40"/>
      <c r="Q30" s="40"/>
      <c r="R30" s="523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1956"/>
      <c r="AD30" s="1956" t="s">
        <v>293</v>
      </c>
      <c r="AE30" s="1956"/>
    </row>
    <row r="31" spans="1:31">
      <c r="A31" s="1958" t="s">
        <v>344</v>
      </c>
      <c r="B31" s="1959" t="s">
        <v>299</v>
      </c>
      <c r="C31" s="1883" t="s">
        <v>871</v>
      </c>
      <c r="D31" s="819" t="s">
        <v>348</v>
      </c>
      <c r="E31" s="1976">
        <v>91</v>
      </c>
      <c r="F31" s="1327">
        <v>373</v>
      </c>
      <c r="G31" s="1327">
        <f t="shared" ref="G31:G37" si="0">F31*E31</f>
        <v>33943</v>
      </c>
      <c r="H31" s="1977">
        <f t="shared" ref="H31:H37" si="1">G31*I31</f>
        <v>219543.324</v>
      </c>
      <c r="I31" s="1992">
        <v>6.468</v>
      </c>
      <c r="J31" s="606" t="s">
        <v>872</v>
      </c>
      <c r="K31" s="1999"/>
      <c r="L31" s="2000"/>
      <c r="M31" s="2017"/>
      <c r="N31" s="2018"/>
      <c r="O31" s="2019"/>
      <c r="P31" s="2020"/>
      <c r="Q31" s="2020"/>
      <c r="R31" s="2025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31"/>
      <c r="AD31" s="2032"/>
      <c r="AE31" s="2033"/>
    </row>
    <row r="32" spans="1:31">
      <c r="A32" s="1958"/>
      <c r="B32" s="1959" t="s">
        <v>299</v>
      </c>
      <c r="C32" s="1883" t="s">
        <v>873</v>
      </c>
      <c r="D32" s="819" t="s">
        <v>348</v>
      </c>
      <c r="E32" s="1976">
        <v>91</v>
      </c>
      <c r="F32" s="1327">
        <v>373</v>
      </c>
      <c r="G32" s="1327">
        <f t="shared" si="0"/>
        <v>33943</v>
      </c>
      <c r="H32" s="1977">
        <f t="shared" si="1"/>
        <v>219543.324</v>
      </c>
      <c r="I32" s="1992">
        <v>6.468</v>
      </c>
      <c r="J32" s="606" t="s">
        <v>872</v>
      </c>
      <c r="K32" s="1999"/>
      <c r="L32" s="2000"/>
      <c r="M32" s="2017"/>
      <c r="N32" s="2018"/>
      <c r="O32" s="2019"/>
      <c r="P32" s="2020"/>
      <c r="Q32" s="2020"/>
      <c r="R32" s="2025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31"/>
      <c r="AD32" s="2032"/>
      <c r="AE32" s="2033"/>
    </row>
    <row r="33" spans="1:31">
      <c r="A33" s="1958"/>
      <c r="B33" s="1959" t="s">
        <v>299</v>
      </c>
      <c r="C33" s="2143" t="s">
        <v>874</v>
      </c>
      <c r="D33" s="819" t="s">
        <v>348</v>
      </c>
      <c r="E33" s="1976">
        <v>91</v>
      </c>
      <c r="F33" s="1327">
        <v>365</v>
      </c>
      <c r="G33" s="1327">
        <f t="shared" si="0"/>
        <v>33215</v>
      </c>
      <c r="H33" s="1977">
        <f t="shared" si="1"/>
        <v>214834.62</v>
      </c>
      <c r="I33" s="1992">
        <v>6.468</v>
      </c>
      <c r="J33" s="606" t="s">
        <v>875</v>
      </c>
      <c r="K33" s="1999">
        <f>SUM(H31:H39)</f>
        <v>1776222.756</v>
      </c>
      <c r="L33" s="2000">
        <f>SUM(H31:H46)+H50</f>
        <v>3335347.092</v>
      </c>
      <c r="M33" s="2017"/>
      <c r="N33" s="2018"/>
      <c r="O33" s="2019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31"/>
      <c r="AD33" s="2032"/>
      <c r="AE33" s="2033"/>
    </row>
    <row r="34" spans="1:31">
      <c r="A34" s="1958"/>
      <c r="B34" s="1959" t="s">
        <v>299</v>
      </c>
      <c r="C34" s="2143" t="s">
        <v>876</v>
      </c>
      <c r="D34" s="819" t="s">
        <v>348</v>
      </c>
      <c r="E34" s="1976">
        <v>91</v>
      </c>
      <c r="F34" s="1327">
        <v>365</v>
      </c>
      <c r="G34" s="1327">
        <f t="shared" si="0"/>
        <v>33215</v>
      </c>
      <c r="H34" s="1977">
        <f t="shared" si="1"/>
        <v>214834.62</v>
      </c>
      <c r="I34" s="1992">
        <v>6.468</v>
      </c>
      <c r="J34" s="606" t="s">
        <v>875</v>
      </c>
      <c r="K34" s="1999">
        <f>SUM(H42:H47)</f>
        <v>1343908.104</v>
      </c>
      <c r="L34" s="2000"/>
      <c r="M34" s="2017"/>
      <c r="N34" s="2018"/>
      <c r="O34" s="2019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31"/>
      <c r="AD34" s="2032"/>
      <c r="AE34" s="2033"/>
    </row>
    <row r="35" spans="1:31">
      <c r="A35" s="1958"/>
      <c r="B35" s="1959" t="s">
        <v>299</v>
      </c>
      <c r="C35" s="2143" t="s">
        <v>877</v>
      </c>
      <c r="D35" s="819" t="s">
        <v>348</v>
      </c>
      <c r="E35" s="1976">
        <v>91</v>
      </c>
      <c r="F35" s="1327">
        <v>365</v>
      </c>
      <c r="G35" s="1327">
        <f t="shared" si="0"/>
        <v>33215</v>
      </c>
      <c r="H35" s="1977">
        <f t="shared" si="1"/>
        <v>214834.62</v>
      </c>
      <c r="I35" s="1992">
        <v>6.468</v>
      </c>
      <c r="J35" s="606" t="s">
        <v>875</v>
      </c>
      <c r="K35" s="1999">
        <f>SUM(H49:H52)</f>
        <v>595068.936</v>
      </c>
      <c r="L35" s="2000"/>
      <c r="M35" s="2017"/>
      <c r="N35" s="2018"/>
      <c r="O35" s="2019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31"/>
      <c r="AD35" s="2032"/>
      <c r="AE35" s="2033"/>
    </row>
    <row r="36" spans="1:31">
      <c r="A36" s="1958"/>
      <c r="B36" s="1959" t="s">
        <v>299</v>
      </c>
      <c r="C36" s="2143" t="s">
        <v>878</v>
      </c>
      <c r="D36" s="819" t="s">
        <v>348</v>
      </c>
      <c r="E36" s="1976">
        <v>91</v>
      </c>
      <c r="F36" s="1327">
        <v>365</v>
      </c>
      <c r="G36" s="1327">
        <f t="shared" si="0"/>
        <v>33215</v>
      </c>
      <c r="H36" s="1977">
        <f t="shared" si="1"/>
        <v>214834.62</v>
      </c>
      <c r="I36" s="1992">
        <v>6.468</v>
      </c>
      <c r="J36" s="606" t="s">
        <v>875</v>
      </c>
      <c r="K36" s="1999"/>
      <c r="L36" s="2000"/>
      <c r="M36" s="2017"/>
      <c r="N36" s="2018"/>
      <c r="O36" s="2019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31"/>
      <c r="AD36" s="2032"/>
      <c r="AE36" s="2033"/>
    </row>
    <row r="37" spans="1:31">
      <c r="A37" s="1958"/>
      <c r="B37" s="1959" t="s">
        <v>299</v>
      </c>
      <c r="C37" s="2143" t="s">
        <v>879</v>
      </c>
      <c r="D37" s="819" t="s">
        <v>348</v>
      </c>
      <c r="E37" s="1976">
        <v>91</v>
      </c>
      <c r="F37" s="1327">
        <v>365</v>
      </c>
      <c r="G37" s="1327">
        <f t="shared" si="0"/>
        <v>33215</v>
      </c>
      <c r="H37" s="1977">
        <f t="shared" si="1"/>
        <v>214834.62</v>
      </c>
      <c r="I37" s="1992">
        <v>6.468</v>
      </c>
      <c r="J37" s="606" t="s">
        <v>880</v>
      </c>
      <c r="K37" s="1999"/>
      <c r="L37" s="2000"/>
      <c r="M37" s="2017"/>
      <c r="N37" s="2018"/>
      <c r="O37" s="2019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31"/>
      <c r="AD37" s="2032"/>
      <c r="AE37" s="2033"/>
    </row>
    <row r="38" spans="1:31">
      <c r="A38" s="1958"/>
      <c r="B38" s="724"/>
      <c r="C38" s="1303"/>
      <c r="D38" s="614"/>
      <c r="E38" s="1050"/>
      <c r="F38" s="1327"/>
      <c r="G38" s="1327"/>
      <c r="H38" s="1509"/>
      <c r="I38" s="733"/>
      <c r="J38" s="1122"/>
      <c r="K38" s="1999"/>
      <c r="L38" s="2000">
        <f>SUM(H49:H52)+H47+H37</f>
        <v>809903.556</v>
      </c>
      <c r="M38" s="2017">
        <f>H37+H47+H49+H50+H51+H52+SUM('2021.10'!H27:H33)</f>
        <v>1749357.408</v>
      </c>
      <c r="N38" s="2018"/>
      <c r="O38" s="2019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31"/>
      <c r="AD38" s="2032"/>
      <c r="AE38" s="2033"/>
    </row>
    <row r="39" spans="1:31">
      <c r="A39" s="1958"/>
      <c r="B39" s="1959" t="s">
        <v>299</v>
      </c>
      <c r="C39" s="2143" t="s">
        <v>881</v>
      </c>
      <c r="D39" s="819" t="s">
        <v>427</v>
      </c>
      <c r="E39" s="1976">
        <v>168</v>
      </c>
      <c r="F39" s="1327">
        <v>242</v>
      </c>
      <c r="G39" s="1327">
        <f>F39*E39</f>
        <v>40656</v>
      </c>
      <c r="H39" s="1509">
        <f>G39*I39</f>
        <v>262963.008</v>
      </c>
      <c r="I39" s="1992">
        <v>6.468</v>
      </c>
      <c r="J39" s="1073" t="s">
        <v>875</v>
      </c>
      <c r="K39" s="1999"/>
      <c r="L39" s="2000"/>
      <c r="M39" s="2017"/>
      <c r="N39" s="2018"/>
      <c r="O39" s="2019"/>
      <c r="P39" s="2020"/>
      <c r="Q39" s="2020"/>
      <c r="R39" s="2025"/>
      <c r="S39" s="2020"/>
      <c r="T39" s="2020"/>
      <c r="U39" s="2020"/>
      <c r="V39" s="2020"/>
      <c r="W39" s="2020"/>
      <c r="X39" s="2020"/>
      <c r="Y39" s="2020"/>
      <c r="Z39" s="2020"/>
      <c r="AA39" s="2020"/>
      <c r="AB39" s="2020"/>
      <c r="AC39" s="2031"/>
      <c r="AD39" s="2032"/>
      <c r="AE39" s="2033"/>
    </row>
    <row r="40" spans="1:31">
      <c r="A40" s="1958"/>
      <c r="B40" s="724"/>
      <c r="C40" s="1303"/>
      <c r="D40" s="614"/>
      <c r="E40" s="1050"/>
      <c r="F40" s="1327"/>
      <c r="G40" s="1327"/>
      <c r="H40" s="1977"/>
      <c r="I40" s="733"/>
      <c r="J40" s="750"/>
      <c r="K40" s="2180"/>
      <c r="L40" s="2000"/>
      <c r="M40" s="2017"/>
      <c r="N40" s="2018"/>
      <c r="O40" s="2019"/>
      <c r="P40" s="2020"/>
      <c r="Q40" s="2020"/>
      <c r="R40" s="2025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031"/>
      <c r="AD40" s="2032"/>
      <c r="AE40" s="2033"/>
    </row>
    <row r="41" spans="1:31">
      <c r="A41" s="2011"/>
      <c r="B41" s="2144"/>
      <c r="C41" s="1303"/>
      <c r="D41" s="614"/>
      <c r="E41" s="1050"/>
      <c r="F41" s="1176"/>
      <c r="G41" s="1327"/>
      <c r="H41" s="1977"/>
      <c r="I41" s="733"/>
      <c r="J41" s="2152"/>
      <c r="K41" s="2053"/>
      <c r="L41" s="2054">
        <f>SUM(H31:H43)+SUM(H45:H52)</f>
        <v>3249950.088</v>
      </c>
      <c r="M41" s="2020"/>
      <c r="N41" s="2018"/>
      <c r="O41" s="2019"/>
      <c r="P41" s="2020"/>
      <c r="Q41" s="2020"/>
      <c r="R41" s="2025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75"/>
      <c r="AD41" s="1959"/>
      <c r="AE41" s="2020"/>
    </row>
    <row r="42" spans="1:31">
      <c r="A42" s="2153" t="s">
        <v>220</v>
      </c>
      <c r="B42" s="2204" t="s">
        <v>882</v>
      </c>
      <c r="C42" s="1883" t="s">
        <v>883</v>
      </c>
      <c r="D42" s="648"/>
      <c r="E42" s="648">
        <v>1</v>
      </c>
      <c r="F42" s="1240">
        <v>40775</v>
      </c>
      <c r="G42" s="1327">
        <f t="shared" ref="G42:G47" si="2">F42*E42</f>
        <v>40775</v>
      </c>
      <c r="H42" s="1977">
        <f t="shared" ref="H42:H47" si="3">G42*I42</f>
        <v>263732.7</v>
      </c>
      <c r="I42" s="1992">
        <v>6.468</v>
      </c>
      <c r="J42" s="2056" t="s">
        <v>884</v>
      </c>
      <c r="K42" s="2053"/>
      <c r="L42" s="2054"/>
      <c r="M42" s="2020"/>
      <c r="N42" s="2018"/>
      <c r="O42" s="2019"/>
      <c r="P42" s="2020"/>
      <c r="Q42" s="2020"/>
      <c r="R42" s="2025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75"/>
      <c r="AD42" s="1959"/>
      <c r="AE42" s="2020"/>
    </row>
    <row r="43" spans="1:31">
      <c r="A43" s="2153"/>
      <c r="B43" s="724" t="s">
        <v>295</v>
      </c>
      <c r="C43" s="1883" t="s">
        <v>885</v>
      </c>
      <c r="D43" s="614"/>
      <c r="E43" s="571">
        <v>1</v>
      </c>
      <c r="F43" s="1240">
        <v>29954</v>
      </c>
      <c r="G43" s="1327">
        <f t="shared" si="2"/>
        <v>29954</v>
      </c>
      <c r="H43" s="1977">
        <f t="shared" si="3"/>
        <v>193742.472</v>
      </c>
      <c r="I43" s="1992">
        <v>6.468</v>
      </c>
      <c r="J43" s="2056" t="s">
        <v>886</v>
      </c>
      <c r="K43" s="2053"/>
      <c r="L43" s="2054"/>
      <c r="M43" s="2020"/>
      <c r="N43" s="2018"/>
      <c r="O43" s="2019"/>
      <c r="P43" s="2020"/>
      <c r="Q43" s="2020"/>
      <c r="R43" s="2025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75"/>
      <c r="AD43" s="1959"/>
      <c r="AE43" s="2020"/>
    </row>
    <row r="44" spans="1:31">
      <c r="A44" s="2153"/>
      <c r="B44" s="971" t="s">
        <v>355</v>
      </c>
      <c r="C44" s="1883" t="s">
        <v>887</v>
      </c>
      <c r="D44" s="571"/>
      <c r="E44" s="571">
        <v>1</v>
      </c>
      <c r="F44" s="1240">
        <v>71931</v>
      </c>
      <c r="G44" s="1327">
        <f t="shared" si="2"/>
        <v>71931</v>
      </c>
      <c r="H44" s="2188">
        <f t="shared" si="3"/>
        <v>465249.708</v>
      </c>
      <c r="I44" s="1992">
        <v>6.468</v>
      </c>
      <c r="J44" s="2056" t="s">
        <v>888</v>
      </c>
      <c r="K44" s="2053"/>
      <c r="L44" s="2054"/>
      <c r="M44" s="2020"/>
      <c r="N44" s="2018"/>
      <c r="O44" s="2019"/>
      <c r="P44" s="2020"/>
      <c r="Q44" s="2020"/>
      <c r="R44" s="2025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75"/>
      <c r="AD44" s="1959"/>
      <c r="AE44" s="2020"/>
    </row>
    <row r="45" spans="1:31">
      <c r="A45" s="2153"/>
      <c r="B45" s="971" t="s">
        <v>889</v>
      </c>
      <c r="C45" s="1883" t="s">
        <v>890</v>
      </c>
      <c r="D45" s="571"/>
      <c r="E45" s="571">
        <v>1</v>
      </c>
      <c r="F45" s="1240">
        <v>33675</v>
      </c>
      <c r="G45" s="1327">
        <f t="shared" si="2"/>
        <v>33675</v>
      </c>
      <c r="H45" s="839">
        <f t="shared" si="3"/>
        <v>217809.9</v>
      </c>
      <c r="I45" s="1992">
        <v>6.468</v>
      </c>
      <c r="J45" s="2056" t="s">
        <v>891</v>
      </c>
      <c r="K45" s="2057"/>
      <c r="L45" s="2058"/>
      <c r="M45" s="2020"/>
      <c r="N45" s="2018"/>
      <c r="O45" s="2019"/>
      <c r="P45" s="2020"/>
      <c r="Q45" s="2020"/>
      <c r="R45" s="2025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075"/>
      <c r="AD45" s="1959"/>
      <c r="AE45" s="2020"/>
    </row>
    <row r="46" spans="1:31">
      <c r="A46" s="2153"/>
      <c r="B46" s="971" t="s">
        <v>355</v>
      </c>
      <c r="C46" s="1883" t="s">
        <v>892</v>
      </c>
      <c r="D46" s="614"/>
      <c r="E46" s="571">
        <v>1</v>
      </c>
      <c r="F46" s="1240">
        <v>31443</v>
      </c>
      <c r="G46" s="1327">
        <f t="shared" si="2"/>
        <v>31443</v>
      </c>
      <c r="H46" s="1977">
        <f t="shared" si="3"/>
        <v>203373.324</v>
      </c>
      <c r="I46" s="1992">
        <v>6.468</v>
      </c>
      <c r="J46" s="2056" t="s">
        <v>893</v>
      </c>
      <c r="K46" s="1239"/>
      <c r="L46" s="1176"/>
      <c r="M46" s="2020"/>
      <c r="N46" s="2018"/>
      <c r="O46" s="2019"/>
      <c r="P46" s="2020"/>
      <c r="Q46" s="2020"/>
      <c r="R46" s="2025"/>
      <c r="S46" s="2020"/>
      <c r="T46" s="2020"/>
      <c r="U46" s="2020"/>
      <c r="V46" s="2020"/>
      <c r="W46" s="2020"/>
      <c r="X46" s="2020"/>
      <c r="Y46" s="2020"/>
      <c r="Z46" s="2020"/>
      <c r="AA46" s="2020"/>
      <c r="AB46" s="2020"/>
      <c r="AC46" s="2075"/>
      <c r="AD46" s="2157"/>
      <c r="AE46" s="2020"/>
    </row>
    <row r="47" spans="1:31">
      <c r="A47" s="2153"/>
      <c r="B47" s="971"/>
      <c r="C47" s="1303"/>
      <c r="D47" s="614"/>
      <c r="E47" s="571"/>
      <c r="F47" s="1257"/>
      <c r="G47" s="1327"/>
      <c r="H47" s="1977"/>
      <c r="I47" s="1992"/>
      <c r="J47" s="2056"/>
      <c r="K47" s="1239"/>
      <c r="L47" s="1176"/>
      <c r="M47" s="2020"/>
      <c r="N47" s="2018"/>
      <c r="O47" s="2019"/>
      <c r="P47" s="2020"/>
      <c r="Q47" s="2020"/>
      <c r="R47" s="2025"/>
      <c r="S47" s="2020"/>
      <c r="T47" s="2020"/>
      <c r="U47" s="2020"/>
      <c r="V47" s="2020"/>
      <c r="W47" s="2020"/>
      <c r="X47" s="2020"/>
      <c r="Y47" s="2020"/>
      <c r="Z47" s="2020"/>
      <c r="AA47" s="2020"/>
      <c r="AB47" s="2020"/>
      <c r="AC47" s="2075"/>
      <c r="AD47" s="2157"/>
      <c r="AE47" s="2020"/>
    </row>
    <row r="48" spans="1:31">
      <c r="A48" s="2154"/>
      <c r="B48" s="1426"/>
      <c r="C48" s="1303"/>
      <c r="D48" s="571"/>
      <c r="E48" s="571"/>
      <c r="F48" s="1257"/>
      <c r="G48" s="1327"/>
      <c r="H48" s="1977"/>
      <c r="I48" s="733"/>
      <c r="J48" s="2129"/>
      <c r="K48" s="1239"/>
      <c r="L48" s="1176"/>
      <c r="M48" s="2020"/>
      <c r="N48" s="2018"/>
      <c r="O48" s="2019"/>
      <c r="P48" s="2020"/>
      <c r="Q48" s="2020"/>
      <c r="R48" s="2025"/>
      <c r="S48" s="2020"/>
      <c r="T48" s="2020"/>
      <c r="U48" s="2020"/>
      <c r="V48" s="2020"/>
      <c r="W48" s="2020"/>
      <c r="X48" s="2020"/>
      <c r="Y48" s="2020"/>
      <c r="Z48" s="2020"/>
      <c r="AA48" s="2020"/>
      <c r="AB48" s="2020"/>
      <c r="AC48" s="2075"/>
      <c r="AD48" s="2157"/>
      <c r="AE48" s="2020"/>
    </row>
    <row r="49" customFormat="1" spans="1:31">
      <c r="A49" s="1389" t="s">
        <v>509</v>
      </c>
      <c r="B49" s="2034" t="s">
        <v>274</v>
      </c>
      <c r="C49" s="1903" t="s">
        <v>894</v>
      </c>
      <c r="D49" s="819"/>
      <c r="E49" s="1976">
        <v>1</v>
      </c>
      <c r="F49" s="2164"/>
      <c r="G49" s="1327">
        <v>38208</v>
      </c>
      <c r="H49" s="1977">
        <f t="shared" ref="H49:H52" si="4">G49*I49</f>
        <v>247129.344</v>
      </c>
      <c r="I49" s="1992">
        <v>6.468</v>
      </c>
      <c r="J49" s="2056" t="s">
        <v>895</v>
      </c>
      <c r="K49" s="2109"/>
      <c r="L49" s="1176"/>
      <c r="M49" s="2020"/>
      <c r="N49" s="2018"/>
      <c r="O49" s="2019"/>
      <c r="P49" s="2020"/>
      <c r="Q49" s="2020"/>
      <c r="R49" s="2025"/>
      <c r="S49" s="2020"/>
      <c r="T49" s="2020"/>
      <c r="U49" s="2020"/>
      <c r="V49" s="2020"/>
      <c r="W49" s="2020"/>
      <c r="X49" s="2020"/>
      <c r="Y49" s="2020"/>
      <c r="Z49" s="2020"/>
      <c r="AA49" s="2020"/>
      <c r="AB49" s="2020"/>
      <c r="AC49" s="2075"/>
      <c r="AD49" s="2157"/>
      <c r="AE49" s="2020"/>
    </row>
    <row r="50" customFormat="1" spans="1:31">
      <c r="A50" s="1389"/>
      <c r="B50" s="2034" t="s">
        <v>274</v>
      </c>
      <c r="C50" s="1903" t="s">
        <v>896</v>
      </c>
      <c r="D50" s="819"/>
      <c r="E50" s="1976">
        <v>1</v>
      </c>
      <c r="F50" s="2164"/>
      <c r="G50" s="1327">
        <v>33274</v>
      </c>
      <c r="H50" s="1977">
        <f t="shared" si="4"/>
        <v>215216.232</v>
      </c>
      <c r="I50" s="2166">
        <v>6.468</v>
      </c>
      <c r="J50" s="2056" t="s">
        <v>897</v>
      </c>
      <c r="K50" s="2109"/>
      <c r="L50" s="1176"/>
      <c r="M50" s="2020"/>
      <c r="N50" s="2018"/>
      <c r="O50" s="2019"/>
      <c r="P50" s="2020"/>
      <c r="Q50" s="2020"/>
      <c r="R50" s="2025"/>
      <c r="S50" s="2020"/>
      <c r="T50" s="2020"/>
      <c r="U50" s="2020"/>
      <c r="V50" s="2020"/>
      <c r="W50" s="2020"/>
      <c r="X50" s="2020"/>
      <c r="Y50" s="2020"/>
      <c r="Z50" s="2020"/>
      <c r="AA50" s="2020"/>
      <c r="AB50" s="2020"/>
      <c r="AC50" s="2075"/>
      <c r="AD50" s="2157"/>
      <c r="AE50" s="2020"/>
    </row>
    <row r="51" s="10" customFormat="1" spans="1:31">
      <c r="A51" s="1389"/>
      <c r="B51" s="2034" t="s">
        <v>274</v>
      </c>
      <c r="C51" s="1903" t="s">
        <v>898</v>
      </c>
      <c r="D51" s="614"/>
      <c r="E51" s="1050">
        <v>1</v>
      </c>
      <c r="F51" s="1176"/>
      <c r="G51" s="1327">
        <v>9929</v>
      </c>
      <c r="H51" s="1977">
        <f t="shared" si="4"/>
        <v>64220.772</v>
      </c>
      <c r="I51" s="2166">
        <v>6.468</v>
      </c>
      <c r="J51" s="2056" t="s">
        <v>899</v>
      </c>
      <c r="K51" s="2109"/>
      <c r="L51" s="1176"/>
      <c r="M51" s="1389"/>
      <c r="N51" s="1187"/>
      <c r="O51" s="2070"/>
      <c r="P51" s="1389"/>
      <c r="Q51" s="1389"/>
      <c r="R51" s="1303"/>
      <c r="S51" s="1389"/>
      <c r="T51" s="1389"/>
      <c r="U51" s="1389"/>
      <c r="V51" s="1389"/>
      <c r="W51" s="1389"/>
      <c r="X51" s="1389"/>
      <c r="Y51" s="1389"/>
      <c r="Z51" s="1389"/>
      <c r="AA51" s="1389"/>
      <c r="AB51" s="1389"/>
      <c r="AC51" s="2076"/>
      <c r="AD51" s="628"/>
      <c r="AE51" s="1389"/>
    </row>
    <row r="52" s="10" customFormat="1" spans="1:31">
      <c r="A52" s="1389"/>
      <c r="B52" s="1627" t="s">
        <v>274</v>
      </c>
      <c r="C52" s="1903" t="s">
        <v>900</v>
      </c>
      <c r="D52" s="614"/>
      <c r="E52" s="1050">
        <v>1</v>
      </c>
      <c r="F52" s="1176"/>
      <c r="G52" s="1327">
        <v>10591</v>
      </c>
      <c r="H52" s="1977">
        <f t="shared" si="4"/>
        <v>68502.588</v>
      </c>
      <c r="I52" s="1992">
        <v>6.468</v>
      </c>
      <c r="J52" s="2056" t="s">
        <v>899</v>
      </c>
      <c r="K52" s="2109"/>
      <c r="L52" s="2164"/>
      <c r="M52" s="1389"/>
      <c r="N52" s="1187"/>
      <c r="O52" s="2070"/>
      <c r="P52" s="1389"/>
      <c r="Q52" s="1389"/>
      <c r="R52" s="945"/>
      <c r="S52" s="1389"/>
      <c r="T52" s="1389"/>
      <c r="U52" s="1389"/>
      <c r="V52" s="1389"/>
      <c r="W52" s="1389"/>
      <c r="X52" s="1389"/>
      <c r="Y52" s="1389"/>
      <c r="Z52" s="1389"/>
      <c r="AA52" s="1389"/>
      <c r="AB52" s="1389"/>
      <c r="AC52" s="2076"/>
      <c r="AD52" s="648"/>
      <c r="AE52" s="1389"/>
    </row>
    <row r="53" spans="1:31">
      <c r="A53" s="2035"/>
      <c r="B53" s="2036"/>
      <c r="C53" s="2037"/>
      <c r="D53" s="2038"/>
      <c r="E53" s="2043"/>
      <c r="F53" s="2044"/>
      <c r="G53" s="2045"/>
      <c r="H53" s="1977"/>
      <c r="I53" s="2059"/>
      <c r="J53" s="2060"/>
      <c r="K53" s="2061"/>
      <c r="L53" s="2054"/>
      <c r="M53" s="2020"/>
      <c r="N53" s="2071"/>
      <c r="O53" s="2019"/>
      <c r="P53" s="2020"/>
      <c r="Q53" s="2020"/>
      <c r="R53" s="2073"/>
      <c r="S53" s="2020"/>
      <c r="T53" s="2020"/>
      <c r="U53" s="2020"/>
      <c r="V53" s="2020"/>
      <c r="W53" s="2020"/>
      <c r="X53" s="2020"/>
      <c r="Y53" s="2020"/>
      <c r="Z53" s="2020"/>
      <c r="AA53" s="2020"/>
      <c r="AB53" s="2020"/>
      <c r="AC53" s="2075"/>
      <c r="AD53" s="1959"/>
      <c r="AE53" s="2020"/>
    </row>
    <row r="54" spans="1:31">
      <c r="A54" s="2035"/>
      <c r="B54" s="2036"/>
      <c r="C54" s="2037"/>
      <c r="D54" s="2038"/>
      <c r="E54" s="2043"/>
      <c r="F54" s="2044"/>
      <c r="G54" s="2046"/>
      <c r="H54" s="2047"/>
      <c r="I54" s="2055"/>
      <c r="J54" s="2062"/>
      <c r="K54" s="2063"/>
      <c r="L54" s="2054"/>
      <c r="M54" s="2020"/>
      <c r="N54" s="2071"/>
      <c r="O54" s="2019"/>
      <c r="P54" s="2020"/>
      <c r="Q54" s="2020"/>
      <c r="R54" s="2073"/>
      <c r="S54" s="2020"/>
      <c r="T54" s="2020"/>
      <c r="U54" s="2020"/>
      <c r="V54" s="2020"/>
      <c r="W54" s="2020"/>
      <c r="X54" s="2020"/>
      <c r="Y54" s="2020"/>
      <c r="Z54" s="2020"/>
      <c r="AA54" s="2020"/>
      <c r="AB54" s="2020"/>
      <c r="AC54" s="2075"/>
      <c r="AD54" s="1959"/>
      <c r="AE54" s="2020"/>
    </row>
    <row r="55" spans="1:31">
      <c r="A55" s="2035"/>
      <c r="B55" s="2036"/>
      <c r="C55" s="2037"/>
      <c r="D55" s="2038"/>
      <c r="E55" s="2043"/>
      <c r="F55" s="2044"/>
      <c r="G55" s="2046"/>
      <c r="H55" s="2047"/>
      <c r="I55" s="2055"/>
      <c r="J55" s="2062"/>
      <c r="K55" s="2064"/>
      <c r="L55" s="2065"/>
      <c r="M55" s="2020"/>
      <c r="N55" s="2071"/>
      <c r="O55" s="2019"/>
      <c r="P55" s="2020"/>
      <c r="Q55" s="2020"/>
      <c r="R55" s="2073"/>
      <c r="S55" s="2020"/>
      <c r="T55" s="2020"/>
      <c r="U55" s="2020"/>
      <c r="V55" s="2020"/>
      <c r="W55" s="2020"/>
      <c r="X55" s="2020"/>
      <c r="Y55" s="2020"/>
      <c r="Z55" s="2020"/>
      <c r="AA55" s="2020"/>
      <c r="AB55" s="2020"/>
      <c r="AC55" s="2075"/>
      <c r="AD55" s="1959"/>
      <c r="AE55" s="2020"/>
    </row>
    <row r="56" customHeight="1" spans="1:31">
      <c r="A56" s="2039" t="s">
        <v>67</v>
      </c>
      <c r="B56" s="2039"/>
      <c r="C56" s="2040"/>
      <c r="D56" s="2040"/>
      <c r="E56" s="2048"/>
      <c r="F56" s="2049"/>
      <c r="G56" s="2049"/>
      <c r="H56" s="2050">
        <f>SUM(H31:H55)</f>
        <v>3715199.796</v>
      </c>
      <c r="I56" s="2066"/>
      <c r="J56" s="2050">
        <v>0</v>
      </c>
      <c r="K56" s="2067">
        <v>0</v>
      </c>
      <c r="L56" s="2068">
        <v>0</v>
      </c>
      <c r="M56" s="474"/>
      <c r="N56" s="474"/>
      <c r="O56" s="2072"/>
      <c r="P56" s="2011"/>
      <c r="Q56" s="2011"/>
      <c r="R56" s="2074"/>
      <c r="S56" s="2011"/>
      <c r="T56" s="2011"/>
      <c r="U56" s="2011"/>
      <c r="V56" s="2011"/>
      <c r="W56" s="2011"/>
      <c r="X56" s="2011"/>
      <c r="Y56" s="2011"/>
      <c r="Z56" s="2011"/>
      <c r="AA56" s="2011"/>
      <c r="AB56" s="2011"/>
      <c r="AC56" s="2039"/>
      <c r="AD56" s="2077" t="s">
        <v>325</v>
      </c>
      <c r="AE56" s="2077"/>
    </row>
    <row r="57" spans="1:31">
      <c r="A57" s="2001"/>
      <c r="B57" s="2001"/>
      <c r="C57" s="2001"/>
      <c r="D57" s="2001"/>
      <c r="E57" s="2051"/>
      <c r="F57" s="2001"/>
      <c r="G57" s="2001"/>
      <c r="H57" s="2052"/>
      <c r="I57" s="2001"/>
      <c r="J57" s="2001"/>
      <c r="K57" s="2001"/>
      <c r="L57" s="2001"/>
      <c r="M57" s="2001"/>
      <c r="N57" s="2001"/>
      <c r="O57" s="2002"/>
      <c r="P57" s="2001"/>
      <c r="Q57" s="2001"/>
      <c r="R57" s="2001"/>
      <c r="S57" s="2001"/>
      <c r="T57" s="2001"/>
      <c r="U57" s="2001"/>
      <c r="V57" s="2001"/>
      <c r="W57" s="2001"/>
      <c r="X57" s="2001"/>
      <c r="Y57" s="2001"/>
      <c r="Z57" s="2001"/>
      <c r="AA57" s="2001"/>
      <c r="AB57" s="2001"/>
      <c r="AC57" s="2001"/>
      <c r="AD57" s="2001"/>
      <c r="AE57" s="2001"/>
    </row>
    <row r="58" spans="1:31">
      <c r="A58" s="2001"/>
      <c r="B58" s="2001"/>
      <c r="C58" s="2001"/>
      <c r="D58" s="2001"/>
      <c r="E58" s="2051"/>
      <c r="F58" s="2001"/>
      <c r="G58" s="2001"/>
      <c r="H58" s="2052"/>
      <c r="I58" s="2001"/>
      <c r="J58" s="2001"/>
      <c r="K58" s="2001"/>
      <c r="L58" s="2001"/>
      <c r="M58" s="2001"/>
      <c r="N58" s="2001"/>
      <c r="O58" s="2002"/>
      <c r="P58" s="2001"/>
      <c r="Q58" s="2001"/>
      <c r="R58" s="2001"/>
      <c r="S58" s="2001"/>
      <c r="T58" s="2001"/>
      <c r="U58" s="2001"/>
      <c r="V58" s="2001"/>
      <c r="W58" s="2001"/>
      <c r="X58" s="2001"/>
      <c r="Y58" s="2001"/>
      <c r="Z58" s="2001"/>
      <c r="AA58" s="2001"/>
      <c r="AB58" s="2001"/>
      <c r="AC58" s="2001"/>
      <c r="AD58" s="2001"/>
      <c r="AE58" s="2001"/>
    </row>
    <row r="59" spans="1:31">
      <c r="A59" s="2001"/>
      <c r="B59" s="2001"/>
      <c r="C59" s="2001" t="s">
        <v>139</v>
      </c>
      <c r="D59" s="2001" t="s">
        <v>140</v>
      </c>
      <c r="E59" s="2051"/>
      <c r="F59" s="2001" t="s">
        <v>141</v>
      </c>
      <c r="G59" s="2001"/>
      <c r="H59" s="2052">
        <f>H11+H30+H56</f>
        <v>10297599.796</v>
      </c>
      <c r="I59" s="2001"/>
      <c r="J59" s="2001" t="s">
        <v>579</v>
      </c>
      <c r="K59" s="2069">
        <f>H11</f>
        <v>3010000</v>
      </c>
      <c r="L59" s="2001"/>
      <c r="M59" s="2069"/>
      <c r="N59" s="2001"/>
      <c r="O59" s="2002"/>
      <c r="P59" s="2001"/>
      <c r="Q59" s="2001"/>
      <c r="R59" s="2001"/>
      <c r="S59" s="2001"/>
      <c r="T59" s="2001"/>
      <c r="U59" s="2001"/>
      <c r="V59" s="2001"/>
      <c r="W59" s="2001"/>
      <c r="X59" s="2001"/>
      <c r="Y59" s="2001"/>
      <c r="Z59" s="2001"/>
      <c r="AA59" s="2001"/>
      <c r="AB59" s="2001"/>
      <c r="AC59" s="2001"/>
      <c r="AD59" s="2001"/>
      <c r="AE59" s="2001"/>
    </row>
    <row r="60" spans="1:31">
      <c r="A60" s="2001"/>
      <c r="B60" s="2001"/>
      <c r="C60" s="2001"/>
      <c r="D60" s="2001"/>
      <c r="E60" s="2051"/>
      <c r="F60" s="2001"/>
      <c r="G60" s="2001"/>
      <c r="H60" s="2052"/>
      <c r="I60" s="2001"/>
      <c r="J60" s="2001" t="s">
        <v>580</v>
      </c>
      <c r="K60" s="2069">
        <f>H30</f>
        <v>3572400</v>
      </c>
      <c r="L60" s="2001"/>
      <c r="M60" s="2069"/>
      <c r="N60" s="2001"/>
      <c r="O60" s="2002"/>
      <c r="P60" s="2001"/>
      <c r="Q60" s="2001"/>
      <c r="R60" s="2001"/>
      <c r="S60" s="2001"/>
      <c r="T60" s="2001"/>
      <c r="U60" s="2001"/>
      <c r="V60" s="2001"/>
      <c r="W60" s="2001"/>
      <c r="X60" s="2001"/>
      <c r="Y60" s="2001"/>
      <c r="Z60" s="2001"/>
      <c r="AA60" s="2001"/>
      <c r="AB60" s="2001"/>
      <c r="AC60" s="2001"/>
      <c r="AD60" s="2001"/>
      <c r="AE60" s="2001"/>
    </row>
    <row r="61" spans="1:31">
      <c r="A61" s="2001"/>
      <c r="B61" s="2001"/>
      <c r="C61" s="2001"/>
      <c r="D61" s="2001"/>
      <c r="E61" s="2051"/>
      <c r="F61" s="2001"/>
      <c r="G61" s="2001"/>
      <c r="H61" s="2052"/>
      <c r="I61" s="2001"/>
      <c r="J61" s="2001" t="s">
        <v>581</v>
      </c>
      <c r="K61" s="2069">
        <f>H56</f>
        <v>3715199.796</v>
      </c>
      <c r="L61" s="2001"/>
      <c r="M61" s="2069"/>
      <c r="N61" s="2001"/>
      <c r="O61" s="2002"/>
      <c r="P61" s="2001"/>
      <c r="Q61" s="2001"/>
      <c r="R61" s="2001"/>
      <c r="S61" s="2001"/>
      <c r="T61" s="2001"/>
      <c r="U61" s="2001"/>
      <c r="V61" s="2001"/>
      <c r="W61" s="2001"/>
      <c r="X61" s="2001"/>
      <c r="Y61" s="2001"/>
      <c r="Z61" s="2001"/>
      <c r="AA61" s="2001"/>
      <c r="AB61" s="2001"/>
      <c r="AC61" s="2001"/>
      <c r="AD61" s="2001"/>
      <c r="AE61" s="2001"/>
    </row>
    <row r="62" spans="1:31">
      <c r="A62" s="2001"/>
      <c r="B62" s="2001"/>
      <c r="C62" s="2001"/>
      <c r="D62" s="2001"/>
      <c r="E62" s="2051"/>
      <c r="F62" s="2001"/>
      <c r="G62" s="2001"/>
      <c r="H62" s="2052"/>
      <c r="I62" s="2001"/>
      <c r="J62" s="2001"/>
      <c r="K62" s="2069">
        <f>SUM(K59:K61)</f>
        <v>10297599.796</v>
      </c>
      <c r="L62" s="2001"/>
      <c r="M62" s="2069"/>
      <c r="N62" s="2001"/>
      <c r="O62" s="2002"/>
      <c r="P62" s="2001"/>
      <c r="Q62" s="2001"/>
      <c r="R62" s="2001"/>
      <c r="S62" s="2001"/>
      <c r="T62" s="2001"/>
      <c r="U62" s="2001"/>
      <c r="V62" s="2001"/>
      <c r="W62" s="2001"/>
      <c r="X62" s="2001"/>
      <c r="Y62" s="2001"/>
      <c r="Z62" s="2001"/>
      <c r="AA62" s="2001"/>
      <c r="AB62" s="2001"/>
      <c r="AC62" s="2001"/>
      <c r="AD62" s="2001"/>
      <c r="AE62" s="2001"/>
    </row>
    <row r="63" spans="1:31">
      <c r="A63" s="2001"/>
      <c r="B63" s="2001"/>
      <c r="C63" s="2001"/>
      <c r="D63" s="2001"/>
      <c r="E63" s="2051"/>
      <c r="F63" s="2001"/>
      <c r="G63" s="2001"/>
      <c r="H63" s="2052"/>
      <c r="I63" s="2001"/>
      <c r="J63" s="2001"/>
      <c r="K63" s="2069"/>
      <c r="L63" s="2001"/>
      <c r="M63" s="2069"/>
      <c r="N63" s="2001"/>
      <c r="O63" s="2002"/>
      <c r="P63" s="2001"/>
      <c r="Q63" s="2001"/>
      <c r="R63" s="2001"/>
      <c r="S63" s="2001"/>
      <c r="T63" s="2001"/>
      <c r="U63" s="2001"/>
      <c r="V63" s="2001"/>
      <c r="W63" s="2001"/>
      <c r="X63" s="2001"/>
      <c r="Y63" s="2001"/>
      <c r="Z63" s="2001"/>
      <c r="AA63" s="2001"/>
      <c r="AB63" s="2001"/>
      <c r="AC63" s="2001"/>
      <c r="AD63" s="2001"/>
      <c r="AE63" s="2001"/>
    </row>
    <row r="64" spans="1:31">
      <c r="A64" s="2041"/>
      <c r="B64" s="2041"/>
      <c r="C64" s="2041"/>
      <c r="D64" s="2041"/>
      <c r="E64" s="2051"/>
      <c r="F64" s="2041"/>
      <c r="G64" s="2041"/>
      <c r="H64" s="2052"/>
      <c r="I64" s="2041"/>
      <c r="J64" s="2041"/>
      <c r="K64" s="2041"/>
      <c r="L64" s="2041"/>
      <c r="M64" s="2069"/>
      <c r="N64" s="2041"/>
      <c r="O64" s="2002"/>
      <c r="P64" s="2041"/>
      <c r="Q64" s="2041"/>
      <c r="R64" s="2041"/>
      <c r="S64" s="2041"/>
      <c r="T64" s="2041"/>
      <c r="U64" s="2041"/>
      <c r="V64" s="2041"/>
      <c r="W64" s="2041"/>
      <c r="X64" s="2041"/>
      <c r="Y64" s="2041"/>
      <c r="Z64" s="2041"/>
      <c r="AA64" s="2041"/>
      <c r="AB64" s="2041"/>
      <c r="AC64" s="2041"/>
      <c r="AD64" s="2041"/>
      <c r="AE64" s="2041"/>
    </row>
    <row r="65" spans="1:31">
      <c r="A65" s="2041"/>
      <c r="B65" s="2041"/>
      <c r="C65" s="2041"/>
      <c r="D65" s="2041"/>
      <c r="E65" s="2051"/>
      <c r="F65" s="2041"/>
      <c r="G65" s="2041"/>
      <c r="H65" s="2052"/>
      <c r="I65" s="2041"/>
      <c r="J65" s="2041"/>
      <c r="K65" s="2041"/>
      <c r="L65" s="2041"/>
      <c r="M65" s="2041"/>
      <c r="N65" s="2041"/>
      <c r="O65" s="2002"/>
      <c r="P65" s="2041"/>
      <c r="Q65" s="2041"/>
      <c r="R65" s="2041"/>
      <c r="S65" s="2041"/>
      <c r="T65" s="2041"/>
      <c r="U65" s="2041"/>
      <c r="V65" s="2041"/>
      <c r="W65" s="2041"/>
      <c r="X65" s="2041"/>
      <c r="Y65" s="2041"/>
      <c r="Z65" s="2041"/>
      <c r="AA65" s="2041"/>
      <c r="AB65" s="2041"/>
      <c r="AC65" s="2041"/>
      <c r="AD65" s="2041"/>
      <c r="AE65" s="2041"/>
    </row>
    <row r="66" spans="1:31">
      <c r="A66" s="2041"/>
      <c r="B66" s="2041"/>
      <c r="C66" s="2041"/>
      <c r="D66" s="2041"/>
      <c r="E66" s="2051"/>
      <c r="F66" s="2041"/>
      <c r="G66" s="2041"/>
      <c r="H66" s="2052"/>
      <c r="I66" s="2041"/>
      <c r="J66" s="2041"/>
      <c r="K66" s="2041"/>
      <c r="L66" s="2041"/>
      <c r="M66" s="2041"/>
      <c r="N66" s="2041"/>
      <c r="O66" s="2002"/>
      <c r="P66" s="2041"/>
      <c r="Q66" s="2041"/>
      <c r="R66" s="2041"/>
      <c r="S66" s="2041"/>
      <c r="T66" s="2041"/>
      <c r="U66" s="2041"/>
      <c r="V66" s="2041"/>
      <c r="W66" s="2041"/>
      <c r="X66" s="2041"/>
      <c r="Y66" s="2041"/>
      <c r="Z66" s="2041"/>
      <c r="AA66" s="2041"/>
      <c r="AB66" s="2041"/>
      <c r="AC66" s="2041"/>
      <c r="AD66" s="2041"/>
      <c r="AE66" s="2041"/>
    </row>
  </sheetData>
  <sheetProtection formatCells="0" insertHyperlinks="0" autoFilter="0"/>
  <mergeCells count="16">
    <mergeCell ref="A1:M1"/>
    <mergeCell ref="A11:B11"/>
    <mergeCell ref="C11:D11"/>
    <mergeCell ref="A30:B30"/>
    <mergeCell ref="C30:D30"/>
    <mergeCell ref="A56:B56"/>
    <mergeCell ref="C56:D56"/>
    <mergeCell ref="A3:A5"/>
    <mergeCell ref="A6:A10"/>
    <mergeCell ref="A12:A17"/>
    <mergeCell ref="A18:A21"/>
    <mergeCell ref="A22:A29"/>
    <mergeCell ref="A31:A40"/>
    <mergeCell ref="A42:A47"/>
    <mergeCell ref="A49:A52"/>
    <mergeCell ref="J19:J2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E55"/>
  <sheetViews>
    <sheetView workbookViewId="0">
      <selection activeCell="C35" sqref="C35"/>
    </sheetView>
  </sheetViews>
  <sheetFormatPr defaultColWidth="9" defaultRowHeight="16.5"/>
  <cols>
    <col min="1" max="1" width="13.4416666666667" customWidth="1"/>
    <col min="2" max="2" width="20.41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9.375"/>
    <col min="10" max="10" width="36.2583333333333" customWidth="1"/>
    <col min="11" max="11" width="17.3583333333333" customWidth="1"/>
    <col min="12" max="12" width="14.875"/>
    <col min="13" max="13" width="14.025" customWidth="1"/>
    <col min="14" max="14" width="18.1916666666667" customWidth="1"/>
    <col min="15" max="15" width="43.7583333333333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901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1399" t="s">
        <v>902</v>
      </c>
      <c r="C3" s="1399"/>
      <c r="D3" s="2159" t="s">
        <v>903</v>
      </c>
      <c r="E3" s="1386"/>
      <c r="F3" s="1399"/>
      <c r="G3" s="1399"/>
      <c r="H3" s="1982">
        <v>300000</v>
      </c>
      <c r="I3" s="1981"/>
      <c r="J3" s="66"/>
      <c r="K3" s="1982"/>
      <c r="L3" s="1983"/>
      <c r="M3" s="1399"/>
      <c r="N3" s="1399"/>
      <c r="O3" s="2006"/>
      <c r="P3" s="1399"/>
      <c r="Q3" s="1399"/>
      <c r="R3" s="1399"/>
      <c r="S3" s="1399"/>
      <c r="T3" s="1399"/>
      <c r="U3" s="1399"/>
      <c r="V3" s="1399"/>
      <c r="W3" s="1399"/>
      <c r="X3" s="1399"/>
      <c r="Y3" s="1399"/>
      <c r="Z3" s="1399"/>
      <c r="AA3" s="1399"/>
      <c r="AB3" s="1399"/>
      <c r="AC3" s="825"/>
      <c r="AD3" s="2016"/>
      <c r="AE3" s="1399"/>
    </row>
    <row r="4" customFormat="1" spans="1:31">
      <c r="A4" s="1941"/>
      <c r="B4" s="2158" t="s">
        <v>904</v>
      </c>
      <c r="C4" s="1399" t="s">
        <v>50</v>
      </c>
      <c r="D4" s="2159" t="s">
        <v>905</v>
      </c>
      <c r="E4" s="1386"/>
      <c r="F4" s="1399"/>
      <c r="G4" s="1399"/>
      <c r="H4" s="1982">
        <v>200000</v>
      </c>
      <c r="I4" s="1981"/>
      <c r="J4" s="66"/>
      <c r="K4" s="1982"/>
      <c r="L4" s="1983"/>
      <c r="M4" s="1399"/>
      <c r="N4" s="1399"/>
      <c r="O4" s="2006"/>
      <c r="P4" s="1399"/>
      <c r="Q4" s="1399"/>
      <c r="R4" s="1399"/>
      <c r="S4" s="1399"/>
      <c r="T4" s="1399"/>
      <c r="U4" s="1399"/>
      <c r="V4" s="1399"/>
      <c r="W4" s="1399"/>
      <c r="X4" s="1399"/>
      <c r="Y4" s="1399"/>
      <c r="Z4" s="1399"/>
      <c r="AA4" s="1399"/>
      <c r="AB4" s="1399"/>
      <c r="AC4" s="825"/>
      <c r="AD4" s="2016"/>
      <c r="AE4" s="1399"/>
    </row>
    <row r="5" customFormat="1" spans="1:31">
      <c r="A5" s="1941"/>
      <c r="B5" s="2158" t="s">
        <v>906</v>
      </c>
      <c r="C5" s="1399"/>
      <c r="D5" s="2159"/>
      <c r="E5" s="1386"/>
      <c r="F5" s="1399"/>
      <c r="G5" s="1399"/>
      <c r="H5" s="1982">
        <v>300000</v>
      </c>
      <c r="I5" s="1981"/>
      <c r="J5" s="66"/>
      <c r="K5" s="1982"/>
      <c r="L5" s="1983"/>
      <c r="M5" s="1399"/>
      <c r="N5" s="1399"/>
      <c r="O5" s="2006"/>
      <c r="P5" s="1399"/>
      <c r="Q5" s="1399"/>
      <c r="R5" s="1399"/>
      <c r="S5" s="1399"/>
      <c r="T5" s="1399"/>
      <c r="U5" s="1399"/>
      <c r="V5" s="1399"/>
      <c r="W5" s="1399"/>
      <c r="X5" s="1399"/>
      <c r="Y5" s="1399"/>
      <c r="Z5" s="1399"/>
      <c r="AA5" s="1399"/>
      <c r="AB5" s="1399"/>
      <c r="AC5" s="825"/>
      <c r="AD5" s="2016"/>
      <c r="AE5" s="1399"/>
    </row>
    <row r="6" customFormat="1" spans="1:31">
      <c r="A6" s="1941"/>
      <c r="B6" s="2158" t="s">
        <v>907</v>
      </c>
      <c r="C6" s="1399"/>
      <c r="D6" s="2159"/>
      <c r="E6" s="1386"/>
      <c r="F6" s="1399"/>
      <c r="G6" s="1399"/>
      <c r="H6" s="1982">
        <v>150000</v>
      </c>
      <c r="I6" s="1981"/>
      <c r="J6" s="66"/>
      <c r="K6" s="1982"/>
      <c r="L6" s="1983"/>
      <c r="M6" s="1399"/>
      <c r="N6" s="1399"/>
      <c r="O6" s="2006"/>
      <c r="P6" s="1399"/>
      <c r="Q6" s="1399"/>
      <c r="R6" s="1399"/>
      <c r="S6" s="1399"/>
      <c r="T6" s="1399"/>
      <c r="U6" s="1399"/>
      <c r="V6" s="1399"/>
      <c r="W6" s="1399"/>
      <c r="X6" s="1399"/>
      <c r="Y6" s="1399"/>
      <c r="Z6" s="1399"/>
      <c r="AA6" s="1399"/>
      <c r="AB6" s="1399"/>
      <c r="AC6" s="825"/>
      <c r="AD6" s="2016"/>
      <c r="AE6" s="1399"/>
    </row>
    <row r="7" s="23" customFormat="1" customHeight="1" spans="1:31">
      <c r="A7" s="2169" t="s">
        <v>209</v>
      </c>
      <c r="B7" s="677" t="s">
        <v>841</v>
      </c>
      <c r="C7" s="1946" t="s">
        <v>842</v>
      </c>
      <c r="D7" s="1947"/>
      <c r="E7" s="1947"/>
      <c r="F7" s="1947"/>
      <c r="G7" s="1946"/>
      <c r="H7" s="1966">
        <v>600000</v>
      </c>
      <c r="I7" s="1947"/>
      <c r="J7" s="1984"/>
      <c r="K7" s="1966"/>
      <c r="L7" s="1985"/>
      <c r="M7" s="1946"/>
      <c r="N7" s="1946"/>
      <c r="O7" s="2007"/>
      <c r="P7" s="1946"/>
      <c r="Q7" s="1946"/>
      <c r="R7" s="2022"/>
      <c r="S7" s="1946"/>
      <c r="T7" s="1946"/>
      <c r="U7" s="1946"/>
      <c r="V7" s="1946"/>
      <c r="W7" s="1946"/>
      <c r="X7" s="1946"/>
      <c r="Y7" s="1946"/>
      <c r="Z7" s="1946"/>
      <c r="AA7" s="1946"/>
      <c r="AB7" s="1946"/>
      <c r="AC7" s="2028"/>
      <c r="AD7" s="2029"/>
      <c r="AE7" s="1946"/>
    </row>
    <row r="8" s="417" customFormat="1" customHeight="1" spans="1:31">
      <c r="A8" s="544"/>
      <c r="B8" s="561" t="s">
        <v>841</v>
      </c>
      <c r="C8" s="1397" t="s">
        <v>842</v>
      </c>
      <c r="D8" s="764"/>
      <c r="E8" s="764"/>
      <c r="F8" s="764"/>
      <c r="G8" s="1397"/>
      <c r="H8" s="1340">
        <v>200000</v>
      </c>
      <c r="I8" s="764"/>
      <c r="J8" s="72"/>
      <c r="K8" s="1340"/>
      <c r="L8" s="1996"/>
      <c r="M8" s="1397"/>
      <c r="N8" s="1397"/>
      <c r="O8" s="1243"/>
      <c r="P8" s="1397"/>
      <c r="Q8" s="1397"/>
      <c r="R8" s="1789"/>
      <c r="S8" s="1397"/>
      <c r="T8" s="1397"/>
      <c r="U8" s="1397"/>
      <c r="V8" s="1397"/>
      <c r="W8" s="1397"/>
      <c r="X8" s="1397"/>
      <c r="Y8" s="1397"/>
      <c r="Z8" s="1397"/>
      <c r="AA8" s="1397"/>
      <c r="AB8" s="1397"/>
      <c r="AC8" s="1218"/>
      <c r="AD8" s="2114"/>
      <c r="AE8" s="1397"/>
    </row>
    <row r="9" s="23" customFormat="1" customHeight="1" spans="1:31">
      <c r="A9" s="2123"/>
      <c r="B9" s="677" t="s">
        <v>284</v>
      </c>
      <c r="C9" s="2022"/>
      <c r="D9" s="2088" t="s">
        <v>843</v>
      </c>
      <c r="E9" s="1967"/>
      <c r="F9" s="1946"/>
      <c r="G9" s="1946"/>
      <c r="H9" s="1966">
        <v>200000</v>
      </c>
      <c r="I9" s="2104"/>
      <c r="J9" s="1984"/>
      <c r="K9" s="1966"/>
      <c r="L9" s="1985"/>
      <c r="M9" s="1946"/>
      <c r="N9" s="1946"/>
      <c r="O9" s="2110"/>
      <c r="P9" s="1946"/>
      <c r="Q9" s="1946"/>
      <c r="R9" s="2022"/>
      <c r="S9" s="1946"/>
      <c r="T9" s="1946"/>
      <c r="U9" s="1946"/>
      <c r="V9" s="1946"/>
      <c r="W9" s="1946"/>
      <c r="X9" s="1946"/>
      <c r="Y9" s="1946"/>
      <c r="Z9" s="1946"/>
      <c r="AA9" s="1946"/>
      <c r="AB9" s="1946"/>
      <c r="AC9" s="2028"/>
      <c r="AD9" s="2029"/>
      <c r="AE9" s="1946"/>
    </row>
    <row r="10" s="23" customFormat="1" customHeight="1" spans="1:31">
      <c r="A10" s="2123"/>
      <c r="B10" s="677" t="s">
        <v>844</v>
      </c>
      <c r="C10" s="1946" t="s">
        <v>50</v>
      </c>
      <c r="D10" s="2088"/>
      <c r="E10" s="1967"/>
      <c r="F10" s="1946"/>
      <c r="G10" s="1946"/>
      <c r="H10" s="1966">
        <v>200000</v>
      </c>
      <c r="I10" s="2104"/>
      <c r="J10" s="1984"/>
      <c r="K10" s="1966"/>
      <c r="L10" s="1985"/>
      <c r="M10" s="1946"/>
      <c r="N10" s="1946"/>
      <c r="O10" s="2110"/>
      <c r="P10" s="1946"/>
      <c r="Q10" s="1946"/>
      <c r="R10" s="2022"/>
      <c r="S10" s="1946"/>
      <c r="T10" s="1946"/>
      <c r="U10" s="1946"/>
      <c r="V10" s="1946"/>
      <c r="W10" s="1946"/>
      <c r="X10" s="1946"/>
      <c r="Y10" s="1946"/>
      <c r="Z10" s="1946"/>
      <c r="AA10" s="1946"/>
      <c r="AB10" s="1946"/>
      <c r="AC10" s="2028"/>
      <c r="AD10" s="2029"/>
      <c r="AE10" s="1946"/>
    </row>
    <row r="11" customFormat="1" customHeight="1" spans="1:31">
      <c r="A11" s="2170"/>
      <c r="B11" s="2119" t="s">
        <v>151</v>
      </c>
      <c r="C11" s="2171"/>
      <c r="D11" s="2172"/>
      <c r="E11" s="2101"/>
      <c r="F11" s="2102"/>
      <c r="G11" s="2175"/>
      <c r="H11" s="2176">
        <v>200000</v>
      </c>
      <c r="I11" s="2105"/>
      <c r="J11" s="285"/>
      <c r="K11" s="2178"/>
      <c r="L11" s="2179"/>
      <c r="M11" s="2033"/>
      <c r="N11" s="2033"/>
      <c r="O11" s="2181"/>
      <c r="P11" s="2020"/>
      <c r="Q11" s="2020"/>
      <c r="R11" s="2182"/>
      <c r="S11" s="2020"/>
      <c r="T11" s="2020"/>
      <c r="U11" s="2020"/>
      <c r="V11" s="2020"/>
      <c r="W11" s="2020"/>
      <c r="X11" s="2020"/>
      <c r="Y11" s="2020"/>
      <c r="Z11" s="2020"/>
      <c r="AA11" s="2020"/>
      <c r="AB11" s="2020"/>
      <c r="AC11" s="2183"/>
      <c r="AD11" s="2184"/>
      <c r="AE11" s="2020"/>
    </row>
    <row r="12" customFormat="1" customHeight="1" spans="1:31">
      <c r="A12" s="2170"/>
      <c r="B12" s="2119" t="s">
        <v>149</v>
      </c>
      <c r="C12" s="2171"/>
      <c r="D12" s="2172"/>
      <c r="E12" s="2101"/>
      <c r="F12" s="2102"/>
      <c r="G12" s="2175"/>
      <c r="H12" s="2176">
        <v>600000</v>
      </c>
      <c r="I12" s="2105"/>
      <c r="J12" s="285"/>
      <c r="K12" s="2178"/>
      <c r="L12" s="2179"/>
      <c r="M12" s="2033"/>
      <c r="N12" s="2033"/>
      <c r="O12" s="2181"/>
      <c r="P12" s="2020"/>
      <c r="Q12" s="2020"/>
      <c r="R12" s="2182"/>
      <c r="S12" s="2020"/>
      <c r="T12" s="2020"/>
      <c r="U12" s="2020"/>
      <c r="V12" s="2020"/>
      <c r="W12" s="2020"/>
      <c r="X12" s="2020"/>
      <c r="Y12" s="2020"/>
      <c r="Z12" s="2020"/>
      <c r="AA12" s="2020"/>
      <c r="AB12" s="2020"/>
      <c r="AC12" s="2183"/>
      <c r="AD12" s="2184"/>
      <c r="AE12" s="2020"/>
    </row>
    <row r="13" customFormat="1" customHeight="1" spans="1:31">
      <c r="A13" s="2170"/>
      <c r="B13" s="2119" t="s">
        <v>526</v>
      </c>
      <c r="C13" s="2171"/>
      <c r="D13" s="2172"/>
      <c r="E13" s="2101"/>
      <c r="F13" s="2102"/>
      <c r="G13" s="2175"/>
      <c r="H13" s="2176">
        <v>100000</v>
      </c>
      <c r="I13" s="2105"/>
      <c r="J13" s="285"/>
      <c r="K13" s="2178"/>
      <c r="L13" s="2179"/>
      <c r="M13" s="2033"/>
      <c r="N13" s="2033"/>
      <c r="O13" s="2181"/>
      <c r="P13" s="2020"/>
      <c r="Q13" s="2020"/>
      <c r="R13" s="2182"/>
      <c r="S13" s="2020"/>
      <c r="T13" s="2020"/>
      <c r="U13" s="2020"/>
      <c r="V13" s="2020"/>
      <c r="W13" s="2020"/>
      <c r="X13" s="2020"/>
      <c r="Y13" s="2020"/>
      <c r="Z13" s="2020"/>
      <c r="AA13" s="2020"/>
      <c r="AB13" s="2020"/>
      <c r="AC13" s="2183"/>
      <c r="AD13" s="2184"/>
      <c r="AE13" s="2020"/>
    </row>
    <row r="14" customFormat="1" customHeight="1" spans="1:31">
      <c r="A14" s="1950" t="s">
        <v>343</v>
      </c>
      <c r="B14" s="1950"/>
      <c r="C14" s="1951"/>
      <c r="D14" s="1951"/>
      <c r="E14" s="1968"/>
      <c r="F14" s="1969"/>
      <c r="G14" s="1970"/>
      <c r="H14" s="1971">
        <f>SUM(H3:H13)</f>
        <v>3050000</v>
      </c>
      <c r="I14" s="1989"/>
      <c r="J14" s="1990">
        <v>0</v>
      </c>
      <c r="K14" s="1991">
        <v>0</v>
      </c>
      <c r="L14" s="1991">
        <v>0</v>
      </c>
      <c r="M14" s="2009"/>
      <c r="N14" s="2009"/>
      <c r="O14" s="2010"/>
      <c r="P14" s="2011"/>
      <c r="Q14" s="2011"/>
      <c r="R14" s="40"/>
      <c r="S14" s="2011"/>
      <c r="T14" s="2011"/>
      <c r="U14" s="2011"/>
      <c r="V14" s="2011"/>
      <c r="W14" s="2011"/>
      <c r="X14" s="2011"/>
      <c r="Y14" s="2011"/>
      <c r="Z14" s="2011"/>
      <c r="AA14" s="2011"/>
      <c r="AB14" s="2011"/>
      <c r="AC14" s="2030"/>
      <c r="AD14" s="1956" t="s">
        <v>285</v>
      </c>
      <c r="AE14" s="1956"/>
    </row>
    <row r="15" s="418" customFormat="1" ht="22.85" customHeight="1" spans="1:31">
      <c r="A15" s="666" t="s">
        <v>331</v>
      </c>
      <c r="B15" s="2173" t="s">
        <v>165</v>
      </c>
      <c r="C15" s="2121"/>
      <c r="D15" s="2174"/>
      <c r="E15" s="245"/>
      <c r="F15" s="2177"/>
      <c r="G15" s="2177"/>
      <c r="H15" s="2127">
        <v>220000</v>
      </c>
      <c r="I15" s="1953"/>
      <c r="J15" s="1993"/>
      <c r="K15" s="380"/>
      <c r="L15" s="1972"/>
      <c r="M15" s="2012"/>
      <c r="N15" s="2012"/>
      <c r="O15" s="2013"/>
      <c r="P15" s="44"/>
      <c r="Q15" s="153"/>
      <c r="R15" s="40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664"/>
      <c r="AD15" s="40"/>
      <c r="AE15" s="40"/>
    </row>
    <row r="16" s="418" customFormat="1" ht="22.85" customHeight="1" spans="1:31">
      <c r="A16" s="556"/>
      <c r="B16" s="1580" t="s">
        <v>165</v>
      </c>
      <c r="C16" s="2023"/>
      <c r="D16" s="1953"/>
      <c r="E16" s="41"/>
      <c r="F16" s="99"/>
      <c r="G16" s="99"/>
      <c r="H16" s="1972">
        <v>450000</v>
      </c>
      <c r="I16" s="1953"/>
      <c r="J16" s="1993"/>
      <c r="K16" s="380"/>
      <c r="L16" s="1972"/>
      <c r="M16" s="2012"/>
      <c r="N16" s="2012"/>
      <c r="O16" s="2013"/>
      <c r="P16" s="44"/>
      <c r="Q16" s="153"/>
      <c r="R16" s="40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664"/>
      <c r="AD16" s="40"/>
      <c r="AE16" s="40"/>
    </row>
    <row r="17" s="418" customFormat="1" ht="22.85" customHeight="1" spans="1:31">
      <c r="A17" s="556"/>
      <c r="B17" s="1580"/>
      <c r="C17" s="2023"/>
      <c r="D17" s="1953"/>
      <c r="E17" s="41"/>
      <c r="F17" s="99"/>
      <c r="G17" s="99"/>
      <c r="H17" s="1972"/>
      <c r="I17" s="1953"/>
      <c r="J17" s="1993"/>
      <c r="K17" s="380"/>
      <c r="L17" s="1972"/>
      <c r="M17" s="2012"/>
      <c r="N17" s="2012"/>
      <c r="O17" s="2013"/>
      <c r="P17" s="44"/>
      <c r="Q17" s="153"/>
      <c r="R17" s="40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664"/>
      <c r="AD17" s="40"/>
      <c r="AE17" s="40"/>
    </row>
    <row r="18" s="418" customFormat="1" ht="22.85" customHeight="1" spans="1:31">
      <c r="A18" s="664" t="s">
        <v>245</v>
      </c>
      <c r="B18" s="1580" t="s">
        <v>256</v>
      </c>
      <c r="C18" s="2140"/>
      <c r="D18" s="2139" t="s">
        <v>908</v>
      </c>
      <c r="E18" s="2140"/>
      <c r="F18" s="2140"/>
      <c r="G18" s="2147"/>
      <c r="H18" s="1994">
        <v>180000</v>
      </c>
      <c r="I18" s="2149"/>
      <c r="J18" s="1954"/>
      <c r="K18" s="1994"/>
      <c r="L18" s="1994"/>
      <c r="M18" s="2111"/>
      <c r="N18" s="2012"/>
      <c r="O18" s="2013"/>
      <c r="P18" s="44"/>
      <c r="Q18" s="153"/>
      <c r="R18" s="40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664"/>
      <c r="AD18" s="40"/>
      <c r="AE18" s="40"/>
    </row>
    <row r="19" s="418" customFormat="1" ht="22.85" customHeight="1" spans="1:31">
      <c r="A19" s="664"/>
      <c r="B19" s="1580" t="s">
        <v>166</v>
      </c>
      <c r="C19" s="2140"/>
      <c r="D19" s="2139" t="s">
        <v>909</v>
      </c>
      <c r="E19" s="2140"/>
      <c r="F19" s="2140"/>
      <c r="G19" s="2147"/>
      <c r="H19" s="1994">
        <v>110000</v>
      </c>
      <c r="I19" s="2149"/>
      <c r="J19" s="1954"/>
      <c r="K19" s="1994"/>
      <c r="L19" s="1994"/>
      <c r="M19" s="2111"/>
      <c r="N19" s="2012"/>
      <c r="O19" s="2013"/>
      <c r="P19" s="44"/>
      <c r="Q19" s="153"/>
      <c r="R19" s="40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664"/>
      <c r="AD19" s="40"/>
      <c r="AE19" s="40"/>
    </row>
    <row r="20" s="418" customFormat="1" ht="22.85" customHeight="1" spans="1:31">
      <c r="A20" s="664"/>
      <c r="B20" s="1580" t="s">
        <v>175</v>
      </c>
      <c r="C20" s="2020"/>
      <c r="D20" s="2139" t="s">
        <v>540</v>
      </c>
      <c r="E20" s="2140"/>
      <c r="F20" s="2140"/>
      <c r="G20" s="1953"/>
      <c r="H20" s="1994">
        <v>160000</v>
      </c>
      <c r="I20" s="2149"/>
      <c r="J20" s="1972"/>
      <c r="K20" s="1994"/>
      <c r="L20" s="1994"/>
      <c r="M20" s="2012"/>
      <c r="N20" s="2012"/>
      <c r="O20" s="2013"/>
      <c r="P20" s="44"/>
      <c r="Q20" s="153"/>
      <c r="R20" s="40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664"/>
      <c r="AD20" s="40"/>
      <c r="AE20" s="40"/>
    </row>
    <row r="21" s="1933" customFormat="1" ht="23.75" customHeight="1" spans="1:31">
      <c r="A21" s="556"/>
      <c r="B21" s="1141" t="s">
        <v>408</v>
      </c>
      <c r="C21" s="2121"/>
      <c r="D21" s="2124" t="s">
        <v>910</v>
      </c>
      <c r="E21" s="2126"/>
      <c r="F21" s="2126"/>
      <c r="G21" s="2127"/>
      <c r="H21" s="2127">
        <v>250000</v>
      </c>
      <c r="I21" s="1997"/>
      <c r="J21" s="379"/>
      <c r="K21" s="380"/>
      <c r="L21" s="1996"/>
      <c r="M21" s="2111"/>
      <c r="N21" s="2014"/>
      <c r="O21" s="2015"/>
      <c r="P21" s="40"/>
      <c r="Q21" s="40"/>
      <c r="R21" s="2023"/>
      <c r="S21" s="2024"/>
      <c r="T21" s="40"/>
      <c r="U21" s="40"/>
      <c r="V21" s="40"/>
      <c r="W21" s="40"/>
      <c r="X21" s="40"/>
      <c r="Y21" s="40"/>
      <c r="Z21" s="40"/>
      <c r="AA21" s="40"/>
      <c r="AB21" s="40"/>
      <c r="AC21" s="664"/>
      <c r="AD21" s="185"/>
      <c r="AE21" s="40"/>
    </row>
    <row r="22" s="1933" customFormat="1" ht="23.75" customHeight="1" spans="1:31">
      <c r="A22" s="556"/>
      <c r="B22" s="1141" t="s">
        <v>400</v>
      </c>
      <c r="C22" s="2121" t="s">
        <v>865</v>
      </c>
      <c r="D22" s="2124"/>
      <c r="E22" s="2126"/>
      <c r="F22" s="2126"/>
      <c r="G22" s="2127"/>
      <c r="H22" s="2127">
        <v>170000</v>
      </c>
      <c r="I22" s="1997" t="s">
        <v>911</v>
      </c>
      <c r="J22" s="379"/>
      <c r="K22" s="380"/>
      <c r="L22" s="1996"/>
      <c r="M22" s="364"/>
      <c r="N22" s="2014"/>
      <c r="O22" s="2016"/>
      <c r="P22" s="40"/>
      <c r="Q22" s="40"/>
      <c r="R22" s="2023"/>
      <c r="S22" s="2024"/>
      <c r="T22" s="40"/>
      <c r="U22" s="40"/>
      <c r="V22" s="40"/>
      <c r="W22" s="40"/>
      <c r="X22" s="40"/>
      <c r="Y22" s="40"/>
      <c r="Z22" s="40"/>
      <c r="AA22" s="40"/>
      <c r="AB22" s="40"/>
      <c r="AC22" s="664"/>
      <c r="AD22" s="185"/>
      <c r="AE22" s="40"/>
    </row>
    <row r="23" s="1933" customFormat="1" ht="23.75" customHeight="1" spans="1:31">
      <c r="A23" s="556"/>
      <c r="B23" s="1141" t="s">
        <v>167</v>
      </c>
      <c r="C23" s="2121" t="s">
        <v>912</v>
      </c>
      <c r="D23" s="2124"/>
      <c r="E23" s="2126"/>
      <c r="F23" s="2126"/>
      <c r="G23" s="2127"/>
      <c r="H23" s="2127">
        <v>55000</v>
      </c>
      <c r="I23" s="1997"/>
      <c r="J23" s="379"/>
      <c r="K23" s="380"/>
      <c r="L23" s="1996"/>
      <c r="M23" s="364"/>
      <c r="N23" s="2014"/>
      <c r="O23" s="2016"/>
      <c r="P23" s="40"/>
      <c r="Q23" s="40"/>
      <c r="R23" s="2023"/>
      <c r="S23" s="2024"/>
      <c r="T23" s="40"/>
      <c r="U23" s="40"/>
      <c r="V23" s="40"/>
      <c r="W23" s="40"/>
      <c r="X23" s="40"/>
      <c r="Y23" s="40"/>
      <c r="Z23" s="40"/>
      <c r="AA23" s="40"/>
      <c r="AB23" s="40"/>
      <c r="AC23" s="664"/>
      <c r="AD23" s="185"/>
      <c r="AE23" s="40"/>
    </row>
    <row r="24" s="1933" customFormat="1" ht="23.75" customHeight="1" spans="1:31">
      <c r="A24" s="556"/>
      <c r="B24" s="715" t="s">
        <v>287</v>
      </c>
      <c r="C24" s="1952" t="s">
        <v>913</v>
      </c>
      <c r="D24" s="2125"/>
      <c r="E24" s="68"/>
      <c r="F24" s="68"/>
      <c r="G24" s="380"/>
      <c r="H24" s="380">
        <v>20000</v>
      </c>
      <c r="I24" s="1997"/>
      <c r="J24" s="379"/>
      <c r="K24" s="380"/>
      <c r="L24" s="1996"/>
      <c r="M24" s="364"/>
      <c r="N24" s="2014"/>
      <c r="O24" s="2016"/>
      <c r="P24" s="40"/>
      <c r="Q24" s="40"/>
      <c r="R24" s="2023"/>
      <c r="S24" s="2024"/>
      <c r="T24" s="40"/>
      <c r="U24" s="40"/>
      <c r="V24" s="40"/>
      <c r="W24" s="40"/>
      <c r="X24" s="40"/>
      <c r="Y24" s="40"/>
      <c r="Z24" s="40"/>
      <c r="AA24" s="40"/>
      <c r="AB24" s="40"/>
      <c r="AC24" s="664"/>
      <c r="AD24" s="185"/>
      <c r="AE24" s="40"/>
    </row>
    <row r="25" s="1933" customFormat="1" ht="23.75" customHeight="1" spans="1:31">
      <c r="A25" s="556"/>
      <c r="B25" s="1580" t="s">
        <v>243</v>
      </c>
      <c r="C25" s="2023" t="s">
        <v>914</v>
      </c>
      <c r="D25" s="1953"/>
      <c r="E25" s="1953"/>
      <c r="F25" s="1953"/>
      <c r="G25" s="1953"/>
      <c r="H25" s="1972">
        <v>100000</v>
      </c>
      <c r="I25" s="1997"/>
      <c r="J25" s="379"/>
      <c r="K25" s="380"/>
      <c r="L25" s="1996"/>
      <c r="M25" s="364"/>
      <c r="N25" s="2014"/>
      <c r="O25" s="2016"/>
      <c r="P25" s="40"/>
      <c r="Q25" s="40"/>
      <c r="R25" s="2023"/>
      <c r="S25" s="2024"/>
      <c r="T25" s="40"/>
      <c r="U25" s="40"/>
      <c r="V25" s="40"/>
      <c r="W25" s="40"/>
      <c r="X25" s="40"/>
      <c r="Y25" s="40"/>
      <c r="Z25" s="40"/>
      <c r="AA25" s="40"/>
      <c r="AB25" s="40"/>
      <c r="AC25" s="664"/>
      <c r="AD25" s="185"/>
      <c r="AE25" s="40"/>
    </row>
    <row r="26" ht="27.5" customHeight="1" spans="1:31">
      <c r="A26" s="1956" t="s">
        <v>67</v>
      </c>
      <c r="B26" s="1957"/>
      <c r="C26" s="1951"/>
      <c r="D26" s="1951"/>
      <c r="E26" s="1973"/>
      <c r="F26" s="1974"/>
      <c r="G26" s="1974"/>
      <c r="H26" s="1975">
        <f>SUM(H15:H25)</f>
        <v>1715000</v>
      </c>
      <c r="I26" s="1974"/>
      <c r="J26" s="1998"/>
      <c r="K26" s="99"/>
      <c r="L26" s="99"/>
      <c r="M26" s="185"/>
      <c r="N26" s="185"/>
      <c r="O26" s="2016"/>
      <c r="P26" s="40"/>
      <c r="Q26" s="40"/>
      <c r="R26" s="523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1956"/>
      <c r="AD26" s="1956" t="s">
        <v>293</v>
      </c>
      <c r="AE26" s="1956"/>
    </row>
    <row r="27" spans="1:31">
      <c r="A27" s="1958" t="s">
        <v>344</v>
      </c>
      <c r="B27" s="1959" t="s">
        <v>299</v>
      </c>
      <c r="C27" s="1883" t="s">
        <v>915</v>
      </c>
      <c r="D27" s="819" t="s">
        <v>348</v>
      </c>
      <c r="E27" s="1976">
        <v>91</v>
      </c>
      <c r="F27" s="1327">
        <v>365</v>
      </c>
      <c r="G27" s="1327">
        <f>F27*E27</f>
        <v>33215</v>
      </c>
      <c r="H27" s="1977">
        <f>G27*I27</f>
        <v>214582.186</v>
      </c>
      <c r="I27" s="1992">
        <v>6.4604</v>
      </c>
      <c r="J27" s="2151"/>
      <c r="K27" s="1999">
        <f>SUM(H27:H31)</f>
        <v>459528.252</v>
      </c>
      <c r="L27" s="2000"/>
      <c r="M27" s="2017"/>
      <c r="N27" s="2018"/>
      <c r="O27" s="2019"/>
      <c r="P27" s="2020"/>
      <c r="Q27" s="2020"/>
      <c r="R27" s="2025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2031"/>
      <c r="AD27" s="2032"/>
      <c r="AE27" s="2033"/>
    </row>
    <row r="28" spans="1:31">
      <c r="A28" s="1958"/>
      <c r="B28" s="1959" t="s">
        <v>299</v>
      </c>
      <c r="C28" s="1883" t="s">
        <v>916</v>
      </c>
      <c r="D28" s="819" t="s">
        <v>348</v>
      </c>
      <c r="E28" s="1976">
        <v>91</v>
      </c>
      <c r="F28" s="1327">
        <v>365</v>
      </c>
      <c r="G28" s="1327">
        <f>F28*E28</f>
        <v>33215</v>
      </c>
      <c r="H28" s="1977">
        <f t="shared" ref="H28:H33" si="0">G28*I28</f>
        <v>214582.186</v>
      </c>
      <c r="I28" s="1992">
        <v>6.4604</v>
      </c>
      <c r="J28" s="606"/>
      <c r="K28" s="1999">
        <f>SUM(H33:H34)</f>
        <v>710865.5188</v>
      </c>
      <c r="L28" s="2000"/>
      <c r="M28" s="2017"/>
      <c r="N28" s="2018"/>
      <c r="O28" s="2019"/>
      <c r="P28" s="2020"/>
      <c r="Q28" s="2020"/>
      <c r="R28" s="2025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31"/>
      <c r="AD28" s="2032"/>
      <c r="AE28" s="2033"/>
    </row>
    <row r="29" spans="1:31">
      <c r="A29" s="1958"/>
      <c r="B29" s="1959"/>
      <c r="C29" s="1303"/>
      <c r="D29" s="819"/>
      <c r="E29" s="1976"/>
      <c r="F29" s="1327"/>
      <c r="G29" s="1327"/>
      <c r="H29" s="1977"/>
      <c r="I29" s="1992"/>
      <c r="J29" s="606"/>
      <c r="K29" s="1999"/>
      <c r="L29" s="2000"/>
      <c r="M29" s="2017"/>
      <c r="N29" s="2018"/>
      <c r="O29" s="2019"/>
      <c r="P29" s="2020"/>
      <c r="Q29" s="2020"/>
      <c r="R29" s="2025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2031"/>
      <c r="AD29" s="2032"/>
      <c r="AE29" s="2033"/>
    </row>
    <row r="30" spans="1:31">
      <c r="A30" s="1958"/>
      <c r="B30" s="1959" t="s">
        <v>917</v>
      </c>
      <c r="C30" s="1883" t="s">
        <v>918</v>
      </c>
      <c r="D30" s="819" t="s">
        <v>919</v>
      </c>
      <c r="E30" s="1976">
        <v>4</v>
      </c>
      <c r="F30" s="1327"/>
      <c r="G30" s="1327">
        <v>4700</v>
      </c>
      <c r="H30" s="1977">
        <f t="shared" si="0"/>
        <v>30363.88</v>
      </c>
      <c r="I30" s="1992">
        <v>6.4604</v>
      </c>
      <c r="J30" s="606"/>
      <c r="K30" s="1999"/>
      <c r="L30" s="2000"/>
      <c r="M30" s="2017"/>
      <c r="N30" s="2018"/>
      <c r="O30" s="2019"/>
      <c r="P30" s="2020"/>
      <c r="Q30" s="2020"/>
      <c r="R30" s="2025"/>
      <c r="S30" s="2020"/>
      <c r="T30" s="2020"/>
      <c r="U30" s="2020"/>
      <c r="V30" s="2020"/>
      <c r="W30" s="2020"/>
      <c r="X30" s="2020"/>
      <c r="Y30" s="2020"/>
      <c r="Z30" s="2020"/>
      <c r="AA30" s="2020"/>
      <c r="AB30" s="2020"/>
      <c r="AC30" s="2031"/>
      <c r="AD30" s="2032"/>
      <c r="AE30" s="2033"/>
    </row>
    <row r="31" spans="1:31">
      <c r="A31" s="1958"/>
      <c r="B31" s="724"/>
      <c r="C31" s="1303"/>
      <c r="D31" s="614"/>
      <c r="E31" s="1050"/>
      <c r="F31" s="1327"/>
      <c r="G31" s="1327"/>
      <c r="H31" s="1977"/>
      <c r="I31" s="733"/>
      <c r="J31" s="750"/>
      <c r="K31" s="2180">
        <f>SUM(H36:H41)</f>
        <v>594369.7208</v>
      </c>
      <c r="L31" s="2000"/>
      <c r="M31" s="2017"/>
      <c r="N31" s="2018"/>
      <c r="O31" s="2019"/>
      <c r="P31" s="2020"/>
      <c r="Q31" s="2020"/>
      <c r="R31" s="2025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31"/>
      <c r="AD31" s="2032"/>
      <c r="AE31" s="2033"/>
    </row>
    <row r="32" spans="1:31">
      <c r="A32" s="2011"/>
      <c r="B32" s="2144"/>
      <c r="C32" s="1303"/>
      <c r="D32" s="614"/>
      <c r="E32" s="1050"/>
      <c r="F32" s="1176"/>
      <c r="G32" s="1327"/>
      <c r="H32" s="1977"/>
      <c r="I32" s="733"/>
      <c r="J32" s="2152"/>
      <c r="K32" s="2053"/>
      <c r="L32" s="2054"/>
      <c r="M32" s="2020"/>
      <c r="N32" s="2018"/>
      <c r="O32" s="2019"/>
      <c r="P32" s="2020"/>
      <c r="Q32" s="2020"/>
      <c r="R32" s="2025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75"/>
      <c r="AD32" s="1959"/>
      <c r="AE32" s="2020"/>
    </row>
    <row r="33" spans="1:31">
      <c r="A33" s="2153" t="s">
        <v>220</v>
      </c>
      <c r="B33" s="971" t="s">
        <v>355</v>
      </c>
      <c r="C33" s="1883" t="s">
        <v>920</v>
      </c>
      <c r="D33" s="614"/>
      <c r="E33" s="571">
        <v>1</v>
      </c>
      <c r="F33" s="1257">
        <v>74200</v>
      </c>
      <c r="G33" s="1327">
        <f>F33*E33</f>
        <v>74200</v>
      </c>
      <c r="H33" s="2188">
        <f t="shared" si="0"/>
        <v>479925.6</v>
      </c>
      <c r="I33" s="1992">
        <v>6.468</v>
      </c>
      <c r="J33" s="2056" t="s">
        <v>921</v>
      </c>
      <c r="K33" s="2057"/>
      <c r="L33" s="2058"/>
      <c r="M33" s="2020"/>
      <c r="N33" s="2018"/>
      <c r="O33" s="2019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75"/>
      <c r="AD33" s="1959"/>
      <c r="AE33" s="2020"/>
    </row>
    <row r="34" spans="1:31">
      <c r="A34" s="2153"/>
      <c r="B34" s="971" t="s">
        <v>267</v>
      </c>
      <c r="C34" s="1883" t="s">
        <v>922</v>
      </c>
      <c r="D34" s="571"/>
      <c r="E34" s="571">
        <v>1</v>
      </c>
      <c r="F34" s="1257">
        <v>35747</v>
      </c>
      <c r="G34" s="1257">
        <f>E34*F34</f>
        <v>35747</v>
      </c>
      <c r="H34" s="1977">
        <f t="shared" ref="H33:H39" si="1">G34*I34</f>
        <v>230939.9188</v>
      </c>
      <c r="I34" s="1992">
        <v>6.4604</v>
      </c>
      <c r="J34" s="2056" t="s">
        <v>923</v>
      </c>
      <c r="K34" s="1239"/>
      <c r="L34" s="1176"/>
      <c r="M34" s="2020"/>
      <c r="N34" s="2018"/>
      <c r="O34" s="2019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75"/>
      <c r="AD34" s="2157"/>
      <c r="AE34" s="2020"/>
    </row>
    <row r="35" spans="1:31">
      <c r="A35" s="2154"/>
      <c r="B35" s="971"/>
      <c r="C35" s="1303"/>
      <c r="D35" s="614"/>
      <c r="E35" s="571"/>
      <c r="F35" s="1257"/>
      <c r="G35" s="1327"/>
      <c r="H35" s="1977"/>
      <c r="I35" s="1992"/>
      <c r="J35" s="2056"/>
      <c r="K35" s="1239"/>
      <c r="L35" s="1176"/>
      <c r="M35" s="2020"/>
      <c r="N35" s="2018"/>
      <c r="O35" s="2019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75"/>
      <c r="AD35" s="2157"/>
      <c r="AE35" s="2020"/>
    </row>
    <row r="36" customFormat="1" spans="1:31">
      <c r="A36" s="2185" t="s">
        <v>509</v>
      </c>
      <c r="B36" s="2034" t="s">
        <v>274</v>
      </c>
      <c r="C36" s="1903" t="s">
        <v>894</v>
      </c>
      <c r="D36" s="819"/>
      <c r="E36" s="1976">
        <v>1</v>
      </c>
      <c r="F36" s="2164"/>
      <c r="G36" s="1327">
        <v>38208</v>
      </c>
      <c r="H36" s="1977">
        <f t="shared" si="1"/>
        <v>246838.9632</v>
      </c>
      <c r="I36" s="1992">
        <v>6.4604</v>
      </c>
      <c r="J36" s="2056" t="s">
        <v>924</v>
      </c>
      <c r="K36" s="1239"/>
      <c r="L36" s="1176"/>
      <c r="M36" s="2020"/>
      <c r="N36" s="2018"/>
      <c r="O36" s="2019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75"/>
      <c r="AD36" s="2157"/>
      <c r="AE36" s="2020"/>
    </row>
    <row r="37" customFormat="1" spans="1:31">
      <c r="A37" s="2186"/>
      <c r="B37" s="2034" t="s">
        <v>274</v>
      </c>
      <c r="C37" s="1903" t="s">
        <v>896</v>
      </c>
      <c r="D37" s="819"/>
      <c r="E37" s="1976">
        <v>1</v>
      </c>
      <c r="F37" s="2164"/>
      <c r="G37" s="1327">
        <v>33274</v>
      </c>
      <c r="H37" s="1977">
        <f t="shared" si="1"/>
        <v>214963.3496</v>
      </c>
      <c r="I37" s="1992">
        <v>6.4604</v>
      </c>
      <c r="J37" s="2056" t="s">
        <v>899</v>
      </c>
      <c r="K37" s="1239"/>
      <c r="L37" s="1176"/>
      <c r="M37" s="2020"/>
      <c r="N37" s="2018"/>
      <c r="O37" s="2019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75"/>
      <c r="AD37" s="2157"/>
      <c r="AE37" s="2020"/>
    </row>
    <row r="38" customFormat="1" spans="1:31">
      <c r="A38" s="2186"/>
      <c r="B38" s="2034" t="s">
        <v>274</v>
      </c>
      <c r="C38" s="1903" t="s">
        <v>898</v>
      </c>
      <c r="D38" s="614"/>
      <c r="E38" s="1050">
        <v>1</v>
      </c>
      <c r="F38" s="1176"/>
      <c r="G38" s="1327">
        <v>9929</v>
      </c>
      <c r="H38" s="1977">
        <f t="shared" si="1"/>
        <v>64145.3116</v>
      </c>
      <c r="I38" s="1992">
        <v>6.4604</v>
      </c>
      <c r="J38" s="2056" t="s">
        <v>925</v>
      </c>
      <c r="K38" s="1239"/>
      <c r="L38" s="1176"/>
      <c r="M38" s="2020"/>
      <c r="N38" s="2018"/>
      <c r="O38" s="2019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75"/>
      <c r="AD38" s="2157"/>
      <c r="AE38" s="2020"/>
    </row>
    <row r="39" customFormat="1" spans="1:31">
      <c r="A39" s="2186"/>
      <c r="B39" s="1627" t="s">
        <v>274</v>
      </c>
      <c r="C39" s="1903" t="s">
        <v>900</v>
      </c>
      <c r="D39" s="614"/>
      <c r="E39" s="1050">
        <v>1</v>
      </c>
      <c r="F39" s="1176"/>
      <c r="G39" s="1327">
        <v>10591</v>
      </c>
      <c r="H39" s="1977">
        <f t="shared" si="1"/>
        <v>68422.0964</v>
      </c>
      <c r="I39" s="1992">
        <v>6.4604</v>
      </c>
      <c r="J39" s="2056" t="s">
        <v>925</v>
      </c>
      <c r="K39" s="1239"/>
      <c r="L39" s="1176"/>
      <c r="M39" s="2020"/>
      <c r="N39" s="2018"/>
      <c r="O39" s="2019"/>
      <c r="P39" s="2020"/>
      <c r="Q39" s="2020"/>
      <c r="R39" s="2025"/>
      <c r="S39" s="2020"/>
      <c r="T39" s="2020"/>
      <c r="U39" s="2020"/>
      <c r="V39" s="2020"/>
      <c r="W39" s="2020"/>
      <c r="X39" s="2020"/>
      <c r="Y39" s="2020"/>
      <c r="Z39" s="2020"/>
      <c r="AA39" s="2020"/>
      <c r="AB39" s="2020"/>
      <c r="AC39" s="2075"/>
      <c r="AD39" s="2157"/>
      <c r="AE39" s="2020"/>
    </row>
    <row r="40" customFormat="1" spans="1:31">
      <c r="A40" s="2186"/>
      <c r="B40" s="2034"/>
      <c r="C40" s="561"/>
      <c r="D40" s="819"/>
      <c r="E40" s="1976"/>
      <c r="F40" s="2164"/>
      <c r="G40" s="1327"/>
      <c r="H40" s="1977"/>
      <c r="I40" s="2166"/>
      <c r="J40" s="2056"/>
      <c r="K40" s="2109"/>
      <c r="L40" s="1176"/>
      <c r="M40" s="2020"/>
      <c r="N40" s="2018"/>
      <c r="O40" s="2019"/>
      <c r="P40" s="2020"/>
      <c r="Q40" s="2020"/>
      <c r="R40" s="2025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075"/>
      <c r="AD40" s="2157"/>
      <c r="AE40" s="2020"/>
    </row>
    <row r="41" customFormat="1" spans="1:31">
      <c r="A41" s="2187"/>
      <c r="B41" s="1627"/>
      <c r="C41" s="724"/>
      <c r="D41" s="614"/>
      <c r="E41" s="1050"/>
      <c r="F41" s="1176"/>
      <c r="G41" s="2189"/>
      <c r="H41" s="1977"/>
      <c r="I41" s="1992"/>
      <c r="J41" s="645"/>
      <c r="K41" s="1239"/>
      <c r="L41" s="1176"/>
      <c r="M41" s="2020"/>
      <c r="N41" s="2018"/>
      <c r="O41" s="2019"/>
      <c r="P41" s="2020"/>
      <c r="Q41" s="2020"/>
      <c r="R41" s="2025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75"/>
      <c r="AD41" s="2157"/>
      <c r="AE41" s="2020"/>
    </row>
    <row r="42" spans="1:31">
      <c r="A42" s="2035"/>
      <c r="B42" s="2036"/>
      <c r="C42" s="2037"/>
      <c r="D42" s="2038"/>
      <c r="E42" s="2043"/>
      <c r="F42" s="2044"/>
      <c r="G42" s="2045"/>
      <c r="H42" s="1977"/>
      <c r="I42" s="2059"/>
      <c r="J42" s="2060"/>
      <c r="K42" s="2061"/>
      <c r="L42" s="2054"/>
      <c r="M42" s="2020"/>
      <c r="N42" s="2071"/>
      <c r="O42" s="2019"/>
      <c r="P42" s="2020"/>
      <c r="Q42" s="2020"/>
      <c r="R42" s="2073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75"/>
      <c r="AD42" s="1959"/>
      <c r="AE42" s="2020"/>
    </row>
    <row r="43" spans="1:31">
      <c r="A43" s="2035"/>
      <c r="B43" s="2036"/>
      <c r="C43" s="2037"/>
      <c r="D43" s="2038"/>
      <c r="E43" s="2043"/>
      <c r="F43" s="2044"/>
      <c r="G43" s="2046"/>
      <c r="H43" s="2047"/>
      <c r="I43" s="2055"/>
      <c r="J43" s="2062"/>
      <c r="K43" s="2063"/>
      <c r="L43" s="2054"/>
      <c r="M43" s="2020"/>
      <c r="N43" s="2071"/>
      <c r="O43" s="2019"/>
      <c r="P43" s="2020"/>
      <c r="Q43" s="2020"/>
      <c r="R43" s="2073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75"/>
      <c r="AD43" s="1959"/>
      <c r="AE43" s="2020"/>
    </row>
    <row r="44" spans="1:31">
      <c r="A44" s="2035"/>
      <c r="B44" s="2036"/>
      <c r="C44" s="2037"/>
      <c r="D44" s="2038"/>
      <c r="E44" s="2043"/>
      <c r="F44" s="2044"/>
      <c r="G44" s="2046"/>
      <c r="H44" s="2047"/>
      <c r="I44" s="2055"/>
      <c r="J44" s="2062"/>
      <c r="K44" s="2064"/>
      <c r="L44" s="2065"/>
      <c r="M44" s="2020"/>
      <c r="N44" s="2071"/>
      <c r="O44" s="2019"/>
      <c r="P44" s="2020"/>
      <c r="Q44" s="2020"/>
      <c r="R44" s="2073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75"/>
      <c r="AD44" s="1959"/>
      <c r="AE44" s="2020"/>
    </row>
    <row r="45" customHeight="1" spans="1:31">
      <c r="A45" s="2039" t="s">
        <v>67</v>
      </c>
      <c r="B45" s="2039"/>
      <c r="C45" s="2040"/>
      <c r="D45" s="2040"/>
      <c r="E45" s="2048"/>
      <c r="F45" s="2049"/>
      <c r="G45" s="2049"/>
      <c r="H45" s="2050">
        <f>SUM(H27:H44)</f>
        <v>1764763.4916</v>
      </c>
      <c r="I45" s="2066"/>
      <c r="J45" s="2050">
        <v>0</v>
      </c>
      <c r="K45" s="2067">
        <v>0</v>
      </c>
      <c r="L45" s="2068">
        <v>0</v>
      </c>
      <c r="M45" s="474"/>
      <c r="N45" s="474"/>
      <c r="O45" s="2072"/>
      <c r="P45" s="2011"/>
      <c r="Q45" s="2011"/>
      <c r="R45" s="2074"/>
      <c r="S45" s="2011"/>
      <c r="T45" s="2011"/>
      <c r="U45" s="2011"/>
      <c r="V45" s="2011"/>
      <c r="W45" s="2011"/>
      <c r="X45" s="2011"/>
      <c r="Y45" s="2011"/>
      <c r="Z45" s="2011"/>
      <c r="AA45" s="2011"/>
      <c r="AB45" s="2011"/>
      <c r="AC45" s="2039"/>
      <c r="AD45" s="2077" t="s">
        <v>325</v>
      </c>
      <c r="AE45" s="2077"/>
    </row>
    <row r="46" spans="1:31">
      <c r="A46" s="2001"/>
      <c r="B46" s="2001"/>
      <c r="C46" s="2001"/>
      <c r="D46" s="2001"/>
      <c r="E46" s="2051"/>
      <c r="F46" s="2001"/>
      <c r="G46" s="2001"/>
      <c r="H46" s="2052"/>
      <c r="I46" s="2001"/>
      <c r="J46" s="2001"/>
      <c r="K46" s="2001"/>
      <c r="L46" s="2001"/>
      <c r="M46" s="2001"/>
      <c r="N46" s="2001"/>
      <c r="O46" s="2002"/>
      <c r="P46" s="2001"/>
      <c r="Q46" s="2001"/>
      <c r="R46" s="2001"/>
      <c r="S46" s="2001"/>
      <c r="T46" s="2001"/>
      <c r="U46" s="2001"/>
      <c r="V46" s="2001"/>
      <c r="W46" s="2001"/>
      <c r="X46" s="2001"/>
      <c r="Y46" s="2001"/>
      <c r="Z46" s="2001"/>
      <c r="AA46" s="2001"/>
      <c r="AB46" s="2001"/>
      <c r="AC46" s="2001"/>
      <c r="AD46" s="2001"/>
      <c r="AE46" s="2001"/>
    </row>
    <row r="47" spans="1:31">
      <c r="A47" s="2001"/>
      <c r="B47" s="2001"/>
      <c r="C47" s="2001"/>
      <c r="D47" s="2001"/>
      <c r="E47" s="2051"/>
      <c r="F47" s="2001"/>
      <c r="G47" s="2001"/>
      <c r="H47" s="2052"/>
      <c r="I47" s="2001"/>
      <c r="J47" s="2001"/>
      <c r="K47" s="2001"/>
      <c r="L47" s="2001"/>
      <c r="M47" s="2001"/>
      <c r="N47" s="2001"/>
      <c r="O47" s="2002"/>
      <c r="P47" s="2001"/>
      <c r="Q47" s="2001"/>
      <c r="R47" s="2001"/>
      <c r="S47" s="2001"/>
      <c r="T47" s="2001"/>
      <c r="U47" s="2001"/>
      <c r="V47" s="2001"/>
      <c r="W47" s="2001"/>
      <c r="X47" s="2001"/>
      <c r="Y47" s="2001"/>
      <c r="Z47" s="2001"/>
      <c r="AA47" s="2001"/>
      <c r="AB47" s="2001"/>
      <c r="AC47" s="2001"/>
      <c r="AD47" s="2001"/>
      <c r="AE47" s="2001"/>
    </row>
    <row r="48" spans="1:31">
      <c r="A48" s="2001"/>
      <c r="B48" s="2001"/>
      <c r="C48" s="2001" t="s">
        <v>139</v>
      </c>
      <c r="D48" s="2001" t="s">
        <v>140</v>
      </c>
      <c r="E48" s="2051"/>
      <c r="F48" s="2001" t="s">
        <v>141</v>
      </c>
      <c r="G48" s="2001"/>
      <c r="H48" s="2052">
        <f>H14+H26+H45</f>
        <v>6529763.4916</v>
      </c>
      <c r="I48" s="2001"/>
      <c r="J48" s="2001" t="s">
        <v>579</v>
      </c>
      <c r="K48" s="2069">
        <f>H14</f>
        <v>3050000</v>
      </c>
      <c r="L48" s="2001"/>
      <c r="M48" s="2069"/>
      <c r="N48" s="2001"/>
      <c r="O48" s="2002"/>
      <c r="P48" s="2001"/>
      <c r="Q48" s="2001"/>
      <c r="R48" s="2001"/>
      <c r="S48" s="2001"/>
      <c r="T48" s="2001"/>
      <c r="U48" s="2001"/>
      <c r="V48" s="2001"/>
      <c r="W48" s="2001"/>
      <c r="X48" s="2001"/>
      <c r="Y48" s="2001"/>
      <c r="Z48" s="2001"/>
      <c r="AA48" s="2001"/>
      <c r="AB48" s="2001"/>
      <c r="AC48" s="2001"/>
      <c r="AD48" s="2001"/>
      <c r="AE48" s="2001"/>
    </row>
    <row r="49" spans="1:31">
      <c r="A49" s="2001"/>
      <c r="B49" s="2001"/>
      <c r="C49" s="2001"/>
      <c r="D49" s="2001"/>
      <c r="E49" s="2051"/>
      <c r="F49" s="2001"/>
      <c r="G49" s="2001"/>
      <c r="H49" s="2052"/>
      <c r="I49" s="2001"/>
      <c r="J49" s="2001" t="s">
        <v>580</v>
      </c>
      <c r="K49" s="2069">
        <f>H26</f>
        <v>1715000</v>
      </c>
      <c r="L49" s="2001"/>
      <c r="M49" s="2069"/>
      <c r="N49" s="2001"/>
      <c r="O49" s="2002"/>
      <c r="P49" s="2001"/>
      <c r="Q49" s="2001"/>
      <c r="R49" s="2001"/>
      <c r="S49" s="2001"/>
      <c r="T49" s="2001"/>
      <c r="U49" s="2001"/>
      <c r="V49" s="2001"/>
      <c r="W49" s="2001"/>
      <c r="X49" s="2001"/>
      <c r="Y49" s="2001"/>
      <c r="Z49" s="2001"/>
      <c r="AA49" s="2001"/>
      <c r="AB49" s="2001"/>
      <c r="AC49" s="2001"/>
      <c r="AD49" s="2001"/>
      <c r="AE49" s="2001"/>
    </row>
    <row r="50" spans="1:31">
      <c r="A50" s="2001"/>
      <c r="B50" s="2001"/>
      <c r="C50" s="2001"/>
      <c r="D50" s="2001"/>
      <c r="E50" s="2051"/>
      <c r="F50" s="2001"/>
      <c r="G50" s="2001"/>
      <c r="H50" s="2052"/>
      <c r="I50" s="2001"/>
      <c r="J50" s="2001" t="s">
        <v>581</v>
      </c>
      <c r="K50" s="2069">
        <f>H45</f>
        <v>1764763.4916</v>
      </c>
      <c r="L50" s="2001"/>
      <c r="M50" s="2069"/>
      <c r="N50" s="2001"/>
      <c r="O50" s="2002"/>
      <c r="P50" s="2001"/>
      <c r="Q50" s="2001"/>
      <c r="R50" s="2001"/>
      <c r="S50" s="2001"/>
      <c r="T50" s="2001"/>
      <c r="U50" s="2001"/>
      <c r="V50" s="2001"/>
      <c r="W50" s="2001"/>
      <c r="X50" s="2001"/>
      <c r="Y50" s="2001"/>
      <c r="Z50" s="2001"/>
      <c r="AA50" s="2001"/>
      <c r="AB50" s="2001"/>
      <c r="AC50" s="2001"/>
      <c r="AD50" s="2001"/>
      <c r="AE50" s="2001"/>
    </row>
    <row r="51" spans="1:31">
      <c r="A51" s="2001"/>
      <c r="B51" s="2001"/>
      <c r="C51" s="2001"/>
      <c r="D51" s="2001"/>
      <c r="E51" s="2051"/>
      <c r="F51" s="2001"/>
      <c r="G51" s="2001"/>
      <c r="H51" s="2052"/>
      <c r="I51" s="2001"/>
      <c r="J51" s="2001"/>
      <c r="K51" s="2069">
        <f>SUM(K48:K50)</f>
        <v>6529763.4916</v>
      </c>
      <c r="L51" s="2001"/>
      <c r="M51" s="2069"/>
      <c r="N51" s="2001"/>
      <c r="O51" s="2002"/>
      <c r="P51" s="2001"/>
      <c r="Q51" s="2001"/>
      <c r="R51" s="2001"/>
      <c r="S51" s="2001"/>
      <c r="T51" s="2001"/>
      <c r="U51" s="2001"/>
      <c r="V51" s="2001"/>
      <c r="W51" s="2001"/>
      <c r="X51" s="2001"/>
      <c r="Y51" s="2001"/>
      <c r="Z51" s="2001"/>
      <c r="AA51" s="2001"/>
      <c r="AB51" s="2001"/>
      <c r="AC51" s="2001"/>
      <c r="AD51" s="2001"/>
      <c r="AE51" s="2001"/>
    </row>
    <row r="52" spans="1:31">
      <c r="A52" s="2001"/>
      <c r="B52" s="2001"/>
      <c r="C52" s="2001"/>
      <c r="D52" s="2001"/>
      <c r="E52" s="2051"/>
      <c r="F52" s="2001"/>
      <c r="G52" s="2001"/>
      <c r="H52" s="2052"/>
      <c r="I52" s="2001"/>
      <c r="J52" s="2001"/>
      <c r="K52" s="2069"/>
      <c r="L52" s="2001"/>
      <c r="M52" s="2069"/>
      <c r="N52" s="2001"/>
      <c r="O52" s="2002"/>
      <c r="P52" s="2001"/>
      <c r="Q52" s="2001"/>
      <c r="R52" s="2001"/>
      <c r="S52" s="2001"/>
      <c r="T52" s="2001"/>
      <c r="U52" s="2001"/>
      <c r="V52" s="2001"/>
      <c r="W52" s="2001"/>
      <c r="X52" s="2001"/>
      <c r="Y52" s="2001"/>
      <c r="Z52" s="2001"/>
      <c r="AA52" s="2001"/>
      <c r="AB52" s="2001"/>
      <c r="AC52" s="2001"/>
      <c r="AD52" s="2001"/>
      <c r="AE52" s="2001"/>
    </row>
    <row r="53" spans="1:31">
      <c r="A53" s="2041"/>
      <c r="B53" s="2041"/>
      <c r="C53" s="2041"/>
      <c r="D53" s="2041"/>
      <c r="E53" s="2051"/>
      <c r="F53" s="2041"/>
      <c r="G53" s="2041"/>
      <c r="H53" s="2052"/>
      <c r="I53" s="2041"/>
      <c r="J53" s="2041"/>
      <c r="K53" s="2041"/>
      <c r="L53" s="2041"/>
      <c r="M53" s="2069"/>
      <c r="N53" s="2041"/>
      <c r="O53" s="2002"/>
      <c r="P53" s="2041"/>
      <c r="Q53" s="2041"/>
      <c r="R53" s="2041"/>
      <c r="S53" s="2041"/>
      <c r="T53" s="2041"/>
      <c r="U53" s="2041"/>
      <c r="V53" s="2041"/>
      <c r="W53" s="2041"/>
      <c r="X53" s="2041"/>
      <c r="Y53" s="2041"/>
      <c r="Z53" s="2041"/>
      <c r="AA53" s="2041"/>
      <c r="AB53" s="2041"/>
      <c r="AC53" s="2041"/>
      <c r="AD53" s="2041"/>
      <c r="AE53" s="2041"/>
    </row>
    <row r="54" spans="1:31">
      <c r="A54" s="2041"/>
      <c r="B54" s="2041"/>
      <c r="C54" s="2041"/>
      <c r="D54" s="2041"/>
      <c r="E54" s="2051"/>
      <c r="F54" s="2041"/>
      <c r="G54" s="2041"/>
      <c r="H54" s="2052"/>
      <c r="I54" s="2041"/>
      <c r="J54" s="2041"/>
      <c r="K54" s="2041"/>
      <c r="L54" s="2041"/>
      <c r="M54" s="2041"/>
      <c r="N54" s="2041"/>
      <c r="O54" s="2002"/>
      <c r="P54" s="2041"/>
      <c r="Q54" s="2041"/>
      <c r="R54" s="2041"/>
      <c r="S54" s="2041"/>
      <c r="T54" s="2041"/>
      <c r="U54" s="2041"/>
      <c r="V54" s="2041"/>
      <c r="W54" s="2041"/>
      <c r="X54" s="2041"/>
      <c r="Y54" s="2041"/>
      <c r="Z54" s="2041"/>
      <c r="AA54" s="2041"/>
      <c r="AB54" s="2041"/>
      <c r="AC54" s="2041"/>
      <c r="AD54" s="2041"/>
      <c r="AE54" s="2041"/>
    </row>
    <row r="55" spans="1:31">
      <c r="A55" s="2041"/>
      <c r="B55" s="2041"/>
      <c r="C55" s="2041"/>
      <c r="D55" s="2041"/>
      <c r="E55" s="2051"/>
      <c r="F55" s="2041"/>
      <c r="G55" s="2041"/>
      <c r="H55" s="2052"/>
      <c r="I55" s="2041"/>
      <c r="J55" s="2041"/>
      <c r="K55" s="2041"/>
      <c r="L55" s="2041"/>
      <c r="M55" s="2041"/>
      <c r="N55" s="2041"/>
      <c r="O55" s="2002"/>
      <c r="P55" s="2041"/>
      <c r="Q55" s="2041"/>
      <c r="R55" s="2041"/>
      <c r="S55" s="2041"/>
      <c r="T55" s="2041"/>
      <c r="U55" s="2041"/>
      <c r="V55" s="2041"/>
      <c r="W55" s="2041"/>
      <c r="X55" s="2041"/>
      <c r="Y55" s="2041"/>
      <c r="Z55" s="2041"/>
      <c r="AA55" s="2041"/>
      <c r="AB55" s="2041"/>
      <c r="AC55" s="2041"/>
      <c r="AD55" s="2041"/>
      <c r="AE55" s="2041"/>
    </row>
  </sheetData>
  <sheetProtection formatCells="0" insertHyperlinks="0" autoFilter="0"/>
  <mergeCells count="14">
    <mergeCell ref="A1:M1"/>
    <mergeCell ref="A14:B14"/>
    <mergeCell ref="C14:D14"/>
    <mergeCell ref="A26:B26"/>
    <mergeCell ref="C26:D26"/>
    <mergeCell ref="A45:B45"/>
    <mergeCell ref="C45:D45"/>
    <mergeCell ref="A3:A6"/>
    <mergeCell ref="A15:A17"/>
    <mergeCell ref="A18:A20"/>
    <mergeCell ref="A21:A25"/>
    <mergeCell ref="A27:A31"/>
    <mergeCell ref="A33:A34"/>
    <mergeCell ref="A36:A4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AE54"/>
  <sheetViews>
    <sheetView zoomScale="70" zoomScaleNormal="70" workbookViewId="0">
      <selection activeCell="C35" sqref="C35"/>
    </sheetView>
  </sheetViews>
  <sheetFormatPr defaultColWidth="9" defaultRowHeight="16.5"/>
  <cols>
    <col min="1" max="1" width="13.4416666666667" customWidth="1"/>
    <col min="2" max="2" width="21.56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15.1583333333333" customWidth="1"/>
    <col min="10" max="10" width="36.2583333333333" customWidth="1"/>
    <col min="11" max="11" width="17.3583333333333" customWidth="1"/>
    <col min="12" max="12" width="14.875"/>
    <col min="13" max="13" width="14.025" customWidth="1"/>
    <col min="14" max="14" width="18.1916666666667" customWidth="1"/>
    <col min="15" max="15" width="43.7583333333333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926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2135" t="s">
        <v>927</v>
      </c>
      <c r="C3" s="2083"/>
      <c r="D3" s="2083"/>
      <c r="E3" s="2097"/>
      <c r="F3" s="1399"/>
      <c r="G3" s="1399"/>
      <c r="H3" s="2097">
        <v>200000</v>
      </c>
      <c r="I3" s="1981"/>
      <c r="J3" s="66"/>
      <c r="K3" s="1982"/>
      <c r="L3" s="1983"/>
      <c r="M3" s="1399"/>
      <c r="N3" s="1399"/>
      <c r="O3" s="2006"/>
      <c r="P3" s="1399"/>
      <c r="Q3" s="1399"/>
      <c r="R3" s="1399"/>
      <c r="S3" s="1399"/>
      <c r="T3" s="1399"/>
      <c r="U3" s="1399"/>
      <c r="V3" s="1399"/>
      <c r="W3" s="1399"/>
      <c r="X3" s="1399"/>
      <c r="Y3" s="1399"/>
      <c r="Z3" s="1399"/>
      <c r="AA3" s="1399"/>
      <c r="AB3" s="1399"/>
      <c r="AC3" s="825"/>
      <c r="AD3" s="2016"/>
      <c r="AE3" s="1399"/>
    </row>
    <row r="4" customFormat="1" spans="1:31">
      <c r="A4" s="1941"/>
      <c r="B4" s="2158" t="s">
        <v>928</v>
      </c>
      <c r="C4" s="1399"/>
      <c r="D4" s="2159" t="s">
        <v>929</v>
      </c>
      <c r="E4" s="1386"/>
      <c r="F4" s="1399"/>
      <c r="G4" s="1399"/>
      <c r="H4" s="1982">
        <v>300000</v>
      </c>
      <c r="I4" s="1981"/>
      <c r="J4" s="66"/>
      <c r="K4" s="1982"/>
      <c r="L4" s="1983"/>
      <c r="M4" s="1399"/>
      <c r="N4" s="1399"/>
      <c r="O4" s="2006"/>
      <c r="P4" s="1399"/>
      <c r="Q4" s="1399"/>
      <c r="R4" s="1399"/>
      <c r="S4" s="1399"/>
      <c r="T4" s="1399"/>
      <c r="U4" s="1399"/>
      <c r="V4" s="1399"/>
      <c r="W4" s="1399"/>
      <c r="X4" s="1399"/>
      <c r="Y4" s="1399"/>
      <c r="Z4" s="1399"/>
      <c r="AA4" s="1399"/>
      <c r="AB4" s="1399"/>
      <c r="AC4" s="825"/>
      <c r="AD4" s="2016"/>
      <c r="AE4" s="1399"/>
    </row>
    <row r="5" customFormat="1" spans="1:31">
      <c r="A5" s="1941"/>
      <c r="B5" s="2020" t="s">
        <v>930</v>
      </c>
      <c r="C5" s="2080"/>
      <c r="D5" s="2083"/>
      <c r="E5" s="2097"/>
      <c r="F5" s="1399"/>
      <c r="G5" s="1399"/>
      <c r="H5" s="2097">
        <v>300000</v>
      </c>
      <c r="I5" s="1981"/>
      <c r="J5" s="66"/>
      <c r="K5" s="1982"/>
      <c r="L5" s="1983"/>
      <c r="M5" s="1399"/>
      <c r="N5" s="1399"/>
      <c r="O5" s="2006"/>
      <c r="P5" s="1399"/>
      <c r="Q5" s="1399"/>
      <c r="R5" s="1399"/>
      <c r="S5" s="1399"/>
      <c r="T5" s="1399"/>
      <c r="U5" s="1399"/>
      <c r="V5" s="1399"/>
      <c r="W5" s="1399"/>
      <c r="X5" s="1399"/>
      <c r="Y5" s="1399"/>
      <c r="Z5" s="1399"/>
      <c r="AA5" s="1399"/>
      <c r="AB5" s="1399"/>
      <c r="AC5" s="825"/>
      <c r="AD5" s="2016"/>
      <c r="AE5" s="1399"/>
    </row>
    <row r="6" customFormat="1" spans="1:31">
      <c r="A6" s="1941"/>
      <c r="B6" s="2135" t="s">
        <v>931</v>
      </c>
      <c r="C6" s="2083" t="s">
        <v>932</v>
      </c>
      <c r="D6" s="2083"/>
      <c r="E6" s="2097"/>
      <c r="F6" s="1399"/>
      <c r="G6" s="1399"/>
      <c r="H6" s="2097">
        <v>280000</v>
      </c>
      <c r="I6" s="1981"/>
      <c r="J6" s="66"/>
      <c r="K6" s="1982"/>
      <c r="L6" s="1983"/>
      <c r="M6" s="1399"/>
      <c r="N6" s="1399"/>
      <c r="O6" s="2006"/>
      <c r="P6" s="1399"/>
      <c r="Q6" s="1399"/>
      <c r="R6" s="1399"/>
      <c r="S6" s="1399"/>
      <c r="T6" s="1399"/>
      <c r="U6" s="1399"/>
      <c r="V6" s="1399"/>
      <c r="W6" s="1399"/>
      <c r="X6" s="1399"/>
      <c r="Y6" s="1399"/>
      <c r="Z6" s="1399"/>
      <c r="AA6" s="1399"/>
      <c r="AB6" s="1399"/>
      <c r="AC6" s="825"/>
      <c r="AD6" s="2016"/>
      <c r="AE6" s="1399"/>
    </row>
    <row r="7" customFormat="1" spans="1:31">
      <c r="A7" s="1941"/>
      <c r="B7" s="2135" t="s">
        <v>933</v>
      </c>
      <c r="C7" s="2083"/>
      <c r="D7" s="2083"/>
      <c r="E7" s="2097"/>
      <c r="F7" s="1399"/>
      <c r="G7" s="1399"/>
      <c r="H7" s="2097">
        <v>350000</v>
      </c>
      <c r="I7" s="1981"/>
      <c r="J7" s="66"/>
      <c r="K7" s="1982"/>
      <c r="L7" s="1983"/>
      <c r="M7" s="1399"/>
      <c r="N7" s="1399"/>
      <c r="O7" s="2006"/>
      <c r="P7" s="1399"/>
      <c r="Q7" s="1399"/>
      <c r="R7" s="1399"/>
      <c r="S7" s="1399"/>
      <c r="T7" s="1399"/>
      <c r="U7" s="1399"/>
      <c r="V7" s="1399"/>
      <c r="W7" s="1399"/>
      <c r="X7" s="1399"/>
      <c r="Y7" s="1399"/>
      <c r="Z7" s="1399"/>
      <c r="AA7" s="1399"/>
      <c r="AB7" s="1399"/>
      <c r="AC7" s="825"/>
      <c r="AD7" s="2016"/>
      <c r="AE7" s="1399"/>
    </row>
    <row r="8" customFormat="1" spans="1:31">
      <c r="A8" s="1941"/>
      <c r="B8" s="2135" t="s">
        <v>934</v>
      </c>
      <c r="C8" s="2083"/>
      <c r="D8" s="2083" t="s">
        <v>50</v>
      </c>
      <c r="E8" s="2097"/>
      <c r="F8" s="1399"/>
      <c r="G8" s="1399"/>
      <c r="H8" s="2097">
        <v>300000</v>
      </c>
      <c r="I8" s="1981"/>
      <c r="J8" s="66"/>
      <c r="K8" s="1982"/>
      <c r="L8" s="1983"/>
      <c r="M8" s="1399"/>
      <c r="N8" s="1399"/>
      <c r="O8" s="2006"/>
      <c r="P8" s="1399"/>
      <c r="Q8" s="1399"/>
      <c r="R8" s="1399"/>
      <c r="S8" s="1399"/>
      <c r="T8" s="1399"/>
      <c r="U8" s="1399"/>
      <c r="V8" s="1399"/>
      <c r="W8" s="1399"/>
      <c r="X8" s="1399"/>
      <c r="Y8" s="1399"/>
      <c r="Z8" s="1399"/>
      <c r="AA8" s="1399"/>
      <c r="AB8" s="1399"/>
      <c r="AC8" s="825"/>
      <c r="AD8" s="2016"/>
      <c r="AE8" s="1399"/>
    </row>
    <row r="9" customFormat="1" spans="1:31">
      <c r="A9" s="1941"/>
      <c r="B9" s="2135" t="s">
        <v>935</v>
      </c>
      <c r="C9" s="2083"/>
      <c r="D9" s="2083" t="s">
        <v>50</v>
      </c>
      <c r="E9" s="2097"/>
      <c r="F9" s="1399"/>
      <c r="G9" s="1399"/>
      <c r="H9" s="2097">
        <v>350000</v>
      </c>
      <c r="I9" s="1981"/>
      <c r="J9" s="66"/>
      <c r="K9" s="1982"/>
      <c r="L9" s="1983"/>
      <c r="M9" s="1399"/>
      <c r="N9" s="1399"/>
      <c r="O9" s="2006"/>
      <c r="P9" s="1399"/>
      <c r="Q9" s="1399"/>
      <c r="R9" s="1399"/>
      <c r="S9" s="1399"/>
      <c r="T9" s="1399"/>
      <c r="U9" s="1399"/>
      <c r="V9" s="1399"/>
      <c r="W9" s="1399"/>
      <c r="X9" s="1399"/>
      <c r="Y9" s="1399"/>
      <c r="Z9" s="1399"/>
      <c r="AA9" s="1399"/>
      <c r="AB9" s="1399"/>
      <c r="AC9" s="825"/>
      <c r="AD9" s="2016"/>
      <c r="AE9" s="1399"/>
    </row>
    <row r="10" s="417" customFormat="1" customHeight="1" spans="1:31">
      <c r="A10" s="2160" t="s">
        <v>209</v>
      </c>
      <c r="B10" s="1229" t="s">
        <v>148</v>
      </c>
      <c r="C10" s="1397"/>
      <c r="D10" s="764"/>
      <c r="E10" s="764"/>
      <c r="F10" s="764"/>
      <c r="G10" s="1397"/>
      <c r="H10" s="1340">
        <v>600000</v>
      </c>
      <c r="I10" s="764"/>
      <c r="J10" s="72"/>
      <c r="K10" s="1340"/>
      <c r="L10" s="1996"/>
      <c r="M10" s="1397"/>
      <c r="N10" s="1397"/>
      <c r="O10" s="1243"/>
      <c r="P10" s="1397"/>
      <c r="Q10" s="1397"/>
      <c r="R10" s="1789"/>
      <c r="S10" s="1397"/>
      <c r="T10" s="1397"/>
      <c r="U10" s="1397"/>
      <c r="V10" s="1397"/>
      <c r="W10" s="1397"/>
      <c r="X10" s="1397"/>
      <c r="Y10" s="1397"/>
      <c r="Z10" s="1397"/>
      <c r="AA10" s="1397"/>
      <c r="AB10" s="1397"/>
      <c r="AC10" s="1218"/>
      <c r="AD10" s="2114"/>
      <c r="AE10" s="1397"/>
    </row>
    <row r="11" s="417" customFormat="1" customHeight="1" spans="1:31">
      <c r="A11" s="2118"/>
      <c r="B11" s="1229" t="s">
        <v>527</v>
      </c>
      <c r="C11" s="1397"/>
      <c r="D11" s="764"/>
      <c r="E11" s="764"/>
      <c r="F11" s="764"/>
      <c r="G11" s="1397"/>
      <c r="H11" s="1340">
        <v>800000</v>
      </c>
      <c r="I11" s="764"/>
      <c r="J11" s="72"/>
      <c r="K11" s="1340"/>
      <c r="L11" s="1996"/>
      <c r="M11" s="1397"/>
      <c r="N11" s="1397"/>
      <c r="O11" s="1243"/>
      <c r="P11" s="1397"/>
      <c r="Q11" s="1397"/>
      <c r="R11" s="1789"/>
      <c r="S11" s="1397"/>
      <c r="T11" s="1397"/>
      <c r="U11" s="1397"/>
      <c r="V11" s="1397"/>
      <c r="W11" s="1397"/>
      <c r="X11" s="1397"/>
      <c r="Y11" s="1397"/>
      <c r="Z11" s="1397"/>
      <c r="AA11" s="1397"/>
      <c r="AB11" s="1397"/>
      <c r="AC11" s="1218"/>
      <c r="AD11" s="2114"/>
      <c r="AE11" s="1397"/>
    </row>
    <row r="12" s="417" customFormat="1" customHeight="1" spans="1:31">
      <c r="A12" s="2118"/>
      <c r="B12" s="1229" t="s">
        <v>936</v>
      </c>
      <c r="C12" s="1789"/>
      <c r="D12" s="2161"/>
      <c r="E12" s="1384"/>
      <c r="F12" s="1397"/>
      <c r="G12" s="1397"/>
      <c r="H12" s="1340">
        <v>500000</v>
      </c>
      <c r="I12" s="1993"/>
      <c r="J12" s="72"/>
      <c r="K12" s="1340"/>
      <c r="L12" s="1996"/>
      <c r="M12" s="1397"/>
      <c r="N12" s="1397"/>
      <c r="O12" s="1405"/>
      <c r="P12" s="1397"/>
      <c r="Q12" s="1397"/>
      <c r="R12" s="1789"/>
      <c r="S12" s="1397"/>
      <c r="T12" s="1397"/>
      <c r="U12" s="1397"/>
      <c r="V12" s="1397"/>
      <c r="W12" s="1397"/>
      <c r="X12" s="1397"/>
      <c r="Y12" s="1397"/>
      <c r="Z12" s="1397"/>
      <c r="AA12" s="1397"/>
      <c r="AB12" s="1397"/>
      <c r="AC12" s="1218"/>
      <c r="AD12" s="2114"/>
      <c r="AE12" s="1397"/>
    </row>
    <row r="13" s="417" customFormat="1" customHeight="1" spans="1:31">
      <c r="A13" s="2118"/>
      <c r="B13" s="1898" t="s">
        <v>284</v>
      </c>
      <c r="C13" s="2120"/>
      <c r="D13" s="2083" t="s">
        <v>50</v>
      </c>
      <c r="E13" s="2101"/>
      <c r="F13" s="2102"/>
      <c r="G13" s="2103"/>
      <c r="H13" s="1340">
        <v>200000</v>
      </c>
      <c r="I13" s="2105"/>
      <c r="J13" s="285"/>
      <c r="K13" s="1173"/>
      <c r="L13" s="2106"/>
      <c r="M13" s="1398"/>
      <c r="N13" s="1398"/>
      <c r="O13" s="1407"/>
      <c r="P13" s="1397"/>
      <c r="Q13" s="1397"/>
      <c r="R13" s="1789"/>
      <c r="S13" s="1397"/>
      <c r="T13" s="1397"/>
      <c r="U13" s="1397"/>
      <c r="V13" s="1397"/>
      <c r="W13" s="1397"/>
      <c r="X13" s="1397"/>
      <c r="Y13" s="1397"/>
      <c r="Z13" s="1397"/>
      <c r="AA13" s="1397"/>
      <c r="AB13" s="1397"/>
      <c r="AC13" s="1218"/>
      <c r="AD13" s="2114"/>
      <c r="AE13" s="1397"/>
    </row>
    <row r="14" customFormat="1" customHeight="1" spans="1:31">
      <c r="A14" s="1950" t="s">
        <v>343</v>
      </c>
      <c r="B14" s="1950"/>
      <c r="C14" s="1951"/>
      <c r="D14" s="1951"/>
      <c r="E14" s="1968"/>
      <c r="F14" s="1969"/>
      <c r="G14" s="1970"/>
      <c r="H14" s="1971">
        <f>SUM(H3:H13)</f>
        <v>4180000</v>
      </c>
      <c r="I14" s="1989"/>
      <c r="J14" s="1990">
        <v>0</v>
      </c>
      <c r="K14" s="1991">
        <v>0</v>
      </c>
      <c r="L14" s="1991">
        <v>0</v>
      </c>
      <c r="M14" s="2009"/>
      <c r="N14" s="2009"/>
      <c r="O14" s="2010"/>
      <c r="P14" s="2011"/>
      <c r="Q14" s="2011"/>
      <c r="R14" s="40"/>
      <c r="S14" s="2011"/>
      <c r="T14" s="2011"/>
      <c r="U14" s="2011"/>
      <c r="V14" s="2011"/>
      <c r="W14" s="2011"/>
      <c r="X14" s="2011"/>
      <c r="Y14" s="2011"/>
      <c r="Z14" s="2011"/>
      <c r="AA14" s="2011"/>
      <c r="AB14" s="2011"/>
      <c r="AC14" s="2030"/>
      <c r="AD14" s="1956" t="s">
        <v>285</v>
      </c>
      <c r="AE14" s="1956"/>
    </row>
    <row r="15" s="418" customFormat="1" ht="22.85" customHeight="1" spans="1:31">
      <c r="A15" s="666" t="s">
        <v>331</v>
      </c>
      <c r="B15" s="1552" t="s">
        <v>165</v>
      </c>
      <c r="C15" s="1952"/>
      <c r="D15" s="257"/>
      <c r="E15" s="35"/>
      <c r="F15" s="349"/>
      <c r="G15" s="349"/>
      <c r="H15" s="380">
        <v>600000</v>
      </c>
      <c r="I15" s="1953"/>
      <c r="J15" s="1993"/>
      <c r="K15" s="380"/>
      <c r="L15" s="1972"/>
      <c r="M15" s="2012"/>
      <c r="N15" s="2012"/>
      <c r="O15" s="2013"/>
      <c r="P15" s="44"/>
      <c r="Q15" s="153"/>
      <c r="R15" s="40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664"/>
      <c r="AD15" s="40"/>
      <c r="AE15" s="40"/>
    </row>
    <row r="16" s="418" customFormat="1" ht="22.85" customHeight="1" spans="1:31">
      <c r="A16" s="556"/>
      <c r="B16" s="1552" t="s">
        <v>937</v>
      </c>
      <c r="C16" s="2138"/>
      <c r="D16" s="2162"/>
      <c r="E16" s="39"/>
      <c r="F16" s="2145"/>
      <c r="G16" s="2146"/>
      <c r="H16" s="379">
        <v>239210</v>
      </c>
      <c r="I16" s="2140"/>
      <c r="J16" s="1993"/>
      <c r="K16" s="379"/>
      <c r="L16" s="1994"/>
      <c r="M16" s="2012"/>
      <c r="N16" s="2012"/>
      <c r="O16" s="2013"/>
      <c r="P16" s="44"/>
      <c r="Q16" s="153"/>
      <c r="R16" s="40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664"/>
      <c r="AD16" s="40"/>
      <c r="AE16" s="40"/>
    </row>
    <row r="17" s="418" customFormat="1" ht="22.85" customHeight="1" spans="1:31">
      <c r="A17" s="664" t="s">
        <v>245</v>
      </c>
      <c r="B17" s="1580" t="s">
        <v>256</v>
      </c>
      <c r="C17" s="2140"/>
      <c r="D17" s="2139" t="s">
        <v>908</v>
      </c>
      <c r="E17" s="2140"/>
      <c r="F17" s="2140"/>
      <c r="G17" s="2147"/>
      <c r="H17" s="1994">
        <v>220000</v>
      </c>
      <c r="I17" s="2149"/>
      <c r="J17" s="1954"/>
      <c r="K17" s="1994"/>
      <c r="L17" s="1994"/>
      <c r="M17" s="2111"/>
      <c r="N17" s="2012"/>
      <c r="O17" s="2013"/>
      <c r="P17" s="44"/>
      <c r="Q17" s="153"/>
      <c r="R17" s="40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664"/>
      <c r="AD17" s="40"/>
      <c r="AE17" s="40"/>
    </row>
    <row r="18" s="418" customFormat="1" ht="22.85" customHeight="1" spans="1:31">
      <c r="A18" s="664"/>
      <c r="B18" s="1580" t="s">
        <v>938</v>
      </c>
      <c r="C18" s="2140"/>
      <c r="D18" s="2139"/>
      <c r="E18" s="2140"/>
      <c r="F18" s="2140"/>
      <c r="G18" s="2147"/>
      <c r="H18" s="1994">
        <v>70000</v>
      </c>
      <c r="I18" s="2149"/>
      <c r="J18" s="1954"/>
      <c r="K18" s="1994"/>
      <c r="L18" s="1994"/>
      <c r="M18" s="2111"/>
      <c r="N18" s="2012"/>
      <c r="O18" s="2013"/>
      <c r="P18" s="44"/>
      <c r="Q18" s="153"/>
      <c r="R18" s="40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664"/>
      <c r="AD18" s="40"/>
      <c r="AE18" s="40"/>
    </row>
    <row r="19" s="418" customFormat="1" ht="22.85" customHeight="1" spans="1:31">
      <c r="A19" s="664"/>
      <c r="B19" s="1580" t="s">
        <v>247</v>
      </c>
      <c r="C19" s="2140"/>
      <c r="D19" s="2139" t="s">
        <v>939</v>
      </c>
      <c r="E19" s="2140"/>
      <c r="F19" s="2140"/>
      <c r="G19" s="2147"/>
      <c r="H19" s="1994">
        <v>200000</v>
      </c>
      <c r="I19" s="2149"/>
      <c r="J19" s="1954"/>
      <c r="K19" s="1994"/>
      <c r="L19" s="1994"/>
      <c r="M19" s="2111"/>
      <c r="N19" s="2012"/>
      <c r="O19" s="2013"/>
      <c r="P19" s="44"/>
      <c r="Q19" s="153"/>
      <c r="R19" s="40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664"/>
      <c r="AD19" s="40"/>
      <c r="AE19" s="40"/>
    </row>
    <row r="20" s="418" customFormat="1" ht="22.85" customHeight="1" spans="1:31">
      <c r="A20" s="664"/>
      <c r="B20" s="1580" t="s">
        <v>940</v>
      </c>
      <c r="C20" s="2140"/>
      <c r="D20" s="2139" t="s">
        <v>540</v>
      </c>
      <c r="E20" s="2140"/>
      <c r="G20" s="2147"/>
      <c r="H20" s="1994">
        <v>240000</v>
      </c>
      <c r="I20" s="2149"/>
      <c r="J20" s="1954"/>
      <c r="K20" s="1994"/>
      <c r="L20" s="1994"/>
      <c r="M20" s="2111"/>
      <c r="N20" s="2012"/>
      <c r="O20" s="2013"/>
      <c r="P20" s="44"/>
      <c r="Q20" s="153"/>
      <c r="R20" s="40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664"/>
      <c r="AD20" s="40"/>
      <c r="AE20" s="40"/>
    </row>
    <row r="21" s="1933" customFormat="1" ht="23.75" customHeight="1" spans="1:31">
      <c r="A21" s="666" t="s">
        <v>224</v>
      </c>
      <c r="B21" s="715" t="s">
        <v>857</v>
      </c>
      <c r="C21" s="1952" t="s">
        <v>858</v>
      </c>
      <c r="D21" s="2125"/>
      <c r="E21" s="68"/>
      <c r="F21" s="68"/>
      <c r="G21" s="226"/>
      <c r="H21" s="380">
        <v>280000</v>
      </c>
      <c r="I21"/>
      <c r="J21" s="379"/>
      <c r="K21" s="380"/>
      <c r="L21" s="1996"/>
      <c r="M21" s="364"/>
      <c r="N21" s="2014"/>
      <c r="O21" s="2015"/>
      <c r="P21" s="40"/>
      <c r="Q21" s="40"/>
      <c r="R21" s="2023"/>
      <c r="S21" s="2024"/>
      <c r="T21" s="40"/>
      <c r="U21" s="40"/>
      <c r="V21" s="40"/>
      <c r="W21" s="40"/>
      <c r="X21" s="40"/>
      <c r="Y21" s="40"/>
      <c r="Z21" s="40"/>
      <c r="AA21" s="40"/>
      <c r="AB21" s="40"/>
      <c r="AC21" s="664"/>
      <c r="AD21" s="185"/>
      <c r="AE21" s="40"/>
    </row>
    <row r="22" s="1933" customFormat="1" ht="23.75" customHeight="1" spans="1:31">
      <c r="A22" s="556"/>
      <c r="B22" s="715" t="s">
        <v>163</v>
      </c>
      <c r="C22" s="1952" t="s">
        <v>862</v>
      </c>
      <c r="D22" s="2125" t="s">
        <v>863</v>
      </c>
      <c r="E22" s="68"/>
      <c r="F22" s="68"/>
      <c r="G22" s="380"/>
      <c r="H22" s="380">
        <v>230000</v>
      </c>
      <c r="I22" s="1997" t="s">
        <v>911</v>
      </c>
      <c r="J22" s="379"/>
      <c r="K22" s="380"/>
      <c r="L22" s="364"/>
      <c r="M22" s="2112"/>
      <c r="N22" s="2014"/>
      <c r="O22" s="2015"/>
      <c r="P22" s="40"/>
      <c r="Q22" s="40"/>
      <c r="R22" s="2023"/>
      <c r="S22" s="2024"/>
      <c r="T22" s="40"/>
      <c r="U22" s="40"/>
      <c r="V22" s="40"/>
      <c r="W22" s="40"/>
      <c r="X22" s="40"/>
      <c r="Y22" s="40"/>
      <c r="Z22" s="40"/>
      <c r="AA22" s="40"/>
      <c r="AB22" s="40"/>
      <c r="AC22" s="664"/>
      <c r="AD22" s="185"/>
      <c r="AE22" s="40"/>
    </row>
    <row r="23" s="1933" customFormat="1" ht="23.75" customHeight="1" spans="1:31">
      <c r="A23" s="556"/>
      <c r="B23" s="715" t="s">
        <v>408</v>
      </c>
      <c r="C23" s="1952"/>
      <c r="D23" s="2125" t="s">
        <v>941</v>
      </c>
      <c r="E23" s="68"/>
      <c r="F23" s="68"/>
      <c r="G23" s="380"/>
      <c r="H23" s="380">
        <v>250000</v>
      </c>
      <c r="I23" s="1997"/>
      <c r="J23" s="379"/>
      <c r="K23" s="380"/>
      <c r="L23" s="1996"/>
      <c r="M23" s="364"/>
      <c r="N23" s="2014"/>
      <c r="O23" s="2016"/>
      <c r="P23" s="40"/>
      <c r="Q23" s="40"/>
      <c r="R23" s="2023"/>
      <c r="S23" s="2024"/>
      <c r="T23" s="40"/>
      <c r="U23" s="40"/>
      <c r="V23" s="40"/>
      <c r="W23" s="40"/>
      <c r="X23" s="40"/>
      <c r="Y23" s="40"/>
      <c r="Z23" s="40"/>
      <c r="AA23" s="40"/>
      <c r="AB23" s="40"/>
      <c r="AC23" s="664"/>
      <c r="AD23" s="185"/>
      <c r="AE23" s="40"/>
    </row>
    <row r="24" s="1933" customFormat="1" ht="23.75" customHeight="1" spans="1:31">
      <c r="A24" s="556"/>
      <c r="B24" s="715" t="s">
        <v>942</v>
      </c>
      <c r="C24" s="1952"/>
      <c r="D24" s="2125"/>
      <c r="E24" s="68"/>
      <c r="F24" s="68"/>
      <c r="G24" s="380"/>
      <c r="H24" s="380">
        <v>45000</v>
      </c>
      <c r="I24" s="1997" t="s">
        <v>555</v>
      </c>
      <c r="J24" s="379"/>
      <c r="K24" s="380"/>
      <c r="L24" s="1996"/>
      <c r="M24" s="364"/>
      <c r="N24" s="2014"/>
      <c r="O24" s="2016"/>
      <c r="P24" s="40"/>
      <c r="Q24" s="40"/>
      <c r="R24" s="2023"/>
      <c r="S24" s="2024"/>
      <c r="T24" s="40"/>
      <c r="U24" s="40"/>
      <c r="V24" s="40"/>
      <c r="W24" s="40"/>
      <c r="X24" s="40"/>
      <c r="Y24" s="40"/>
      <c r="Z24" s="40"/>
      <c r="AA24" s="40"/>
      <c r="AB24" s="40"/>
      <c r="AC24" s="664"/>
      <c r="AD24" s="185"/>
      <c r="AE24" s="40"/>
    </row>
    <row r="25" s="1933" customFormat="1" ht="23.75" customHeight="1" spans="1:31">
      <c r="A25" s="556"/>
      <c r="B25" s="715" t="s">
        <v>419</v>
      </c>
      <c r="C25" s="1952" t="s">
        <v>50</v>
      </c>
      <c r="D25" s="2125"/>
      <c r="E25" s="68"/>
      <c r="F25" s="68"/>
      <c r="G25" s="380"/>
      <c r="H25" s="380">
        <v>300000</v>
      </c>
      <c r="I25" s="1997"/>
      <c r="J25" s="379"/>
      <c r="K25" s="380"/>
      <c r="L25" s="1996"/>
      <c r="M25" s="364"/>
      <c r="N25" s="2014"/>
      <c r="O25" s="2016"/>
      <c r="P25" s="40"/>
      <c r="Q25" s="40"/>
      <c r="R25" s="2023"/>
      <c r="S25" s="2024"/>
      <c r="T25" s="40"/>
      <c r="U25" s="40"/>
      <c r="V25" s="40"/>
      <c r="W25" s="40"/>
      <c r="X25" s="40"/>
      <c r="Y25" s="40"/>
      <c r="Z25" s="40"/>
      <c r="AA25" s="40"/>
      <c r="AB25" s="40"/>
      <c r="AC25" s="664"/>
      <c r="AD25" s="185"/>
      <c r="AE25" s="40"/>
    </row>
    <row r="26" s="1933" customFormat="1" ht="23.75" customHeight="1" spans="1:31">
      <c r="A26" s="556"/>
      <c r="B26" s="715" t="s">
        <v>638</v>
      </c>
      <c r="C26" s="1952" t="s">
        <v>50</v>
      </c>
      <c r="D26" s="2125" t="s">
        <v>943</v>
      </c>
      <c r="E26" s="68"/>
      <c r="F26" s="68"/>
      <c r="G26" s="380"/>
      <c r="H26" s="380">
        <v>250000</v>
      </c>
      <c r="I26" s="1997"/>
      <c r="J26" s="379"/>
      <c r="K26" s="380"/>
      <c r="L26" s="1996"/>
      <c r="M26" s="364"/>
      <c r="N26" s="2014"/>
      <c r="O26" s="2016"/>
      <c r="P26" s="40"/>
      <c r="Q26" s="40"/>
      <c r="R26" s="2023"/>
      <c r="S26" s="2024"/>
      <c r="T26" s="40"/>
      <c r="U26" s="40"/>
      <c r="V26" s="40"/>
      <c r="W26" s="40"/>
      <c r="X26" s="40"/>
      <c r="Y26" s="40"/>
      <c r="Z26" s="40"/>
      <c r="AA26" s="40"/>
      <c r="AB26" s="40"/>
      <c r="AC26" s="664"/>
      <c r="AD26" s="185"/>
      <c r="AE26" s="40"/>
    </row>
    <row r="27" ht="27.5" customHeight="1" spans="1:31">
      <c r="A27" s="1956" t="s">
        <v>67</v>
      </c>
      <c r="B27" s="1957"/>
      <c r="C27" s="1951"/>
      <c r="D27" s="1951"/>
      <c r="E27" s="1973"/>
      <c r="F27" s="1974"/>
      <c r="G27" s="1974"/>
      <c r="H27" s="1975">
        <f>SUM(H15:H26)</f>
        <v>2924210</v>
      </c>
      <c r="I27" s="1974"/>
      <c r="J27" s="1998"/>
      <c r="K27" s="99"/>
      <c r="L27" s="99"/>
      <c r="M27" s="185"/>
      <c r="N27" s="185"/>
      <c r="O27" s="2016"/>
      <c r="P27" s="40"/>
      <c r="Q27" s="40"/>
      <c r="R27" s="523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1956"/>
      <c r="AD27" s="1956" t="s">
        <v>293</v>
      </c>
      <c r="AE27" s="1956"/>
    </row>
    <row r="28" spans="1:31">
      <c r="A28" s="1958" t="s">
        <v>344</v>
      </c>
      <c r="B28" s="1959" t="s">
        <v>299</v>
      </c>
      <c r="C28" s="1883" t="s">
        <v>944</v>
      </c>
      <c r="D28" s="819" t="s">
        <v>348</v>
      </c>
      <c r="E28" s="1976">
        <v>91</v>
      </c>
      <c r="F28" s="1327">
        <v>365</v>
      </c>
      <c r="G28" s="1327">
        <f>F28*E28</f>
        <v>33215</v>
      </c>
      <c r="H28" s="1977">
        <f>G28*I28</f>
        <v>213213.728</v>
      </c>
      <c r="I28" s="1992">
        <v>6.4192</v>
      </c>
      <c r="J28" s="606" t="s">
        <v>945</v>
      </c>
      <c r="K28" s="1999"/>
      <c r="L28" s="2000"/>
      <c r="M28" s="2017"/>
      <c r="N28" s="2018"/>
      <c r="O28" s="2019"/>
      <c r="P28" s="2020"/>
      <c r="Q28" s="2020"/>
      <c r="R28" s="2025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31"/>
      <c r="AD28" s="2032"/>
      <c r="AE28" s="2033"/>
    </row>
    <row r="29" spans="1:31">
      <c r="A29" s="1958"/>
      <c r="B29" s="1959" t="s">
        <v>299</v>
      </c>
      <c r="C29" s="1883" t="s">
        <v>946</v>
      </c>
      <c r="D29" s="819" t="s">
        <v>348</v>
      </c>
      <c r="E29" s="1976">
        <v>91</v>
      </c>
      <c r="F29" s="1327">
        <v>365</v>
      </c>
      <c r="G29" s="1327">
        <f>F29*E29</f>
        <v>33215</v>
      </c>
      <c r="H29" s="1977">
        <f>G29*I29</f>
        <v>213213.728</v>
      </c>
      <c r="I29" s="1992">
        <v>6.4192</v>
      </c>
      <c r="J29" s="606" t="s">
        <v>945</v>
      </c>
      <c r="K29" s="1999"/>
      <c r="L29" s="2000"/>
      <c r="M29" s="2017"/>
      <c r="N29" s="2018"/>
      <c r="O29" s="2019"/>
      <c r="P29" s="2020"/>
      <c r="Q29" s="2020"/>
      <c r="R29" s="2025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2031"/>
      <c r="AD29" s="2032"/>
      <c r="AE29" s="2033"/>
    </row>
    <row r="30" spans="1:31">
      <c r="A30" s="1958"/>
      <c r="B30" s="1959" t="s">
        <v>299</v>
      </c>
      <c r="C30" s="1883" t="s">
        <v>947</v>
      </c>
      <c r="D30" s="819" t="s">
        <v>348</v>
      </c>
      <c r="E30" s="1976">
        <v>91</v>
      </c>
      <c r="F30" s="1327">
        <v>365</v>
      </c>
      <c r="G30" s="1327">
        <f t="shared" ref="G30:G35" si="0">F30*E30</f>
        <v>33215</v>
      </c>
      <c r="H30" s="1977">
        <f t="shared" ref="H30:H35" si="1">G30*I30</f>
        <v>213213.728</v>
      </c>
      <c r="I30" s="1992">
        <v>6.4192</v>
      </c>
      <c r="J30" s="606" t="s">
        <v>945</v>
      </c>
      <c r="K30" s="1999">
        <f>SUM(H28:H32)</f>
        <v>852854.912</v>
      </c>
      <c r="L30" s="2000"/>
      <c r="M30" s="2017"/>
      <c r="N30" s="2018"/>
      <c r="O30" s="2019"/>
      <c r="P30" s="2020"/>
      <c r="Q30" s="2020"/>
      <c r="R30" s="2025"/>
      <c r="S30" s="2020"/>
      <c r="T30" s="2020"/>
      <c r="U30" s="2020"/>
      <c r="V30" s="2020"/>
      <c r="W30" s="2020"/>
      <c r="X30" s="2020"/>
      <c r="Y30" s="2020"/>
      <c r="Z30" s="2020"/>
      <c r="AA30" s="2020"/>
      <c r="AB30" s="2020"/>
      <c r="AC30" s="2031"/>
      <c r="AD30" s="2032"/>
      <c r="AE30" s="2033"/>
    </row>
    <row r="31" spans="1:31">
      <c r="A31" s="1958"/>
      <c r="B31" s="1959" t="s">
        <v>299</v>
      </c>
      <c r="C31" s="1883" t="s">
        <v>948</v>
      </c>
      <c r="D31" s="819" t="s">
        <v>348</v>
      </c>
      <c r="E31" s="1976">
        <v>91</v>
      </c>
      <c r="F31" s="1327">
        <v>365</v>
      </c>
      <c r="G31" s="1327">
        <f t="shared" si="0"/>
        <v>33215</v>
      </c>
      <c r="H31" s="1977">
        <f t="shared" si="1"/>
        <v>213213.728</v>
      </c>
      <c r="I31" s="1992">
        <v>6.4192</v>
      </c>
      <c r="J31" s="606" t="s">
        <v>945</v>
      </c>
      <c r="K31" s="1999">
        <f>SUM(H34:H35)</f>
        <v>245309.728</v>
      </c>
      <c r="L31" s="2000"/>
      <c r="M31" s="2017"/>
      <c r="N31" s="2018"/>
      <c r="O31" s="2019"/>
      <c r="P31" s="2020"/>
      <c r="Q31" s="2020"/>
      <c r="R31" s="2025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31"/>
      <c r="AD31" s="2032"/>
      <c r="AE31" s="2033"/>
    </row>
    <row r="32" spans="1:31">
      <c r="A32" s="1958"/>
      <c r="B32" s="724"/>
      <c r="C32" s="1303"/>
      <c r="D32" s="614"/>
      <c r="E32" s="1050"/>
      <c r="F32" s="1327"/>
      <c r="G32" s="1327"/>
      <c r="H32" s="1509"/>
      <c r="I32" s="733"/>
      <c r="J32" s="1122"/>
      <c r="K32" s="1999">
        <f>SUM(H37:H39)</f>
        <v>450281.2032</v>
      </c>
      <c r="L32" s="2000"/>
      <c r="M32" s="2017"/>
      <c r="N32" s="2018"/>
      <c r="O32" s="2019"/>
      <c r="P32" s="2020"/>
      <c r="Q32" s="2020"/>
      <c r="R32" s="2025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31"/>
      <c r="AD32" s="2032"/>
      <c r="AE32" s="2033"/>
    </row>
    <row r="33" spans="1:31">
      <c r="A33" s="2011"/>
      <c r="B33" s="2144"/>
      <c r="C33" s="1303"/>
      <c r="D33" s="614"/>
      <c r="E33" s="1050"/>
      <c r="F33" s="1176"/>
      <c r="G33" s="1327"/>
      <c r="H33" s="1977"/>
      <c r="I33" s="733"/>
      <c r="J33" s="2152"/>
      <c r="K33" s="2053"/>
      <c r="L33" s="2054"/>
      <c r="M33" s="2020"/>
      <c r="N33" s="2018"/>
      <c r="O33" s="2019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75"/>
      <c r="AD33" s="1959"/>
      <c r="AE33" s="2020"/>
    </row>
    <row r="34" spans="1:31">
      <c r="A34" s="2153" t="s">
        <v>220</v>
      </c>
      <c r="B34" s="971" t="s">
        <v>830</v>
      </c>
      <c r="C34" s="1883" t="s">
        <v>949</v>
      </c>
      <c r="D34" s="571"/>
      <c r="E34" s="571">
        <v>1</v>
      </c>
      <c r="F34" s="1257">
        <v>38215</v>
      </c>
      <c r="G34" s="1327">
        <f t="shared" si="0"/>
        <v>38215</v>
      </c>
      <c r="H34" s="1977">
        <f t="shared" si="1"/>
        <v>245309.728</v>
      </c>
      <c r="I34" s="1992">
        <v>6.4192</v>
      </c>
      <c r="J34" s="2056" t="s">
        <v>950</v>
      </c>
      <c r="K34" s="2053"/>
      <c r="L34" s="2054"/>
      <c r="M34" s="2020"/>
      <c r="N34" s="2018"/>
      <c r="O34" s="2019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75"/>
      <c r="AD34" s="1959"/>
      <c r="AE34" s="2020"/>
    </row>
    <row r="35" spans="1:31">
      <c r="A35" s="2153"/>
      <c r="B35" s="971"/>
      <c r="C35" s="1303"/>
      <c r="D35" s="614"/>
      <c r="E35" s="571"/>
      <c r="F35" s="1257"/>
      <c r="G35" s="1327"/>
      <c r="H35" s="1977"/>
      <c r="I35" s="1992"/>
      <c r="J35" s="2056"/>
      <c r="K35" s="2053"/>
      <c r="L35" s="2054"/>
      <c r="M35" s="2020"/>
      <c r="N35" s="2018"/>
      <c r="O35" s="2019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75"/>
      <c r="AD35" s="1959"/>
      <c r="AE35" s="2020"/>
    </row>
    <row r="36" spans="1:31">
      <c r="A36" s="2154"/>
      <c r="B36" s="1426"/>
      <c r="C36" s="1303"/>
      <c r="D36" s="571"/>
      <c r="E36" s="571"/>
      <c r="F36" s="1257"/>
      <c r="G36" s="1327"/>
      <c r="H36" s="1977"/>
      <c r="I36" s="733"/>
      <c r="J36" s="2129"/>
      <c r="K36" s="1239"/>
      <c r="L36" s="1176"/>
      <c r="M36" s="2020"/>
      <c r="N36" s="2018"/>
      <c r="O36" s="2019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75"/>
      <c r="AD36" s="2157"/>
      <c r="AE36" s="2020"/>
    </row>
    <row r="37" customFormat="1" spans="1:31">
      <c r="A37" s="2094" t="s">
        <v>509</v>
      </c>
      <c r="B37" s="2034" t="s">
        <v>274</v>
      </c>
      <c r="C37" s="1903" t="s">
        <v>951</v>
      </c>
      <c r="D37" s="571"/>
      <c r="E37" s="1976">
        <v>1</v>
      </c>
      <c r="F37" s="1257"/>
      <c r="G37" s="1327">
        <v>31148</v>
      </c>
      <c r="H37" s="1977">
        <f>G37*I37</f>
        <v>199945.2416</v>
      </c>
      <c r="I37" s="2166">
        <v>6.4192</v>
      </c>
      <c r="J37" s="2156" t="s">
        <v>952</v>
      </c>
      <c r="K37" s="1239"/>
      <c r="L37" s="1176"/>
      <c r="M37" s="2020"/>
      <c r="N37" s="2018"/>
      <c r="O37" s="2019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75"/>
      <c r="AD37" s="2157"/>
      <c r="AE37" s="2020"/>
    </row>
    <row r="38" customFormat="1" spans="1:31">
      <c r="A38" s="2095"/>
      <c r="B38" s="2034" t="s">
        <v>274</v>
      </c>
      <c r="C38" s="1903" t="s">
        <v>953</v>
      </c>
      <c r="D38" s="819"/>
      <c r="E38" s="1976">
        <v>1</v>
      </c>
      <c r="F38" s="2164"/>
      <c r="G38" s="1327">
        <v>32631</v>
      </c>
      <c r="H38" s="1977">
        <f>G38*I38</f>
        <v>209464.9152</v>
      </c>
      <c r="I38" s="2166">
        <v>6.4192</v>
      </c>
      <c r="J38" s="2156" t="s">
        <v>954</v>
      </c>
      <c r="K38" s="2109"/>
      <c r="L38" s="1176"/>
      <c r="M38" s="2020"/>
      <c r="N38" s="2018"/>
      <c r="O38" s="2019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75"/>
      <c r="AD38" s="2157"/>
      <c r="AE38" s="2020"/>
    </row>
    <row r="39" s="10" customFormat="1" spans="1:31">
      <c r="A39" s="2095"/>
      <c r="B39" s="2034" t="s">
        <v>274</v>
      </c>
      <c r="C39" s="1903" t="s">
        <v>955</v>
      </c>
      <c r="D39" s="614"/>
      <c r="E39" s="1050">
        <v>1</v>
      </c>
      <c r="F39" s="1176"/>
      <c r="G39" s="2165">
        <v>6367</v>
      </c>
      <c r="H39" s="1977">
        <f>G39*I39</f>
        <v>40871.0464</v>
      </c>
      <c r="I39" s="2166">
        <v>6.4192</v>
      </c>
      <c r="J39" s="2156" t="s">
        <v>956</v>
      </c>
      <c r="K39" s="1239"/>
      <c r="L39" s="1176"/>
      <c r="M39" s="1389"/>
      <c r="N39" s="1187"/>
      <c r="O39" s="2070"/>
      <c r="P39" s="1389"/>
      <c r="Q39" s="1389"/>
      <c r="R39" s="1303"/>
      <c r="S39" s="1389"/>
      <c r="T39" s="1389"/>
      <c r="U39" s="1389"/>
      <c r="V39" s="1389"/>
      <c r="W39" s="1389"/>
      <c r="X39" s="1389"/>
      <c r="Y39" s="1389"/>
      <c r="Z39" s="1389"/>
      <c r="AA39" s="1389"/>
      <c r="AB39" s="1389"/>
      <c r="AC39" s="2076"/>
      <c r="AD39" s="628"/>
      <c r="AE39" s="1389"/>
    </row>
    <row r="40" s="10" customFormat="1" spans="1:31">
      <c r="A40" s="2163"/>
      <c r="B40" s="1627"/>
      <c r="C40" s="724"/>
      <c r="D40" s="614"/>
      <c r="E40" s="1050"/>
      <c r="F40" s="1176"/>
      <c r="G40" s="2165"/>
      <c r="H40" s="614"/>
      <c r="I40" s="2167"/>
      <c r="J40" s="645"/>
      <c r="K40" s="2168"/>
      <c r="L40" s="2164"/>
      <c r="M40" s="1389"/>
      <c r="N40" s="1187"/>
      <c r="O40" s="2070"/>
      <c r="P40" s="1389"/>
      <c r="Q40" s="1389"/>
      <c r="R40" s="945"/>
      <c r="S40" s="1389"/>
      <c r="T40" s="1389"/>
      <c r="U40" s="1389"/>
      <c r="V40" s="1389"/>
      <c r="W40" s="1389"/>
      <c r="X40" s="1389"/>
      <c r="Y40" s="1389"/>
      <c r="Z40" s="1389"/>
      <c r="AA40" s="1389"/>
      <c r="AB40" s="1389"/>
      <c r="AC40" s="2076"/>
      <c r="AD40" s="648"/>
      <c r="AE40" s="1389"/>
    </row>
    <row r="41" spans="1:31">
      <c r="A41" s="2035"/>
      <c r="B41" s="2036"/>
      <c r="C41" s="2037"/>
      <c r="D41" s="2038"/>
      <c r="E41" s="2043"/>
      <c r="F41" s="2044"/>
      <c r="G41" s="2045"/>
      <c r="H41" s="1977"/>
      <c r="I41" s="2059"/>
      <c r="J41" s="2060"/>
      <c r="K41" s="2061"/>
      <c r="L41" s="2054"/>
      <c r="M41" s="2020"/>
      <c r="N41" s="2071"/>
      <c r="O41" s="2019"/>
      <c r="P41" s="2020"/>
      <c r="Q41" s="2020"/>
      <c r="R41" s="2073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75"/>
      <c r="AD41" s="1959"/>
      <c r="AE41" s="2020"/>
    </row>
    <row r="42" spans="1:31">
      <c r="A42" s="2035"/>
      <c r="B42" s="2036"/>
      <c r="C42" s="2037"/>
      <c r="D42" s="2038"/>
      <c r="E42" s="2043"/>
      <c r="F42" s="2044"/>
      <c r="G42" s="2046"/>
      <c r="H42" s="2047"/>
      <c r="I42" s="2055"/>
      <c r="J42" s="2062"/>
      <c r="K42" s="2063"/>
      <c r="L42" s="2054"/>
      <c r="M42" s="2020"/>
      <c r="N42" s="2071"/>
      <c r="O42" s="2019"/>
      <c r="P42" s="2020"/>
      <c r="Q42" s="2020"/>
      <c r="R42" s="2073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75"/>
      <c r="AD42" s="1959"/>
      <c r="AE42" s="2020"/>
    </row>
    <row r="43" spans="1:31">
      <c r="A43" s="2035"/>
      <c r="B43" s="2036"/>
      <c r="C43" s="2037"/>
      <c r="D43" s="2038"/>
      <c r="E43" s="2043"/>
      <c r="F43" s="2044"/>
      <c r="G43" s="2046"/>
      <c r="H43" s="2047"/>
      <c r="I43" s="2055"/>
      <c r="J43" s="2062"/>
      <c r="K43" s="2064"/>
      <c r="L43" s="2065"/>
      <c r="M43" s="2020"/>
      <c r="N43" s="2071"/>
      <c r="O43" s="2019"/>
      <c r="P43" s="2020"/>
      <c r="Q43" s="2020"/>
      <c r="R43" s="2073"/>
      <c r="S43" s="2020"/>
      <c r="T43" s="2020"/>
      <c r="U43" s="2020"/>
      <c r="V43" s="2020"/>
      <c r="W43" s="2020"/>
      <c r="X43" s="2020"/>
      <c r="Y43" s="2020"/>
      <c r="Z43" s="2020"/>
      <c r="AA43" s="2020"/>
      <c r="AB43" s="2020"/>
      <c r="AC43" s="2075"/>
      <c r="AD43" s="1959"/>
      <c r="AE43" s="2020"/>
    </row>
    <row r="44" customHeight="1" spans="1:31">
      <c r="A44" s="2039" t="s">
        <v>67</v>
      </c>
      <c r="B44" s="2039"/>
      <c r="C44" s="2040"/>
      <c r="D44" s="2040"/>
      <c r="E44" s="2048"/>
      <c r="F44" s="2049"/>
      <c r="G44" s="2049"/>
      <c r="H44" s="2050">
        <f>SUM(H28:H43)</f>
        <v>1548445.8432</v>
      </c>
      <c r="I44" s="2066"/>
      <c r="J44" s="2050">
        <v>0</v>
      </c>
      <c r="K44" s="2067">
        <v>0</v>
      </c>
      <c r="L44" s="2068">
        <v>0</v>
      </c>
      <c r="M44" s="474"/>
      <c r="N44" s="474"/>
      <c r="O44" s="2072"/>
      <c r="P44" s="2011"/>
      <c r="Q44" s="2011"/>
      <c r="R44" s="2074"/>
      <c r="S44" s="2011"/>
      <c r="T44" s="2011"/>
      <c r="U44" s="2011"/>
      <c r="V44" s="2011"/>
      <c r="W44" s="2011"/>
      <c r="X44" s="2011"/>
      <c r="Y44" s="2011"/>
      <c r="Z44" s="2011"/>
      <c r="AA44" s="2011"/>
      <c r="AB44" s="2011"/>
      <c r="AC44" s="2039"/>
      <c r="AD44" s="2077" t="s">
        <v>325</v>
      </c>
      <c r="AE44" s="2077"/>
    </row>
    <row r="45" spans="1:31">
      <c r="A45" s="2001"/>
      <c r="B45" s="2001"/>
      <c r="C45" s="2001"/>
      <c r="D45" s="2001"/>
      <c r="E45" s="2051"/>
      <c r="F45" s="2001"/>
      <c r="G45" s="2001"/>
      <c r="H45" s="2052"/>
      <c r="I45" s="2001"/>
      <c r="J45" s="2001"/>
      <c r="K45" s="2001"/>
      <c r="L45" s="2001"/>
      <c r="M45" s="2001"/>
      <c r="N45" s="2001"/>
      <c r="O45" s="2002"/>
      <c r="P45" s="2001"/>
      <c r="Q45" s="2001"/>
      <c r="R45" s="2001"/>
      <c r="S45" s="2001"/>
      <c r="T45" s="2001"/>
      <c r="U45" s="2001"/>
      <c r="V45" s="2001"/>
      <c r="W45" s="2001"/>
      <c r="X45" s="2001"/>
      <c r="Y45" s="2001"/>
      <c r="Z45" s="2001"/>
      <c r="AA45" s="2001"/>
      <c r="AB45" s="2001"/>
      <c r="AC45" s="2001"/>
      <c r="AD45" s="2001"/>
      <c r="AE45" s="2001"/>
    </row>
    <row r="46" spans="1:31">
      <c r="A46" s="2001"/>
      <c r="B46" s="2001"/>
      <c r="C46" s="2001"/>
      <c r="D46" s="2001"/>
      <c r="E46" s="2051"/>
      <c r="F46" s="2001"/>
      <c r="G46" s="2001"/>
      <c r="H46" s="2052"/>
      <c r="I46" s="2001"/>
      <c r="J46" s="2001"/>
      <c r="K46" s="2001"/>
      <c r="L46" s="2001"/>
      <c r="M46" s="2001"/>
      <c r="N46" s="2001"/>
      <c r="O46" s="2002"/>
      <c r="P46" s="2001"/>
      <c r="Q46" s="2001"/>
      <c r="R46" s="2001"/>
      <c r="S46" s="2001"/>
      <c r="T46" s="2001"/>
      <c r="U46" s="2001"/>
      <c r="V46" s="2001"/>
      <c r="W46" s="2001"/>
      <c r="X46" s="2001"/>
      <c r="Y46" s="2001"/>
      <c r="Z46" s="2001"/>
      <c r="AA46" s="2001"/>
      <c r="AB46" s="2001"/>
      <c r="AC46" s="2001"/>
      <c r="AD46" s="2001"/>
      <c r="AE46" s="2001"/>
    </row>
    <row r="47" spans="1:31">
      <c r="A47" s="2001"/>
      <c r="B47" s="2001"/>
      <c r="C47" s="2001" t="s">
        <v>139</v>
      </c>
      <c r="D47" s="2001" t="s">
        <v>140</v>
      </c>
      <c r="E47" s="2051"/>
      <c r="F47" s="2001" t="s">
        <v>141</v>
      </c>
      <c r="G47" s="2001"/>
      <c r="H47" s="2052">
        <f>H14+H27+H44</f>
        <v>8652655.8432</v>
      </c>
      <c r="I47" s="2001"/>
      <c r="J47" s="2001" t="s">
        <v>579</v>
      </c>
      <c r="K47" s="2069">
        <f>H14</f>
        <v>4180000</v>
      </c>
      <c r="L47" s="2001"/>
      <c r="M47" s="2069"/>
      <c r="N47" s="2001"/>
      <c r="O47" s="2002"/>
      <c r="P47" s="2001"/>
      <c r="Q47" s="2001"/>
      <c r="R47" s="2001"/>
      <c r="S47" s="2001"/>
      <c r="T47" s="2001"/>
      <c r="U47" s="2001"/>
      <c r="V47" s="2001"/>
      <c r="W47" s="2001"/>
      <c r="X47" s="2001"/>
      <c r="Y47" s="2001"/>
      <c r="Z47" s="2001"/>
      <c r="AA47" s="2001"/>
      <c r="AB47" s="2001"/>
      <c r="AC47" s="2001"/>
      <c r="AD47" s="2001"/>
      <c r="AE47" s="2001"/>
    </row>
    <row r="48" spans="1:31">
      <c r="A48" s="2001"/>
      <c r="B48" s="2001"/>
      <c r="C48" s="2001"/>
      <c r="D48" s="2001"/>
      <c r="E48" s="2051"/>
      <c r="F48" s="2001"/>
      <c r="G48" s="2001"/>
      <c r="H48" s="2052"/>
      <c r="I48" s="2001"/>
      <c r="J48" s="2001" t="s">
        <v>580</v>
      </c>
      <c r="K48" s="2069">
        <f>H27</f>
        <v>2924210</v>
      </c>
      <c r="L48" s="2001"/>
      <c r="M48" s="2069"/>
      <c r="N48" s="2001"/>
      <c r="O48" s="2002"/>
      <c r="P48" s="2001"/>
      <c r="Q48" s="2001"/>
      <c r="R48" s="2001"/>
      <c r="S48" s="2001"/>
      <c r="T48" s="2001"/>
      <c r="U48" s="2001"/>
      <c r="V48" s="2001"/>
      <c r="W48" s="2001"/>
      <c r="X48" s="2001"/>
      <c r="Y48" s="2001"/>
      <c r="Z48" s="2001"/>
      <c r="AA48" s="2001"/>
      <c r="AB48" s="2001"/>
      <c r="AC48" s="2001"/>
      <c r="AD48" s="2001"/>
      <c r="AE48" s="2001"/>
    </row>
    <row r="49" spans="1:31">
      <c r="A49" s="2001"/>
      <c r="B49" s="2001"/>
      <c r="C49" s="2001"/>
      <c r="D49" s="2001"/>
      <c r="E49" s="2051"/>
      <c r="F49" s="2001"/>
      <c r="G49" s="2001"/>
      <c r="H49" s="2052"/>
      <c r="I49" s="2001"/>
      <c r="J49" s="2001" t="s">
        <v>581</v>
      </c>
      <c r="K49" s="2069">
        <f>H44</f>
        <v>1548445.8432</v>
      </c>
      <c r="L49" s="2001"/>
      <c r="M49" s="2069"/>
      <c r="N49" s="2001"/>
      <c r="O49" s="2002"/>
      <c r="P49" s="2001"/>
      <c r="Q49" s="2001"/>
      <c r="R49" s="2001"/>
      <c r="S49" s="2001"/>
      <c r="T49" s="2001"/>
      <c r="U49" s="2001"/>
      <c r="V49" s="2001"/>
      <c r="W49" s="2001"/>
      <c r="X49" s="2001"/>
      <c r="Y49" s="2001"/>
      <c r="Z49" s="2001"/>
      <c r="AA49" s="2001"/>
      <c r="AB49" s="2001"/>
      <c r="AC49" s="2001"/>
      <c r="AD49" s="2001"/>
      <c r="AE49" s="2001"/>
    </row>
    <row r="50" spans="1:31">
      <c r="A50" s="2001"/>
      <c r="B50" s="2001"/>
      <c r="C50" s="2001"/>
      <c r="D50" s="2001"/>
      <c r="E50" s="2051"/>
      <c r="F50" s="2001"/>
      <c r="G50" s="2001"/>
      <c r="H50" s="2052"/>
      <c r="I50" s="2001"/>
      <c r="J50" s="2001"/>
      <c r="K50" s="2069">
        <f>SUM(K47:K49)</f>
        <v>8652655.8432</v>
      </c>
      <c r="L50" s="2001"/>
      <c r="M50" s="2069"/>
      <c r="N50" s="2001"/>
      <c r="O50" s="2002"/>
      <c r="P50" s="2001"/>
      <c r="Q50" s="2001"/>
      <c r="R50" s="2001"/>
      <c r="S50" s="2001"/>
      <c r="T50" s="2001"/>
      <c r="U50" s="2001"/>
      <c r="V50" s="2001"/>
      <c r="W50" s="2001"/>
      <c r="X50" s="2001"/>
      <c r="Y50" s="2001"/>
      <c r="Z50" s="2001"/>
      <c r="AA50" s="2001"/>
      <c r="AB50" s="2001"/>
      <c r="AC50" s="2001"/>
      <c r="AD50" s="2001"/>
      <c r="AE50" s="2001"/>
    </row>
    <row r="51" spans="1:31">
      <c r="A51" s="2001"/>
      <c r="B51" s="2001"/>
      <c r="C51" s="2001"/>
      <c r="D51" s="2001"/>
      <c r="E51" s="2051"/>
      <c r="F51" s="2001"/>
      <c r="G51" s="2001"/>
      <c r="H51" s="2052"/>
      <c r="I51" s="2001"/>
      <c r="J51" s="2001"/>
      <c r="K51" s="2069"/>
      <c r="L51" s="2001"/>
      <c r="M51" s="2069"/>
      <c r="N51" s="2001"/>
      <c r="O51" s="2002"/>
      <c r="P51" s="2001"/>
      <c r="Q51" s="2001"/>
      <c r="R51" s="2001"/>
      <c r="S51" s="2001"/>
      <c r="T51" s="2001"/>
      <c r="U51" s="2001"/>
      <c r="V51" s="2001"/>
      <c r="W51" s="2001"/>
      <c r="X51" s="2001"/>
      <c r="Y51" s="2001"/>
      <c r="Z51" s="2001"/>
      <c r="AA51" s="2001"/>
      <c r="AB51" s="2001"/>
      <c r="AC51" s="2001"/>
      <c r="AD51" s="2001"/>
      <c r="AE51" s="2001"/>
    </row>
    <row r="52" spans="1:31">
      <c r="A52" s="2041"/>
      <c r="B52" s="2041"/>
      <c r="C52" s="2041"/>
      <c r="D52" s="2041"/>
      <c r="E52" s="2051"/>
      <c r="F52" s="2041"/>
      <c r="G52" s="2041"/>
      <c r="H52" s="2052"/>
      <c r="I52" s="2041"/>
      <c r="J52" s="2041"/>
      <c r="K52" s="2041"/>
      <c r="L52" s="2041"/>
      <c r="M52" s="2069"/>
      <c r="N52" s="2041"/>
      <c r="O52" s="2002"/>
      <c r="P52" s="2041"/>
      <c r="Q52" s="2041"/>
      <c r="R52" s="2041"/>
      <c r="S52" s="2041"/>
      <c r="T52" s="2041"/>
      <c r="U52" s="2041"/>
      <c r="V52" s="2041"/>
      <c r="W52" s="2041"/>
      <c r="X52" s="2041"/>
      <c r="Y52" s="2041"/>
      <c r="Z52" s="2041"/>
      <c r="AA52" s="2041"/>
      <c r="AB52" s="2041"/>
      <c r="AC52" s="2041"/>
      <c r="AD52" s="2041"/>
      <c r="AE52" s="2041"/>
    </row>
    <row r="53" spans="1:31">
      <c r="A53" s="2041"/>
      <c r="B53" s="2041"/>
      <c r="C53" s="2041"/>
      <c r="D53" s="2041"/>
      <c r="E53" s="2051"/>
      <c r="F53" s="2041"/>
      <c r="G53" s="2041"/>
      <c r="H53" s="2052"/>
      <c r="I53" s="2041"/>
      <c r="J53" s="2041"/>
      <c r="K53" s="2041"/>
      <c r="L53" s="2041"/>
      <c r="M53" s="2041"/>
      <c r="N53" s="2041"/>
      <c r="O53" s="2002"/>
      <c r="P53" s="2041"/>
      <c r="Q53" s="2041"/>
      <c r="R53" s="2041"/>
      <c r="S53" s="2041"/>
      <c r="T53" s="2041"/>
      <c r="U53" s="2041"/>
      <c r="V53" s="2041"/>
      <c r="W53" s="2041"/>
      <c r="X53" s="2041"/>
      <c r="Y53" s="2041"/>
      <c r="Z53" s="2041"/>
      <c r="AA53" s="2041"/>
      <c r="AB53" s="2041"/>
      <c r="AC53" s="2041"/>
      <c r="AD53" s="2041"/>
      <c r="AE53" s="2041"/>
    </row>
    <row r="54" spans="1:31">
      <c r="A54" s="2041"/>
      <c r="B54" s="2041"/>
      <c r="C54" s="2041"/>
      <c r="D54" s="2041"/>
      <c r="E54" s="2051"/>
      <c r="F54" s="2041"/>
      <c r="G54" s="2041"/>
      <c r="H54" s="2052"/>
      <c r="I54" s="2041"/>
      <c r="J54" s="2041"/>
      <c r="K54" s="2041"/>
      <c r="L54" s="2041"/>
      <c r="M54" s="2041"/>
      <c r="N54" s="2041"/>
      <c r="O54" s="2002"/>
      <c r="P54" s="2041"/>
      <c r="Q54" s="2041"/>
      <c r="R54" s="2041"/>
      <c r="S54" s="2041"/>
      <c r="T54" s="2041"/>
      <c r="U54" s="2041"/>
      <c r="V54" s="2041"/>
      <c r="W54" s="2041"/>
      <c r="X54" s="2041"/>
      <c r="Y54" s="2041"/>
      <c r="Z54" s="2041"/>
      <c r="AA54" s="2041"/>
      <c r="AB54" s="2041"/>
      <c r="AC54" s="2041"/>
      <c r="AD54" s="2041"/>
      <c r="AE54" s="2041"/>
    </row>
  </sheetData>
  <sheetProtection formatCells="0" insertHyperlinks="0" autoFilter="0"/>
  <mergeCells count="15">
    <mergeCell ref="A1:M1"/>
    <mergeCell ref="A14:B14"/>
    <mergeCell ref="C14:D14"/>
    <mergeCell ref="A27:B27"/>
    <mergeCell ref="C27:D27"/>
    <mergeCell ref="A44:B44"/>
    <mergeCell ref="C44:D44"/>
    <mergeCell ref="A3:A9"/>
    <mergeCell ref="A10:A13"/>
    <mergeCell ref="A15:A16"/>
    <mergeCell ref="A17:A20"/>
    <mergeCell ref="A21:A26"/>
    <mergeCell ref="A28:A32"/>
    <mergeCell ref="A34:A35"/>
    <mergeCell ref="A37:A4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AE57"/>
  <sheetViews>
    <sheetView workbookViewId="0">
      <selection activeCell="C29" sqref="C29"/>
    </sheetView>
  </sheetViews>
  <sheetFormatPr defaultColWidth="9" defaultRowHeight="16.5"/>
  <cols>
    <col min="1" max="1" width="13.4416666666667" customWidth="1"/>
    <col min="2" max="2" width="21.5666666666667" customWidth="1"/>
    <col min="3" max="3" width="17.1916666666667" customWidth="1"/>
    <col min="4" max="4" width="39.3416666666667" customWidth="1"/>
    <col min="5" max="5" width="10.375" style="1934"/>
    <col min="6" max="6" width="14.0333333333333" customWidth="1"/>
    <col min="7" max="7" width="16.875" customWidth="1"/>
    <col min="8" max="8" width="19.875" style="10" customWidth="1"/>
    <col min="9" max="9" width="15.1583333333333" customWidth="1"/>
    <col min="10" max="10" width="36.2583333333333" customWidth="1"/>
    <col min="11" max="11" width="17.3583333333333" customWidth="1"/>
    <col min="12" max="12" width="14.875"/>
    <col min="13" max="13" width="14.025" customWidth="1"/>
    <col min="14" max="14" width="18.1916666666667" customWidth="1"/>
    <col min="15" max="15" width="43.7583333333333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957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2135" t="s">
        <v>143</v>
      </c>
      <c r="C3" s="2083" t="s">
        <v>50</v>
      </c>
      <c r="D3" s="2083"/>
      <c r="E3" s="2097"/>
      <c r="F3" s="1399"/>
      <c r="G3" s="1399"/>
      <c r="H3" s="2097">
        <v>300000</v>
      </c>
      <c r="I3" s="1981"/>
      <c r="J3" s="66"/>
      <c r="K3" s="1982"/>
      <c r="L3" s="1983"/>
      <c r="M3" s="1399"/>
      <c r="N3" s="1399"/>
      <c r="O3" s="2006"/>
      <c r="P3" s="1399"/>
      <c r="Q3" s="1399"/>
      <c r="R3" s="1399"/>
      <c r="S3" s="1399"/>
      <c r="T3" s="1399"/>
      <c r="U3" s="1399"/>
      <c r="V3" s="1399"/>
      <c r="W3" s="1399"/>
      <c r="X3" s="1399"/>
      <c r="Y3" s="1399"/>
      <c r="Z3" s="1399"/>
      <c r="AA3" s="1399"/>
      <c r="AB3" s="1399"/>
      <c r="AC3" s="825"/>
      <c r="AD3" s="2016"/>
      <c r="AE3" s="1399"/>
    </row>
    <row r="4" customFormat="1" spans="1:31">
      <c r="A4" s="1941"/>
      <c r="B4" s="2081" t="s">
        <v>958</v>
      </c>
      <c r="C4" s="2083"/>
      <c r="D4" s="2117" t="s">
        <v>959</v>
      </c>
      <c r="E4" s="2097"/>
      <c r="F4" s="1399"/>
      <c r="G4" s="1399"/>
      <c r="H4" s="2097">
        <v>250000</v>
      </c>
      <c r="I4" s="1981"/>
      <c r="J4" s="66"/>
      <c r="K4" s="1982"/>
      <c r="L4" s="1983"/>
      <c r="M4" s="1399"/>
      <c r="N4" s="1399"/>
      <c r="O4" s="2006"/>
      <c r="P4" s="1399"/>
      <c r="Q4" s="1399"/>
      <c r="R4" s="1399"/>
      <c r="S4" s="1399"/>
      <c r="T4" s="1399"/>
      <c r="U4" s="1399"/>
      <c r="V4" s="1399"/>
      <c r="W4" s="1399"/>
      <c r="X4" s="1399"/>
      <c r="Y4" s="1399"/>
      <c r="Z4" s="1399"/>
      <c r="AA4" s="1399"/>
      <c r="AB4" s="1399"/>
      <c r="AC4" s="825"/>
      <c r="AD4" s="2016"/>
      <c r="AE4" s="1399"/>
    </row>
    <row r="5" customFormat="1" spans="1:31">
      <c r="A5" s="1941"/>
      <c r="B5" s="2081" t="s">
        <v>960</v>
      </c>
      <c r="C5" s="2083"/>
      <c r="D5" s="2117" t="s">
        <v>959</v>
      </c>
      <c r="E5" s="2097"/>
      <c r="F5" s="1399"/>
      <c r="G5" s="1399"/>
      <c r="H5" s="2097">
        <v>150000</v>
      </c>
      <c r="I5" s="1981"/>
      <c r="J5" s="66"/>
      <c r="K5" s="1982"/>
      <c r="L5" s="1983"/>
      <c r="M5" s="1399"/>
      <c r="N5" s="1399"/>
      <c r="O5" s="2006"/>
      <c r="P5" s="1399"/>
      <c r="Q5" s="1399"/>
      <c r="R5" s="1399"/>
      <c r="S5" s="1399"/>
      <c r="T5" s="1399"/>
      <c r="U5" s="1399"/>
      <c r="V5" s="1399"/>
      <c r="W5" s="1399"/>
      <c r="X5" s="1399"/>
      <c r="Y5" s="1399"/>
      <c r="Z5" s="1399"/>
      <c r="AA5" s="1399"/>
      <c r="AB5" s="1399"/>
      <c r="AC5" s="825"/>
      <c r="AD5" s="2016"/>
      <c r="AE5" s="1399"/>
    </row>
    <row r="6" s="23" customFormat="1" customHeight="1" spans="1:31">
      <c r="A6" s="2136" t="s">
        <v>209</v>
      </c>
      <c r="B6" s="2087" t="s">
        <v>936</v>
      </c>
      <c r="C6" s="1946" t="s">
        <v>961</v>
      </c>
      <c r="D6" s="1947"/>
      <c r="E6" s="1947"/>
      <c r="F6" s="1947"/>
      <c r="G6" s="1946"/>
      <c r="H6" s="1966">
        <v>800000</v>
      </c>
      <c r="I6" s="1947"/>
      <c r="J6" s="1984"/>
      <c r="K6" s="1966"/>
      <c r="L6" s="1985"/>
      <c r="M6" s="1946"/>
      <c r="N6" s="1946"/>
      <c r="O6" s="2007"/>
      <c r="P6" s="1946"/>
      <c r="Q6" s="1946"/>
      <c r="R6" s="2022"/>
      <c r="S6" s="1946"/>
      <c r="T6" s="1946"/>
      <c r="U6" s="1946"/>
      <c r="V6" s="1946"/>
      <c r="W6" s="1946"/>
      <c r="X6" s="1946"/>
      <c r="Y6" s="1946"/>
      <c r="Z6" s="1946"/>
      <c r="AA6" s="1946"/>
      <c r="AB6" s="1946"/>
      <c r="AC6" s="2028"/>
      <c r="AD6" s="2029"/>
      <c r="AE6" s="1946"/>
    </row>
    <row r="7" s="23" customFormat="1" customHeight="1" spans="1:31">
      <c r="A7" s="2137"/>
      <c r="B7" s="2087" t="s">
        <v>527</v>
      </c>
      <c r="C7" s="2022"/>
      <c r="D7" s="2088"/>
      <c r="E7" s="1967"/>
      <c r="F7" s="1946"/>
      <c r="G7" s="1946"/>
      <c r="H7" s="1966">
        <v>500000</v>
      </c>
      <c r="I7" s="2104"/>
      <c r="J7" s="1984"/>
      <c r="K7" s="1966"/>
      <c r="L7" s="1985"/>
      <c r="M7" s="1946"/>
      <c r="N7" s="1946"/>
      <c r="O7" s="2110"/>
      <c r="P7" s="1946"/>
      <c r="Q7" s="1946"/>
      <c r="R7" s="2022"/>
      <c r="S7" s="1946"/>
      <c r="T7" s="1946"/>
      <c r="U7" s="1946"/>
      <c r="V7" s="1946"/>
      <c r="W7" s="1946"/>
      <c r="X7" s="1946"/>
      <c r="Y7" s="1946"/>
      <c r="Z7" s="1946"/>
      <c r="AA7" s="1946"/>
      <c r="AB7" s="1946"/>
      <c r="AC7" s="2028"/>
      <c r="AD7" s="2029"/>
      <c r="AE7" s="1946"/>
    </row>
    <row r="8" customFormat="1" customHeight="1" spans="1:31">
      <c r="A8" s="1950" t="s">
        <v>343</v>
      </c>
      <c r="B8" s="1950"/>
      <c r="C8" s="1951"/>
      <c r="D8" s="1951"/>
      <c r="E8" s="1968"/>
      <c r="F8" s="1969"/>
      <c r="G8" s="1970"/>
      <c r="H8" s="1971">
        <f>SUM(H3:H7)</f>
        <v>2000000</v>
      </c>
      <c r="I8" s="1989"/>
      <c r="J8" s="1990">
        <v>0</v>
      </c>
      <c r="K8" s="1991">
        <v>0</v>
      </c>
      <c r="L8" s="1991">
        <v>0</v>
      </c>
      <c r="M8" s="2009"/>
      <c r="N8" s="2009"/>
      <c r="O8" s="2010"/>
      <c r="P8" s="2011"/>
      <c r="Q8" s="2011"/>
      <c r="R8" s="40"/>
      <c r="S8" s="2011"/>
      <c r="T8" s="2011"/>
      <c r="U8" s="2011"/>
      <c r="V8" s="2011"/>
      <c r="W8" s="2011"/>
      <c r="X8" s="2011"/>
      <c r="Y8" s="2011"/>
      <c r="Z8" s="2011"/>
      <c r="AA8" s="2011"/>
      <c r="AB8" s="2011"/>
      <c r="AC8" s="2030"/>
      <c r="AD8" s="1956" t="s">
        <v>285</v>
      </c>
      <c r="AE8" s="1956"/>
    </row>
    <row r="9" s="418" customFormat="1" ht="22.85" customHeight="1" spans="1:31">
      <c r="A9" s="666" t="s">
        <v>331</v>
      </c>
      <c r="B9" s="664" t="s">
        <v>962</v>
      </c>
      <c r="C9" s="664" t="s">
        <v>963</v>
      </c>
      <c r="D9" s="664" t="s">
        <v>964</v>
      </c>
      <c r="E9" s="35"/>
      <c r="F9" s="349"/>
      <c r="G9" s="349">
        <v>103212</v>
      </c>
      <c r="H9" s="380">
        <f>G9*I9</f>
        <v>656428.32</v>
      </c>
      <c r="I9" s="1992">
        <v>6.36</v>
      </c>
      <c r="J9" s="1993"/>
      <c r="K9" s="380"/>
      <c r="L9" s="1972"/>
      <c r="M9" s="2012"/>
      <c r="N9" s="2012"/>
      <c r="O9" s="2013"/>
      <c r="P9" s="44"/>
      <c r="Q9" s="153"/>
      <c r="R9" s="40"/>
      <c r="S9" s="44"/>
      <c r="T9" s="44"/>
      <c r="U9" s="44"/>
      <c r="V9" s="44"/>
      <c r="W9" s="44"/>
      <c r="X9" s="44"/>
      <c r="Y9" s="44"/>
      <c r="Z9" s="44"/>
      <c r="AA9" s="44"/>
      <c r="AB9" s="44"/>
      <c r="AC9" s="664"/>
      <c r="AD9" s="40"/>
      <c r="AE9" s="40"/>
    </row>
    <row r="10" s="418" customFormat="1" ht="22.85" customHeight="1" spans="1:31">
      <c r="A10" s="666" t="s">
        <v>245</v>
      </c>
      <c r="B10" s="1552" t="s">
        <v>611</v>
      </c>
      <c r="C10" s="2138"/>
      <c r="D10" s="2139" t="s">
        <v>965</v>
      </c>
      <c r="E10" s="39"/>
      <c r="F10" s="2145"/>
      <c r="G10" s="2146"/>
      <c r="H10" s="379">
        <v>200000</v>
      </c>
      <c r="I10" s="2140"/>
      <c r="J10" s="1993"/>
      <c r="K10" s="379"/>
      <c r="L10" s="1994"/>
      <c r="M10" s="2012"/>
      <c r="N10" s="2012"/>
      <c r="O10" s="2013"/>
      <c r="P10" s="44"/>
      <c r="Q10" s="153"/>
      <c r="R10" s="40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664"/>
      <c r="AD10" s="40"/>
      <c r="AE10" s="40"/>
    </row>
    <row r="11" s="418" customFormat="1" ht="22.85" customHeight="1" spans="1:31">
      <c r="A11" s="556"/>
      <c r="B11" s="1580" t="s">
        <v>174</v>
      </c>
      <c r="C11" s="2140"/>
      <c r="D11" s="2139" t="s">
        <v>965</v>
      </c>
      <c r="E11" s="2140"/>
      <c r="F11" s="2140"/>
      <c r="G11" s="2147"/>
      <c r="H11" s="1994">
        <v>500000</v>
      </c>
      <c r="I11" s="2149"/>
      <c r="J11" s="1954"/>
      <c r="K11" s="1994"/>
      <c r="L11" s="1994"/>
      <c r="M11" s="2111"/>
      <c r="N11" s="2012"/>
      <c r="O11" s="2013"/>
      <c r="P11" s="44"/>
      <c r="Q11" s="153"/>
      <c r="R11" s="40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664"/>
      <c r="AD11" s="40"/>
      <c r="AE11" s="40"/>
    </row>
    <row r="12" s="418" customFormat="1" ht="22.85" customHeight="1" spans="1:31">
      <c r="A12" s="670"/>
      <c r="B12" s="1580" t="s">
        <v>247</v>
      </c>
      <c r="C12" s="2140"/>
      <c r="D12" s="2139" t="s">
        <v>966</v>
      </c>
      <c r="E12" s="2140"/>
      <c r="F12" s="2140"/>
      <c r="G12" s="2147"/>
      <c r="H12" s="1994">
        <v>220000</v>
      </c>
      <c r="I12" s="2149"/>
      <c r="J12" s="1954"/>
      <c r="K12" s="1994"/>
      <c r="L12" s="1994"/>
      <c r="M12" s="2111"/>
      <c r="N12" s="2012"/>
      <c r="O12" s="2013"/>
      <c r="P12" s="44"/>
      <c r="Q12" s="153"/>
      <c r="R12" s="40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664"/>
      <c r="AD12" s="40"/>
      <c r="AE12" s="40"/>
    </row>
    <row r="13" s="1933" customFormat="1" ht="23.75" customHeight="1" spans="1:31">
      <c r="A13" s="666" t="s">
        <v>224</v>
      </c>
      <c r="B13" s="715" t="s">
        <v>408</v>
      </c>
      <c r="C13" s="2141"/>
      <c r="D13" s="2142" t="s">
        <v>967</v>
      </c>
      <c r="E13" s="128"/>
      <c r="F13" s="128"/>
      <c r="G13" s="2148"/>
      <c r="H13" s="458">
        <v>250000</v>
      </c>
      <c r="I13"/>
      <c r="J13" s="495"/>
      <c r="K13" s="458"/>
      <c r="L13" s="1996"/>
      <c r="M13" s="364"/>
      <c r="N13" s="2014"/>
      <c r="O13" s="2015"/>
      <c r="P13" s="40"/>
      <c r="Q13" s="40"/>
      <c r="R13" s="2023"/>
      <c r="S13" s="2024"/>
      <c r="T13" s="40"/>
      <c r="U13" s="40"/>
      <c r="V13" s="40"/>
      <c r="W13" s="40"/>
      <c r="X13" s="40"/>
      <c r="Y13" s="40"/>
      <c r="Z13" s="40"/>
      <c r="AA13" s="40"/>
      <c r="AB13" s="40"/>
      <c r="AC13" s="664"/>
      <c r="AD13" s="185"/>
      <c r="AE13" s="40"/>
    </row>
    <row r="14" s="1933" customFormat="1" ht="23.75" customHeight="1" spans="1:31">
      <c r="A14" s="556"/>
      <c r="B14" s="259"/>
      <c r="C14" s="259"/>
      <c r="D14" s="259"/>
      <c r="E14" s="259"/>
      <c r="F14" s="259"/>
      <c r="G14" s="259"/>
      <c r="H14" s="259"/>
      <c r="I14" s="1993"/>
      <c r="J14" s="380"/>
      <c r="K14" s="380"/>
      <c r="L14" s="364"/>
      <c r="M14" s="2112"/>
      <c r="N14" s="2014"/>
      <c r="O14" s="2015"/>
      <c r="P14" s="40"/>
      <c r="Q14" s="40"/>
      <c r="R14" s="2023"/>
      <c r="S14" s="2024"/>
      <c r="T14" s="40"/>
      <c r="U14" s="40"/>
      <c r="V14" s="40"/>
      <c r="W14" s="40"/>
      <c r="X14" s="40"/>
      <c r="Y14" s="40"/>
      <c r="Z14" s="40"/>
      <c r="AA14" s="40"/>
      <c r="AB14" s="40"/>
      <c r="AC14" s="664"/>
      <c r="AD14" s="185"/>
      <c r="AE14" s="40"/>
    </row>
    <row r="15" s="1933" customFormat="1" ht="23.75" customHeight="1" spans="1:31">
      <c r="A15" s="556"/>
      <c r="B15" s="715"/>
      <c r="C15" s="1952"/>
      <c r="D15" s="1914"/>
      <c r="E15" s="68"/>
      <c r="F15" s="68"/>
      <c r="G15" s="380"/>
      <c r="H15" s="380"/>
      <c r="I15" s="1993"/>
      <c r="J15" s="380"/>
      <c r="K15" s="380"/>
      <c r="L15" s="1996"/>
      <c r="M15" s="364"/>
      <c r="N15" s="2014"/>
      <c r="O15" s="2016"/>
      <c r="P15" s="40"/>
      <c r="Q15" s="40"/>
      <c r="R15" s="2023"/>
      <c r="S15" s="2024"/>
      <c r="T15" s="40"/>
      <c r="U15" s="40"/>
      <c r="V15" s="40"/>
      <c r="W15" s="40"/>
      <c r="X15" s="40"/>
      <c r="Y15" s="40"/>
      <c r="Z15" s="40"/>
      <c r="AA15" s="40"/>
      <c r="AB15" s="40"/>
      <c r="AC15" s="664"/>
      <c r="AD15" s="185"/>
      <c r="AE15" s="40"/>
    </row>
    <row r="16" ht="27.5" customHeight="1" spans="1:31">
      <c r="A16" s="1956" t="s">
        <v>67</v>
      </c>
      <c r="B16" s="1957"/>
      <c r="C16" s="1951"/>
      <c r="D16" s="1951"/>
      <c r="E16" s="1973"/>
      <c r="F16" s="1974"/>
      <c r="G16" s="1974"/>
      <c r="H16" s="1975">
        <f>SUM(H9:H15)</f>
        <v>1826428.32</v>
      </c>
      <c r="I16" s="1974"/>
      <c r="J16" s="1998"/>
      <c r="K16" s="99"/>
      <c r="L16" s="99"/>
      <c r="M16" s="185"/>
      <c r="N16" s="185"/>
      <c r="O16" s="2016"/>
      <c r="P16" s="40"/>
      <c r="Q16" s="40"/>
      <c r="R16" s="523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1956"/>
      <c r="AD16" s="1956" t="s">
        <v>293</v>
      </c>
      <c r="AE16" s="1956"/>
    </row>
    <row r="17" spans="1:31">
      <c r="A17" s="1958" t="s">
        <v>344</v>
      </c>
      <c r="B17" s="1959" t="s">
        <v>299</v>
      </c>
      <c r="C17" s="1883" t="s">
        <v>968</v>
      </c>
      <c r="D17" s="819" t="s">
        <v>348</v>
      </c>
      <c r="E17" s="1976">
        <v>91</v>
      </c>
      <c r="F17" s="1327">
        <v>365</v>
      </c>
      <c r="G17" s="1327">
        <f t="shared" ref="G17:G26" si="0">F17*E17</f>
        <v>33215</v>
      </c>
      <c r="H17" s="1977">
        <f t="shared" ref="H17:H26" si="1">G17*I17</f>
        <v>211556.2995</v>
      </c>
      <c r="I17" s="1992">
        <v>6.3693</v>
      </c>
      <c r="J17" s="606" t="s">
        <v>969</v>
      </c>
      <c r="K17" s="1999"/>
      <c r="L17" s="2000"/>
      <c r="M17" s="2017"/>
      <c r="N17" s="2018"/>
      <c r="O17" s="2019"/>
      <c r="P17" s="2020"/>
      <c r="Q17" s="2020"/>
      <c r="R17" s="2025"/>
      <c r="S17" s="2020"/>
      <c r="T17" s="2020"/>
      <c r="U17" s="2020"/>
      <c r="V17" s="2020"/>
      <c r="W17" s="2020"/>
      <c r="X17" s="2020"/>
      <c r="Y17" s="2020"/>
      <c r="Z17" s="2020"/>
      <c r="AA17" s="2020"/>
      <c r="AB17" s="2020"/>
      <c r="AC17" s="2031"/>
      <c r="AD17" s="2032"/>
      <c r="AE17" s="2033"/>
    </row>
    <row r="18" spans="1:31">
      <c r="A18" s="1958"/>
      <c r="B18" s="1959" t="s">
        <v>299</v>
      </c>
      <c r="C18" s="2143" t="s">
        <v>970</v>
      </c>
      <c r="D18" s="819" t="s">
        <v>348</v>
      </c>
      <c r="E18" s="1976">
        <v>91</v>
      </c>
      <c r="F18" s="1327">
        <v>365</v>
      </c>
      <c r="G18" s="1327">
        <f t="shared" si="0"/>
        <v>33215</v>
      </c>
      <c r="H18" s="1977">
        <f t="shared" si="1"/>
        <v>211556.2995</v>
      </c>
      <c r="I18" s="1992">
        <v>6.3693</v>
      </c>
      <c r="J18" s="606" t="s">
        <v>971</v>
      </c>
      <c r="K18" s="1999"/>
      <c r="L18" s="2000"/>
      <c r="M18" s="2017"/>
      <c r="N18" s="2018"/>
      <c r="O18" s="2019"/>
      <c r="P18" s="2020"/>
      <c r="Q18" s="2020"/>
      <c r="R18" s="2025"/>
      <c r="S18" s="2020"/>
      <c r="T18" s="2020"/>
      <c r="U18" s="2020"/>
      <c r="V18" s="2020"/>
      <c r="W18" s="2020"/>
      <c r="X18" s="2020"/>
      <c r="Y18" s="2020"/>
      <c r="Z18" s="2020"/>
      <c r="AA18" s="2020"/>
      <c r="AB18" s="2020"/>
      <c r="AC18" s="2031"/>
      <c r="AD18" s="2032"/>
      <c r="AE18" s="2033"/>
    </row>
    <row r="19" spans="1:31">
      <c r="A19" s="1958"/>
      <c r="B19" s="1959" t="s">
        <v>299</v>
      </c>
      <c r="C19" s="2143" t="s">
        <v>972</v>
      </c>
      <c r="D19" s="819" t="s">
        <v>348</v>
      </c>
      <c r="E19" s="1976">
        <v>91</v>
      </c>
      <c r="F19" s="1327">
        <v>365</v>
      </c>
      <c r="G19" s="1327">
        <f t="shared" si="0"/>
        <v>33215</v>
      </c>
      <c r="H19" s="1977">
        <f t="shared" si="1"/>
        <v>211556.2995</v>
      </c>
      <c r="I19" s="1992">
        <v>6.3693</v>
      </c>
      <c r="J19" s="606" t="s">
        <v>971</v>
      </c>
      <c r="K19" s="1999"/>
      <c r="L19" s="2000"/>
      <c r="M19" s="2017"/>
      <c r="N19" s="2018"/>
      <c r="O19" s="2019"/>
      <c r="P19" s="2020"/>
      <c r="Q19" s="2020"/>
      <c r="R19" s="2025"/>
      <c r="S19" s="2020"/>
      <c r="T19" s="2020"/>
      <c r="U19" s="2020"/>
      <c r="V19" s="2020"/>
      <c r="W19" s="2020"/>
      <c r="X19" s="2020"/>
      <c r="Y19" s="2020"/>
      <c r="Z19" s="2020"/>
      <c r="AA19" s="2020"/>
      <c r="AB19" s="2020"/>
      <c r="AC19" s="2031"/>
      <c r="AD19" s="2032"/>
      <c r="AE19" s="2033"/>
    </row>
    <row r="20" spans="1:31">
      <c r="A20" s="1958"/>
      <c r="B20" s="1959" t="s">
        <v>299</v>
      </c>
      <c r="C20" s="1883" t="s">
        <v>973</v>
      </c>
      <c r="D20" s="819" t="s">
        <v>348</v>
      </c>
      <c r="E20" s="1976">
        <v>91</v>
      </c>
      <c r="F20" s="1327">
        <v>365</v>
      </c>
      <c r="G20" s="1327">
        <f t="shared" si="0"/>
        <v>33215</v>
      </c>
      <c r="H20" s="1977">
        <f t="shared" si="1"/>
        <v>211556.2995</v>
      </c>
      <c r="I20" s="1992">
        <v>6.3693</v>
      </c>
      <c r="J20" s="606" t="s">
        <v>974</v>
      </c>
      <c r="K20" s="1999">
        <f>SUM(H17:H30)</f>
        <v>2622183.4863</v>
      </c>
      <c r="L20" s="2000"/>
      <c r="M20" s="2017"/>
      <c r="N20" s="2018"/>
      <c r="O20" s="2019"/>
      <c r="P20" s="2020"/>
      <c r="Q20" s="2020"/>
      <c r="R20" s="2025"/>
      <c r="S20" s="2020"/>
      <c r="T20" s="2020"/>
      <c r="U20" s="2020"/>
      <c r="V20" s="2020"/>
      <c r="W20" s="2020"/>
      <c r="X20" s="2020"/>
      <c r="Y20" s="2020"/>
      <c r="Z20" s="2020"/>
      <c r="AA20" s="2020"/>
      <c r="AB20" s="2020"/>
      <c r="AC20" s="2031"/>
      <c r="AD20" s="2032"/>
      <c r="AE20" s="2033"/>
    </row>
    <row r="21" spans="1:31">
      <c r="A21" s="1958"/>
      <c r="B21" s="1959" t="s">
        <v>299</v>
      </c>
      <c r="C21" s="1883" t="s">
        <v>975</v>
      </c>
      <c r="D21" s="819" t="s">
        <v>348</v>
      </c>
      <c r="E21" s="1976">
        <v>91</v>
      </c>
      <c r="F21" s="1327">
        <v>365</v>
      </c>
      <c r="G21" s="1327">
        <f t="shared" si="0"/>
        <v>33215</v>
      </c>
      <c r="H21" s="1977">
        <f t="shared" si="1"/>
        <v>211556.2995</v>
      </c>
      <c r="I21" s="1992">
        <v>6.3693</v>
      </c>
      <c r="J21" s="606" t="s">
        <v>974</v>
      </c>
      <c r="K21" s="1999">
        <f>SUM(H33:H39)</f>
        <v>1556319.3471</v>
      </c>
      <c r="L21" s="2000"/>
      <c r="M21" s="2017"/>
      <c r="N21" s="2018"/>
      <c r="O21" s="2019"/>
      <c r="P21" s="2020"/>
      <c r="Q21" s="2020"/>
      <c r="R21" s="2025"/>
      <c r="S21" s="2020"/>
      <c r="T21" s="2020"/>
      <c r="U21" s="2020"/>
      <c r="V21" s="2020"/>
      <c r="W21" s="2020"/>
      <c r="X21" s="2020"/>
      <c r="Y21" s="2020"/>
      <c r="Z21" s="2020"/>
      <c r="AA21" s="2020"/>
      <c r="AB21" s="2020"/>
      <c r="AC21" s="2031"/>
      <c r="AD21" s="2032"/>
      <c r="AE21" s="2033"/>
    </row>
    <row r="22" spans="1:31">
      <c r="A22" s="1958"/>
      <c r="B22" s="1959" t="s">
        <v>299</v>
      </c>
      <c r="C22" s="2143" t="s">
        <v>976</v>
      </c>
      <c r="D22" s="819" t="s">
        <v>348</v>
      </c>
      <c r="E22" s="1976">
        <v>91</v>
      </c>
      <c r="F22" s="1327">
        <v>365</v>
      </c>
      <c r="G22" s="1327">
        <f t="shared" si="0"/>
        <v>33215</v>
      </c>
      <c r="H22" s="1977">
        <f t="shared" si="1"/>
        <v>211556.2995</v>
      </c>
      <c r="I22" s="1992">
        <v>6.3693</v>
      </c>
      <c r="J22" s="606" t="s">
        <v>971</v>
      </c>
      <c r="K22" s="1999">
        <f>SUM(H42:H44)</f>
        <v>481837.545</v>
      </c>
      <c r="L22" s="2000"/>
      <c r="M22" s="2017"/>
      <c r="N22" s="2018"/>
      <c r="O22" s="2019"/>
      <c r="P22" s="2020"/>
      <c r="Q22" s="2020"/>
      <c r="R22" s="2025"/>
      <c r="S22" s="2020"/>
      <c r="T22" s="2020"/>
      <c r="U22" s="2020"/>
      <c r="V22" s="2020"/>
      <c r="W22" s="2020"/>
      <c r="X22" s="2020"/>
      <c r="Y22" s="2020"/>
      <c r="Z22" s="2020"/>
      <c r="AA22" s="2020"/>
      <c r="AB22" s="2020"/>
      <c r="AC22" s="2031"/>
      <c r="AD22" s="2032"/>
      <c r="AE22" s="2033"/>
    </row>
    <row r="23" spans="1:31">
      <c r="A23" s="1958"/>
      <c r="B23" s="1959" t="s">
        <v>299</v>
      </c>
      <c r="C23" s="1883" t="s">
        <v>977</v>
      </c>
      <c r="D23" s="819" t="s">
        <v>348</v>
      </c>
      <c r="E23" s="1976">
        <v>91</v>
      </c>
      <c r="F23" s="1327">
        <v>365</v>
      </c>
      <c r="G23" s="1327">
        <f t="shared" si="0"/>
        <v>33215</v>
      </c>
      <c r="H23" s="1977">
        <f t="shared" si="1"/>
        <v>211556.2995</v>
      </c>
      <c r="I23" s="1992">
        <v>6.3693</v>
      </c>
      <c r="J23" s="606" t="s">
        <v>978</v>
      </c>
      <c r="K23" s="1999"/>
      <c r="L23" s="2000"/>
      <c r="M23" s="2017"/>
      <c r="N23" s="2018"/>
      <c r="O23" s="2019"/>
      <c r="P23" s="2020"/>
      <c r="Q23" s="2020"/>
      <c r="R23" s="2025"/>
      <c r="S23" s="2020"/>
      <c r="T23" s="2020"/>
      <c r="U23" s="2020"/>
      <c r="V23" s="2020"/>
      <c r="W23" s="2020"/>
      <c r="X23" s="2020"/>
      <c r="Y23" s="2020"/>
      <c r="Z23" s="2020"/>
      <c r="AA23" s="2020"/>
      <c r="AB23" s="2020"/>
      <c r="AC23" s="2031"/>
      <c r="AD23" s="2032"/>
      <c r="AE23" s="2033"/>
    </row>
    <row r="24" spans="1:31">
      <c r="A24" s="1958"/>
      <c r="B24" s="1959" t="s">
        <v>299</v>
      </c>
      <c r="C24" s="1883" t="s">
        <v>979</v>
      </c>
      <c r="D24" s="819" t="s">
        <v>348</v>
      </c>
      <c r="E24" s="1976">
        <v>91</v>
      </c>
      <c r="F24" s="1327">
        <v>365</v>
      </c>
      <c r="G24" s="1327">
        <f t="shared" si="0"/>
        <v>33215</v>
      </c>
      <c r="H24" s="1977">
        <v>211556.2995</v>
      </c>
      <c r="I24" s="1992">
        <v>6.3693</v>
      </c>
      <c r="J24" s="606" t="s">
        <v>978</v>
      </c>
      <c r="K24" s="1999"/>
      <c r="L24" s="2000"/>
      <c r="M24" s="2017"/>
      <c r="N24" s="2018"/>
      <c r="O24" s="2019"/>
      <c r="P24" s="2020"/>
      <c r="Q24" s="2020"/>
      <c r="R24" s="2025"/>
      <c r="S24" s="2020"/>
      <c r="T24" s="2020"/>
      <c r="U24" s="2020"/>
      <c r="V24" s="2020"/>
      <c r="W24" s="2020"/>
      <c r="X24" s="2020"/>
      <c r="Y24" s="2020"/>
      <c r="Z24" s="2020"/>
      <c r="AA24" s="2020"/>
      <c r="AB24" s="2020"/>
      <c r="AC24" s="2031"/>
      <c r="AD24" s="2032"/>
      <c r="AE24" s="2033"/>
    </row>
    <row r="25" spans="1:31">
      <c r="A25" s="1958"/>
      <c r="B25" s="1959" t="s">
        <v>299</v>
      </c>
      <c r="C25" s="1883" t="s">
        <v>980</v>
      </c>
      <c r="D25" s="819" t="s">
        <v>348</v>
      </c>
      <c r="E25" s="1976">
        <v>91</v>
      </c>
      <c r="F25" s="1327">
        <v>365</v>
      </c>
      <c r="G25" s="1327">
        <f t="shared" si="0"/>
        <v>33215</v>
      </c>
      <c r="H25" s="1977">
        <v>211556.2995</v>
      </c>
      <c r="I25" s="1992">
        <v>6.3693</v>
      </c>
      <c r="J25" s="606" t="s">
        <v>978</v>
      </c>
      <c r="K25" s="1999"/>
      <c r="L25" s="2000"/>
      <c r="M25" s="2017"/>
      <c r="N25" s="2018"/>
      <c r="O25" s="2019"/>
      <c r="P25" s="2020"/>
      <c r="Q25" s="2020"/>
      <c r="R25" s="2025"/>
      <c r="S25" s="2020"/>
      <c r="T25" s="2020"/>
      <c r="U25" s="2020"/>
      <c r="V25" s="2020"/>
      <c r="W25" s="2020"/>
      <c r="X25" s="2020"/>
      <c r="Y25" s="2020"/>
      <c r="Z25" s="2020"/>
      <c r="AA25" s="2020"/>
      <c r="AB25" s="2020"/>
      <c r="AC25" s="2031"/>
      <c r="AD25" s="2032"/>
      <c r="AE25" s="2033"/>
    </row>
    <row r="26" spans="1:31">
      <c r="A26" s="1958"/>
      <c r="B26" s="1959" t="s">
        <v>299</v>
      </c>
      <c r="C26" s="1883" t="s">
        <v>981</v>
      </c>
      <c r="D26" s="819" t="s">
        <v>348</v>
      </c>
      <c r="E26" s="1976">
        <v>91</v>
      </c>
      <c r="F26" s="1327">
        <v>365</v>
      </c>
      <c r="G26" s="1327">
        <f t="shared" si="0"/>
        <v>33215</v>
      </c>
      <c r="H26" s="1977">
        <v>211556.2995</v>
      </c>
      <c r="I26" s="1992">
        <v>6.3693</v>
      </c>
      <c r="J26" s="606" t="s">
        <v>978</v>
      </c>
      <c r="K26" s="1999"/>
      <c r="L26" s="2000"/>
      <c r="M26" s="2017"/>
      <c r="N26" s="2018"/>
      <c r="O26" s="2019"/>
      <c r="P26" s="2020"/>
      <c r="Q26" s="2020"/>
      <c r="R26" s="2025"/>
      <c r="S26" s="2020"/>
      <c r="T26" s="2020"/>
      <c r="U26" s="2020"/>
      <c r="V26" s="2020"/>
      <c r="W26" s="2020"/>
      <c r="X26" s="2020"/>
      <c r="Y26" s="2020"/>
      <c r="Z26" s="2020"/>
      <c r="AA26" s="2020"/>
      <c r="AB26" s="2020"/>
      <c r="AC26" s="2031"/>
      <c r="AD26" s="2032"/>
      <c r="AE26" s="2033"/>
    </row>
    <row r="27" spans="1:31">
      <c r="A27" s="1958"/>
      <c r="B27" s="724"/>
      <c r="C27" s="1303"/>
      <c r="D27" s="614"/>
      <c r="E27" s="1050"/>
      <c r="F27" s="1327"/>
      <c r="G27" s="1327"/>
      <c r="H27" s="1977"/>
      <c r="I27" s="733"/>
      <c r="J27" s="1122"/>
      <c r="K27" s="1999"/>
      <c r="L27" s="2000"/>
      <c r="M27" s="2017"/>
      <c r="N27" s="2018"/>
      <c r="O27" s="2019"/>
      <c r="P27" s="2020"/>
      <c r="Q27" s="2020"/>
      <c r="R27" s="2025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2031"/>
      <c r="AD27" s="2032"/>
      <c r="AE27" s="2033"/>
    </row>
    <row r="28" spans="1:31">
      <c r="A28" s="1958"/>
      <c r="B28" s="1303" t="s">
        <v>299</v>
      </c>
      <c r="C28" s="1915" t="s">
        <v>982</v>
      </c>
      <c r="D28" s="1050" t="s">
        <v>427</v>
      </c>
      <c r="E28" s="1976">
        <v>168</v>
      </c>
      <c r="F28" s="1327">
        <v>242</v>
      </c>
      <c r="G28" s="1327">
        <f>F28*E28</f>
        <v>40656</v>
      </c>
      <c r="H28" s="1977">
        <f>G28*I28</f>
        <v>258950.2608</v>
      </c>
      <c r="I28" s="1992">
        <v>6.3693</v>
      </c>
      <c r="J28" s="579" t="s">
        <v>974</v>
      </c>
      <c r="K28" s="1999"/>
      <c r="L28" s="2000"/>
      <c r="M28" s="2017"/>
      <c r="N28" s="2018"/>
      <c r="O28" s="2019"/>
      <c r="P28" s="2020"/>
      <c r="Q28" s="2020"/>
      <c r="R28" s="2025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31"/>
      <c r="AD28" s="2032"/>
      <c r="AE28" s="2033"/>
    </row>
    <row r="29" spans="1:31">
      <c r="A29" s="1958"/>
      <c r="B29" s="1303"/>
      <c r="C29" s="572"/>
      <c r="D29" s="1050"/>
      <c r="E29" s="1976"/>
      <c r="F29" s="1327"/>
      <c r="G29" s="1327"/>
      <c r="H29" s="1977"/>
      <c r="I29" s="1992"/>
      <c r="J29" s="609"/>
      <c r="K29" s="1999"/>
      <c r="L29" s="2150"/>
      <c r="M29" s="2017"/>
      <c r="N29" s="2018"/>
      <c r="O29" s="2019"/>
      <c r="P29" s="2020"/>
      <c r="Q29" s="2020"/>
      <c r="R29" s="2025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2031"/>
      <c r="AD29" s="2032"/>
      <c r="AE29" s="2033"/>
    </row>
    <row r="30" spans="1:31">
      <c r="A30" s="1958"/>
      <c r="B30" s="1303" t="s">
        <v>299</v>
      </c>
      <c r="C30" s="1915" t="s">
        <v>983</v>
      </c>
      <c r="D30" s="655" t="s">
        <v>564</v>
      </c>
      <c r="E30" s="1976">
        <v>55</v>
      </c>
      <c r="F30" s="1327">
        <v>707</v>
      </c>
      <c r="G30" s="1327">
        <f>F30*E30</f>
        <v>38885</v>
      </c>
      <c r="H30" s="1977">
        <f>G30*I30</f>
        <v>247670.2305</v>
      </c>
      <c r="I30" s="1992">
        <v>6.3693</v>
      </c>
      <c r="J30" s="579" t="s">
        <v>978</v>
      </c>
      <c r="K30" s="2151"/>
      <c r="L30" s="2000"/>
      <c r="M30" s="2017"/>
      <c r="N30" s="2018"/>
      <c r="O30" s="2019"/>
      <c r="P30" s="2020"/>
      <c r="Q30" s="2020"/>
      <c r="R30" s="2025"/>
      <c r="S30" s="2020"/>
      <c r="T30" s="2020"/>
      <c r="U30" s="2020"/>
      <c r="V30" s="2020"/>
      <c r="W30" s="2020"/>
      <c r="X30" s="2020"/>
      <c r="Y30" s="2020"/>
      <c r="Z30" s="2020"/>
      <c r="AA30" s="2020"/>
      <c r="AB30" s="2020"/>
      <c r="AC30" s="2031"/>
      <c r="AD30" s="2032"/>
      <c r="AE30" s="2033"/>
    </row>
    <row r="31" spans="1:31">
      <c r="A31" s="1958"/>
      <c r="B31" s="1303"/>
      <c r="C31" s="614"/>
      <c r="D31" s="1050"/>
      <c r="E31" s="1976"/>
      <c r="F31" s="1327"/>
      <c r="G31" s="1327"/>
      <c r="H31" s="1977"/>
      <c r="I31" s="1992"/>
      <c r="J31" s="609"/>
      <c r="K31" s="1999"/>
      <c r="L31" s="2000"/>
      <c r="M31" s="2017"/>
      <c r="N31" s="2018"/>
      <c r="O31" s="2019"/>
      <c r="P31" s="2020"/>
      <c r="Q31" s="2020"/>
      <c r="R31" s="2025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31"/>
      <c r="AD31" s="2032"/>
      <c r="AE31" s="2033"/>
    </row>
    <row r="32" spans="1:31">
      <c r="A32" s="2011"/>
      <c r="B32" s="2144"/>
      <c r="C32" s="1303"/>
      <c r="D32" s="614"/>
      <c r="E32" s="1050"/>
      <c r="F32" s="1176"/>
      <c r="G32" s="1327"/>
      <c r="H32" s="1977"/>
      <c r="I32" s="733"/>
      <c r="J32" s="2152"/>
      <c r="K32" s="2053"/>
      <c r="L32" s="2054"/>
      <c r="M32" s="2020"/>
      <c r="N32" s="2018"/>
      <c r="O32" s="2019"/>
      <c r="P32" s="2020"/>
      <c r="Q32" s="2020"/>
      <c r="R32" s="2025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75"/>
      <c r="AD32" s="1959"/>
      <c r="AE32" s="2020"/>
    </row>
    <row r="33" spans="1:31">
      <c r="A33" s="2153" t="s">
        <v>220</v>
      </c>
      <c r="B33" s="971" t="s">
        <v>660</v>
      </c>
      <c r="C33" s="1883" t="s">
        <v>984</v>
      </c>
      <c r="D33" s="614"/>
      <c r="E33" s="571">
        <v>1</v>
      </c>
      <c r="F33" s="1257">
        <v>14365</v>
      </c>
      <c r="G33" s="1327">
        <f t="shared" ref="G33:G39" si="2">F33*E33</f>
        <v>14365</v>
      </c>
      <c r="H33" s="1977">
        <f t="shared" ref="H33:H38" si="3">G33*I33</f>
        <v>91494.9945</v>
      </c>
      <c r="I33" s="1992">
        <v>6.3693</v>
      </c>
      <c r="J33" s="2056" t="s">
        <v>985</v>
      </c>
      <c r="K33" s="2053"/>
      <c r="L33" s="2054"/>
      <c r="M33" s="2020"/>
      <c r="N33" s="2018"/>
      <c r="O33" s="2019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75"/>
      <c r="AD33" s="1959"/>
      <c r="AE33" s="2020"/>
    </row>
    <row r="34" spans="1:31">
      <c r="A34" s="2153"/>
      <c r="B34" s="971" t="s">
        <v>660</v>
      </c>
      <c r="C34" s="1883" t="s">
        <v>986</v>
      </c>
      <c r="D34" s="614"/>
      <c r="E34" s="571">
        <v>1</v>
      </c>
      <c r="F34" s="1257">
        <v>31510</v>
      </c>
      <c r="G34" s="1327">
        <f t="shared" si="2"/>
        <v>31510</v>
      </c>
      <c r="H34" s="1977">
        <f t="shared" si="3"/>
        <v>200696.643</v>
      </c>
      <c r="I34" s="1992">
        <v>6.3693</v>
      </c>
      <c r="J34" s="2056" t="s">
        <v>987</v>
      </c>
      <c r="K34" s="2057"/>
      <c r="L34" s="2058"/>
      <c r="M34" s="2020"/>
      <c r="N34" s="2018"/>
      <c r="O34" s="2019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75"/>
      <c r="AD34" s="1959"/>
      <c r="AE34" s="2020"/>
    </row>
    <row r="35" spans="1:31">
      <c r="A35" s="2153"/>
      <c r="B35" s="971" t="s">
        <v>660</v>
      </c>
      <c r="C35" s="1883" t="s">
        <v>988</v>
      </c>
      <c r="D35" s="614"/>
      <c r="E35" s="571">
        <v>1</v>
      </c>
      <c r="F35" s="1257">
        <v>144982</v>
      </c>
      <c r="G35" s="1327">
        <f t="shared" si="2"/>
        <v>144982</v>
      </c>
      <c r="H35" s="1977">
        <f t="shared" si="3"/>
        <v>923433.8526</v>
      </c>
      <c r="I35" s="1992">
        <v>6.3693</v>
      </c>
      <c r="J35" s="2056" t="s">
        <v>989</v>
      </c>
      <c r="K35" s="2057"/>
      <c r="L35" s="2058"/>
      <c r="M35" s="2020"/>
      <c r="N35" s="2018"/>
      <c r="O35" s="2019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75"/>
      <c r="AD35" s="1959"/>
      <c r="AE35" s="2020"/>
    </row>
    <row r="36" spans="1:31">
      <c r="A36" s="2153"/>
      <c r="B36" s="971" t="s">
        <v>990</v>
      </c>
      <c r="C36" s="1883" t="s">
        <v>991</v>
      </c>
      <c r="D36" s="614"/>
      <c r="E36" s="571">
        <v>1</v>
      </c>
      <c r="F36" s="1257">
        <v>8644</v>
      </c>
      <c r="G36" s="1327">
        <f t="shared" si="2"/>
        <v>8644</v>
      </c>
      <c r="H36" s="1977">
        <f t="shared" si="3"/>
        <v>55056.2292</v>
      </c>
      <c r="I36" s="1992">
        <v>6.3693</v>
      </c>
      <c r="J36" s="2056" t="s">
        <v>992</v>
      </c>
      <c r="K36" s="2057"/>
      <c r="L36" s="2058"/>
      <c r="M36" s="2020"/>
      <c r="N36" s="2018"/>
      <c r="O36" s="2019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75"/>
      <c r="AD36" s="1959"/>
      <c r="AE36" s="2020"/>
    </row>
    <row r="37" spans="1:31">
      <c r="A37" s="2153"/>
      <c r="B37" s="971" t="s">
        <v>993</v>
      </c>
      <c r="C37" s="1883" t="s">
        <v>994</v>
      </c>
      <c r="D37" s="614"/>
      <c r="E37" s="571">
        <v>1</v>
      </c>
      <c r="F37" s="1257">
        <v>4188</v>
      </c>
      <c r="G37" s="1327">
        <f t="shared" si="2"/>
        <v>4188</v>
      </c>
      <c r="H37" s="1977">
        <f t="shared" si="3"/>
        <v>26674.6284</v>
      </c>
      <c r="I37" s="1992">
        <v>6.3693</v>
      </c>
      <c r="J37" s="2056" t="s">
        <v>992</v>
      </c>
      <c r="K37" s="2057"/>
      <c r="L37" s="2058"/>
      <c r="M37" s="2020"/>
      <c r="N37" s="2018"/>
      <c r="O37" s="2019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75"/>
      <c r="AD37" s="1959"/>
      <c r="AE37" s="2020"/>
    </row>
    <row r="38" ht="17.5" customHeight="1" spans="1:31">
      <c r="A38" s="2153"/>
      <c r="B38" s="971" t="s">
        <v>267</v>
      </c>
      <c r="C38" s="1883" t="s">
        <v>995</v>
      </c>
      <c r="D38" s="614"/>
      <c r="E38" s="571">
        <v>1</v>
      </c>
      <c r="F38" s="1257">
        <v>40658</v>
      </c>
      <c r="G38" s="1327">
        <f t="shared" si="2"/>
        <v>40658</v>
      </c>
      <c r="H38" s="1977">
        <f t="shared" si="3"/>
        <v>258962.9994</v>
      </c>
      <c r="I38" s="1992">
        <v>6.3693</v>
      </c>
      <c r="J38" s="2056" t="s">
        <v>996</v>
      </c>
      <c r="K38" s="2057"/>
      <c r="L38" s="2058"/>
      <c r="M38" s="2020"/>
      <c r="N38" s="2018"/>
      <c r="O38" s="2019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75"/>
      <c r="AD38" s="1959"/>
      <c r="AE38" s="2020"/>
    </row>
    <row r="39" spans="1:31">
      <c r="A39" s="2153"/>
      <c r="B39" s="971"/>
      <c r="C39" s="764"/>
      <c r="D39" s="614"/>
      <c r="E39" s="571"/>
      <c r="F39" s="1257"/>
      <c r="G39" s="1327"/>
      <c r="H39" s="1977"/>
      <c r="I39" s="1992"/>
      <c r="J39" s="2056"/>
      <c r="K39" s="2057"/>
      <c r="L39" s="2058"/>
      <c r="M39" s="2020"/>
      <c r="N39" s="2018"/>
      <c r="O39" s="2019"/>
      <c r="P39" s="2020"/>
      <c r="Q39" s="2020"/>
      <c r="R39" s="2025"/>
      <c r="S39" s="2020"/>
      <c r="T39" s="2020"/>
      <c r="U39" s="2020"/>
      <c r="V39" s="2020"/>
      <c r="W39" s="2020"/>
      <c r="X39" s="2020"/>
      <c r="Y39" s="2020"/>
      <c r="Z39" s="2020"/>
      <c r="AA39" s="2020"/>
      <c r="AB39" s="2020"/>
      <c r="AC39" s="2075"/>
      <c r="AD39" s="1959"/>
      <c r="AE39" s="2020"/>
    </row>
    <row r="40" spans="1:31">
      <c r="A40" s="2153"/>
      <c r="B40" s="971"/>
      <c r="C40" s="764"/>
      <c r="D40" s="614"/>
      <c r="E40" s="571"/>
      <c r="F40" s="1257"/>
      <c r="G40" s="1327"/>
      <c r="H40" s="1977"/>
      <c r="I40" s="1992"/>
      <c r="J40" s="2056"/>
      <c r="K40" s="2057"/>
      <c r="L40" s="2058"/>
      <c r="M40" s="2020"/>
      <c r="N40" s="2018"/>
      <c r="O40" s="2019"/>
      <c r="P40" s="2020"/>
      <c r="Q40" s="2020"/>
      <c r="R40" s="2025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075"/>
      <c r="AD40" s="1959"/>
      <c r="AE40" s="2020"/>
    </row>
    <row r="41" spans="1:31">
      <c r="A41" s="2154"/>
      <c r="B41" s="1426"/>
      <c r="C41" s="1303"/>
      <c r="D41" s="571"/>
      <c r="E41" s="571"/>
      <c r="F41" s="1257"/>
      <c r="G41" s="1327"/>
      <c r="H41" s="1977"/>
      <c r="I41" s="733"/>
      <c r="J41" s="2129"/>
      <c r="K41" s="1239"/>
      <c r="L41" s="1176"/>
      <c r="M41" s="2020"/>
      <c r="N41" s="2018"/>
      <c r="O41" s="2019"/>
      <c r="P41" s="2020"/>
      <c r="Q41" s="2020"/>
      <c r="R41" s="2025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75"/>
      <c r="AD41" s="2157"/>
      <c r="AE41" s="2020"/>
    </row>
    <row r="42" s="10" customFormat="1" spans="1:31">
      <c r="A42" s="1389" t="s">
        <v>509</v>
      </c>
      <c r="B42" s="2034" t="s">
        <v>274</v>
      </c>
      <c r="C42" s="1903" t="s">
        <v>997</v>
      </c>
      <c r="D42" s="571"/>
      <c r="E42" s="1976">
        <v>1</v>
      </c>
      <c r="F42" s="1079"/>
      <c r="G42" s="1079">
        <v>26997</v>
      </c>
      <c r="H42" s="1977">
        <f>G42*I42</f>
        <v>171951.9921</v>
      </c>
      <c r="I42" s="1992">
        <v>6.3693</v>
      </c>
      <c r="J42" s="2056" t="s">
        <v>998</v>
      </c>
      <c r="K42" s="1239"/>
      <c r="L42" s="1176"/>
      <c r="M42" s="1389"/>
      <c r="N42" s="1187"/>
      <c r="O42" s="2070"/>
      <c r="P42" s="1389"/>
      <c r="Q42" s="1389"/>
      <c r="R42" s="1303"/>
      <c r="S42" s="1389"/>
      <c r="T42" s="1389"/>
      <c r="U42" s="1389"/>
      <c r="V42" s="1389"/>
      <c r="W42" s="1389"/>
      <c r="X42" s="1389"/>
      <c r="Y42" s="1389"/>
      <c r="Z42" s="1389"/>
      <c r="AA42" s="1389"/>
      <c r="AB42" s="1389"/>
      <c r="AC42" s="2076"/>
      <c r="AD42" s="628"/>
      <c r="AE42" s="1389"/>
    </row>
    <row r="43" s="10" customFormat="1" spans="1:31">
      <c r="A43" s="1389"/>
      <c r="B43" s="724" t="s">
        <v>917</v>
      </c>
      <c r="C43" s="2155" t="s">
        <v>999</v>
      </c>
      <c r="D43" s="1050" t="s">
        <v>1000</v>
      </c>
      <c r="E43" s="1976">
        <v>44</v>
      </c>
      <c r="F43" s="1327">
        <v>1096</v>
      </c>
      <c r="G43" s="1327">
        <v>48653</v>
      </c>
      <c r="H43" s="1977">
        <f>G43*I43</f>
        <v>309885.5529</v>
      </c>
      <c r="I43" s="1992">
        <v>6.3693</v>
      </c>
      <c r="J43" s="2156" t="s">
        <v>1001</v>
      </c>
      <c r="K43" s="2109"/>
      <c r="L43" s="1176"/>
      <c r="M43" s="1389"/>
      <c r="N43" s="1187"/>
      <c r="O43" s="2070"/>
      <c r="P43" s="1389"/>
      <c r="Q43" s="1389"/>
      <c r="R43" s="1303"/>
      <c r="S43" s="1389"/>
      <c r="T43" s="1389"/>
      <c r="U43" s="1389"/>
      <c r="V43" s="1389"/>
      <c r="W43" s="1389"/>
      <c r="X43" s="1389"/>
      <c r="Y43" s="1389"/>
      <c r="Z43" s="1389"/>
      <c r="AA43" s="1389"/>
      <c r="AB43" s="1389"/>
      <c r="AC43" s="2076"/>
      <c r="AD43" s="628"/>
      <c r="AE43" s="1389"/>
    </row>
    <row r="44" spans="1:31">
      <c r="A44" s="2035"/>
      <c r="B44" s="2036"/>
      <c r="C44" s="2037"/>
      <c r="D44" s="2038"/>
      <c r="E44" s="2043"/>
      <c r="F44" s="2044"/>
      <c r="G44" s="2045"/>
      <c r="H44" s="1977"/>
      <c r="I44" s="2059"/>
      <c r="J44" s="2060"/>
      <c r="K44" s="2061"/>
      <c r="L44" s="2054"/>
      <c r="M44" s="2020"/>
      <c r="N44" s="2071"/>
      <c r="O44" s="2019"/>
      <c r="P44" s="2020"/>
      <c r="Q44" s="2020"/>
      <c r="R44" s="2073"/>
      <c r="S44" s="2020"/>
      <c r="T44" s="2020"/>
      <c r="U44" s="2020"/>
      <c r="V44" s="2020"/>
      <c r="W44" s="2020"/>
      <c r="X44" s="2020"/>
      <c r="Y44" s="2020"/>
      <c r="Z44" s="2020"/>
      <c r="AA44" s="2020"/>
      <c r="AB44" s="2020"/>
      <c r="AC44" s="2075"/>
      <c r="AD44" s="1959"/>
      <c r="AE44" s="2020"/>
    </row>
    <row r="45" spans="1:31">
      <c r="A45" s="2035"/>
      <c r="B45" s="2036"/>
      <c r="C45" s="2037"/>
      <c r="D45" s="2038"/>
      <c r="E45" s="2043"/>
      <c r="F45" s="2044"/>
      <c r="G45" s="2046"/>
      <c r="H45" s="2047"/>
      <c r="I45" s="2055"/>
      <c r="J45" s="2062"/>
      <c r="K45" s="2063"/>
      <c r="L45" s="2054"/>
      <c r="M45" s="2020"/>
      <c r="N45" s="2071"/>
      <c r="O45" s="2019"/>
      <c r="P45" s="2020"/>
      <c r="Q45" s="2020"/>
      <c r="R45" s="2073"/>
      <c r="S45" s="2020"/>
      <c r="T45" s="2020"/>
      <c r="U45" s="2020"/>
      <c r="V45" s="2020"/>
      <c r="W45" s="2020"/>
      <c r="X45" s="2020"/>
      <c r="Y45" s="2020"/>
      <c r="Z45" s="2020"/>
      <c r="AA45" s="2020"/>
      <c r="AB45" s="2020"/>
      <c r="AC45" s="2075"/>
      <c r="AD45" s="1959"/>
      <c r="AE45" s="2020"/>
    </row>
    <row r="46" spans="1:31">
      <c r="A46" s="2035"/>
      <c r="B46" s="2036"/>
      <c r="C46" s="2037"/>
      <c r="D46" s="2038"/>
      <c r="E46" s="2043"/>
      <c r="F46" s="2044"/>
      <c r="G46" s="2046"/>
      <c r="H46" s="2047"/>
      <c r="I46" s="2055"/>
      <c r="J46" s="2062"/>
      <c r="K46" s="2064"/>
      <c r="L46" s="2065"/>
      <c r="M46" s="2020"/>
      <c r="N46" s="2071"/>
      <c r="O46" s="2019"/>
      <c r="P46" s="2020"/>
      <c r="Q46" s="2020"/>
      <c r="R46" s="2073"/>
      <c r="S46" s="2020"/>
      <c r="T46" s="2020"/>
      <c r="U46" s="2020"/>
      <c r="V46" s="2020"/>
      <c r="W46" s="2020"/>
      <c r="X46" s="2020"/>
      <c r="Y46" s="2020"/>
      <c r="Z46" s="2020"/>
      <c r="AA46" s="2020"/>
      <c r="AB46" s="2020"/>
      <c r="AC46" s="2075"/>
      <c r="AD46" s="1959"/>
      <c r="AE46" s="2020"/>
    </row>
    <row r="47" customHeight="1" spans="1:31">
      <c r="A47" s="2039" t="s">
        <v>67</v>
      </c>
      <c r="B47" s="2039"/>
      <c r="C47" s="2040"/>
      <c r="D47" s="2040"/>
      <c r="E47" s="2048"/>
      <c r="F47" s="2049"/>
      <c r="G47" s="2049"/>
      <c r="H47" s="2050">
        <f>SUM(H17:H46)</f>
        <v>4660340.3784</v>
      </c>
      <c r="I47" s="2066"/>
      <c r="J47" s="2050">
        <v>0</v>
      </c>
      <c r="K47" s="2067">
        <v>0</v>
      </c>
      <c r="L47" s="2068">
        <v>0</v>
      </c>
      <c r="M47" s="474"/>
      <c r="N47" s="474"/>
      <c r="O47" s="2072"/>
      <c r="P47" s="2011"/>
      <c r="Q47" s="2011"/>
      <c r="R47" s="2074"/>
      <c r="S47" s="2011"/>
      <c r="T47" s="2011"/>
      <c r="U47" s="2011"/>
      <c r="V47" s="2011"/>
      <c r="W47" s="2011"/>
      <c r="X47" s="2011"/>
      <c r="Y47" s="2011"/>
      <c r="Z47" s="2011"/>
      <c r="AA47" s="2011"/>
      <c r="AB47" s="2011"/>
      <c r="AC47" s="2039"/>
      <c r="AD47" s="2077" t="s">
        <v>325</v>
      </c>
      <c r="AE47" s="2077"/>
    </row>
    <row r="48" spans="1:31">
      <c r="A48" s="2001"/>
      <c r="B48" s="2001"/>
      <c r="C48" s="2001"/>
      <c r="D48" s="2001"/>
      <c r="E48" s="2051"/>
      <c r="F48" s="2001"/>
      <c r="G48" s="2001"/>
      <c r="H48" s="2052"/>
      <c r="I48" s="2001"/>
      <c r="J48" s="2001"/>
      <c r="K48" s="2001"/>
      <c r="L48" s="2001"/>
      <c r="M48" s="2001"/>
      <c r="N48" s="2001"/>
      <c r="O48" s="2002"/>
      <c r="P48" s="2001"/>
      <c r="Q48" s="2001"/>
      <c r="R48" s="2001"/>
      <c r="S48" s="2001"/>
      <c r="T48" s="2001"/>
      <c r="U48" s="2001"/>
      <c r="V48" s="2001"/>
      <c r="W48" s="2001"/>
      <c r="X48" s="2001"/>
      <c r="Y48" s="2001"/>
      <c r="Z48" s="2001"/>
      <c r="AA48" s="2001"/>
      <c r="AB48" s="2001"/>
      <c r="AC48" s="2001"/>
      <c r="AD48" s="2001"/>
      <c r="AE48" s="2001"/>
    </row>
    <row r="49" spans="1:31">
      <c r="A49" s="2001"/>
      <c r="B49" s="2001"/>
      <c r="C49" s="2001"/>
      <c r="D49" s="2001"/>
      <c r="E49" s="2051"/>
      <c r="F49" s="2001"/>
      <c r="G49" s="2001"/>
      <c r="H49" s="2052"/>
      <c r="I49" s="2001"/>
      <c r="J49" s="2001"/>
      <c r="K49" s="2001"/>
      <c r="L49" s="2001"/>
      <c r="M49" s="2001"/>
      <c r="N49" s="2001"/>
      <c r="O49" s="2002"/>
      <c r="P49" s="2001"/>
      <c r="Q49" s="2001"/>
      <c r="R49" s="2001"/>
      <c r="S49" s="2001"/>
      <c r="T49" s="2001"/>
      <c r="U49" s="2001"/>
      <c r="V49" s="2001"/>
      <c r="W49" s="2001"/>
      <c r="X49" s="2001"/>
      <c r="Y49" s="2001"/>
      <c r="Z49" s="2001"/>
      <c r="AA49" s="2001"/>
      <c r="AB49" s="2001"/>
      <c r="AC49" s="2001"/>
      <c r="AD49" s="2001"/>
      <c r="AE49" s="2001"/>
    </row>
    <row r="50" spans="1:31">
      <c r="A50" s="2001"/>
      <c r="B50" s="2001"/>
      <c r="C50" s="2001" t="s">
        <v>139</v>
      </c>
      <c r="D50" s="2001" t="s">
        <v>140</v>
      </c>
      <c r="E50" s="2051"/>
      <c r="F50" s="2001" t="s">
        <v>141</v>
      </c>
      <c r="G50" s="2001"/>
      <c r="H50" s="2052">
        <f>H8+H16+H47</f>
        <v>8486768.6984</v>
      </c>
      <c r="I50" s="2001"/>
      <c r="J50" s="2001" t="s">
        <v>579</v>
      </c>
      <c r="K50" s="2069">
        <f>H8</f>
        <v>2000000</v>
      </c>
      <c r="L50" s="2001"/>
      <c r="M50" s="2069"/>
      <c r="N50" s="2001"/>
      <c r="O50" s="2002"/>
      <c r="P50" s="2001"/>
      <c r="Q50" s="2001"/>
      <c r="R50" s="2001"/>
      <c r="S50" s="2001"/>
      <c r="T50" s="2001"/>
      <c r="U50" s="2001"/>
      <c r="V50" s="2001"/>
      <c r="W50" s="2001"/>
      <c r="X50" s="2001"/>
      <c r="Y50" s="2001"/>
      <c r="Z50" s="2001"/>
      <c r="AA50" s="2001"/>
      <c r="AB50" s="2001"/>
      <c r="AC50" s="2001"/>
      <c r="AD50" s="2001"/>
      <c r="AE50" s="2001"/>
    </row>
    <row r="51" spans="1:31">
      <c r="A51" s="2001"/>
      <c r="B51" s="2001"/>
      <c r="C51" s="2001"/>
      <c r="D51" s="2001"/>
      <c r="E51" s="2051"/>
      <c r="F51" s="2001"/>
      <c r="G51" s="2001"/>
      <c r="H51" s="2052"/>
      <c r="I51" s="2001"/>
      <c r="J51" s="2001" t="s">
        <v>580</v>
      </c>
      <c r="K51" s="2069">
        <f>H16</f>
        <v>1826428.32</v>
      </c>
      <c r="L51" s="2001"/>
      <c r="M51" s="2069"/>
      <c r="N51" s="2001"/>
      <c r="O51" s="2002"/>
      <c r="P51" s="2001"/>
      <c r="Q51" s="2001"/>
      <c r="R51" s="2001"/>
      <c r="S51" s="2001"/>
      <c r="T51" s="2001"/>
      <c r="U51" s="2001"/>
      <c r="V51" s="2001"/>
      <c r="W51" s="2001"/>
      <c r="X51" s="2001"/>
      <c r="Y51" s="2001"/>
      <c r="Z51" s="2001"/>
      <c r="AA51" s="2001"/>
      <c r="AB51" s="2001"/>
      <c r="AC51" s="2001"/>
      <c r="AD51" s="2001"/>
      <c r="AE51" s="2001"/>
    </row>
    <row r="52" spans="1:31">
      <c r="A52" s="2001"/>
      <c r="B52" s="2001"/>
      <c r="C52" s="2001"/>
      <c r="D52" s="2001"/>
      <c r="E52" s="2051"/>
      <c r="F52" s="2001"/>
      <c r="G52" s="2001"/>
      <c r="H52" s="2052"/>
      <c r="I52" s="2001"/>
      <c r="J52" s="2001" t="s">
        <v>581</v>
      </c>
      <c r="K52" s="2069">
        <f>H47</f>
        <v>4660340.3784</v>
      </c>
      <c r="L52" s="2001"/>
      <c r="M52" s="2069"/>
      <c r="N52" s="2001"/>
      <c r="O52" s="2002"/>
      <c r="P52" s="2001"/>
      <c r="Q52" s="2001"/>
      <c r="R52" s="2001"/>
      <c r="S52" s="2001"/>
      <c r="T52" s="2001"/>
      <c r="U52" s="2001"/>
      <c r="V52" s="2001"/>
      <c r="W52" s="2001"/>
      <c r="X52" s="2001"/>
      <c r="Y52" s="2001"/>
      <c r="Z52" s="2001"/>
      <c r="AA52" s="2001"/>
      <c r="AB52" s="2001"/>
      <c r="AC52" s="2001"/>
      <c r="AD52" s="2001"/>
      <c r="AE52" s="2001"/>
    </row>
    <row r="53" spans="1:31">
      <c r="A53" s="2001"/>
      <c r="B53" s="2001"/>
      <c r="C53" s="2001"/>
      <c r="D53" s="2001"/>
      <c r="E53" s="2051"/>
      <c r="F53" s="2001"/>
      <c r="G53" s="2001"/>
      <c r="H53" s="2052"/>
      <c r="I53" s="2001"/>
      <c r="J53" s="2001"/>
      <c r="K53" s="2069">
        <f>SUM(K50:K52)</f>
        <v>8486768.6984</v>
      </c>
      <c r="L53" s="2001"/>
      <c r="M53" s="2069"/>
      <c r="N53" s="2001"/>
      <c r="O53" s="2002"/>
      <c r="P53" s="2001"/>
      <c r="Q53" s="2001"/>
      <c r="R53" s="2001"/>
      <c r="S53" s="2001"/>
      <c r="T53" s="2001"/>
      <c r="U53" s="2001"/>
      <c r="V53" s="2001"/>
      <c r="W53" s="2001"/>
      <c r="X53" s="2001"/>
      <c r="Y53" s="2001"/>
      <c r="Z53" s="2001"/>
      <c r="AA53" s="2001"/>
      <c r="AB53" s="2001"/>
      <c r="AC53" s="2001"/>
      <c r="AD53" s="2001"/>
      <c r="AE53" s="2001"/>
    </row>
    <row r="54" spans="1:31">
      <c r="A54" s="2001"/>
      <c r="B54" s="2001"/>
      <c r="C54" s="2001"/>
      <c r="D54" s="2001"/>
      <c r="E54" s="2051"/>
      <c r="F54" s="2001"/>
      <c r="G54" s="2001"/>
      <c r="H54" s="2052"/>
      <c r="I54" s="2001"/>
      <c r="J54" s="2001"/>
      <c r="K54" s="2069"/>
      <c r="L54" s="2001"/>
      <c r="M54" s="2069"/>
      <c r="N54" s="2001"/>
      <c r="O54" s="2002"/>
      <c r="P54" s="2001"/>
      <c r="Q54" s="2001"/>
      <c r="R54" s="2001"/>
      <c r="S54" s="2001"/>
      <c r="T54" s="2001"/>
      <c r="U54" s="2001"/>
      <c r="V54" s="2001"/>
      <c r="W54" s="2001"/>
      <c r="X54" s="2001"/>
      <c r="Y54" s="2001"/>
      <c r="Z54" s="2001"/>
      <c r="AA54" s="2001"/>
      <c r="AB54" s="2001"/>
      <c r="AC54" s="2001"/>
      <c r="AD54" s="2001"/>
      <c r="AE54" s="2001"/>
    </row>
    <row r="55" spans="1:31">
      <c r="A55" s="2041"/>
      <c r="B55" s="2041"/>
      <c r="C55" s="2041"/>
      <c r="D55" s="2041"/>
      <c r="E55" s="2051"/>
      <c r="F55" s="2041"/>
      <c r="G55" s="2041"/>
      <c r="H55" s="2052"/>
      <c r="I55" s="2041"/>
      <c r="J55" s="2041"/>
      <c r="K55" s="2041"/>
      <c r="L55" s="2041"/>
      <c r="M55" s="2069"/>
      <c r="N55" s="2041"/>
      <c r="O55" s="2002"/>
      <c r="P55" s="2041"/>
      <c r="Q55" s="2041"/>
      <c r="R55" s="2041"/>
      <c r="S55" s="2041"/>
      <c r="T55" s="2041"/>
      <c r="U55" s="2041"/>
      <c r="V55" s="2041"/>
      <c r="W55" s="2041"/>
      <c r="X55" s="2041"/>
      <c r="Y55" s="2041"/>
      <c r="Z55" s="2041"/>
      <c r="AA55" s="2041"/>
      <c r="AB55" s="2041"/>
      <c r="AC55" s="2041"/>
      <c r="AD55" s="2041"/>
      <c r="AE55" s="2041"/>
    </row>
    <row r="56" spans="1:31">
      <c r="A56" s="2041"/>
      <c r="B56" s="2041"/>
      <c r="C56" s="2041"/>
      <c r="D56" s="2041"/>
      <c r="E56" s="2051"/>
      <c r="F56" s="2041"/>
      <c r="G56" s="2041"/>
      <c r="H56" s="2052"/>
      <c r="I56" s="2041"/>
      <c r="J56" s="2041"/>
      <c r="K56" s="2041"/>
      <c r="L56" s="2041"/>
      <c r="M56" s="2041"/>
      <c r="N56" s="2041"/>
      <c r="O56" s="2002"/>
      <c r="P56" s="2041"/>
      <c r="Q56" s="2041"/>
      <c r="R56" s="2041"/>
      <c r="S56" s="2041"/>
      <c r="T56" s="2041"/>
      <c r="U56" s="2041"/>
      <c r="V56" s="2041"/>
      <c r="W56" s="2041"/>
      <c r="X56" s="2041"/>
      <c r="Y56" s="2041"/>
      <c r="Z56" s="2041"/>
      <c r="AA56" s="2041"/>
      <c r="AB56" s="2041"/>
      <c r="AC56" s="2041"/>
      <c r="AD56" s="2041"/>
      <c r="AE56" s="2041"/>
    </row>
    <row r="57" spans="1:31">
      <c r="A57" s="2041"/>
      <c r="B57" s="2041"/>
      <c r="C57" s="2041"/>
      <c r="D57" s="2041"/>
      <c r="E57" s="2051"/>
      <c r="F57" s="2041"/>
      <c r="G57" s="2041"/>
      <c r="H57" s="2052"/>
      <c r="I57" s="2041"/>
      <c r="J57" s="2041"/>
      <c r="K57" s="2041"/>
      <c r="L57" s="2041"/>
      <c r="M57" s="2041"/>
      <c r="N57" s="2041"/>
      <c r="O57" s="2002"/>
      <c r="P57" s="2041"/>
      <c r="Q57" s="2041"/>
      <c r="R57" s="2041"/>
      <c r="S57" s="2041"/>
      <c r="T57" s="2041"/>
      <c r="U57" s="2041"/>
      <c r="V57" s="2041"/>
      <c r="W57" s="2041"/>
      <c r="X57" s="2041"/>
      <c r="Y57" s="2041"/>
      <c r="Z57" s="2041"/>
      <c r="AA57" s="2041"/>
      <c r="AB57" s="2041"/>
      <c r="AC57" s="2041"/>
      <c r="AD57" s="2041"/>
      <c r="AE57" s="2041"/>
    </row>
  </sheetData>
  <sheetProtection formatCells="0" insertHyperlinks="0" autoFilter="0"/>
  <mergeCells count="14">
    <mergeCell ref="A1:M1"/>
    <mergeCell ref="A8:B8"/>
    <mergeCell ref="C8:D8"/>
    <mergeCell ref="A16:B16"/>
    <mergeCell ref="C16:D16"/>
    <mergeCell ref="A47:B47"/>
    <mergeCell ref="C47:D47"/>
    <mergeCell ref="A3:A5"/>
    <mergeCell ref="A6:A7"/>
    <mergeCell ref="A10:A12"/>
    <mergeCell ref="A13:A15"/>
    <mergeCell ref="A17:A31"/>
    <mergeCell ref="A33:A40"/>
    <mergeCell ref="A42:A4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AE46"/>
  <sheetViews>
    <sheetView zoomScale="80" zoomScaleNormal="80" workbookViewId="0">
      <selection activeCell="C28" sqref="C28"/>
    </sheetView>
  </sheetViews>
  <sheetFormatPr defaultColWidth="9" defaultRowHeight="16.5"/>
  <cols>
    <col min="1" max="1" width="13.4416666666667" customWidth="1"/>
    <col min="2" max="2" width="21.56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15.1583333333333" customWidth="1"/>
    <col min="10" max="10" width="36.2583333333333" customWidth="1"/>
    <col min="11" max="11" width="17.3583333333333" customWidth="1"/>
    <col min="12" max="12" width="14.875"/>
    <col min="13" max="13" width="14.025" customWidth="1"/>
    <col min="14" max="14" width="18.1916666666667" customWidth="1"/>
    <col min="15" max="15" width="43.7583333333333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1002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1229" t="s">
        <v>1003</v>
      </c>
      <c r="C3" s="1789"/>
      <c r="D3" s="1943" t="s">
        <v>1004</v>
      </c>
      <c r="E3" s="1384">
        <v>110</v>
      </c>
      <c r="F3" s="1397"/>
      <c r="G3" s="1397"/>
      <c r="H3" s="1340">
        <v>300000</v>
      </c>
      <c r="I3" s="1981"/>
      <c r="J3" s="66"/>
      <c r="K3" s="1982"/>
      <c r="L3" s="1983"/>
      <c r="M3" s="1399"/>
      <c r="N3" s="1399"/>
      <c r="O3" s="2006"/>
      <c r="P3" s="1399"/>
      <c r="Q3" s="1399"/>
      <c r="R3" s="1399"/>
      <c r="S3" s="1399"/>
      <c r="T3" s="1399"/>
      <c r="U3" s="1399"/>
      <c r="V3" s="1399"/>
      <c r="W3" s="1399"/>
      <c r="X3" s="1399"/>
      <c r="Y3" s="1399"/>
      <c r="Z3" s="1399"/>
      <c r="AA3" s="1399"/>
      <c r="AB3" s="1399"/>
      <c r="AC3" s="825"/>
      <c r="AD3" s="2016"/>
      <c r="AE3" s="1399"/>
    </row>
    <row r="4" customFormat="1" spans="1:31">
      <c r="A4" s="1941"/>
      <c r="B4" s="1944" t="s">
        <v>1005</v>
      </c>
      <c r="C4" s="1399"/>
      <c r="D4" s="1876" t="s">
        <v>1006</v>
      </c>
      <c r="E4" s="510">
        <v>60</v>
      </c>
      <c r="F4" s="1399"/>
      <c r="G4" s="1399"/>
      <c r="H4" s="1982">
        <v>200000</v>
      </c>
      <c r="I4" s="1981"/>
      <c r="J4" s="66"/>
      <c r="K4" s="1982"/>
      <c r="L4" s="1983"/>
      <c r="M4" s="1399"/>
      <c r="N4" s="1399"/>
      <c r="O4" s="2006"/>
      <c r="P4" s="1399"/>
      <c r="Q4" s="1399"/>
      <c r="R4" s="1399"/>
      <c r="S4" s="1399"/>
      <c r="T4" s="1399"/>
      <c r="U4" s="1399"/>
      <c r="V4" s="1399"/>
      <c r="W4" s="1399"/>
      <c r="X4" s="1399"/>
      <c r="Y4" s="1399"/>
      <c r="Z4" s="1399"/>
      <c r="AA4" s="1399"/>
      <c r="AB4" s="1399"/>
      <c r="AC4" s="825"/>
      <c r="AD4" s="2016"/>
      <c r="AE4" s="1399"/>
    </row>
    <row r="5" customFormat="1" spans="1:31">
      <c r="A5" s="1941"/>
      <c r="B5" s="2116" t="s">
        <v>1007</v>
      </c>
      <c r="C5" s="2080"/>
      <c r="D5" s="2117" t="s">
        <v>1008</v>
      </c>
      <c r="E5" s="1386">
        <v>44</v>
      </c>
      <c r="F5" s="1399"/>
      <c r="G5" s="1399"/>
      <c r="H5" s="2097">
        <v>250000</v>
      </c>
      <c r="I5" s="1981"/>
      <c r="J5" s="66"/>
      <c r="K5" s="1982"/>
      <c r="L5" s="1983"/>
      <c r="M5" s="1399"/>
      <c r="N5" s="1399"/>
      <c r="O5" s="2006"/>
      <c r="P5" s="1399"/>
      <c r="Q5" s="1399"/>
      <c r="R5" s="1399"/>
      <c r="S5" s="1399"/>
      <c r="T5" s="1399"/>
      <c r="U5" s="1399"/>
      <c r="V5" s="1399"/>
      <c r="W5" s="1399"/>
      <c r="X5" s="1399"/>
      <c r="Y5" s="1399"/>
      <c r="Z5" s="1399"/>
      <c r="AA5" s="1399"/>
      <c r="AB5" s="1399"/>
      <c r="AC5" s="825"/>
      <c r="AD5" s="2016"/>
      <c r="AE5" s="1399"/>
    </row>
    <row r="6" customFormat="1" spans="1:31">
      <c r="A6" s="1941"/>
      <c r="B6" s="2081" t="s">
        <v>1009</v>
      </c>
      <c r="C6" s="2083"/>
      <c r="D6" s="2117" t="s">
        <v>1010</v>
      </c>
      <c r="E6" s="1386">
        <v>70</v>
      </c>
      <c r="F6" s="1399"/>
      <c r="G6" s="1399"/>
      <c r="H6" s="2097">
        <v>300000</v>
      </c>
      <c r="I6" s="1981"/>
      <c r="J6" s="66"/>
      <c r="K6" s="1982"/>
      <c r="L6" s="1983"/>
      <c r="M6" s="1399"/>
      <c r="N6" s="1399"/>
      <c r="O6" s="2006"/>
      <c r="P6" s="1399"/>
      <c r="Q6" s="1399"/>
      <c r="R6" s="1399"/>
      <c r="S6" s="1399"/>
      <c r="T6" s="1399"/>
      <c r="U6" s="1399"/>
      <c r="V6" s="1399"/>
      <c r="W6" s="1399"/>
      <c r="X6" s="1399"/>
      <c r="Y6" s="1399"/>
      <c r="Z6" s="1399"/>
      <c r="AA6" s="1399"/>
      <c r="AB6" s="1399"/>
      <c r="AC6" s="825"/>
      <c r="AD6" s="2016"/>
      <c r="AE6" s="1399"/>
    </row>
    <row r="7" s="417" customFormat="1" customHeight="1" spans="1:31">
      <c r="A7" s="542"/>
      <c r="B7" s="1229"/>
      <c r="C7" s="1397"/>
      <c r="D7" s="764"/>
      <c r="E7" s="764"/>
      <c r="F7" s="764"/>
      <c r="G7" s="1397"/>
      <c r="H7" s="1340"/>
      <c r="I7" s="764"/>
      <c r="J7" s="72"/>
      <c r="K7" s="1340"/>
      <c r="L7" s="1996"/>
      <c r="M7" s="1397"/>
      <c r="N7" s="1397"/>
      <c r="O7" s="1243"/>
      <c r="P7" s="1397"/>
      <c r="Q7" s="1397"/>
      <c r="R7" s="1789"/>
      <c r="S7" s="1397"/>
      <c r="T7" s="1397"/>
      <c r="U7" s="1397"/>
      <c r="V7" s="1397"/>
      <c r="W7" s="1397"/>
      <c r="X7" s="1397"/>
      <c r="Y7" s="1397"/>
      <c r="Z7" s="1397"/>
      <c r="AA7" s="1397"/>
      <c r="AB7" s="1397"/>
      <c r="AC7" s="1218"/>
      <c r="AD7" s="2114"/>
      <c r="AE7" s="1397"/>
    </row>
    <row r="8" s="23" customFormat="1" customHeight="1" spans="1:31">
      <c r="A8" s="542" t="s">
        <v>209</v>
      </c>
      <c r="B8" s="2087" t="s">
        <v>936</v>
      </c>
      <c r="C8" s="2022"/>
      <c r="D8" s="2088"/>
      <c r="E8" s="1967"/>
      <c r="F8" s="1946"/>
      <c r="G8" s="1946"/>
      <c r="H8" s="1966">
        <v>200000</v>
      </c>
      <c r="I8" s="2104"/>
      <c r="J8" s="1984"/>
      <c r="K8" s="1966"/>
      <c r="L8" s="1985"/>
      <c r="M8" s="1946"/>
      <c r="N8" s="1946"/>
      <c r="O8" s="2110"/>
      <c r="P8" s="1946"/>
      <c r="Q8" s="1946"/>
      <c r="R8" s="2022"/>
      <c r="S8" s="1946"/>
      <c r="T8" s="1946"/>
      <c r="U8" s="1946"/>
      <c r="V8" s="1946"/>
      <c r="W8" s="1946"/>
      <c r="X8" s="1946"/>
      <c r="Y8" s="1946"/>
      <c r="Z8" s="1946"/>
      <c r="AA8" s="1946"/>
      <c r="AB8" s="1946"/>
      <c r="AC8" s="2028"/>
      <c r="AD8" s="2029"/>
      <c r="AE8" s="1946"/>
    </row>
    <row r="9" s="417" customFormat="1" customHeight="1" spans="1:31">
      <c r="A9" s="2118"/>
      <c r="B9" s="2119"/>
      <c r="C9" s="2120"/>
      <c r="D9" s="2083"/>
      <c r="E9" s="2101"/>
      <c r="F9" s="2102"/>
      <c r="G9" s="2103"/>
      <c r="H9" s="1340"/>
      <c r="I9" s="2105"/>
      <c r="J9" s="285"/>
      <c r="K9" s="1173"/>
      <c r="L9" s="2106"/>
      <c r="M9" s="1398"/>
      <c r="N9" s="1398"/>
      <c r="O9" s="1407"/>
      <c r="P9" s="1397"/>
      <c r="Q9" s="1397"/>
      <c r="R9" s="1789"/>
      <c r="S9" s="1397"/>
      <c r="T9" s="1397"/>
      <c r="U9" s="1397"/>
      <c r="V9" s="1397"/>
      <c r="W9" s="1397"/>
      <c r="X9" s="1397"/>
      <c r="Y9" s="1397"/>
      <c r="Z9" s="1397"/>
      <c r="AA9" s="1397"/>
      <c r="AB9" s="1397"/>
      <c r="AC9" s="1218"/>
      <c r="AD9" s="2114"/>
      <c r="AE9" s="1397"/>
    </row>
    <row r="10" customFormat="1" customHeight="1" spans="1:31">
      <c r="A10" s="1950" t="s">
        <v>343</v>
      </c>
      <c r="B10" s="1950"/>
      <c r="C10" s="1951"/>
      <c r="D10" s="1951"/>
      <c r="E10" s="1968"/>
      <c r="F10" s="1969"/>
      <c r="G10" s="1970"/>
      <c r="H10" s="1971">
        <f>SUM(H3:H9)</f>
        <v>1250000</v>
      </c>
      <c r="I10" s="1989"/>
      <c r="J10" s="1990">
        <v>0</v>
      </c>
      <c r="K10" s="1991">
        <v>0</v>
      </c>
      <c r="L10" s="1991">
        <v>0</v>
      </c>
      <c r="M10" s="2009"/>
      <c r="N10" s="2009"/>
      <c r="O10" s="2010"/>
      <c r="P10" s="2011"/>
      <c r="Q10" s="2011"/>
      <c r="R10" s="40"/>
      <c r="S10" s="2011"/>
      <c r="T10" s="2011"/>
      <c r="U10" s="2011"/>
      <c r="V10" s="2011"/>
      <c r="W10" s="2011"/>
      <c r="X10" s="2011"/>
      <c r="Y10" s="2011"/>
      <c r="Z10" s="2011"/>
      <c r="AA10" s="2011"/>
      <c r="AB10" s="2011"/>
      <c r="AC10" s="2030"/>
      <c r="AD10" s="1956" t="s">
        <v>285</v>
      </c>
      <c r="AE10" s="1956"/>
    </row>
    <row r="11" s="418" customFormat="1" ht="22.85" customHeight="1" spans="1:31">
      <c r="A11" s="664" t="s">
        <v>245</v>
      </c>
      <c r="B11" s="1580" t="s">
        <v>256</v>
      </c>
      <c r="C11" s="1953"/>
      <c r="D11" s="1954"/>
      <c r="E11" s="1953"/>
      <c r="F11" s="1953"/>
      <c r="G11" s="1953"/>
      <c r="H11" s="1972">
        <v>280000</v>
      </c>
      <c r="I11" s="1981"/>
      <c r="J11" s="1954"/>
      <c r="K11" s="1994"/>
      <c r="L11" s="1994"/>
      <c r="M11" s="2111"/>
      <c r="N11" s="2012"/>
      <c r="O11" s="2013"/>
      <c r="P11" s="44"/>
      <c r="Q11" s="153"/>
      <c r="R11" s="40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664"/>
      <c r="AD11" s="40"/>
      <c r="AE11" s="40"/>
    </row>
    <row r="12" s="418" customFormat="1" ht="22.85" customHeight="1" spans="1:31">
      <c r="A12" s="664"/>
      <c r="B12" s="1580" t="s">
        <v>174</v>
      </c>
      <c r="C12" s="1953"/>
      <c r="D12" s="1954"/>
      <c r="E12" s="1953"/>
      <c r="F12" s="1953"/>
      <c r="G12" s="1953"/>
      <c r="H12" s="1972">
        <v>320000</v>
      </c>
      <c r="I12" s="1981"/>
      <c r="J12" s="1954"/>
      <c r="K12" s="1994"/>
      <c r="L12" s="1994"/>
      <c r="M12" s="2111"/>
      <c r="N12" s="2012"/>
      <c r="O12" s="2013"/>
      <c r="P12" s="44"/>
      <c r="Q12" s="153"/>
      <c r="R12" s="40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664"/>
      <c r="AD12" s="40"/>
      <c r="AE12" s="40"/>
    </row>
    <row r="13" s="1933" customFormat="1" ht="23.75" customHeight="1" spans="1:31">
      <c r="A13" s="666" t="s">
        <v>224</v>
      </c>
      <c r="B13" s="1141" t="s">
        <v>169</v>
      </c>
      <c r="C13" s="2121" t="s">
        <v>1011</v>
      </c>
      <c r="D13" s="2122"/>
      <c r="E13" s="2126"/>
      <c r="F13" s="2126"/>
      <c r="G13" s="2126"/>
      <c r="H13" s="2127">
        <v>100000</v>
      </c>
      <c r="I13" s="259"/>
      <c r="J13" s="380"/>
      <c r="K13" s="380"/>
      <c r="L13" s="1996"/>
      <c r="M13" s="364"/>
      <c r="N13" s="2014"/>
      <c r="O13" s="2015"/>
      <c r="P13" s="40"/>
      <c r="Q13" s="40"/>
      <c r="R13" s="2023"/>
      <c r="S13" s="2024"/>
      <c r="T13" s="40"/>
      <c r="U13" s="40"/>
      <c r="V13" s="40"/>
      <c r="W13" s="40"/>
      <c r="X13" s="40"/>
      <c r="Y13" s="40"/>
      <c r="Z13" s="40"/>
      <c r="AA13" s="40"/>
      <c r="AB13" s="40"/>
      <c r="AC13" s="664"/>
      <c r="AD13" s="185"/>
      <c r="AE13" s="40"/>
    </row>
    <row r="14" s="2115" customFormat="1" ht="23.75" customHeight="1" spans="1:31">
      <c r="A14" s="2123"/>
      <c r="B14" s="1141" t="s">
        <v>97</v>
      </c>
      <c r="C14" s="2121" t="s">
        <v>1012</v>
      </c>
      <c r="D14" s="2124" t="s">
        <v>551</v>
      </c>
      <c r="E14" s="2126"/>
      <c r="F14" s="2126"/>
      <c r="G14" s="2127"/>
      <c r="H14" s="2127">
        <v>280000</v>
      </c>
      <c r="I14" s="2104"/>
      <c r="J14" s="2127"/>
      <c r="K14" s="2127"/>
      <c r="L14" s="2128"/>
      <c r="M14" s="2130"/>
      <c r="N14" s="2131"/>
      <c r="O14" s="2132"/>
      <c r="P14" s="2133"/>
      <c r="Q14" s="2133"/>
      <c r="R14" s="2121"/>
      <c r="S14" s="2134"/>
      <c r="T14" s="2133"/>
      <c r="U14" s="2133"/>
      <c r="V14" s="2133"/>
      <c r="W14" s="2133"/>
      <c r="X14" s="2133"/>
      <c r="Y14" s="2133"/>
      <c r="Z14" s="2133"/>
      <c r="AA14" s="2133"/>
      <c r="AB14" s="2133"/>
      <c r="AC14" s="1141"/>
      <c r="AD14" s="2128"/>
      <c r="AE14" s="2133"/>
    </row>
    <row r="15" s="1933" customFormat="1" ht="23.75" customHeight="1" spans="1:31">
      <c r="A15" s="556"/>
      <c r="B15" s="715"/>
      <c r="C15" s="1952"/>
      <c r="D15" s="1914"/>
      <c r="E15" s="68"/>
      <c r="F15" s="68"/>
      <c r="G15" s="380"/>
      <c r="H15" s="380"/>
      <c r="I15" s="1993"/>
      <c r="J15" s="380"/>
      <c r="K15" s="380"/>
      <c r="L15" s="1996"/>
      <c r="M15" s="364"/>
      <c r="N15" s="2014"/>
      <c r="O15" s="2016"/>
      <c r="P15" s="40"/>
      <c r="Q15" s="40"/>
      <c r="R15" s="2023"/>
      <c r="S15" s="2024"/>
      <c r="T15" s="40"/>
      <c r="U15" s="40"/>
      <c r="V15" s="40"/>
      <c r="W15" s="40"/>
      <c r="X15" s="40"/>
      <c r="Y15" s="40"/>
      <c r="Z15" s="40"/>
      <c r="AA15" s="40"/>
      <c r="AB15" s="40"/>
      <c r="AC15" s="664"/>
      <c r="AD15" s="185"/>
      <c r="AE15" s="40"/>
    </row>
    <row r="16" s="1933" customFormat="1" ht="23.75" customHeight="1" spans="1:31">
      <c r="A16" s="556"/>
      <c r="B16" s="715"/>
      <c r="C16" s="1952"/>
      <c r="D16" s="1914"/>
      <c r="E16" s="68"/>
      <c r="F16" s="68"/>
      <c r="G16" s="380"/>
      <c r="H16" s="380"/>
      <c r="I16" s="1993"/>
      <c r="J16" s="380"/>
      <c r="K16" s="380"/>
      <c r="L16" s="1996"/>
      <c r="M16" s="364"/>
      <c r="N16" s="2014"/>
      <c r="O16" s="2016"/>
      <c r="P16" s="40"/>
      <c r="Q16" s="40"/>
      <c r="R16" s="2023"/>
      <c r="S16" s="2024"/>
      <c r="T16" s="40"/>
      <c r="U16" s="40"/>
      <c r="V16" s="40"/>
      <c r="W16" s="40"/>
      <c r="X16" s="40"/>
      <c r="Y16" s="40"/>
      <c r="Z16" s="40"/>
      <c r="AA16" s="40"/>
      <c r="AB16" s="40"/>
      <c r="AC16" s="664"/>
      <c r="AD16" s="185"/>
      <c r="AE16" s="40"/>
    </row>
    <row r="17" s="1933" customFormat="1" ht="23.75" customHeight="1" spans="1:31">
      <c r="A17" s="556"/>
      <c r="B17" s="715"/>
      <c r="C17" s="1952"/>
      <c r="D17" s="2125"/>
      <c r="E17" s="68"/>
      <c r="F17" s="68"/>
      <c r="G17" s="380"/>
      <c r="H17" s="380"/>
      <c r="I17" s="1997"/>
      <c r="J17" s="379"/>
      <c r="K17" s="380"/>
      <c r="L17" s="1996"/>
      <c r="M17" s="364"/>
      <c r="N17" s="2014"/>
      <c r="O17" s="2016"/>
      <c r="P17" s="40"/>
      <c r="Q17" s="40"/>
      <c r="R17" s="2023"/>
      <c r="S17" s="2024"/>
      <c r="T17" s="40"/>
      <c r="U17" s="40"/>
      <c r="V17" s="40"/>
      <c r="W17" s="40"/>
      <c r="X17" s="40"/>
      <c r="Y17" s="40"/>
      <c r="Z17" s="40"/>
      <c r="AA17" s="40"/>
      <c r="AB17" s="40"/>
      <c r="AC17" s="664"/>
      <c r="AD17" s="185"/>
      <c r="AE17" s="40"/>
    </row>
    <row r="18" ht="27.5" customHeight="1" spans="1:31">
      <c r="A18" s="1956" t="s">
        <v>67</v>
      </c>
      <c r="B18" s="1957"/>
      <c r="C18" s="1951"/>
      <c r="D18" s="1951"/>
      <c r="E18" s="1973"/>
      <c r="F18" s="1974"/>
      <c r="G18" s="1974"/>
      <c r="H18" s="1975">
        <f>SUM(H11:H17)</f>
        <v>980000</v>
      </c>
      <c r="I18" s="1974"/>
      <c r="J18" s="1998"/>
      <c r="K18" s="99"/>
      <c r="L18" s="99"/>
      <c r="M18" s="185"/>
      <c r="N18" s="185"/>
      <c r="O18" s="2016"/>
      <c r="P18" s="40"/>
      <c r="Q18" s="40"/>
      <c r="R18" s="523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1956"/>
      <c r="AD18" s="1956" t="s">
        <v>293</v>
      </c>
      <c r="AE18" s="1956"/>
    </row>
    <row r="19" spans="1:31">
      <c r="A19" s="1958" t="s">
        <v>344</v>
      </c>
      <c r="B19" s="1959" t="s">
        <v>299</v>
      </c>
      <c r="C19" s="1883" t="s">
        <v>1013</v>
      </c>
      <c r="D19" s="819" t="s">
        <v>348</v>
      </c>
      <c r="E19" s="1976">
        <v>91</v>
      </c>
      <c r="F19" s="1327">
        <v>384</v>
      </c>
      <c r="G19" s="1327">
        <f t="shared" ref="G19:G31" si="0">F19*E19</f>
        <v>34944</v>
      </c>
      <c r="H19" s="1977">
        <f t="shared" ref="H19:H31" si="1">G19*I19</f>
        <v>222921.7536</v>
      </c>
      <c r="I19" s="1992">
        <v>6.3794</v>
      </c>
      <c r="J19" s="606" t="s">
        <v>1014</v>
      </c>
      <c r="K19" s="1999">
        <v>3321.5</v>
      </c>
      <c r="L19" s="2000"/>
      <c r="M19" s="2017"/>
      <c r="N19" s="2018"/>
      <c r="O19" s="2019"/>
      <c r="P19" s="2020"/>
      <c r="Q19" s="2020"/>
      <c r="R19" s="2025"/>
      <c r="S19" s="2020"/>
      <c r="T19" s="2020"/>
      <c r="U19" s="2020"/>
      <c r="V19" s="2020"/>
      <c r="W19" s="2020"/>
      <c r="X19" s="2020"/>
      <c r="Y19" s="2020"/>
      <c r="Z19" s="2020"/>
      <c r="AA19" s="2020"/>
      <c r="AB19" s="2020"/>
      <c r="AC19" s="2031"/>
      <c r="AD19" s="2032"/>
      <c r="AE19" s="2033"/>
    </row>
    <row r="20" spans="1:31">
      <c r="A20" s="1958"/>
      <c r="B20" s="1959" t="s">
        <v>299</v>
      </c>
      <c r="C20" s="1883" t="s">
        <v>1015</v>
      </c>
      <c r="D20" s="819" t="s">
        <v>348</v>
      </c>
      <c r="E20" s="1976">
        <v>91</v>
      </c>
      <c r="F20" s="1327">
        <v>384</v>
      </c>
      <c r="G20" s="1327">
        <f t="shared" si="0"/>
        <v>34944</v>
      </c>
      <c r="H20" s="1977">
        <f t="shared" si="1"/>
        <v>222921.7536</v>
      </c>
      <c r="I20" s="1992">
        <v>6.3794</v>
      </c>
      <c r="J20" s="606" t="s">
        <v>1014</v>
      </c>
      <c r="K20" s="1999">
        <v>3321.5</v>
      </c>
      <c r="L20" s="2000"/>
      <c r="M20" s="2017"/>
      <c r="N20" s="2018"/>
      <c r="O20" s="2019"/>
      <c r="P20" s="2020"/>
      <c r="Q20" s="2020"/>
      <c r="R20" s="2025"/>
      <c r="S20" s="2020"/>
      <c r="T20" s="2020"/>
      <c r="U20" s="2020"/>
      <c r="V20" s="2020"/>
      <c r="W20" s="2020"/>
      <c r="X20" s="2020"/>
      <c r="Y20" s="2020"/>
      <c r="Z20" s="2020"/>
      <c r="AA20" s="2020"/>
      <c r="AB20" s="2020"/>
      <c r="AC20" s="2031"/>
      <c r="AD20" s="2032"/>
      <c r="AE20" s="2033"/>
    </row>
    <row r="21" spans="1:31">
      <c r="A21" s="1958"/>
      <c r="B21" s="1959" t="s">
        <v>299</v>
      </c>
      <c r="C21" s="1883" t="s">
        <v>1016</v>
      </c>
      <c r="D21" s="819" t="s">
        <v>348</v>
      </c>
      <c r="E21" s="1976">
        <v>91</v>
      </c>
      <c r="F21" s="1327">
        <v>384</v>
      </c>
      <c r="G21" s="1327">
        <f t="shared" si="0"/>
        <v>34944</v>
      </c>
      <c r="H21" s="1977">
        <f t="shared" si="1"/>
        <v>222921.7536</v>
      </c>
      <c r="I21" s="1992">
        <v>6.3794</v>
      </c>
      <c r="J21" s="606" t="s">
        <v>1014</v>
      </c>
      <c r="K21" s="1999">
        <v>3321.5</v>
      </c>
      <c r="L21" s="2000"/>
      <c r="M21" s="2017"/>
      <c r="N21" s="2018"/>
      <c r="O21" s="2019"/>
      <c r="P21" s="2020"/>
      <c r="Q21" s="2020"/>
      <c r="R21" s="2025"/>
      <c r="S21" s="2020"/>
      <c r="T21" s="2020"/>
      <c r="U21" s="2020"/>
      <c r="V21" s="2020"/>
      <c r="W21" s="2020"/>
      <c r="X21" s="2020"/>
      <c r="Y21" s="2020"/>
      <c r="Z21" s="2020"/>
      <c r="AA21" s="2020"/>
      <c r="AB21" s="2020"/>
      <c r="AC21" s="2031"/>
      <c r="AD21" s="2032"/>
      <c r="AE21" s="2033"/>
    </row>
    <row r="22" spans="1:31">
      <c r="A22" s="1958"/>
      <c r="B22" s="1959" t="s">
        <v>299</v>
      </c>
      <c r="C22" s="1883" t="s">
        <v>1017</v>
      </c>
      <c r="D22" s="819" t="s">
        <v>348</v>
      </c>
      <c r="E22" s="1976">
        <v>91</v>
      </c>
      <c r="F22" s="1327">
        <v>384</v>
      </c>
      <c r="G22" s="1327">
        <f t="shared" si="0"/>
        <v>34944</v>
      </c>
      <c r="H22" s="1977">
        <f t="shared" si="1"/>
        <v>222921.7536</v>
      </c>
      <c r="I22" s="1992">
        <v>6.3794</v>
      </c>
      <c r="J22" s="606" t="s">
        <v>1014</v>
      </c>
      <c r="K22" s="1999">
        <f>SUM(H19:H24)</f>
        <v>1337530.5216</v>
      </c>
      <c r="L22" s="2000"/>
      <c r="M22" s="2017"/>
      <c r="N22" s="2018"/>
      <c r="O22" s="2019"/>
      <c r="P22" s="2020"/>
      <c r="Q22" s="2020"/>
      <c r="R22" s="2025"/>
      <c r="S22" s="2020"/>
      <c r="T22" s="2020"/>
      <c r="U22" s="2020"/>
      <c r="V22" s="2020"/>
      <c r="W22" s="2020"/>
      <c r="X22" s="2020"/>
      <c r="Y22" s="2020"/>
      <c r="Z22" s="2020"/>
      <c r="AA22" s="2020"/>
      <c r="AB22" s="2020"/>
      <c r="AC22" s="2031"/>
      <c r="AD22" s="2032"/>
      <c r="AE22" s="2033"/>
    </row>
    <row r="23" spans="1:31">
      <c r="A23" s="1958"/>
      <c r="B23" s="1959" t="s">
        <v>299</v>
      </c>
      <c r="C23" s="1883" t="s">
        <v>1018</v>
      </c>
      <c r="D23" s="819" t="s">
        <v>348</v>
      </c>
      <c r="E23" s="1976">
        <v>91</v>
      </c>
      <c r="F23" s="1327">
        <v>384</v>
      </c>
      <c r="G23" s="1327">
        <f t="shared" si="0"/>
        <v>34944</v>
      </c>
      <c r="H23" s="1977">
        <f t="shared" si="1"/>
        <v>222921.7536</v>
      </c>
      <c r="I23" s="1992">
        <v>6.3794</v>
      </c>
      <c r="J23" s="606" t="s">
        <v>1014</v>
      </c>
      <c r="K23" s="1999">
        <f>SUM(H26:H29)</f>
        <v>909211.2262</v>
      </c>
      <c r="L23" s="2000"/>
      <c r="M23" s="2017"/>
      <c r="N23" s="2018"/>
      <c r="O23" s="2019"/>
      <c r="P23" s="2020"/>
      <c r="Q23" s="2020"/>
      <c r="R23" s="2025"/>
      <c r="S23" s="2020"/>
      <c r="T23" s="2020"/>
      <c r="U23" s="2020"/>
      <c r="V23" s="2020"/>
      <c r="W23" s="2020"/>
      <c r="X23" s="2020"/>
      <c r="Y23" s="2020"/>
      <c r="Z23" s="2020"/>
      <c r="AA23" s="2020"/>
      <c r="AB23" s="2020"/>
      <c r="AC23" s="2031"/>
      <c r="AD23" s="2032"/>
      <c r="AE23" s="2033"/>
    </row>
    <row r="24" spans="1:31">
      <c r="A24" s="1958"/>
      <c r="B24" s="1959" t="s">
        <v>299</v>
      </c>
      <c r="C24" s="1883" t="s">
        <v>1019</v>
      </c>
      <c r="D24" s="819" t="s">
        <v>348</v>
      </c>
      <c r="E24" s="1976">
        <v>91</v>
      </c>
      <c r="F24" s="1327">
        <v>384</v>
      </c>
      <c r="G24" s="1327">
        <f t="shared" si="0"/>
        <v>34944</v>
      </c>
      <c r="H24" s="1977">
        <f t="shared" si="1"/>
        <v>222921.7536</v>
      </c>
      <c r="I24" s="1992">
        <v>6.3794</v>
      </c>
      <c r="J24" s="606" t="s">
        <v>1014</v>
      </c>
      <c r="K24" s="1999">
        <f>SUM(H30:H33)</f>
        <v>152901.4592</v>
      </c>
      <c r="L24" s="2000"/>
      <c r="M24" s="2017"/>
      <c r="N24" s="2018"/>
      <c r="O24" s="2019"/>
      <c r="P24" s="2020"/>
      <c r="Q24" s="2020"/>
      <c r="R24" s="2025"/>
      <c r="S24" s="2020"/>
      <c r="T24" s="2020"/>
      <c r="U24" s="2020"/>
      <c r="V24" s="2020"/>
      <c r="W24" s="2020"/>
      <c r="X24" s="2020"/>
      <c r="Y24" s="2020"/>
      <c r="Z24" s="2020"/>
      <c r="AA24" s="2020"/>
      <c r="AB24" s="2020"/>
      <c r="AC24" s="2031"/>
      <c r="AD24" s="2032"/>
      <c r="AE24" s="2033"/>
    </row>
    <row r="25" spans="1:31">
      <c r="A25" s="1958"/>
      <c r="B25" s="1303"/>
      <c r="C25" s="572"/>
      <c r="D25" s="1050"/>
      <c r="E25" s="1976"/>
      <c r="F25" s="1327"/>
      <c r="G25" s="1327"/>
      <c r="H25" s="1977"/>
      <c r="I25" s="1992"/>
      <c r="J25" s="1043"/>
      <c r="K25" s="1999">
        <f>SUM(H19:H25)+SUM(H28:H31)</f>
        <v>1490431.9808</v>
      </c>
      <c r="L25" s="2000"/>
      <c r="M25" s="2017"/>
      <c r="N25" s="2018"/>
      <c r="O25" s="2019"/>
      <c r="P25" s="2020"/>
      <c r="Q25" s="2020"/>
      <c r="R25" s="2025"/>
      <c r="S25" s="2020"/>
      <c r="T25" s="2020"/>
      <c r="U25" s="2020"/>
      <c r="V25" s="2020"/>
      <c r="W25" s="2020"/>
      <c r="X25" s="2020"/>
      <c r="Y25" s="2020"/>
      <c r="Z25" s="2020"/>
      <c r="AA25" s="2020"/>
      <c r="AB25" s="2020"/>
      <c r="AC25" s="2031"/>
      <c r="AD25" s="2032"/>
      <c r="AE25" s="2033"/>
    </row>
    <row r="26" spans="1:31">
      <c r="A26" s="2011" t="s">
        <v>220</v>
      </c>
      <c r="B26" s="971" t="s">
        <v>258</v>
      </c>
      <c r="C26" s="1883" t="s">
        <v>1020</v>
      </c>
      <c r="D26" s="614"/>
      <c r="E26" s="571">
        <v>1</v>
      </c>
      <c r="F26" s="1257">
        <v>77931</v>
      </c>
      <c r="G26" s="1327">
        <f t="shared" ref="G26:G28" si="2">F26*E26</f>
        <v>77931</v>
      </c>
      <c r="H26" s="1977">
        <f>G26*I26</f>
        <v>497153.0214</v>
      </c>
      <c r="I26" s="1992">
        <v>6.3794</v>
      </c>
      <c r="J26" s="2056" t="s">
        <v>1021</v>
      </c>
      <c r="K26" s="2053"/>
      <c r="L26" s="2054"/>
      <c r="M26" s="2020"/>
      <c r="N26" s="2018"/>
      <c r="O26" s="2019"/>
      <c r="P26" s="2020"/>
      <c r="Q26" s="2020"/>
      <c r="R26" s="2025"/>
      <c r="S26" s="2020"/>
      <c r="T26" s="2020"/>
      <c r="U26" s="2020"/>
      <c r="V26" s="2020"/>
      <c r="W26" s="2020"/>
      <c r="X26" s="2020"/>
      <c r="Y26" s="2020"/>
      <c r="Z26" s="2020"/>
      <c r="AA26" s="2020"/>
      <c r="AB26" s="2020"/>
      <c r="AC26" s="2075"/>
      <c r="AD26" s="1959"/>
      <c r="AE26" s="2020"/>
    </row>
    <row r="27" spans="1:31">
      <c r="A27" s="2011"/>
      <c r="B27" s="971" t="s">
        <v>355</v>
      </c>
      <c r="C27" s="1883" t="s">
        <v>1022</v>
      </c>
      <c r="D27" s="571"/>
      <c r="E27" s="571">
        <v>1</v>
      </c>
      <c r="F27" s="1257">
        <v>64592</v>
      </c>
      <c r="G27" s="1327">
        <f t="shared" si="2"/>
        <v>64592</v>
      </c>
      <c r="H27" s="1977">
        <f>G27*I27</f>
        <v>412058.2048</v>
      </c>
      <c r="I27" s="1992">
        <v>6.3794</v>
      </c>
      <c r="J27" s="2056" t="s">
        <v>1023</v>
      </c>
      <c r="K27" s="2057"/>
      <c r="L27" s="2058"/>
      <c r="M27" s="2020"/>
      <c r="N27" s="2018"/>
      <c r="O27" s="2019"/>
      <c r="P27" s="2020"/>
      <c r="Q27" s="2020"/>
      <c r="R27" s="2025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2075"/>
      <c r="AD27" s="1959"/>
      <c r="AE27" s="2020"/>
    </row>
    <row r="28" spans="1:31">
      <c r="A28" s="2011"/>
      <c r="B28" s="971"/>
      <c r="C28" s="1303"/>
      <c r="D28" s="571"/>
      <c r="E28" s="571"/>
      <c r="F28" s="1257"/>
      <c r="G28" s="1327"/>
      <c r="H28" s="1977"/>
      <c r="I28" s="1992"/>
      <c r="J28" s="2056"/>
      <c r="K28" s="2057"/>
      <c r="L28" s="2058"/>
      <c r="M28" s="2020"/>
      <c r="N28" s="2018"/>
      <c r="O28" s="2019"/>
      <c r="P28" s="2020"/>
      <c r="Q28" s="2020"/>
      <c r="R28" s="2025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75"/>
      <c r="AD28" s="1959"/>
      <c r="AE28" s="2020"/>
    </row>
    <row r="29" spans="1:31">
      <c r="A29" s="2011"/>
      <c r="B29" s="971"/>
      <c r="C29" s="1303"/>
      <c r="D29" s="614"/>
      <c r="E29" s="571"/>
      <c r="F29" s="1257"/>
      <c r="G29" s="1327"/>
      <c r="H29" s="1977"/>
      <c r="I29" s="1992"/>
      <c r="J29" s="2056"/>
      <c r="K29" s="2057"/>
      <c r="L29" s="2058"/>
      <c r="M29" s="2020"/>
      <c r="N29" s="2018"/>
      <c r="O29" s="2019"/>
      <c r="P29" s="2020"/>
      <c r="Q29" s="2020"/>
      <c r="R29" s="2025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2075"/>
      <c r="AD29" s="1959"/>
      <c r="AE29" s="2020"/>
    </row>
    <row r="30" s="10" customFormat="1" spans="1:31">
      <c r="A30" s="1389" t="s">
        <v>509</v>
      </c>
      <c r="B30" s="2034" t="s">
        <v>274</v>
      </c>
      <c r="C30" s="1903" t="s">
        <v>1024</v>
      </c>
      <c r="D30" s="819"/>
      <c r="E30" s="1976">
        <v>1</v>
      </c>
      <c r="F30" s="1079"/>
      <c r="G30" s="2042">
        <v>22018</v>
      </c>
      <c r="H30" s="1977">
        <f>G30*I30</f>
        <v>140461.6292</v>
      </c>
      <c r="I30" s="1992">
        <v>6.3794</v>
      </c>
      <c r="J30" s="2129" t="s">
        <v>1025</v>
      </c>
      <c r="K30" s="1239"/>
      <c r="L30" s="1176"/>
      <c r="M30" s="1389"/>
      <c r="N30" s="1187"/>
      <c r="O30" s="2070"/>
      <c r="P30" s="1389"/>
      <c r="Q30" s="1389"/>
      <c r="R30" s="1303"/>
      <c r="S30" s="1389"/>
      <c r="T30" s="1389"/>
      <c r="U30" s="1389"/>
      <c r="V30" s="1389"/>
      <c r="W30" s="1389"/>
      <c r="X30" s="1389"/>
      <c r="Y30" s="1389"/>
      <c r="Z30" s="1389"/>
      <c r="AA30" s="1389"/>
      <c r="AB30" s="1389"/>
      <c r="AC30" s="2076"/>
      <c r="AD30" s="628"/>
      <c r="AE30" s="1389"/>
    </row>
    <row r="31" s="10" customFormat="1" spans="1:31">
      <c r="A31" s="1389"/>
      <c r="B31" s="724" t="s">
        <v>917</v>
      </c>
      <c r="C31" s="1915" t="s">
        <v>1026</v>
      </c>
      <c r="D31" s="655" t="s">
        <v>1027</v>
      </c>
      <c r="E31" s="1976">
        <v>2</v>
      </c>
      <c r="F31" s="1327">
        <v>975</v>
      </c>
      <c r="G31" s="1327">
        <f>F31*E31</f>
        <v>1950</v>
      </c>
      <c r="H31" s="1977">
        <f>G31*I31</f>
        <v>12439.83</v>
      </c>
      <c r="I31" s="1992">
        <v>6.3794</v>
      </c>
      <c r="J31" s="1051" t="s">
        <v>1025</v>
      </c>
      <c r="K31" s="1239"/>
      <c r="L31" s="1176"/>
      <c r="M31" s="1389"/>
      <c r="N31" s="1187"/>
      <c r="O31" s="2070"/>
      <c r="P31" s="1389"/>
      <c r="Q31" s="1389"/>
      <c r="R31" s="1303"/>
      <c r="S31" s="1389"/>
      <c r="T31" s="1389"/>
      <c r="U31" s="1389"/>
      <c r="V31" s="1389"/>
      <c r="W31" s="1389"/>
      <c r="X31" s="1389"/>
      <c r="Y31" s="1389"/>
      <c r="Z31" s="1389"/>
      <c r="AA31" s="1389"/>
      <c r="AB31" s="1389"/>
      <c r="AC31" s="2076"/>
      <c r="AD31" s="628"/>
      <c r="AE31" s="1389"/>
    </row>
    <row r="32" s="10" customFormat="1" spans="1:31">
      <c r="A32" s="1389"/>
      <c r="B32" s="724"/>
      <c r="C32" s="572"/>
      <c r="D32" s="655"/>
      <c r="E32" s="1976"/>
      <c r="F32" s="1327"/>
      <c r="G32" s="1327"/>
      <c r="H32" s="1977"/>
      <c r="I32" s="1992"/>
      <c r="J32" s="1051"/>
      <c r="K32" s="2109"/>
      <c r="L32" s="1176"/>
      <c r="M32" s="1389"/>
      <c r="N32" s="1187"/>
      <c r="O32" s="2070"/>
      <c r="P32" s="1389"/>
      <c r="Q32" s="1389"/>
      <c r="R32" s="1303"/>
      <c r="S32" s="1389"/>
      <c r="T32" s="1389"/>
      <c r="U32" s="1389"/>
      <c r="V32" s="1389"/>
      <c r="W32" s="1389"/>
      <c r="X32" s="1389"/>
      <c r="Y32" s="1389"/>
      <c r="Z32" s="1389"/>
      <c r="AA32" s="1389"/>
      <c r="AB32" s="1389"/>
      <c r="AC32" s="2076"/>
      <c r="AD32" s="628"/>
      <c r="AE32" s="1389"/>
    </row>
    <row r="33" spans="1:31">
      <c r="A33" s="2035"/>
      <c r="B33" s="2036"/>
      <c r="C33" s="2037"/>
      <c r="D33" s="2038"/>
      <c r="E33" s="2043"/>
      <c r="F33" s="2044"/>
      <c r="G33" s="2045"/>
      <c r="H33" s="1977" t="s">
        <v>870</v>
      </c>
      <c r="I33" s="2059"/>
      <c r="J33" s="2060"/>
      <c r="K33" s="2061"/>
      <c r="L33" s="2054"/>
      <c r="M33" s="2020"/>
      <c r="N33" s="2071"/>
      <c r="O33" s="2019"/>
      <c r="P33" s="2020"/>
      <c r="Q33" s="2020"/>
      <c r="R33" s="2073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75"/>
      <c r="AD33" s="1959"/>
      <c r="AE33" s="2020"/>
    </row>
    <row r="34" spans="1:31">
      <c r="A34" s="2035"/>
      <c r="B34" s="2036"/>
      <c r="C34" s="2037"/>
      <c r="D34" s="2038"/>
      <c r="E34" s="2043"/>
      <c r="F34" s="2044"/>
      <c r="G34" s="2046"/>
      <c r="H34" s="2047"/>
      <c r="I34" s="2055"/>
      <c r="J34" s="2062"/>
      <c r="K34" s="2063"/>
      <c r="L34" s="2054"/>
      <c r="M34" s="2020"/>
      <c r="N34" s="2071"/>
      <c r="O34" s="2019"/>
      <c r="P34" s="2020"/>
      <c r="Q34" s="2020"/>
      <c r="R34" s="2073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75"/>
      <c r="AD34" s="1959"/>
      <c r="AE34" s="2020"/>
    </row>
    <row r="35" spans="1:31">
      <c r="A35" s="2035"/>
      <c r="B35" s="2036"/>
      <c r="C35" s="2037"/>
      <c r="D35" s="2038"/>
      <c r="E35" s="2043"/>
      <c r="F35" s="2044"/>
      <c r="G35" s="2046"/>
      <c r="H35" s="2047"/>
      <c r="I35" s="2055"/>
      <c r="J35" s="2062"/>
      <c r="K35" s="2064"/>
      <c r="L35" s="2065"/>
      <c r="M35" s="2020"/>
      <c r="N35" s="2071"/>
      <c r="O35" s="2019"/>
      <c r="P35" s="2020"/>
      <c r="Q35" s="2020"/>
      <c r="R35" s="2073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75"/>
      <c r="AD35" s="1959"/>
      <c r="AE35" s="2020"/>
    </row>
    <row r="36" customHeight="1" spans="1:31">
      <c r="A36" s="2039" t="s">
        <v>67</v>
      </c>
      <c r="B36" s="2039"/>
      <c r="C36" s="2040"/>
      <c r="D36" s="2040"/>
      <c r="E36" s="2048"/>
      <c r="F36" s="2049"/>
      <c r="G36" s="2049"/>
      <c r="H36" s="2050">
        <f>SUM(H19:H35)</f>
        <v>2399643.207</v>
      </c>
      <c r="I36" s="2066"/>
      <c r="J36" s="2050">
        <v>0</v>
      </c>
      <c r="K36" s="2067">
        <v>0</v>
      </c>
      <c r="L36" s="2068">
        <v>0</v>
      </c>
      <c r="M36" s="474"/>
      <c r="N36" s="474"/>
      <c r="O36" s="2072"/>
      <c r="P36" s="2011"/>
      <c r="Q36" s="2011"/>
      <c r="R36" s="2074"/>
      <c r="S36" s="2011"/>
      <c r="T36" s="2011"/>
      <c r="U36" s="2011"/>
      <c r="V36" s="2011"/>
      <c r="W36" s="2011"/>
      <c r="X36" s="2011"/>
      <c r="Y36" s="2011"/>
      <c r="Z36" s="2011"/>
      <c r="AA36" s="2011"/>
      <c r="AB36" s="2011"/>
      <c r="AC36" s="2039"/>
      <c r="AD36" s="2077" t="s">
        <v>325</v>
      </c>
      <c r="AE36" s="2077"/>
    </row>
    <row r="37" spans="1:31">
      <c r="A37" s="2001"/>
      <c r="B37" s="2001"/>
      <c r="C37" s="2001"/>
      <c r="D37" s="2001"/>
      <c r="E37" s="2051"/>
      <c r="F37" s="2001"/>
      <c r="G37" s="2001"/>
      <c r="H37" s="2052"/>
      <c r="I37" s="2001"/>
      <c r="J37" s="2001"/>
      <c r="K37" s="2001"/>
      <c r="L37" s="2001"/>
      <c r="M37" s="2001"/>
      <c r="N37" s="2001"/>
      <c r="O37" s="2002"/>
      <c r="P37" s="2001"/>
      <c r="Q37" s="2001"/>
      <c r="R37" s="2001"/>
      <c r="S37" s="2001"/>
      <c r="T37" s="2001"/>
      <c r="U37" s="2001"/>
      <c r="V37" s="2001"/>
      <c r="W37" s="2001"/>
      <c r="X37" s="2001"/>
      <c r="Y37" s="2001"/>
      <c r="Z37" s="2001"/>
      <c r="AA37" s="2001"/>
      <c r="AB37" s="2001"/>
      <c r="AC37" s="2001"/>
      <c r="AD37" s="2001"/>
      <c r="AE37" s="2001"/>
    </row>
    <row r="38" spans="1:31">
      <c r="A38" s="2001"/>
      <c r="B38" s="2001"/>
      <c r="C38" s="2001"/>
      <c r="D38" s="2001"/>
      <c r="E38" s="2051"/>
      <c r="F38" s="2001"/>
      <c r="G38" s="2001"/>
      <c r="H38" s="2052"/>
      <c r="I38" s="2001"/>
      <c r="J38" s="2001"/>
      <c r="K38" s="2001"/>
      <c r="L38" s="2001"/>
      <c r="M38" s="2001"/>
      <c r="N38" s="2001"/>
      <c r="O38" s="2002"/>
      <c r="P38" s="2001"/>
      <c r="Q38" s="2001"/>
      <c r="R38" s="2001"/>
      <c r="S38" s="2001"/>
      <c r="T38" s="2001"/>
      <c r="U38" s="2001"/>
      <c r="V38" s="2001"/>
      <c r="W38" s="2001"/>
      <c r="X38" s="2001"/>
      <c r="Y38" s="2001"/>
      <c r="Z38" s="2001"/>
      <c r="AA38" s="2001"/>
      <c r="AB38" s="2001"/>
      <c r="AC38" s="2001"/>
      <c r="AD38" s="2001"/>
      <c r="AE38" s="2001"/>
    </row>
    <row r="39" spans="1:31">
      <c r="A39" s="2001"/>
      <c r="B39" s="2001"/>
      <c r="C39" s="2001" t="s">
        <v>139</v>
      </c>
      <c r="D39" s="2001" t="s">
        <v>140</v>
      </c>
      <c r="E39" s="2051"/>
      <c r="F39" s="2001" t="s">
        <v>141</v>
      </c>
      <c r="G39" s="2001"/>
      <c r="H39" s="2052">
        <f>H10+H18+H36</f>
        <v>4629643.207</v>
      </c>
      <c r="I39" s="2001"/>
      <c r="J39" s="2001" t="s">
        <v>579</v>
      </c>
      <c r="K39" s="2069">
        <f>H10</f>
        <v>1250000</v>
      </c>
      <c r="L39" s="2001"/>
      <c r="M39" s="2069"/>
      <c r="N39" s="2001"/>
      <c r="O39" s="2002"/>
      <c r="P39" s="2001"/>
      <c r="Q39" s="2001"/>
      <c r="R39" s="2001"/>
      <c r="S39" s="2001"/>
      <c r="T39" s="2001"/>
      <c r="U39" s="2001"/>
      <c r="V39" s="2001"/>
      <c r="W39" s="2001"/>
      <c r="X39" s="2001"/>
      <c r="Y39" s="2001"/>
      <c r="Z39" s="2001"/>
      <c r="AA39" s="2001"/>
      <c r="AB39" s="2001"/>
      <c r="AC39" s="2001"/>
      <c r="AD39" s="2001"/>
      <c r="AE39" s="2001"/>
    </row>
    <row r="40" spans="1:31">
      <c r="A40" s="2001"/>
      <c r="B40" s="2001"/>
      <c r="C40" s="2001"/>
      <c r="D40" s="2001"/>
      <c r="E40" s="2051"/>
      <c r="F40" s="2001"/>
      <c r="G40" s="2001"/>
      <c r="H40" s="2052"/>
      <c r="I40" s="2001"/>
      <c r="J40" s="2001" t="s">
        <v>580</v>
      </c>
      <c r="K40" s="2069">
        <f>H18</f>
        <v>980000</v>
      </c>
      <c r="L40" s="2001"/>
      <c r="M40" s="2069"/>
      <c r="N40" s="2001"/>
      <c r="O40" s="2002"/>
      <c r="P40" s="2001"/>
      <c r="Q40" s="2001"/>
      <c r="R40" s="2001"/>
      <c r="S40" s="2001"/>
      <c r="T40" s="2001"/>
      <c r="U40" s="2001"/>
      <c r="V40" s="2001"/>
      <c r="W40" s="2001"/>
      <c r="X40" s="2001"/>
      <c r="Y40" s="2001"/>
      <c r="Z40" s="2001"/>
      <c r="AA40" s="2001"/>
      <c r="AB40" s="2001"/>
      <c r="AC40" s="2001"/>
      <c r="AD40" s="2001"/>
      <c r="AE40" s="2001"/>
    </row>
    <row r="41" spans="1:31">
      <c r="A41" s="2001"/>
      <c r="B41" s="2001"/>
      <c r="C41" s="2001"/>
      <c r="D41" s="2001"/>
      <c r="E41" s="2051"/>
      <c r="F41" s="2001"/>
      <c r="G41" s="2001"/>
      <c r="H41" s="2052"/>
      <c r="I41" s="2001"/>
      <c r="J41" s="2001" t="s">
        <v>581</v>
      </c>
      <c r="K41" s="2069">
        <f>H36</f>
        <v>2399643.207</v>
      </c>
      <c r="L41" s="2001"/>
      <c r="M41" s="2069"/>
      <c r="N41" s="2001"/>
      <c r="O41" s="2002"/>
      <c r="P41" s="2001"/>
      <c r="Q41" s="2001"/>
      <c r="R41" s="2001"/>
      <c r="S41" s="2001"/>
      <c r="T41" s="2001"/>
      <c r="U41" s="2001"/>
      <c r="V41" s="2001"/>
      <c r="W41" s="2001"/>
      <c r="X41" s="2001"/>
      <c r="Y41" s="2001"/>
      <c r="Z41" s="2001"/>
      <c r="AA41" s="2001"/>
      <c r="AB41" s="2001"/>
      <c r="AC41" s="2001"/>
      <c r="AD41" s="2001"/>
      <c r="AE41" s="2001"/>
    </row>
    <row r="42" spans="1:31">
      <c r="A42" s="2001"/>
      <c r="B42" s="2001"/>
      <c r="C42" s="2001"/>
      <c r="D42" s="2001"/>
      <c r="E42" s="2051"/>
      <c r="F42" s="2001"/>
      <c r="G42" s="2001"/>
      <c r="H42" s="2052"/>
      <c r="I42" s="2001"/>
      <c r="J42" s="2001"/>
      <c r="K42" s="2069">
        <f>SUM(K39:K41)</f>
        <v>4629643.207</v>
      </c>
      <c r="L42" s="2001"/>
      <c r="M42" s="2069"/>
      <c r="N42" s="2001"/>
      <c r="O42" s="2002"/>
      <c r="P42" s="2001"/>
      <c r="Q42" s="2001"/>
      <c r="R42" s="2001"/>
      <c r="S42" s="2001"/>
      <c r="T42" s="2001"/>
      <c r="U42" s="2001"/>
      <c r="V42" s="2001"/>
      <c r="W42" s="2001"/>
      <c r="X42" s="2001"/>
      <c r="Y42" s="2001"/>
      <c r="Z42" s="2001"/>
      <c r="AA42" s="2001"/>
      <c r="AB42" s="2001"/>
      <c r="AC42" s="2001"/>
      <c r="AD42" s="2001"/>
      <c r="AE42" s="2001"/>
    </row>
    <row r="43" spans="1:31">
      <c r="A43" s="2001"/>
      <c r="B43" s="2001"/>
      <c r="C43" s="2001"/>
      <c r="D43" s="2001"/>
      <c r="E43" s="2051"/>
      <c r="F43" s="2001"/>
      <c r="G43" s="2001"/>
      <c r="H43" s="2052"/>
      <c r="I43" s="2001"/>
      <c r="J43" s="2001"/>
      <c r="K43" s="2069"/>
      <c r="L43" s="2001"/>
      <c r="M43" s="2069"/>
      <c r="N43" s="2001"/>
      <c r="O43" s="2002"/>
      <c r="P43" s="2001"/>
      <c r="Q43" s="2001"/>
      <c r="R43" s="2001"/>
      <c r="S43" s="2001"/>
      <c r="T43" s="2001"/>
      <c r="U43" s="2001"/>
      <c r="V43" s="2001"/>
      <c r="W43" s="2001"/>
      <c r="X43" s="2001"/>
      <c r="Y43" s="2001"/>
      <c r="Z43" s="2001"/>
      <c r="AA43" s="2001"/>
      <c r="AB43" s="2001"/>
      <c r="AC43" s="2001"/>
      <c r="AD43" s="2001"/>
      <c r="AE43" s="2001"/>
    </row>
    <row r="44" spans="1:31">
      <c r="A44" s="2041"/>
      <c r="B44" s="2041"/>
      <c r="C44" s="2041"/>
      <c r="D44" s="2041"/>
      <c r="E44" s="2051"/>
      <c r="F44" s="2041"/>
      <c r="G44" s="2041"/>
      <c r="H44" s="2052"/>
      <c r="I44" s="2041"/>
      <c r="J44" s="2041"/>
      <c r="K44" s="2041"/>
      <c r="L44" s="2041"/>
      <c r="M44" s="2069"/>
      <c r="N44" s="2041"/>
      <c r="O44" s="2002"/>
      <c r="P44" s="2041"/>
      <c r="Q44" s="2041"/>
      <c r="R44" s="2041"/>
      <c r="S44" s="2041"/>
      <c r="T44" s="2041"/>
      <c r="U44" s="2041"/>
      <c r="V44" s="2041"/>
      <c r="W44" s="2041"/>
      <c r="X44" s="2041"/>
      <c r="Y44" s="2041"/>
      <c r="Z44" s="2041"/>
      <c r="AA44" s="2041"/>
      <c r="AB44" s="2041"/>
      <c r="AC44" s="2041"/>
      <c r="AD44" s="2041"/>
      <c r="AE44" s="2041"/>
    </row>
    <row r="45" spans="1:31">
      <c r="A45" s="2041"/>
      <c r="B45" s="2041"/>
      <c r="C45" s="2041"/>
      <c r="D45" s="2041"/>
      <c r="E45" s="2051"/>
      <c r="F45" s="2041"/>
      <c r="G45" s="2041"/>
      <c r="H45" s="2052"/>
      <c r="I45" s="2041"/>
      <c r="J45" s="2041"/>
      <c r="K45" s="2041"/>
      <c r="L45" s="2041"/>
      <c r="M45" s="2041"/>
      <c r="N45" s="2041"/>
      <c r="O45" s="2002"/>
      <c r="P45" s="2041"/>
      <c r="Q45" s="2041"/>
      <c r="R45" s="2041"/>
      <c r="S45" s="2041"/>
      <c r="T45" s="2041"/>
      <c r="U45" s="2041"/>
      <c r="V45" s="2041"/>
      <c r="W45" s="2041"/>
      <c r="X45" s="2041"/>
      <c r="Y45" s="2041"/>
      <c r="Z45" s="2041"/>
      <c r="AA45" s="2041"/>
      <c r="AB45" s="2041"/>
      <c r="AC45" s="2041"/>
      <c r="AD45" s="2041"/>
      <c r="AE45" s="2041"/>
    </row>
    <row r="46" spans="1:31">
      <c r="A46" s="2041"/>
      <c r="B46" s="2041"/>
      <c r="C46" s="2041"/>
      <c r="D46" s="2041"/>
      <c r="E46" s="2051"/>
      <c r="F46" s="2041"/>
      <c r="G46" s="2041"/>
      <c r="H46" s="2052"/>
      <c r="I46" s="2041"/>
      <c r="J46" s="2041"/>
      <c r="K46" s="2041"/>
      <c r="L46" s="2041"/>
      <c r="M46" s="2041"/>
      <c r="N46" s="2041"/>
      <c r="O46" s="2002"/>
      <c r="P46" s="2041"/>
      <c r="Q46" s="2041"/>
      <c r="R46" s="2041"/>
      <c r="S46" s="2041"/>
      <c r="T46" s="2041"/>
      <c r="U46" s="2041"/>
      <c r="V46" s="2041"/>
      <c r="W46" s="2041"/>
      <c r="X46" s="2041"/>
      <c r="Y46" s="2041"/>
      <c r="Z46" s="2041"/>
      <c r="AA46" s="2041"/>
      <c r="AB46" s="2041"/>
      <c r="AC46" s="2041"/>
      <c r="AD46" s="2041"/>
      <c r="AE46" s="2041"/>
    </row>
  </sheetData>
  <sheetProtection formatCells="0" insertHyperlinks="0" autoFilter="0"/>
  <mergeCells count="13">
    <mergeCell ref="A1:M1"/>
    <mergeCell ref="A10:B10"/>
    <mergeCell ref="C10:D10"/>
    <mergeCell ref="A18:B18"/>
    <mergeCell ref="C18:D18"/>
    <mergeCell ref="A36:B36"/>
    <mergeCell ref="C36:D36"/>
    <mergeCell ref="A3:A6"/>
    <mergeCell ref="A11:A12"/>
    <mergeCell ref="A13:A17"/>
    <mergeCell ref="A19:A25"/>
    <mergeCell ref="A26:A29"/>
    <mergeCell ref="A30:A3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E43"/>
  <sheetViews>
    <sheetView workbookViewId="0">
      <selection activeCell="H11" sqref="H11:H18"/>
    </sheetView>
  </sheetViews>
  <sheetFormatPr defaultColWidth="9" defaultRowHeight="16.5"/>
  <cols>
    <col min="1" max="1" width="13.4416666666667" customWidth="1"/>
    <col min="2" max="2" width="21.56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15.1583333333333" customWidth="1"/>
    <col min="10" max="10" width="36.2583333333333" customWidth="1"/>
    <col min="11" max="11" width="17.3583333333333" customWidth="1"/>
    <col min="12" max="12" width="14.875"/>
    <col min="13" max="13" width="14.025" customWidth="1"/>
    <col min="14" max="14" width="18.1916666666667" customWidth="1"/>
    <col min="15" max="15" width="43.7583333333333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1028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2076" t="s">
        <v>38</v>
      </c>
      <c r="B3" s="1229" t="s">
        <v>1029</v>
      </c>
      <c r="C3" s="1789"/>
      <c r="D3" s="1943" t="s">
        <v>1030</v>
      </c>
      <c r="E3" s="1384"/>
      <c r="F3" s="1397"/>
      <c r="G3" s="1397"/>
      <c r="H3" s="1340">
        <v>300000</v>
      </c>
      <c r="I3" s="1981"/>
      <c r="J3" s="66"/>
      <c r="K3" s="1982"/>
      <c r="L3" s="1983"/>
      <c r="M3" s="1399"/>
      <c r="N3" s="1399"/>
      <c r="O3" s="2006"/>
      <c r="P3" s="1399"/>
      <c r="Q3" s="1399"/>
      <c r="R3" s="1399"/>
      <c r="S3" s="1399"/>
      <c r="T3" s="1399"/>
      <c r="U3" s="1399"/>
      <c r="V3" s="1399"/>
      <c r="W3" s="1399"/>
      <c r="X3" s="1399"/>
      <c r="Y3" s="1399"/>
      <c r="Z3" s="1399"/>
      <c r="AA3" s="1399"/>
      <c r="AB3" s="1399"/>
      <c r="AC3" s="825"/>
      <c r="AD3" s="2016"/>
      <c r="AE3" s="1399"/>
    </row>
    <row r="4" customFormat="1" spans="1:31">
      <c r="A4" s="2076"/>
      <c r="B4" s="2078" t="s">
        <v>1031</v>
      </c>
      <c r="C4" s="1399"/>
      <c r="D4" s="1876" t="s">
        <v>290</v>
      </c>
      <c r="E4" s="510"/>
      <c r="F4" s="1399"/>
      <c r="G4" s="1399"/>
      <c r="H4" s="1982">
        <v>200000</v>
      </c>
      <c r="I4" s="1981"/>
      <c r="J4" s="66"/>
      <c r="K4" s="1982"/>
      <c r="L4" s="1983"/>
      <c r="M4" s="1399"/>
      <c r="N4" s="1399"/>
      <c r="O4" s="2006"/>
      <c r="P4" s="1399"/>
      <c r="Q4" s="1399"/>
      <c r="R4" s="1399"/>
      <c r="S4" s="1399"/>
      <c r="T4" s="1399"/>
      <c r="U4" s="1399"/>
      <c r="V4" s="1399"/>
      <c r="W4" s="1399"/>
      <c r="X4" s="1399"/>
      <c r="Y4" s="1399"/>
      <c r="Z4" s="1399"/>
      <c r="AA4" s="1399"/>
      <c r="AB4" s="1399"/>
      <c r="AC4" s="825"/>
      <c r="AD4" s="2016"/>
      <c r="AE4" s="1399"/>
    </row>
    <row r="5" customFormat="1" spans="1:31">
      <c r="A5" s="2076"/>
      <c r="B5" s="2079" t="s">
        <v>1032</v>
      </c>
      <c r="C5" s="2080"/>
      <c r="D5" s="2081" t="s">
        <v>1033</v>
      </c>
      <c r="E5" s="1386"/>
      <c r="F5" s="1399"/>
      <c r="G5" s="1399"/>
      <c r="H5" s="2097">
        <v>250000</v>
      </c>
      <c r="I5" s="1981"/>
      <c r="J5" s="66"/>
      <c r="K5" s="1982"/>
      <c r="L5" s="1983"/>
      <c r="M5" s="1399"/>
      <c r="N5" s="1399"/>
      <c r="O5" s="2006"/>
      <c r="P5" s="1399"/>
      <c r="Q5" s="1399"/>
      <c r="R5" s="1399"/>
      <c r="S5" s="1399"/>
      <c r="T5" s="1399"/>
      <c r="U5" s="1399"/>
      <c r="V5" s="1399"/>
      <c r="W5" s="1399"/>
      <c r="X5" s="1399"/>
      <c r="Y5" s="1399"/>
      <c r="Z5" s="1399"/>
      <c r="AA5" s="1399"/>
      <c r="AB5" s="1399"/>
      <c r="AC5" s="825"/>
      <c r="AD5" s="2016"/>
      <c r="AE5" s="1399"/>
    </row>
    <row r="6" customFormat="1" spans="1:31">
      <c r="A6" s="2076"/>
      <c r="B6" s="2082"/>
      <c r="C6" s="2083"/>
      <c r="D6" s="2081"/>
      <c r="E6" s="1386"/>
      <c r="F6" s="1399"/>
      <c r="G6" s="1399"/>
      <c r="H6" s="2097"/>
      <c r="I6" s="1981"/>
      <c r="J6" s="66"/>
      <c r="K6" s="1982"/>
      <c r="L6" s="1983"/>
      <c r="M6" s="1399"/>
      <c r="N6" s="1399"/>
      <c r="O6" s="2006"/>
      <c r="P6" s="1399"/>
      <c r="Q6" s="1399"/>
      <c r="R6" s="1399"/>
      <c r="S6" s="1399"/>
      <c r="T6" s="1399"/>
      <c r="U6" s="1399"/>
      <c r="V6" s="1399"/>
      <c r="W6" s="1399"/>
      <c r="X6" s="1399"/>
      <c r="Y6" s="1399"/>
      <c r="Z6" s="1399"/>
      <c r="AA6" s="1399"/>
      <c r="AB6" s="1399"/>
      <c r="AC6" s="825"/>
      <c r="AD6" s="2016"/>
      <c r="AE6" s="1399"/>
    </row>
    <row r="7" s="23" customFormat="1" customHeight="1" spans="1:31">
      <c r="A7" s="1141" t="s">
        <v>209</v>
      </c>
      <c r="B7" s="2084" t="s">
        <v>284</v>
      </c>
      <c r="C7" s="2085"/>
      <c r="D7" s="2086"/>
      <c r="E7" s="2098"/>
      <c r="F7" s="2099"/>
      <c r="G7" s="2100"/>
      <c r="H7" s="1966">
        <v>250000</v>
      </c>
      <c r="I7" s="1947"/>
      <c r="J7" s="1984"/>
      <c r="K7" s="1966"/>
      <c r="L7" s="1985"/>
      <c r="M7" s="1946"/>
      <c r="N7" s="1946"/>
      <c r="O7" s="2007"/>
      <c r="P7" s="1946"/>
      <c r="Q7" s="1946"/>
      <c r="R7" s="2022"/>
      <c r="S7" s="1946"/>
      <c r="T7" s="1946"/>
      <c r="U7" s="1946"/>
      <c r="V7" s="1946"/>
      <c r="W7" s="1946"/>
      <c r="X7" s="1946"/>
      <c r="Y7" s="1946"/>
      <c r="Z7" s="1946"/>
      <c r="AA7" s="1946"/>
      <c r="AB7" s="1946"/>
      <c r="AC7" s="2028"/>
      <c r="AD7" s="2029"/>
      <c r="AE7" s="1946"/>
    </row>
    <row r="8" s="23" customFormat="1" customHeight="1" spans="1:31">
      <c r="A8" s="1141"/>
      <c r="B8" s="2087" t="s">
        <v>148</v>
      </c>
      <c r="C8" s="2022"/>
      <c r="D8" s="2088"/>
      <c r="E8" s="1967"/>
      <c r="F8" s="1946"/>
      <c r="G8" s="1946"/>
      <c r="H8" s="1966">
        <v>200000</v>
      </c>
      <c r="I8" s="2104"/>
      <c r="J8" s="1984"/>
      <c r="K8" s="1966"/>
      <c r="L8" s="1985"/>
      <c r="M8" s="1946"/>
      <c r="N8" s="1946"/>
      <c r="O8" s="2110"/>
      <c r="P8" s="1946"/>
      <c r="Q8" s="1946"/>
      <c r="R8" s="2022"/>
      <c r="S8" s="1946"/>
      <c r="T8" s="1946"/>
      <c r="U8" s="1946"/>
      <c r="V8" s="1946"/>
      <c r="W8" s="1946"/>
      <c r="X8" s="1946"/>
      <c r="Y8" s="1946"/>
      <c r="Z8" s="1946"/>
      <c r="AA8" s="1946"/>
      <c r="AB8" s="1946"/>
      <c r="AC8" s="2028"/>
      <c r="AD8" s="2029"/>
      <c r="AE8" s="1946"/>
    </row>
    <row r="9" s="417" customFormat="1" ht="47.7" customHeight="1" spans="1:31">
      <c r="A9" s="715" t="s">
        <v>224</v>
      </c>
      <c r="B9" s="1898" t="s">
        <v>1034</v>
      </c>
      <c r="C9" s="2089" t="s">
        <v>1035</v>
      </c>
      <c r="D9" s="2083"/>
      <c r="E9" s="2101"/>
      <c r="F9" s="2102"/>
      <c r="G9" s="2103"/>
      <c r="H9" s="1340">
        <v>200000</v>
      </c>
      <c r="I9" s="2105"/>
      <c r="J9" s="285"/>
      <c r="K9" s="1173"/>
      <c r="L9" s="2106"/>
      <c r="M9" s="1398"/>
      <c r="N9" s="1398"/>
      <c r="O9" s="1407"/>
      <c r="P9" s="1397"/>
      <c r="Q9" s="1397"/>
      <c r="R9" s="1789"/>
      <c r="S9" s="1397"/>
      <c r="T9" s="1397"/>
      <c r="U9" s="1397"/>
      <c r="V9" s="1397"/>
      <c r="W9" s="1397"/>
      <c r="X9" s="1397"/>
      <c r="Y9" s="1397"/>
      <c r="Z9" s="1397"/>
      <c r="AA9" s="1397"/>
      <c r="AB9" s="1397"/>
      <c r="AC9" s="1218"/>
      <c r="AD9" s="2114"/>
      <c r="AE9" s="1397"/>
    </row>
    <row r="10" customFormat="1" customHeight="1" spans="1:31">
      <c r="A10" s="1950" t="s">
        <v>343</v>
      </c>
      <c r="B10" s="1950"/>
      <c r="C10" s="1951"/>
      <c r="D10" s="1951"/>
      <c r="E10" s="1968"/>
      <c r="F10" s="1969"/>
      <c r="G10" s="1970"/>
      <c r="H10" s="1971">
        <f>SUM(H3:H9)</f>
        <v>1400000</v>
      </c>
      <c r="I10" s="1989"/>
      <c r="J10" s="1990">
        <v>0</v>
      </c>
      <c r="K10" s="1991">
        <v>0</v>
      </c>
      <c r="L10" s="1991">
        <v>0</v>
      </c>
      <c r="M10" s="2009"/>
      <c r="N10" s="2009"/>
      <c r="O10" s="2010"/>
      <c r="P10" s="2011"/>
      <c r="Q10" s="2011"/>
      <c r="R10" s="40"/>
      <c r="S10" s="2011"/>
      <c r="T10" s="2011"/>
      <c r="U10" s="2011"/>
      <c r="V10" s="2011"/>
      <c r="W10" s="2011"/>
      <c r="X10" s="2011"/>
      <c r="Y10" s="2011"/>
      <c r="Z10" s="2011"/>
      <c r="AA10" s="2011"/>
      <c r="AB10" s="2011"/>
      <c r="AC10" s="2030"/>
      <c r="AD10" s="1956" t="s">
        <v>285</v>
      </c>
      <c r="AE10" s="1956"/>
    </row>
    <row r="11" s="418" customFormat="1" ht="23.45" customHeight="1" spans="1:31">
      <c r="A11" s="664" t="s">
        <v>331</v>
      </c>
      <c r="B11" s="1552" t="s">
        <v>611</v>
      </c>
      <c r="C11" s="1952"/>
      <c r="D11" s="1445"/>
      <c r="E11" s="35"/>
      <c r="F11" s="349"/>
      <c r="G11" s="349">
        <v>46807</v>
      </c>
      <c r="H11" s="380">
        <f>G11*I11</f>
        <v>297598.906</v>
      </c>
      <c r="I11" s="1992">
        <v>6.358</v>
      </c>
      <c r="J11" s="1993" t="s">
        <v>1036</v>
      </c>
      <c r="K11" s="379"/>
      <c r="L11" s="1994"/>
      <c r="M11" s="2012"/>
      <c r="N11" s="2012"/>
      <c r="O11" s="2013"/>
      <c r="P11" s="44"/>
      <c r="Q11" s="153"/>
      <c r="R11" s="40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664"/>
      <c r="AD11" s="40"/>
      <c r="AE11" s="40"/>
    </row>
    <row r="12" s="1933" customFormat="1" ht="23.75" customHeight="1" spans="1:31">
      <c r="A12" s="666" t="s">
        <v>224</v>
      </c>
      <c r="B12" s="715" t="s">
        <v>163</v>
      </c>
      <c r="C12" s="1952" t="s">
        <v>1037</v>
      </c>
      <c r="D12" s="1914"/>
      <c r="E12" s="68"/>
      <c r="F12" s="68"/>
      <c r="G12" s="226"/>
      <c r="H12" s="380">
        <v>250000</v>
      </c>
      <c r="I12" s="1992">
        <v>6.358</v>
      </c>
      <c r="J12" s="1993" t="s">
        <v>1036</v>
      </c>
      <c r="K12" s="380"/>
      <c r="L12" s="1996"/>
      <c r="M12" s="364"/>
      <c r="N12" s="2014"/>
      <c r="O12" s="2015"/>
      <c r="P12" s="40"/>
      <c r="Q12" s="40"/>
      <c r="R12" s="2023"/>
      <c r="S12" s="2024"/>
      <c r="T12" s="40"/>
      <c r="U12" s="40"/>
      <c r="V12" s="40"/>
      <c r="W12" s="40"/>
      <c r="X12" s="40"/>
      <c r="Y12" s="40"/>
      <c r="Z12" s="40"/>
      <c r="AA12" s="40"/>
      <c r="AB12" s="40"/>
      <c r="AC12" s="664"/>
      <c r="AD12" s="185"/>
      <c r="AE12" s="40"/>
    </row>
    <row r="13" s="1933" customFormat="1" ht="23.75" customHeight="1" spans="1:31">
      <c r="A13" s="556"/>
      <c r="B13" s="715" t="s">
        <v>1038</v>
      </c>
      <c r="C13" s="1952"/>
      <c r="D13" s="1914"/>
      <c r="E13" s="68"/>
      <c r="F13" s="68"/>
      <c r="G13" s="380"/>
      <c r="H13" s="380"/>
      <c r="I13" s="1992">
        <v>6.358</v>
      </c>
      <c r="J13" s="380"/>
      <c r="K13" s="380"/>
      <c r="L13" s="1996"/>
      <c r="M13" s="2111"/>
      <c r="N13" s="2014"/>
      <c r="O13" s="2015"/>
      <c r="P13" s="40"/>
      <c r="Q13" s="40"/>
      <c r="R13" s="2023"/>
      <c r="S13" s="2024"/>
      <c r="T13" s="40"/>
      <c r="U13" s="40"/>
      <c r="V13" s="40"/>
      <c r="W13" s="40"/>
      <c r="X13" s="40"/>
      <c r="Y13" s="40"/>
      <c r="Z13" s="40"/>
      <c r="AA13" s="40"/>
      <c r="AB13" s="40"/>
      <c r="AC13" s="664"/>
      <c r="AD13" s="185"/>
      <c r="AE13" s="40"/>
    </row>
    <row r="14" s="1933" customFormat="1" ht="23.75" customHeight="1" spans="1:31">
      <c r="A14" s="556"/>
      <c r="B14" s="2090" t="s">
        <v>256</v>
      </c>
      <c r="C14" s="2091" t="s">
        <v>1039</v>
      </c>
      <c r="D14" s="1955" t="s">
        <v>1040</v>
      </c>
      <c r="E14" s="68"/>
      <c r="F14" s="68"/>
      <c r="G14" s="380"/>
      <c r="H14" s="380">
        <v>85133</v>
      </c>
      <c r="I14" s="1992">
        <v>6.358</v>
      </c>
      <c r="J14" s="380"/>
      <c r="K14" s="380"/>
      <c r="L14" s="364"/>
      <c r="M14" s="2112"/>
      <c r="N14" s="2014"/>
      <c r="O14" s="2015"/>
      <c r="P14" s="40"/>
      <c r="Q14" s="40"/>
      <c r="R14" s="2023"/>
      <c r="S14" s="2024"/>
      <c r="T14" s="40"/>
      <c r="U14" s="40"/>
      <c r="V14" s="40"/>
      <c r="W14" s="40"/>
      <c r="X14" s="40"/>
      <c r="Y14" s="40"/>
      <c r="Z14" s="40"/>
      <c r="AA14" s="40"/>
      <c r="AB14" s="40"/>
      <c r="AC14" s="664"/>
      <c r="AD14" s="185"/>
      <c r="AE14" s="40"/>
    </row>
    <row r="15" s="1933" customFormat="1" ht="23.75" customHeight="1" spans="1:31">
      <c r="A15" s="556"/>
      <c r="B15" s="2092"/>
      <c r="C15" s="2091" t="s">
        <v>1041</v>
      </c>
      <c r="D15" s="1443" t="s">
        <v>252</v>
      </c>
      <c r="E15" s="68"/>
      <c r="F15" s="68"/>
      <c r="G15" s="349"/>
      <c r="H15" s="380">
        <v>83000</v>
      </c>
      <c r="I15" s="1992">
        <v>6.358</v>
      </c>
      <c r="J15" s="380"/>
      <c r="K15" s="380"/>
      <c r="L15" s="1996"/>
      <c r="M15" s="364"/>
      <c r="N15" s="2014"/>
      <c r="O15" s="2016"/>
      <c r="P15" s="40"/>
      <c r="Q15" s="40"/>
      <c r="R15" s="2023"/>
      <c r="S15" s="2024"/>
      <c r="T15" s="40"/>
      <c r="U15" s="40"/>
      <c r="V15" s="40"/>
      <c r="W15" s="40"/>
      <c r="X15" s="40"/>
      <c r="Y15" s="40"/>
      <c r="Z15" s="40"/>
      <c r="AA15" s="40"/>
      <c r="AB15" s="40"/>
      <c r="AC15" s="664"/>
      <c r="AD15" s="185"/>
      <c r="AE15" s="40"/>
    </row>
    <row r="16" s="1933" customFormat="1" ht="23.75" customHeight="1" spans="1:31">
      <c r="A16" s="556"/>
      <c r="B16" s="2092"/>
      <c r="C16" s="2091" t="s">
        <v>1042</v>
      </c>
      <c r="D16" s="1914" t="s">
        <v>1043</v>
      </c>
      <c r="E16" s="68"/>
      <c r="F16" s="68"/>
      <c r="G16" s="349"/>
      <c r="H16" s="380">
        <v>138538</v>
      </c>
      <c r="I16" s="1992">
        <v>6.358</v>
      </c>
      <c r="J16" s="380"/>
      <c r="K16" s="380"/>
      <c r="L16" s="1996"/>
      <c r="M16" s="364"/>
      <c r="N16" s="2014"/>
      <c r="O16" s="2016"/>
      <c r="P16" s="40"/>
      <c r="Q16" s="40"/>
      <c r="R16" s="2023"/>
      <c r="S16" s="2024"/>
      <c r="T16" s="40"/>
      <c r="U16" s="40"/>
      <c r="V16" s="40"/>
      <c r="W16" s="40"/>
      <c r="X16" s="40"/>
      <c r="Y16" s="40"/>
      <c r="Z16" s="40"/>
      <c r="AA16" s="40"/>
      <c r="AB16" s="40"/>
      <c r="AC16" s="664"/>
      <c r="AD16" s="185"/>
      <c r="AE16" s="40"/>
    </row>
    <row r="17" s="1933" customFormat="1" ht="23.75" customHeight="1" spans="1:31">
      <c r="A17" s="556"/>
      <c r="B17" s="2092"/>
      <c r="C17" s="2091" t="s">
        <v>1044</v>
      </c>
      <c r="D17" s="2093" t="s">
        <v>1045</v>
      </c>
      <c r="E17" s="457"/>
      <c r="F17" s="457"/>
      <c r="G17" s="349">
        <v>43492</v>
      </c>
      <c r="H17" s="379">
        <f>G17*I17</f>
        <v>276522.136</v>
      </c>
      <c r="I17" s="1992">
        <v>6.358</v>
      </c>
      <c r="J17" s="379" t="s">
        <v>1036</v>
      </c>
      <c r="K17" s="380"/>
      <c r="L17" s="1996"/>
      <c r="M17" s="364"/>
      <c r="N17" s="2014"/>
      <c r="O17" s="2016"/>
      <c r="P17" s="40"/>
      <c r="Q17" s="40"/>
      <c r="R17" s="2113"/>
      <c r="S17" s="2024"/>
      <c r="T17" s="40"/>
      <c r="U17" s="40"/>
      <c r="V17" s="40"/>
      <c r="W17" s="40"/>
      <c r="X17" s="40"/>
      <c r="Y17" s="40"/>
      <c r="Z17" s="40"/>
      <c r="AA17" s="40"/>
      <c r="AB17" s="40"/>
      <c r="AC17" s="664"/>
      <c r="AD17" s="185"/>
      <c r="AE17" s="40"/>
    </row>
    <row r="18" ht="27.5" customHeight="1" spans="1:31">
      <c r="A18" s="1956" t="s">
        <v>67</v>
      </c>
      <c r="B18" s="1957"/>
      <c r="C18" s="1951"/>
      <c r="D18" s="1951"/>
      <c r="E18" s="1973"/>
      <c r="F18" s="1974"/>
      <c r="G18" s="1974"/>
      <c r="H18" s="1975">
        <f>SUM(H11:H17)</f>
        <v>1130792.042</v>
      </c>
      <c r="I18" s="1974"/>
      <c r="J18" s="1998"/>
      <c r="K18" s="99"/>
      <c r="L18" s="99"/>
      <c r="M18" s="185"/>
      <c r="N18" s="185"/>
      <c r="O18" s="2016"/>
      <c r="P18" s="40"/>
      <c r="Q18" s="40"/>
      <c r="R18" s="523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1956"/>
      <c r="AD18" s="1956" t="s">
        <v>293</v>
      </c>
      <c r="AE18" s="1956"/>
    </row>
    <row r="19" spans="1:31">
      <c r="A19" s="1958" t="s">
        <v>344</v>
      </c>
      <c r="B19" s="1959" t="s">
        <v>299</v>
      </c>
      <c r="C19" s="1883" t="s">
        <v>1046</v>
      </c>
      <c r="D19" s="819" t="s">
        <v>348</v>
      </c>
      <c r="E19" s="1976">
        <v>91</v>
      </c>
      <c r="F19" s="1327">
        <v>384</v>
      </c>
      <c r="G19" s="1327">
        <f>F19*E19</f>
        <v>34944</v>
      </c>
      <c r="H19" s="1977">
        <f>G19*I19</f>
        <v>222173.952</v>
      </c>
      <c r="I19" s="1992">
        <v>6.358</v>
      </c>
      <c r="J19" s="606" t="s">
        <v>1047</v>
      </c>
      <c r="K19" s="1999">
        <f>SUM(H19:H23)</f>
        <v>666521.856</v>
      </c>
      <c r="L19" s="2000"/>
      <c r="M19" s="2017"/>
      <c r="N19" s="2018"/>
      <c r="O19" s="2019"/>
      <c r="P19" s="2020"/>
      <c r="Q19" s="2020"/>
      <c r="R19" s="2025"/>
      <c r="S19" s="2020"/>
      <c r="T19" s="2020"/>
      <c r="U19" s="2020"/>
      <c r="V19" s="2020"/>
      <c r="W19" s="2020"/>
      <c r="X19" s="2020"/>
      <c r="Y19" s="2020"/>
      <c r="Z19" s="2020"/>
      <c r="AA19" s="2020"/>
      <c r="AB19" s="2020"/>
      <c r="AC19" s="2031"/>
      <c r="AD19" s="2032"/>
      <c r="AE19" s="2033"/>
    </row>
    <row r="20" spans="1:31">
      <c r="A20" s="1958"/>
      <c r="B20" s="1959" t="s">
        <v>299</v>
      </c>
      <c r="C20" s="1883" t="s">
        <v>1048</v>
      </c>
      <c r="D20" s="819" t="s">
        <v>348</v>
      </c>
      <c r="E20" s="1976">
        <v>91</v>
      </c>
      <c r="F20" s="1327">
        <v>384</v>
      </c>
      <c r="G20" s="1327">
        <f>F20*E20</f>
        <v>34944</v>
      </c>
      <c r="H20" s="1977">
        <f>G20*I20</f>
        <v>222173.952</v>
      </c>
      <c r="I20" s="1992">
        <v>6.358</v>
      </c>
      <c r="J20" s="606" t="s">
        <v>1047</v>
      </c>
      <c r="K20" s="1999">
        <f>SUM(H24:H28)</f>
        <v>224024.13</v>
      </c>
      <c r="L20" s="2000"/>
      <c r="M20" s="2017"/>
      <c r="N20" s="2018"/>
      <c r="O20" s="2019"/>
      <c r="P20" s="2020"/>
      <c r="Q20" s="2020"/>
      <c r="R20" s="2025"/>
      <c r="S20" s="2020"/>
      <c r="T20" s="2020"/>
      <c r="U20" s="2020"/>
      <c r="V20" s="2020"/>
      <c r="W20" s="2020"/>
      <c r="X20" s="2020"/>
      <c r="Y20" s="2020"/>
      <c r="Z20" s="2020"/>
      <c r="AA20" s="2020"/>
      <c r="AB20" s="2020"/>
      <c r="AC20" s="2031"/>
      <c r="AD20" s="2032"/>
      <c r="AE20" s="2033"/>
    </row>
    <row r="21" spans="1:31">
      <c r="A21" s="1958"/>
      <c r="B21" s="1959" t="s">
        <v>299</v>
      </c>
      <c r="C21" s="1883" t="s">
        <v>1049</v>
      </c>
      <c r="D21" s="819" t="s">
        <v>348</v>
      </c>
      <c r="E21" s="1976">
        <v>91</v>
      </c>
      <c r="F21" s="1327">
        <v>384</v>
      </c>
      <c r="G21" s="1327">
        <f>F21*E21</f>
        <v>34944</v>
      </c>
      <c r="H21" s="1977">
        <f>G21*I21</f>
        <v>222173.952</v>
      </c>
      <c r="I21" s="1992">
        <v>6.358</v>
      </c>
      <c r="J21" s="606" t="s">
        <v>1047</v>
      </c>
      <c r="K21" s="1999">
        <f>SUM(H29:H30)</f>
        <v>192876.288</v>
      </c>
      <c r="L21" s="2000"/>
      <c r="M21" s="2017"/>
      <c r="N21" s="2018"/>
      <c r="O21" s="2019"/>
      <c r="P21" s="2020"/>
      <c r="Q21" s="2020"/>
      <c r="R21" s="2025"/>
      <c r="S21" s="2020"/>
      <c r="T21" s="2020"/>
      <c r="U21" s="2020"/>
      <c r="V21" s="2020"/>
      <c r="W21" s="2020"/>
      <c r="X21" s="2020"/>
      <c r="Y21" s="2020"/>
      <c r="Z21" s="2020"/>
      <c r="AA21" s="2020"/>
      <c r="AB21" s="2020"/>
      <c r="AC21" s="2031"/>
      <c r="AD21" s="2032"/>
      <c r="AE21" s="2033"/>
    </row>
    <row r="22" spans="1:31">
      <c r="A22" s="1958"/>
      <c r="B22" s="1959"/>
      <c r="C22" s="1303"/>
      <c r="D22" s="819"/>
      <c r="E22" s="1976"/>
      <c r="F22" s="1327"/>
      <c r="G22" s="1327"/>
      <c r="H22" s="1977"/>
      <c r="I22" s="1992"/>
      <c r="J22" s="606"/>
      <c r="K22" s="1999"/>
      <c r="L22" s="2000"/>
      <c r="M22" s="2017"/>
      <c r="N22" s="2018"/>
      <c r="O22" s="2019"/>
      <c r="P22" s="2020"/>
      <c r="Q22" s="2020"/>
      <c r="R22" s="2025"/>
      <c r="S22" s="2020"/>
      <c r="T22" s="2020"/>
      <c r="U22" s="2020"/>
      <c r="V22" s="2020"/>
      <c r="W22" s="2020"/>
      <c r="X22" s="2020"/>
      <c r="Y22" s="2020"/>
      <c r="Z22" s="2020"/>
      <c r="AA22" s="2020"/>
      <c r="AB22" s="2020"/>
      <c r="AC22" s="2031"/>
      <c r="AD22" s="2032"/>
      <c r="AE22" s="2033"/>
    </row>
    <row r="23" spans="1:31">
      <c r="A23" s="1958"/>
      <c r="B23" s="1303"/>
      <c r="C23" s="572"/>
      <c r="D23" s="1050"/>
      <c r="E23" s="1976"/>
      <c r="F23" s="1327"/>
      <c r="G23" s="1327"/>
      <c r="H23" s="1977"/>
      <c r="I23" s="1992"/>
      <c r="J23" s="1043"/>
      <c r="K23" s="1999"/>
      <c r="L23" s="2000"/>
      <c r="M23" s="2017"/>
      <c r="N23" s="2018"/>
      <c r="O23" s="2019"/>
      <c r="P23" s="2020"/>
      <c r="Q23" s="2020"/>
      <c r="R23" s="2025"/>
      <c r="S23" s="2020"/>
      <c r="T23" s="2020"/>
      <c r="U23" s="2020"/>
      <c r="V23" s="2020"/>
      <c r="W23" s="2020"/>
      <c r="X23" s="2020"/>
      <c r="Y23" s="2020"/>
      <c r="Z23" s="2020"/>
      <c r="AA23" s="2020"/>
      <c r="AB23" s="2020"/>
      <c r="AC23" s="2031"/>
      <c r="AD23" s="2032"/>
      <c r="AE23" s="2033"/>
    </row>
    <row r="24" spans="1:31">
      <c r="A24" s="2011" t="s">
        <v>220</v>
      </c>
      <c r="B24" s="971" t="s">
        <v>660</v>
      </c>
      <c r="C24" s="1883" t="s">
        <v>1050</v>
      </c>
      <c r="D24" s="614"/>
      <c r="E24" s="571">
        <v>1</v>
      </c>
      <c r="F24" s="1257">
        <v>18010</v>
      </c>
      <c r="G24" s="1257">
        <v>18010</v>
      </c>
      <c r="H24" s="1977">
        <f>G24*I24</f>
        <v>114507.58</v>
      </c>
      <c r="I24" s="1992">
        <v>6.358</v>
      </c>
      <c r="J24" s="2107">
        <v>44597</v>
      </c>
      <c r="K24" s="2053"/>
      <c r="L24" s="2054"/>
      <c r="M24" s="2020"/>
      <c r="N24" s="2018"/>
      <c r="O24" s="2019"/>
      <c r="P24" s="2020"/>
      <c r="Q24" s="2020"/>
      <c r="R24" s="2025"/>
      <c r="S24" s="2020"/>
      <c r="T24" s="2020"/>
      <c r="U24" s="2020"/>
      <c r="V24" s="2020"/>
      <c r="W24" s="2020"/>
      <c r="X24" s="2020"/>
      <c r="Y24" s="2020"/>
      <c r="Z24" s="2020"/>
      <c r="AA24" s="2020"/>
      <c r="AB24" s="2020"/>
      <c r="AC24" s="2075"/>
      <c r="AD24" s="1959"/>
      <c r="AE24" s="2020"/>
    </row>
    <row r="25" spans="1:31">
      <c r="A25" s="2011"/>
      <c r="B25" s="971" t="s">
        <v>1051</v>
      </c>
      <c r="C25" s="1883" t="s">
        <v>1052</v>
      </c>
      <c r="D25" s="571"/>
      <c r="E25" s="571">
        <v>1</v>
      </c>
      <c r="F25" s="1257">
        <v>17225</v>
      </c>
      <c r="G25" s="1327">
        <f>F25*E25</f>
        <v>17225</v>
      </c>
      <c r="H25" s="1977">
        <f>G25*I25</f>
        <v>109516.55</v>
      </c>
      <c r="I25" s="1992">
        <v>6.358</v>
      </c>
      <c r="J25" s="2108">
        <v>44595</v>
      </c>
      <c r="K25" s="2053"/>
      <c r="L25" s="2054"/>
      <c r="M25" s="2020"/>
      <c r="N25" s="2018"/>
      <c r="O25" s="2019"/>
      <c r="P25" s="2020"/>
      <c r="Q25" s="2020"/>
      <c r="R25" s="2025"/>
      <c r="S25" s="2020"/>
      <c r="T25" s="2020"/>
      <c r="U25" s="2020"/>
      <c r="V25" s="2020"/>
      <c r="W25" s="2020"/>
      <c r="X25" s="2020"/>
      <c r="Y25" s="2020"/>
      <c r="Z25" s="2020"/>
      <c r="AA25" s="2020"/>
      <c r="AB25" s="2020"/>
      <c r="AC25" s="2075"/>
      <c r="AD25" s="1959"/>
      <c r="AE25" s="2020"/>
    </row>
    <row r="26" spans="1:31">
      <c r="A26" s="2011"/>
      <c r="B26" s="971"/>
      <c r="C26" s="1303"/>
      <c r="D26" s="571"/>
      <c r="E26" s="571"/>
      <c r="F26" s="1257"/>
      <c r="G26" s="1327"/>
      <c r="H26" s="1977"/>
      <c r="I26" s="1992"/>
      <c r="J26" s="2108"/>
      <c r="K26" s="2053"/>
      <c r="L26" s="2054"/>
      <c r="M26" s="2020"/>
      <c r="N26" s="2018"/>
      <c r="O26" s="2019"/>
      <c r="P26" s="2020"/>
      <c r="Q26" s="2020"/>
      <c r="R26" s="2025"/>
      <c r="S26" s="2020"/>
      <c r="T26" s="2020"/>
      <c r="U26" s="2020"/>
      <c r="V26" s="2020"/>
      <c r="W26" s="2020"/>
      <c r="X26" s="2020"/>
      <c r="Y26" s="2020"/>
      <c r="Z26" s="2020"/>
      <c r="AA26" s="2020"/>
      <c r="AB26" s="2020"/>
      <c r="AC26" s="2075"/>
      <c r="AD26" s="1959"/>
      <c r="AE26" s="2020"/>
    </row>
    <row r="27" spans="1:31">
      <c r="A27" s="2011"/>
      <c r="B27" s="971"/>
      <c r="C27" s="1303"/>
      <c r="D27" s="571"/>
      <c r="E27" s="571"/>
      <c r="F27" s="1257"/>
      <c r="G27" s="1327"/>
      <c r="H27" s="1977"/>
      <c r="I27" s="1992"/>
      <c r="J27" s="2108"/>
      <c r="K27" s="2057"/>
      <c r="L27" s="2058"/>
      <c r="M27" s="2020"/>
      <c r="N27" s="2018"/>
      <c r="O27" s="2019"/>
      <c r="P27" s="2020"/>
      <c r="Q27" s="2020"/>
      <c r="R27" s="2025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2075"/>
      <c r="AD27" s="1959"/>
      <c r="AE27" s="2020"/>
    </row>
    <row r="28" spans="1:31">
      <c r="A28" s="2011"/>
      <c r="B28" s="971"/>
      <c r="C28" s="1303"/>
      <c r="D28" s="614"/>
      <c r="E28" s="571"/>
      <c r="F28" s="1257"/>
      <c r="G28" s="1327"/>
      <c r="H28" s="1977"/>
      <c r="I28" s="1992"/>
      <c r="J28" s="2108"/>
      <c r="K28" s="2057"/>
      <c r="L28" s="2058"/>
      <c r="M28" s="2020"/>
      <c r="N28" s="2018"/>
      <c r="O28" s="2019"/>
      <c r="P28" s="2020"/>
      <c r="Q28" s="2020"/>
      <c r="R28" s="2025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75"/>
      <c r="AD28" s="1959"/>
      <c r="AE28" s="2020"/>
    </row>
    <row r="29" s="10" customFormat="1" spans="1:31">
      <c r="A29" s="2094" t="s">
        <v>509</v>
      </c>
      <c r="B29" s="2034" t="s">
        <v>274</v>
      </c>
      <c r="C29" s="1903" t="s">
        <v>1053</v>
      </c>
      <c r="D29" s="819"/>
      <c r="E29" s="1976">
        <v>1</v>
      </c>
      <c r="F29" s="1079"/>
      <c r="G29" s="1079">
        <v>26375</v>
      </c>
      <c r="H29" s="1977">
        <f>G29*I29</f>
        <v>167692.25</v>
      </c>
      <c r="I29" s="1992">
        <v>6.358</v>
      </c>
      <c r="J29" s="2056" t="s">
        <v>1054</v>
      </c>
      <c r="K29" s="1239"/>
      <c r="L29" s="1176"/>
      <c r="M29" s="1389"/>
      <c r="N29" s="1187"/>
      <c r="O29" s="2070"/>
      <c r="P29" s="1389"/>
      <c r="Q29" s="1389"/>
      <c r="R29" s="1303"/>
      <c r="S29" s="1389"/>
      <c r="T29" s="1389"/>
      <c r="U29" s="1389"/>
      <c r="V29" s="1389"/>
      <c r="W29" s="1389"/>
      <c r="X29" s="1389"/>
      <c r="Y29" s="1389"/>
      <c r="Z29" s="1389"/>
      <c r="AA29" s="1389"/>
      <c r="AB29" s="1389"/>
      <c r="AC29" s="2076"/>
      <c r="AD29" s="628"/>
      <c r="AE29" s="1389"/>
    </row>
    <row r="30" s="10" customFormat="1" spans="1:31">
      <c r="A30" s="2095"/>
      <c r="B30" s="2034" t="s">
        <v>274</v>
      </c>
      <c r="C30" s="1903" t="s">
        <v>1055</v>
      </c>
      <c r="D30" s="819"/>
      <c r="E30" s="1976">
        <v>1</v>
      </c>
      <c r="F30" s="1079"/>
      <c r="G30" s="2042">
        <v>3961</v>
      </c>
      <c r="H30" s="1977">
        <f>G30*I30</f>
        <v>25184.038</v>
      </c>
      <c r="I30" s="1992">
        <v>6.358</v>
      </c>
      <c r="J30" s="2056" t="s">
        <v>1054</v>
      </c>
      <c r="K30" s="2109"/>
      <c r="L30" s="1176"/>
      <c r="M30" s="1389"/>
      <c r="N30" s="1187"/>
      <c r="O30" s="2070"/>
      <c r="P30" s="1389"/>
      <c r="Q30" s="1389"/>
      <c r="R30" s="1303"/>
      <c r="S30" s="1389"/>
      <c r="T30" s="1389"/>
      <c r="U30" s="1389"/>
      <c r="V30" s="1389"/>
      <c r="W30" s="1389"/>
      <c r="X30" s="1389"/>
      <c r="Y30" s="1389"/>
      <c r="Z30" s="1389"/>
      <c r="AA30" s="1389"/>
      <c r="AB30" s="1389"/>
      <c r="AC30" s="2076"/>
      <c r="AD30" s="628"/>
      <c r="AE30" s="1389"/>
    </row>
    <row r="31" spans="1:31">
      <c r="A31" s="2011"/>
      <c r="B31" s="2096"/>
      <c r="C31" s="2037"/>
      <c r="D31" s="2038"/>
      <c r="E31" s="2043"/>
      <c r="F31" s="2044"/>
      <c r="G31" s="2046"/>
      <c r="H31" s="2047"/>
      <c r="I31" s="2055"/>
      <c r="J31" s="2062"/>
      <c r="K31" s="2063"/>
      <c r="L31" s="2054"/>
      <c r="M31" s="2020"/>
      <c r="N31" s="2071"/>
      <c r="O31" s="2019"/>
      <c r="P31" s="2020"/>
      <c r="Q31" s="2020"/>
      <c r="R31" s="2073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75"/>
      <c r="AD31" s="1959"/>
      <c r="AE31" s="2020"/>
    </row>
    <row r="32" spans="1:31">
      <c r="A32" s="2035"/>
      <c r="B32" s="2036"/>
      <c r="C32" s="2037"/>
      <c r="D32" s="2038"/>
      <c r="E32" s="2043"/>
      <c r="F32" s="2044"/>
      <c r="G32" s="2046"/>
      <c r="H32" s="2047"/>
      <c r="I32" s="2055"/>
      <c r="J32" s="2062"/>
      <c r="K32" s="2064"/>
      <c r="L32" s="2065"/>
      <c r="M32" s="2020"/>
      <c r="N32" s="2071"/>
      <c r="O32" s="2019"/>
      <c r="P32" s="2020"/>
      <c r="Q32" s="2020"/>
      <c r="R32" s="2073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75"/>
      <c r="AD32" s="1959"/>
      <c r="AE32" s="2020"/>
    </row>
    <row r="33" customHeight="1" spans="1:31">
      <c r="A33" s="2039" t="s">
        <v>67</v>
      </c>
      <c r="B33" s="2039"/>
      <c r="C33" s="2040"/>
      <c r="D33" s="2040"/>
      <c r="E33" s="2048"/>
      <c r="F33" s="2049"/>
      <c r="G33" s="2049"/>
      <c r="H33" s="2050">
        <f>SUM(H19:H32)</f>
        <v>1083422.274</v>
      </c>
      <c r="I33" s="2066"/>
      <c r="J33" s="2050">
        <v>0</v>
      </c>
      <c r="K33" s="2067">
        <v>0</v>
      </c>
      <c r="L33" s="2068">
        <v>0</v>
      </c>
      <c r="M33" s="474"/>
      <c r="N33" s="474"/>
      <c r="O33" s="2072"/>
      <c r="P33" s="2011"/>
      <c r="Q33" s="2011"/>
      <c r="R33" s="2074"/>
      <c r="S33" s="2011"/>
      <c r="T33" s="2011"/>
      <c r="U33" s="2011"/>
      <c r="V33" s="2011"/>
      <c r="W33" s="2011"/>
      <c r="X33" s="2011"/>
      <c r="Y33" s="2011"/>
      <c r="Z33" s="2011"/>
      <c r="AA33" s="2011"/>
      <c r="AB33" s="2011"/>
      <c r="AC33" s="2039"/>
      <c r="AD33" s="2077" t="s">
        <v>325</v>
      </c>
      <c r="AE33" s="2077"/>
    </row>
    <row r="34" spans="1:31">
      <c r="A34" s="2001"/>
      <c r="B34" s="2001"/>
      <c r="C34" s="2001"/>
      <c r="D34" s="2001"/>
      <c r="E34" s="2051"/>
      <c r="F34" s="2001"/>
      <c r="G34" s="2001"/>
      <c r="H34" s="2052"/>
      <c r="I34" s="2001"/>
      <c r="J34" s="2001"/>
      <c r="K34" s="2001"/>
      <c r="L34" s="2001"/>
      <c r="M34" s="2001"/>
      <c r="N34" s="2001"/>
      <c r="O34" s="2002"/>
      <c r="P34" s="2001"/>
      <c r="Q34" s="2001"/>
      <c r="R34" s="2001"/>
      <c r="S34" s="2001"/>
      <c r="T34" s="2001"/>
      <c r="U34" s="2001"/>
      <c r="V34" s="2001"/>
      <c r="W34" s="2001"/>
      <c r="X34" s="2001"/>
      <c r="Y34" s="2001"/>
      <c r="Z34" s="2001"/>
      <c r="AA34" s="2001"/>
      <c r="AB34" s="2001"/>
      <c r="AC34" s="2001"/>
      <c r="AD34" s="2001"/>
      <c r="AE34" s="2001"/>
    </row>
    <row r="35" spans="1:31">
      <c r="A35" s="2001"/>
      <c r="B35" s="2001"/>
      <c r="C35" s="2001"/>
      <c r="D35" s="2001"/>
      <c r="E35" s="2051"/>
      <c r="F35" s="2001"/>
      <c r="G35" s="2001"/>
      <c r="H35" s="2052"/>
      <c r="I35" s="2001"/>
      <c r="J35" s="2001"/>
      <c r="K35" s="2001"/>
      <c r="L35" s="2001"/>
      <c r="M35" s="2001"/>
      <c r="N35" s="2001"/>
      <c r="O35" s="2002"/>
      <c r="P35" s="2001"/>
      <c r="Q35" s="2001"/>
      <c r="R35" s="2001"/>
      <c r="S35" s="2001"/>
      <c r="T35" s="2001"/>
      <c r="U35" s="2001"/>
      <c r="V35" s="2001"/>
      <c r="W35" s="2001"/>
      <c r="X35" s="2001"/>
      <c r="Y35" s="2001"/>
      <c r="Z35" s="2001"/>
      <c r="AA35" s="2001"/>
      <c r="AB35" s="2001"/>
      <c r="AC35" s="2001"/>
      <c r="AD35" s="2001"/>
      <c r="AE35" s="2001"/>
    </row>
    <row r="36" spans="1:31">
      <c r="A36" s="2001"/>
      <c r="B36" s="2001"/>
      <c r="C36" s="2001" t="s">
        <v>139</v>
      </c>
      <c r="D36" s="2001" t="s">
        <v>140</v>
      </c>
      <c r="E36" s="2051"/>
      <c r="F36" s="2001" t="s">
        <v>141</v>
      </c>
      <c r="G36" s="2001"/>
      <c r="H36" s="2052">
        <f>H10+H18+H33</f>
        <v>3614214.316</v>
      </c>
      <c r="I36" s="2001"/>
      <c r="J36" s="2001" t="s">
        <v>579</v>
      </c>
      <c r="K36" s="2069">
        <f>H10</f>
        <v>1400000</v>
      </c>
      <c r="L36" s="2001"/>
      <c r="M36" s="2069"/>
      <c r="N36" s="2001"/>
      <c r="O36" s="2002"/>
      <c r="P36" s="2001"/>
      <c r="Q36" s="2001"/>
      <c r="R36" s="2001"/>
      <c r="S36" s="2001"/>
      <c r="T36" s="2001"/>
      <c r="U36" s="2001"/>
      <c r="V36" s="2001"/>
      <c r="W36" s="2001"/>
      <c r="X36" s="2001"/>
      <c r="Y36" s="2001"/>
      <c r="Z36" s="2001"/>
      <c r="AA36" s="2001"/>
      <c r="AB36" s="2001"/>
      <c r="AC36" s="2001"/>
      <c r="AD36" s="2001"/>
      <c r="AE36" s="2001"/>
    </row>
    <row r="37" spans="1:31">
      <c r="A37" s="2001"/>
      <c r="B37" s="2001"/>
      <c r="C37" s="2001"/>
      <c r="D37" s="2001"/>
      <c r="E37" s="2051"/>
      <c r="F37" s="2001"/>
      <c r="G37" s="2001"/>
      <c r="H37" s="2052"/>
      <c r="I37" s="2001"/>
      <c r="J37" s="2001" t="s">
        <v>580</v>
      </c>
      <c r="K37" s="2069">
        <f>H18</f>
        <v>1130792.042</v>
      </c>
      <c r="L37" s="2001"/>
      <c r="M37" s="2069"/>
      <c r="N37" s="2001"/>
      <c r="O37" s="2002"/>
      <c r="P37" s="2001"/>
      <c r="Q37" s="2001"/>
      <c r="R37" s="2001"/>
      <c r="S37" s="2001"/>
      <c r="T37" s="2001"/>
      <c r="U37" s="2001"/>
      <c r="V37" s="2001"/>
      <c r="W37" s="2001"/>
      <c r="X37" s="2001"/>
      <c r="Y37" s="2001"/>
      <c r="Z37" s="2001"/>
      <c r="AA37" s="2001"/>
      <c r="AB37" s="2001"/>
      <c r="AC37" s="2001"/>
      <c r="AD37" s="2001"/>
      <c r="AE37" s="2001"/>
    </row>
    <row r="38" spans="1:31">
      <c r="A38" s="2001"/>
      <c r="B38" s="2001"/>
      <c r="C38" s="2001"/>
      <c r="D38" s="2001"/>
      <c r="E38" s="2051"/>
      <c r="F38" s="2001"/>
      <c r="G38" s="2001"/>
      <c r="H38" s="2052"/>
      <c r="I38" s="2001"/>
      <c r="J38" s="2001" t="s">
        <v>581</v>
      </c>
      <c r="K38" s="2069">
        <f>H33</f>
        <v>1083422.274</v>
      </c>
      <c r="L38" s="2001"/>
      <c r="M38" s="2069"/>
      <c r="N38" s="2001"/>
      <c r="O38" s="2002"/>
      <c r="P38" s="2001"/>
      <c r="Q38" s="2001"/>
      <c r="R38" s="2001"/>
      <c r="S38" s="2001"/>
      <c r="T38" s="2001"/>
      <c r="U38" s="2001"/>
      <c r="V38" s="2001"/>
      <c r="W38" s="2001"/>
      <c r="X38" s="2001"/>
      <c r="Y38" s="2001"/>
      <c r="Z38" s="2001"/>
      <c r="AA38" s="2001"/>
      <c r="AB38" s="2001"/>
      <c r="AC38" s="2001"/>
      <c r="AD38" s="2001"/>
      <c r="AE38" s="2001"/>
    </row>
    <row r="39" spans="1:31">
      <c r="A39" s="2001"/>
      <c r="B39" s="2001"/>
      <c r="C39" s="2001"/>
      <c r="D39" s="2001"/>
      <c r="E39" s="2051"/>
      <c r="F39" s="2001"/>
      <c r="G39" s="2001"/>
      <c r="H39" s="2052"/>
      <c r="I39" s="2001"/>
      <c r="J39" s="2001"/>
      <c r="K39" s="2069">
        <f>SUM(K36:K38)</f>
        <v>3614214.316</v>
      </c>
      <c r="L39" s="2001"/>
      <c r="M39" s="2069"/>
      <c r="N39" s="2001"/>
      <c r="O39" s="2002"/>
      <c r="P39" s="2001"/>
      <c r="Q39" s="2001"/>
      <c r="R39" s="2001"/>
      <c r="S39" s="2001"/>
      <c r="T39" s="2001"/>
      <c r="U39" s="2001"/>
      <c r="V39" s="2001"/>
      <c r="W39" s="2001"/>
      <c r="X39" s="2001"/>
      <c r="Y39" s="2001"/>
      <c r="Z39" s="2001"/>
      <c r="AA39" s="2001"/>
      <c r="AB39" s="2001"/>
      <c r="AC39" s="2001"/>
      <c r="AD39" s="2001"/>
      <c r="AE39" s="2001"/>
    </row>
    <row r="40" spans="1:31">
      <c r="A40" s="2001"/>
      <c r="B40" s="2001"/>
      <c r="C40" s="2001"/>
      <c r="D40" s="2001"/>
      <c r="E40" s="2051"/>
      <c r="F40" s="2001"/>
      <c r="G40" s="2001"/>
      <c r="H40" s="2052"/>
      <c r="I40" s="2001"/>
      <c r="J40" s="2001"/>
      <c r="K40" s="2069"/>
      <c r="L40" s="2001"/>
      <c r="M40" s="2069"/>
      <c r="N40" s="2001"/>
      <c r="O40" s="2002"/>
      <c r="P40" s="2001"/>
      <c r="Q40" s="2001"/>
      <c r="R40" s="2001"/>
      <c r="S40" s="2001"/>
      <c r="T40" s="2001"/>
      <c r="U40" s="2001"/>
      <c r="V40" s="2001"/>
      <c r="W40" s="2001"/>
      <c r="X40" s="2001"/>
      <c r="Y40" s="2001"/>
      <c r="Z40" s="2001"/>
      <c r="AA40" s="2001"/>
      <c r="AB40" s="2001"/>
      <c r="AC40" s="2001"/>
      <c r="AD40" s="2001"/>
      <c r="AE40" s="2001"/>
    </row>
    <row r="41" spans="1:31">
      <c r="A41" s="2041"/>
      <c r="B41" s="2041"/>
      <c r="C41" s="2041"/>
      <c r="D41" s="2041"/>
      <c r="E41" s="2051"/>
      <c r="F41" s="2041"/>
      <c r="G41" s="2041"/>
      <c r="H41" s="2052"/>
      <c r="I41" s="2041"/>
      <c r="J41" s="2041"/>
      <c r="K41" s="2041"/>
      <c r="L41" s="2041"/>
      <c r="M41" s="2069"/>
      <c r="N41" s="2041"/>
      <c r="O41" s="2002"/>
      <c r="P41" s="2041"/>
      <c r="Q41" s="2041"/>
      <c r="R41" s="2041"/>
      <c r="S41" s="2041"/>
      <c r="T41" s="2041"/>
      <c r="U41" s="2041"/>
      <c r="V41" s="2041"/>
      <c r="W41" s="2041"/>
      <c r="X41" s="2041"/>
      <c r="Y41" s="2041"/>
      <c r="Z41" s="2041"/>
      <c r="AA41" s="2041"/>
      <c r="AB41" s="2041"/>
      <c r="AC41" s="2041"/>
      <c r="AD41" s="2041"/>
      <c r="AE41" s="2041"/>
    </row>
    <row r="42" spans="1:31">
      <c r="A42" s="2041"/>
      <c r="B42" s="2041"/>
      <c r="C42" s="2041"/>
      <c r="D42" s="2041"/>
      <c r="E42" s="2051"/>
      <c r="F42" s="2041"/>
      <c r="G42" s="2041"/>
      <c r="H42" s="2052"/>
      <c r="I42" s="2041"/>
      <c r="J42" s="2041"/>
      <c r="K42" s="2041"/>
      <c r="L42" s="2041"/>
      <c r="M42" s="2041"/>
      <c r="N42" s="2041"/>
      <c r="O42" s="2002"/>
      <c r="P42" s="2041"/>
      <c r="Q42" s="2041"/>
      <c r="R42" s="2041"/>
      <c r="S42" s="2041"/>
      <c r="T42" s="2041"/>
      <c r="U42" s="2041"/>
      <c r="V42" s="2041"/>
      <c r="W42" s="2041"/>
      <c r="X42" s="2041"/>
      <c r="Y42" s="2041"/>
      <c r="Z42" s="2041"/>
      <c r="AA42" s="2041"/>
      <c r="AB42" s="2041"/>
      <c r="AC42" s="2041"/>
      <c r="AD42" s="2041"/>
      <c r="AE42" s="2041"/>
    </row>
    <row r="43" spans="1:31">
      <c r="A43" s="2041"/>
      <c r="B43" s="2041"/>
      <c r="C43" s="2041"/>
      <c r="D43" s="2041"/>
      <c r="E43" s="2051"/>
      <c r="F43" s="2041"/>
      <c r="G43" s="2041"/>
      <c r="H43" s="2052"/>
      <c r="I43" s="2041"/>
      <c r="J43" s="2041"/>
      <c r="K43" s="2041"/>
      <c r="L43" s="2041"/>
      <c r="M43" s="2041"/>
      <c r="N43" s="2041"/>
      <c r="O43" s="2002"/>
      <c r="P43" s="2041"/>
      <c r="Q43" s="2041"/>
      <c r="R43" s="2041"/>
      <c r="S43" s="2041"/>
      <c r="T43" s="2041"/>
      <c r="U43" s="2041"/>
      <c r="V43" s="2041"/>
      <c r="W43" s="2041"/>
      <c r="X43" s="2041"/>
      <c r="Y43" s="2041"/>
      <c r="Z43" s="2041"/>
      <c r="AA43" s="2041"/>
      <c r="AB43" s="2041"/>
      <c r="AC43" s="2041"/>
      <c r="AD43" s="2041"/>
      <c r="AE43" s="2041"/>
    </row>
  </sheetData>
  <sheetProtection formatCells="0" insertHyperlinks="0" autoFilter="0"/>
  <mergeCells count="14">
    <mergeCell ref="A1:M1"/>
    <mergeCell ref="A10:B10"/>
    <mergeCell ref="C10:D10"/>
    <mergeCell ref="A18:B18"/>
    <mergeCell ref="C18:D18"/>
    <mergeCell ref="A33:B33"/>
    <mergeCell ref="C33:D33"/>
    <mergeCell ref="A3:A6"/>
    <mergeCell ref="A7:A8"/>
    <mergeCell ref="A12:A16"/>
    <mergeCell ref="A19:A23"/>
    <mergeCell ref="A24:A28"/>
    <mergeCell ref="A29:A30"/>
    <mergeCell ref="B14:B1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/>
  <dimension ref="A1:AE53"/>
  <sheetViews>
    <sheetView workbookViewId="0">
      <selection activeCell="B24" sqref="B24"/>
    </sheetView>
  </sheetViews>
  <sheetFormatPr defaultColWidth="9" defaultRowHeight="16.5"/>
  <cols>
    <col min="1" max="1" width="13.4416666666667" customWidth="1"/>
    <col min="2" max="2" width="21.5666666666667" customWidth="1"/>
    <col min="3" max="3" width="17.1916666666667" customWidth="1"/>
    <col min="4" max="4" width="39.3416666666667" customWidth="1"/>
    <col min="5" max="5" width="10.375" style="1934"/>
    <col min="6" max="6" width="12.5" customWidth="1"/>
    <col min="7" max="7" width="16.875" customWidth="1"/>
    <col min="8" max="8" width="15.975" style="10" customWidth="1"/>
    <col min="9" max="9" width="15.1583333333333" customWidth="1"/>
    <col min="10" max="10" width="36.2583333333333" customWidth="1"/>
    <col min="11" max="11" width="17.3583333333333" customWidth="1"/>
    <col min="12" max="12" width="14.875"/>
    <col min="13" max="13" width="14.025" customWidth="1"/>
    <col min="14" max="14" width="18.1916666666667" customWidth="1"/>
    <col min="15" max="15" width="43.7583333333333" style="1935" customWidth="1"/>
    <col min="16" max="16" width="15.275" customWidth="1"/>
    <col min="18" max="18" width="17.1916666666667" customWidth="1"/>
    <col min="29" max="29" width="10.5333333333333" customWidth="1"/>
    <col min="30" max="30" width="15" customWidth="1"/>
    <col min="31" max="31" width="8" customWidth="1"/>
  </cols>
  <sheetData>
    <row r="1" ht="24.75" customHeight="1" spans="1:31">
      <c r="A1" s="1936" t="s">
        <v>1056</v>
      </c>
      <c r="B1" s="1937"/>
      <c r="C1" s="1937"/>
      <c r="D1" s="1937"/>
      <c r="E1" s="1960"/>
      <c r="F1" s="1937"/>
      <c r="G1" s="1937"/>
      <c r="H1" s="1961"/>
      <c r="I1" s="1937"/>
      <c r="J1" s="1937"/>
      <c r="K1" s="1937"/>
      <c r="L1" s="1937"/>
      <c r="M1" s="1937"/>
      <c r="N1" s="2001"/>
      <c r="O1" s="2002"/>
      <c r="P1" s="2001"/>
      <c r="Q1" s="2001"/>
      <c r="R1" s="1937"/>
      <c r="S1" s="2001"/>
      <c r="T1" s="2001"/>
      <c r="U1" s="2001"/>
      <c r="V1" s="2001"/>
      <c r="W1" s="2001"/>
      <c r="X1" s="2001"/>
      <c r="Y1" s="2001"/>
      <c r="Z1" s="2001"/>
      <c r="AA1" s="2001"/>
      <c r="AB1" s="2001"/>
      <c r="AC1" s="1937"/>
      <c r="AD1" s="1937"/>
      <c r="AE1" s="1937"/>
    </row>
    <row r="2" ht="36.85" customHeight="1" spans="1:31">
      <c r="A2" s="1938" t="s">
        <v>1</v>
      </c>
      <c r="B2" s="1939" t="s">
        <v>2</v>
      </c>
      <c r="C2" s="1940" t="s">
        <v>6</v>
      </c>
      <c r="D2" s="1940" t="s">
        <v>7</v>
      </c>
      <c r="E2" s="1962" t="s">
        <v>8</v>
      </c>
      <c r="F2" s="1963" t="s">
        <v>9</v>
      </c>
      <c r="G2" s="1963" t="s">
        <v>362</v>
      </c>
      <c r="H2" s="1964" t="s">
        <v>10</v>
      </c>
      <c r="I2" s="1978" t="s">
        <v>11</v>
      </c>
      <c r="J2" s="1979" t="s">
        <v>12</v>
      </c>
      <c r="K2" s="1979" t="s">
        <v>13</v>
      </c>
      <c r="L2" s="1980" t="s">
        <v>14</v>
      </c>
      <c r="M2" s="2003" t="s">
        <v>15</v>
      </c>
      <c r="N2" s="2004" t="s">
        <v>16</v>
      </c>
      <c r="O2" s="2005" t="s">
        <v>17</v>
      </c>
      <c r="P2" s="2004" t="s">
        <v>18</v>
      </c>
      <c r="Q2" s="2004" t="s">
        <v>19</v>
      </c>
      <c r="R2" s="1940" t="s">
        <v>363</v>
      </c>
      <c r="S2" s="2021" t="s">
        <v>21</v>
      </c>
      <c r="T2" s="2004" t="s">
        <v>22</v>
      </c>
      <c r="U2" s="2004" t="s">
        <v>23</v>
      </c>
      <c r="V2" s="2004" t="s">
        <v>24</v>
      </c>
      <c r="W2" s="2004" t="s">
        <v>25</v>
      </c>
      <c r="X2" s="2004" t="s">
        <v>26</v>
      </c>
      <c r="Y2" s="2004" t="s">
        <v>27</v>
      </c>
      <c r="Z2" s="2004" t="s">
        <v>28</v>
      </c>
      <c r="AA2" s="2026" t="s">
        <v>26</v>
      </c>
      <c r="AB2" s="2027" t="s">
        <v>27</v>
      </c>
      <c r="AC2" s="1939" t="s">
        <v>3</v>
      </c>
      <c r="AD2" s="2003" t="s">
        <v>4</v>
      </c>
      <c r="AE2" s="1939" t="s">
        <v>5</v>
      </c>
    </row>
    <row r="3" customFormat="1" spans="1:31">
      <c r="A3" s="1941" t="s">
        <v>38</v>
      </c>
      <c r="B3" s="1229" t="s">
        <v>1057</v>
      </c>
      <c r="C3" s="1942" t="s">
        <v>1058</v>
      </c>
      <c r="D3" s="1943" t="s">
        <v>188</v>
      </c>
      <c r="E3" s="1384"/>
      <c r="F3" s="1397"/>
      <c r="G3" s="1397"/>
      <c r="H3" s="1965">
        <v>320000</v>
      </c>
      <c r="I3" s="1981"/>
      <c r="J3" s="66"/>
      <c r="K3" s="1982"/>
      <c r="L3" s="1983"/>
      <c r="M3" s="1399"/>
      <c r="N3" s="1399"/>
      <c r="O3" s="2006"/>
      <c r="P3" s="1399"/>
      <c r="Q3" s="1399"/>
      <c r="R3" s="1399"/>
      <c r="S3" s="1399"/>
      <c r="T3" s="1399"/>
      <c r="U3" s="1399"/>
      <c r="V3" s="1399"/>
      <c r="W3" s="1399"/>
      <c r="X3" s="1399"/>
      <c r="Y3" s="1399"/>
      <c r="Z3" s="1399"/>
      <c r="AA3" s="1399"/>
      <c r="AB3" s="1399"/>
      <c r="AC3" s="825"/>
      <c r="AD3" s="2016"/>
      <c r="AE3" s="1399"/>
    </row>
    <row r="4" customFormat="1" spans="1:31">
      <c r="A4" s="1941"/>
      <c r="B4" s="1944" t="s">
        <v>453</v>
      </c>
      <c r="C4" s="1942" t="s">
        <v>1059</v>
      </c>
      <c r="D4" s="1876" t="s">
        <v>1060</v>
      </c>
      <c r="E4" s="510"/>
      <c r="F4" s="1399"/>
      <c r="G4" s="1399"/>
      <c r="H4" s="1965">
        <v>700000</v>
      </c>
      <c r="I4" s="1981"/>
      <c r="J4" s="66"/>
      <c r="K4" s="1982"/>
      <c r="L4" s="1983"/>
      <c r="M4" s="1399"/>
      <c r="N4" s="1399"/>
      <c r="O4" s="2006"/>
      <c r="P4" s="1399"/>
      <c r="Q4" s="1399"/>
      <c r="R4" s="1399"/>
      <c r="S4" s="1399"/>
      <c r="T4" s="1399"/>
      <c r="U4" s="1399"/>
      <c r="V4" s="1399"/>
      <c r="W4" s="1399"/>
      <c r="X4" s="1399"/>
      <c r="Y4" s="1399"/>
      <c r="Z4" s="1399"/>
      <c r="AA4" s="1399"/>
      <c r="AB4" s="1399"/>
      <c r="AC4" s="825"/>
      <c r="AD4" s="2016"/>
      <c r="AE4" s="1399"/>
    </row>
    <row r="5" customFormat="1" spans="1:31">
      <c r="A5" s="1941"/>
      <c r="B5" s="1944" t="s">
        <v>53</v>
      </c>
      <c r="C5" s="1942" t="s">
        <v>1061</v>
      </c>
      <c r="D5" s="1876" t="s">
        <v>1062</v>
      </c>
      <c r="E5" s="510"/>
      <c r="F5" s="1399"/>
      <c r="G5" s="1399"/>
      <c r="H5" s="1965">
        <v>300000</v>
      </c>
      <c r="I5" s="1981"/>
      <c r="J5" s="66"/>
      <c r="K5" s="1982"/>
      <c r="L5" s="1983"/>
      <c r="M5" s="1399"/>
      <c r="N5" s="1399"/>
      <c r="O5" s="2006"/>
      <c r="P5" s="1399"/>
      <c r="Q5" s="1399"/>
      <c r="R5" s="1399"/>
      <c r="S5" s="1399"/>
      <c r="T5" s="1399"/>
      <c r="U5" s="1399"/>
      <c r="V5" s="1399"/>
      <c r="W5" s="1399"/>
      <c r="X5" s="1399"/>
      <c r="Y5" s="1399"/>
      <c r="Z5" s="1399"/>
      <c r="AA5" s="1399"/>
      <c r="AB5" s="1399"/>
      <c r="AC5" s="825"/>
      <c r="AD5" s="2016"/>
      <c r="AE5" s="1399"/>
    </row>
    <row r="6" customFormat="1" spans="1:31">
      <c r="A6" s="1941"/>
      <c r="B6" s="1944" t="s">
        <v>143</v>
      </c>
      <c r="C6" s="1942" t="s">
        <v>1063</v>
      </c>
      <c r="D6" s="1876" t="s">
        <v>1064</v>
      </c>
      <c r="E6" s="510"/>
      <c r="F6" s="1399"/>
      <c r="G6" s="1399"/>
      <c r="H6" s="1965">
        <v>250000</v>
      </c>
      <c r="I6" s="1981"/>
      <c r="J6" s="66"/>
      <c r="K6" s="1982"/>
      <c r="L6" s="1983"/>
      <c r="M6" s="1399"/>
      <c r="N6" s="1399"/>
      <c r="O6" s="2006"/>
      <c r="P6" s="1399"/>
      <c r="Q6" s="1399"/>
      <c r="R6" s="1399"/>
      <c r="S6" s="1399"/>
      <c r="T6" s="1399"/>
      <c r="U6" s="1399"/>
      <c r="V6" s="1399"/>
      <c r="W6" s="1399"/>
      <c r="X6" s="1399"/>
      <c r="Y6" s="1399"/>
      <c r="Z6" s="1399"/>
      <c r="AA6" s="1399"/>
      <c r="AB6" s="1399"/>
      <c r="AC6" s="825"/>
      <c r="AD6" s="2016"/>
      <c r="AE6" s="1399"/>
    </row>
    <row r="7" customFormat="1" spans="1:31">
      <c r="A7" s="1941" t="s">
        <v>1065</v>
      </c>
      <c r="B7" s="1944" t="s">
        <v>1034</v>
      </c>
      <c r="C7" s="1942" t="s">
        <v>1066</v>
      </c>
      <c r="D7" s="1876" t="s">
        <v>290</v>
      </c>
      <c r="E7" s="510"/>
      <c r="F7" s="1399"/>
      <c r="G7" s="1399"/>
      <c r="H7" s="1965">
        <v>250000</v>
      </c>
      <c r="I7" s="1981"/>
      <c r="J7" s="66"/>
      <c r="K7" s="1982"/>
      <c r="L7" s="1983"/>
      <c r="M7" s="1399"/>
      <c r="N7" s="1399"/>
      <c r="O7" s="2006"/>
      <c r="P7" s="1399"/>
      <c r="Q7" s="1399"/>
      <c r="R7" s="1399"/>
      <c r="S7" s="1399"/>
      <c r="T7" s="1399"/>
      <c r="U7" s="1399"/>
      <c r="V7" s="1399"/>
      <c r="W7" s="1399"/>
      <c r="X7" s="1399"/>
      <c r="Y7" s="1399"/>
      <c r="Z7" s="1399"/>
      <c r="AA7" s="1399"/>
      <c r="AB7" s="1399"/>
      <c r="AC7" s="825"/>
      <c r="AD7" s="2016"/>
      <c r="AE7" s="1399"/>
    </row>
    <row r="8" customFormat="1" spans="1:31">
      <c r="A8" s="1941"/>
      <c r="B8" s="1944" t="s">
        <v>1067</v>
      </c>
      <c r="C8" s="1942" t="s">
        <v>1068</v>
      </c>
      <c r="D8" s="1876" t="s">
        <v>290</v>
      </c>
      <c r="E8" s="510"/>
      <c r="F8" s="1399"/>
      <c r="G8" s="1399"/>
      <c r="H8" s="1965">
        <v>570000</v>
      </c>
      <c r="I8" s="1981"/>
      <c r="J8" s="66"/>
      <c r="K8" s="1982"/>
      <c r="L8" s="1983"/>
      <c r="M8" s="1399"/>
      <c r="N8" s="1399"/>
      <c r="O8" s="2006"/>
      <c r="P8" s="1399"/>
      <c r="Q8" s="1399"/>
      <c r="R8" s="1399"/>
      <c r="S8" s="1399"/>
      <c r="T8" s="1399"/>
      <c r="U8" s="1399"/>
      <c r="V8" s="1399"/>
      <c r="W8" s="1399"/>
      <c r="X8" s="1399"/>
      <c r="Y8" s="1399"/>
      <c r="Z8" s="1399"/>
      <c r="AA8" s="1399"/>
      <c r="AB8" s="1399"/>
      <c r="AC8" s="825"/>
      <c r="AD8" s="2016"/>
      <c r="AE8" s="1399"/>
    </row>
    <row r="9" s="23" customFormat="1" customHeight="1" spans="1:31">
      <c r="A9" s="1945" t="s">
        <v>209</v>
      </c>
      <c r="B9" s="677" t="s">
        <v>454</v>
      </c>
      <c r="C9" s="1946"/>
      <c r="D9" s="1947"/>
      <c r="E9" s="1947"/>
      <c r="F9" s="1947"/>
      <c r="G9" s="1946"/>
      <c r="H9" s="1966">
        <v>200000</v>
      </c>
      <c r="I9" s="1947"/>
      <c r="J9" s="1984"/>
      <c r="K9" s="1966"/>
      <c r="L9" s="1985"/>
      <c r="M9" s="1946"/>
      <c r="N9" s="1946"/>
      <c r="O9" s="2007"/>
      <c r="P9" s="1946"/>
      <c r="Q9" s="1946"/>
      <c r="R9" s="2022"/>
      <c r="S9" s="1946"/>
      <c r="T9" s="1946"/>
      <c r="U9" s="1946"/>
      <c r="V9" s="1946"/>
      <c r="W9" s="1946"/>
      <c r="X9" s="1946"/>
      <c r="Y9" s="1946"/>
      <c r="Z9" s="1946"/>
      <c r="AA9" s="1946"/>
      <c r="AB9" s="1946"/>
      <c r="AC9" s="2028"/>
      <c r="AD9" s="2029"/>
      <c r="AE9" s="1946"/>
    </row>
    <row r="10" s="23" customFormat="1" customHeight="1" spans="1:31">
      <c r="A10" s="1948"/>
      <c r="B10" s="677" t="s">
        <v>841</v>
      </c>
      <c r="C10" s="1946"/>
      <c r="D10" s="1949"/>
      <c r="E10" s="1967"/>
      <c r="F10" s="1946"/>
      <c r="G10" s="1946"/>
      <c r="H10" s="1966">
        <v>200000</v>
      </c>
      <c r="I10" s="1947"/>
      <c r="J10" s="1984"/>
      <c r="K10" s="1966"/>
      <c r="L10" s="1985"/>
      <c r="M10" s="1946"/>
      <c r="N10" s="1946"/>
      <c r="O10" s="2007"/>
      <c r="P10" s="1946"/>
      <c r="Q10" s="1946"/>
      <c r="R10" s="2022"/>
      <c r="S10" s="1946"/>
      <c r="T10" s="1946"/>
      <c r="U10" s="1946"/>
      <c r="V10" s="1946"/>
      <c r="W10" s="1946"/>
      <c r="X10" s="1946"/>
      <c r="Y10" s="1946"/>
      <c r="Z10" s="1946"/>
      <c r="AA10" s="1946"/>
      <c r="AB10" s="1946"/>
      <c r="AC10" s="2028"/>
      <c r="AD10" s="2029"/>
      <c r="AE10" s="1946"/>
    </row>
    <row r="11" s="23" customFormat="1" customHeight="1" spans="1:31">
      <c r="A11" s="1948"/>
      <c r="B11" s="677" t="s">
        <v>146</v>
      </c>
      <c r="C11" s="1946"/>
      <c r="D11" s="1949"/>
      <c r="E11" s="1967"/>
      <c r="F11" s="1946"/>
      <c r="G11" s="1946"/>
      <c r="H11" s="1966">
        <v>150000</v>
      </c>
      <c r="I11" s="1947"/>
      <c r="J11" s="1986"/>
      <c r="K11" s="1987"/>
      <c r="L11" s="1988"/>
      <c r="M11" s="2008"/>
      <c r="N11" s="2008"/>
      <c r="O11" s="2007"/>
      <c r="P11" s="1946"/>
      <c r="Q11" s="1946"/>
      <c r="R11" s="2022"/>
      <c r="S11" s="1946"/>
      <c r="T11" s="1946"/>
      <c r="U11" s="1946"/>
      <c r="V11" s="1946"/>
      <c r="W11" s="1946"/>
      <c r="X11" s="1946"/>
      <c r="Y11" s="1946"/>
      <c r="Z11" s="1946"/>
      <c r="AA11" s="1946"/>
      <c r="AB11" s="1946"/>
      <c r="AC11" s="2028"/>
      <c r="AD11" s="2029"/>
      <c r="AE11" s="1946"/>
    </row>
    <row r="12" customFormat="1" customHeight="1" spans="1:31">
      <c r="A12" s="1950" t="s">
        <v>343</v>
      </c>
      <c r="B12" s="1950"/>
      <c r="C12" s="1951"/>
      <c r="D12" s="1951"/>
      <c r="E12" s="1968"/>
      <c r="F12" s="1969"/>
      <c r="G12" s="1970"/>
      <c r="H12" s="1971">
        <f>SUM(H3:H11)</f>
        <v>2940000</v>
      </c>
      <c r="I12" s="1989"/>
      <c r="J12" s="1990">
        <v>0</v>
      </c>
      <c r="K12" s="1991">
        <v>0</v>
      </c>
      <c r="L12" s="1991">
        <v>0</v>
      </c>
      <c r="M12" s="2009"/>
      <c r="N12" s="2009"/>
      <c r="O12" s="2010"/>
      <c r="P12" s="2011"/>
      <c r="Q12" s="2011"/>
      <c r="R12" s="40"/>
      <c r="S12" s="2011"/>
      <c r="T12" s="2011"/>
      <c r="U12" s="2011"/>
      <c r="V12" s="2011"/>
      <c r="W12" s="2011"/>
      <c r="X12" s="2011"/>
      <c r="Y12" s="2011"/>
      <c r="Z12" s="2011"/>
      <c r="AA12" s="2011"/>
      <c r="AB12" s="2011"/>
      <c r="AC12" s="2030"/>
      <c r="AD12" s="1956" t="s">
        <v>285</v>
      </c>
      <c r="AE12" s="1956"/>
    </row>
    <row r="13" s="418" customFormat="1" ht="23.45" customHeight="1" spans="1:31">
      <c r="A13" s="664" t="s">
        <v>331</v>
      </c>
      <c r="B13" s="1552" t="s">
        <v>1069</v>
      </c>
      <c r="C13" s="1952"/>
      <c r="D13" s="1445"/>
      <c r="E13" s="35"/>
      <c r="F13" s="349"/>
      <c r="G13" s="349">
        <v>32564</v>
      </c>
      <c r="H13" s="380">
        <f>G13*I13</f>
        <v>207041.912</v>
      </c>
      <c r="I13" s="1992">
        <v>6.358</v>
      </c>
      <c r="J13" s="1993" t="s">
        <v>1070</v>
      </c>
      <c r="K13" s="379"/>
      <c r="L13" s="1994"/>
      <c r="M13" s="2012"/>
      <c r="N13" s="2012"/>
      <c r="O13" s="2013"/>
      <c r="P13" s="44"/>
      <c r="Q13" s="153"/>
      <c r="R13" s="40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664"/>
      <c r="AD13" s="40"/>
      <c r="AE13" s="40"/>
    </row>
    <row r="14" s="418" customFormat="1" ht="23.45" customHeight="1" spans="1:31">
      <c r="A14" s="664" t="s">
        <v>331</v>
      </c>
      <c r="B14" s="1580" t="s">
        <v>174</v>
      </c>
      <c r="C14" s="1953"/>
      <c r="D14" s="1954"/>
      <c r="E14" s="1953"/>
      <c r="F14" s="1953"/>
      <c r="G14" s="1953"/>
      <c r="H14" s="1972">
        <v>350000</v>
      </c>
      <c r="I14" s="1992"/>
      <c r="J14" s="1993" t="s">
        <v>1070</v>
      </c>
      <c r="K14" s="379"/>
      <c r="L14" s="1994"/>
      <c r="M14" s="2012"/>
      <c r="N14" s="2012"/>
      <c r="O14" s="2013"/>
      <c r="P14" s="44"/>
      <c r="Q14" s="153"/>
      <c r="R14" s="40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664"/>
      <c r="AD14" s="40"/>
      <c r="AE14" s="40"/>
    </row>
    <row r="15" s="418" customFormat="1" ht="23.45" customHeight="1" spans="1:31">
      <c r="A15" s="664" t="s">
        <v>331</v>
      </c>
      <c r="B15" s="1552" t="s">
        <v>247</v>
      </c>
      <c r="C15" s="1952"/>
      <c r="D15" s="1445"/>
      <c r="E15" s="35"/>
      <c r="F15" s="349"/>
      <c r="G15" s="349">
        <v>63000</v>
      </c>
      <c r="H15" s="380">
        <f>G15*I15</f>
        <v>400554</v>
      </c>
      <c r="I15" s="1992">
        <v>6.358</v>
      </c>
      <c r="J15" s="1993" t="s">
        <v>1071</v>
      </c>
      <c r="K15" s="379"/>
      <c r="L15" s="1994"/>
      <c r="M15" s="2012"/>
      <c r="N15" s="2012"/>
      <c r="O15" s="2013"/>
      <c r="P15" s="44"/>
      <c r="Q15" s="153"/>
      <c r="R15" s="40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664"/>
      <c r="AD15" s="40"/>
      <c r="AE15" s="40"/>
    </row>
    <row r="16" s="418" customFormat="1" ht="23.45" customHeight="1" spans="1:31">
      <c r="A16" s="664" t="s">
        <v>331</v>
      </c>
      <c r="B16" s="1552" t="s">
        <v>175</v>
      </c>
      <c r="C16" s="1952"/>
      <c r="D16" s="1445"/>
      <c r="E16" s="35"/>
      <c r="F16" s="349"/>
      <c r="G16" s="349">
        <v>17713</v>
      </c>
      <c r="H16" s="380">
        <f>G16*I16</f>
        <v>112619.254</v>
      </c>
      <c r="I16" s="1992">
        <v>6.358</v>
      </c>
      <c r="J16" s="1993" t="s">
        <v>1036</v>
      </c>
      <c r="K16" s="379"/>
      <c r="L16" s="1994"/>
      <c r="M16" s="2012"/>
      <c r="N16" s="2012"/>
      <c r="O16" s="2013"/>
      <c r="P16" s="44"/>
      <c r="Q16" s="153"/>
      <c r="R16" s="40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664"/>
      <c r="AD16" s="40"/>
      <c r="AE16" s="40"/>
    </row>
    <row r="17" s="418" customFormat="1" ht="23.45" customHeight="1" spans="1:31">
      <c r="A17" s="664" t="s">
        <v>331</v>
      </c>
      <c r="B17" s="1552" t="s">
        <v>165</v>
      </c>
      <c r="C17" s="1952"/>
      <c r="D17" s="1445"/>
      <c r="E17" s="35"/>
      <c r="F17" s="349"/>
      <c r="G17" s="349">
        <v>32000</v>
      </c>
      <c r="H17" s="380">
        <f>G17*I17</f>
        <v>203456</v>
      </c>
      <c r="I17" s="1992">
        <v>6.358</v>
      </c>
      <c r="J17" s="1993" t="s">
        <v>1036</v>
      </c>
      <c r="K17" s="379"/>
      <c r="L17" s="1994"/>
      <c r="M17" s="2012"/>
      <c r="N17" s="2012"/>
      <c r="O17" s="2013"/>
      <c r="P17" s="44"/>
      <c r="Q17" s="153"/>
      <c r="R17" s="40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664"/>
      <c r="AD17" s="40"/>
      <c r="AE17" s="40"/>
    </row>
    <row r="18" s="418" customFormat="1" ht="23.45" customHeight="1" spans="1:31">
      <c r="A18" s="664" t="s">
        <v>331</v>
      </c>
      <c r="B18" s="1552" t="s">
        <v>166</v>
      </c>
      <c r="C18" s="1952"/>
      <c r="D18" s="1445"/>
      <c r="E18" s="35"/>
      <c r="F18" s="349"/>
      <c r="G18" s="349">
        <v>15000</v>
      </c>
      <c r="H18" s="380">
        <f>G18*I18</f>
        <v>95370</v>
      </c>
      <c r="I18" s="1995">
        <v>6.358</v>
      </c>
      <c r="J18" s="1993" t="s">
        <v>1036</v>
      </c>
      <c r="K18" s="379"/>
      <c r="L18" s="1994"/>
      <c r="M18" s="2012"/>
      <c r="N18" s="2012"/>
      <c r="O18" s="2013"/>
      <c r="P18" s="44"/>
      <c r="Q18" s="153"/>
      <c r="R18" s="40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664"/>
      <c r="AD18" s="40"/>
      <c r="AE18" s="40"/>
    </row>
    <row r="19" s="1933" customFormat="1" ht="23.75" customHeight="1" spans="1:31">
      <c r="A19" s="666" t="s">
        <v>224</v>
      </c>
      <c r="B19" s="1141" t="s">
        <v>400</v>
      </c>
      <c r="C19" s="1952" t="s">
        <v>1072</v>
      </c>
      <c r="D19" s="226"/>
      <c r="E19" s="68"/>
      <c r="F19" s="68"/>
      <c r="G19" s="226"/>
      <c r="H19" s="380">
        <v>250000</v>
      </c>
      <c r="I19" s="259"/>
      <c r="J19" s="380" t="s">
        <v>1036</v>
      </c>
      <c r="K19" s="380"/>
      <c r="L19" s="1996"/>
      <c r="M19" s="364"/>
      <c r="N19" s="2014"/>
      <c r="O19" s="2015"/>
      <c r="P19" s="40"/>
      <c r="Q19" s="40"/>
      <c r="R19" s="2023"/>
      <c r="S19" s="2024"/>
      <c r="T19" s="40"/>
      <c r="U19" s="40"/>
      <c r="V19" s="40"/>
      <c r="W19" s="40"/>
      <c r="X19" s="40"/>
      <c r="Y19" s="40"/>
      <c r="Z19" s="40"/>
      <c r="AA19" s="40"/>
      <c r="AB19" s="40"/>
      <c r="AC19" s="664"/>
      <c r="AD19" s="185"/>
      <c r="AE19" s="40"/>
    </row>
    <row r="20" s="1933" customFormat="1" ht="23.75" customHeight="1" spans="1:31">
      <c r="A20" s="556"/>
      <c r="B20" s="1141" t="s">
        <v>169</v>
      </c>
      <c r="C20" s="1952" t="s">
        <v>1073</v>
      </c>
      <c r="D20" s="1914"/>
      <c r="E20" s="68"/>
      <c r="F20" s="68"/>
      <c r="G20" s="380"/>
      <c r="H20" s="380">
        <v>100000</v>
      </c>
      <c r="I20" s="1993"/>
      <c r="J20" s="380"/>
      <c r="K20" s="380"/>
      <c r="L20" s="1996"/>
      <c r="M20" s="364"/>
      <c r="N20" s="2014"/>
      <c r="O20" s="2016"/>
      <c r="P20" s="40"/>
      <c r="Q20" s="40"/>
      <c r="R20" s="2023"/>
      <c r="S20" s="2024"/>
      <c r="T20" s="40"/>
      <c r="U20" s="40"/>
      <c r="V20" s="40"/>
      <c r="W20" s="40"/>
      <c r="X20" s="40"/>
      <c r="Y20" s="40"/>
      <c r="Z20" s="40"/>
      <c r="AA20" s="40"/>
      <c r="AB20" s="40"/>
      <c r="AC20" s="664"/>
      <c r="AD20" s="185"/>
      <c r="AE20" s="40"/>
    </row>
    <row r="21" s="1933" customFormat="1" ht="23.75" customHeight="1" spans="1:31">
      <c r="A21" s="556"/>
      <c r="B21" s="1141" t="s">
        <v>256</v>
      </c>
      <c r="C21" s="1952"/>
      <c r="D21" s="1914" t="s">
        <v>1074</v>
      </c>
      <c r="E21" s="68"/>
      <c r="F21" s="68"/>
      <c r="G21" s="380"/>
      <c r="H21" s="380">
        <v>200000</v>
      </c>
      <c r="I21" s="1993"/>
      <c r="J21" s="380" t="s">
        <v>1036</v>
      </c>
      <c r="K21" s="380"/>
      <c r="L21" s="1996"/>
      <c r="M21" s="364"/>
      <c r="N21" s="2014"/>
      <c r="O21" s="2016"/>
      <c r="P21" s="40"/>
      <c r="Q21" s="40"/>
      <c r="R21" s="2023"/>
      <c r="S21" s="2024"/>
      <c r="T21" s="40"/>
      <c r="U21" s="40"/>
      <c r="V21" s="40"/>
      <c r="W21" s="40"/>
      <c r="X21" s="40"/>
      <c r="Y21" s="40"/>
      <c r="Z21" s="40"/>
      <c r="AA21" s="40"/>
      <c r="AB21" s="40"/>
      <c r="AC21" s="664"/>
      <c r="AD21" s="185"/>
      <c r="AE21" s="40"/>
    </row>
    <row r="22" s="1933" customFormat="1" ht="23.75" customHeight="1" spans="1:31">
      <c r="A22" s="556"/>
      <c r="B22" s="1141" t="s">
        <v>167</v>
      </c>
      <c r="C22" s="1952"/>
      <c r="D22" s="1955" t="s">
        <v>1075</v>
      </c>
      <c r="E22" s="68"/>
      <c r="F22" s="68"/>
      <c r="G22" s="380"/>
      <c r="H22" s="380">
        <v>30000</v>
      </c>
      <c r="I22" s="1997"/>
      <c r="J22" s="379" t="s">
        <v>1036</v>
      </c>
      <c r="K22" s="380"/>
      <c r="L22" s="1996"/>
      <c r="M22" s="364"/>
      <c r="N22" s="2014"/>
      <c r="O22" s="2016"/>
      <c r="P22" s="40"/>
      <c r="Q22" s="40"/>
      <c r="R22" s="2023"/>
      <c r="S22" s="2024"/>
      <c r="T22" s="40"/>
      <c r="U22" s="40"/>
      <c r="V22" s="40"/>
      <c r="W22" s="40"/>
      <c r="X22" s="40"/>
      <c r="Y22" s="40"/>
      <c r="Z22" s="40"/>
      <c r="AA22" s="40"/>
      <c r="AB22" s="40"/>
      <c r="AC22" s="664"/>
      <c r="AD22" s="185"/>
      <c r="AE22" s="40"/>
    </row>
    <row r="23" s="1933" customFormat="1" ht="23.75" customHeight="1" spans="1:31">
      <c r="A23" s="556"/>
      <c r="B23" s="1141" t="s">
        <v>1038</v>
      </c>
      <c r="C23" s="1952"/>
      <c r="D23" s="1914"/>
      <c r="E23" s="68"/>
      <c r="F23" s="68"/>
      <c r="G23" s="380">
        <v>17240</v>
      </c>
      <c r="H23" s="380">
        <f>G23*6.35</f>
        <v>109474</v>
      </c>
      <c r="I23" s="1993"/>
      <c r="J23" s="380"/>
      <c r="K23" s="380"/>
      <c r="L23" s="1996"/>
      <c r="M23" s="364"/>
      <c r="N23" s="2014"/>
      <c r="O23" s="2016"/>
      <c r="P23" s="40"/>
      <c r="Q23" s="40"/>
      <c r="R23" s="2023"/>
      <c r="S23" s="2024"/>
      <c r="T23" s="40"/>
      <c r="U23" s="40"/>
      <c r="V23" s="40"/>
      <c r="W23" s="40"/>
      <c r="X23" s="40"/>
      <c r="Y23" s="40"/>
      <c r="Z23" s="40"/>
      <c r="AA23" s="40"/>
      <c r="AB23" s="40"/>
      <c r="AC23" s="664"/>
      <c r="AD23" s="185"/>
      <c r="AE23" s="40"/>
    </row>
    <row r="24" s="1933" customFormat="1" ht="23.75" customHeight="1" spans="1:31">
      <c r="A24" s="556"/>
      <c r="B24" s="715" t="s">
        <v>167</v>
      </c>
      <c r="C24" s="1952"/>
      <c r="D24" s="1955" t="s">
        <v>1076</v>
      </c>
      <c r="E24" s="68"/>
      <c r="F24" s="68"/>
      <c r="G24" s="380"/>
      <c r="H24" s="380">
        <v>120000</v>
      </c>
      <c r="I24" s="1993"/>
      <c r="J24" s="380"/>
      <c r="K24" s="380"/>
      <c r="L24" s="1996"/>
      <c r="M24" s="364"/>
      <c r="N24" s="2014"/>
      <c r="O24" s="2016"/>
      <c r="P24" s="40"/>
      <c r="Q24" s="40"/>
      <c r="R24" s="2023"/>
      <c r="S24" s="2024"/>
      <c r="T24" s="40"/>
      <c r="U24" s="40"/>
      <c r="V24" s="40"/>
      <c r="W24" s="40"/>
      <c r="X24" s="40"/>
      <c r="Y24" s="40"/>
      <c r="Z24" s="40"/>
      <c r="AA24" s="40"/>
      <c r="AB24" s="40"/>
      <c r="AC24" s="664"/>
      <c r="AD24" s="185"/>
      <c r="AE24" s="40"/>
    </row>
    <row r="25" s="1933" customFormat="1" ht="23.75" customHeight="1" spans="1:31">
      <c r="A25" s="556"/>
      <c r="B25" s="715" t="s">
        <v>172</v>
      </c>
      <c r="C25" s="1952" t="s">
        <v>1077</v>
      </c>
      <c r="D25" s="1914" t="s">
        <v>1043</v>
      </c>
      <c r="E25" s="68"/>
      <c r="F25" s="68"/>
      <c r="G25" s="380"/>
      <c r="H25" s="380">
        <v>130000</v>
      </c>
      <c r="I25" s="1993"/>
      <c r="J25" s="380"/>
      <c r="K25" s="380"/>
      <c r="L25" s="1996"/>
      <c r="M25" s="364"/>
      <c r="N25" s="2014"/>
      <c r="O25" s="2016"/>
      <c r="P25" s="40"/>
      <c r="Q25" s="40"/>
      <c r="R25" s="2023"/>
      <c r="S25" s="2024"/>
      <c r="T25" s="40"/>
      <c r="U25" s="40"/>
      <c r="V25" s="40"/>
      <c r="W25" s="40"/>
      <c r="X25" s="40"/>
      <c r="Y25" s="40"/>
      <c r="Z25" s="40"/>
      <c r="AA25" s="40"/>
      <c r="AB25" s="40"/>
      <c r="AC25" s="664"/>
      <c r="AD25" s="185"/>
      <c r="AE25" s="40"/>
    </row>
    <row r="26" ht="27.5" customHeight="1" spans="1:31">
      <c r="A26" s="1956" t="s">
        <v>67</v>
      </c>
      <c r="B26" s="1957"/>
      <c r="C26" s="1951"/>
      <c r="D26" s="1951"/>
      <c r="E26" s="1973"/>
      <c r="F26" s="1974"/>
      <c r="G26" s="1974"/>
      <c r="H26" s="1975">
        <f>SUM(H13:H25)</f>
        <v>2308515.166</v>
      </c>
      <c r="I26" s="1974"/>
      <c r="J26" s="1998"/>
      <c r="K26" s="99"/>
      <c r="L26" s="99"/>
      <c r="M26" s="185"/>
      <c r="N26" s="185"/>
      <c r="O26" s="2016"/>
      <c r="P26" s="40"/>
      <c r="Q26" s="40"/>
      <c r="R26" s="523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1956"/>
      <c r="AD26" s="1956" t="s">
        <v>293</v>
      </c>
      <c r="AE26" s="1956"/>
    </row>
    <row r="27" spans="1:31">
      <c r="A27" s="1958" t="s">
        <v>344</v>
      </c>
      <c r="B27" s="1959" t="s">
        <v>299</v>
      </c>
      <c r="C27" s="1883" t="s">
        <v>1078</v>
      </c>
      <c r="D27" s="819" t="s">
        <v>348</v>
      </c>
      <c r="E27" s="1976">
        <v>91</v>
      </c>
      <c r="F27" s="1327">
        <v>384</v>
      </c>
      <c r="G27" s="1327">
        <f t="shared" ref="G27:G29" si="0">F27*E27</f>
        <v>34944</v>
      </c>
      <c r="H27" s="1977">
        <f>G27*I27</f>
        <v>220196.1216</v>
      </c>
      <c r="I27" s="1992">
        <v>6.3014</v>
      </c>
      <c r="J27" s="606" t="s">
        <v>1079</v>
      </c>
      <c r="K27" s="1999">
        <f>SUM(H27:H33)</f>
        <v>485913.5568</v>
      </c>
      <c r="L27" s="2000"/>
      <c r="M27" s="2017"/>
      <c r="N27" s="2018"/>
      <c r="O27" s="2019"/>
      <c r="P27" s="2020"/>
      <c r="Q27" s="2020"/>
      <c r="R27" s="2025"/>
      <c r="S27" s="2020"/>
      <c r="T27" s="2020"/>
      <c r="U27" s="2020"/>
      <c r="V27" s="2020"/>
      <c r="W27" s="2020"/>
      <c r="X27" s="2020"/>
      <c r="Y27" s="2020"/>
      <c r="Z27" s="2020"/>
      <c r="AA27" s="2020"/>
      <c r="AB27" s="2020"/>
      <c r="AC27" s="2031"/>
      <c r="AD27" s="2032"/>
      <c r="AE27" s="2033"/>
    </row>
    <row r="28" spans="1:31">
      <c r="A28" s="1958"/>
      <c r="B28" s="1959" t="s">
        <v>299</v>
      </c>
      <c r="C28" s="1303" t="s">
        <v>1080</v>
      </c>
      <c r="D28" s="244" t="s">
        <v>1081</v>
      </c>
      <c r="E28" s="1976">
        <v>2</v>
      </c>
      <c r="F28" s="1327">
        <v>322</v>
      </c>
      <c r="G28" s="1327">
        <f t="shared" si="0"/>
        <v>644</v>
      </c>
      <c r="H28" s="1977"/>
      <c r="I28" s="1992">
        <v>6.3014</v>
      </c>
      <c r="J28" s="606" t="s">
        <v>1082</v>
      </c>
      <c r="K28" s="1999">
        <f>SUM(H34:H38)</f>
        <v>0</v>
      </c>
      <c r="L28" s="2000"/>
      <c r="M28" s="2017"/>
      <c r="N28" s="2018"/>
      <c r="O28" s="2019"/>
      <c r="P28" s="2020"/>
      <c r="Q28" s="2020"/>
      <c r="R28" s="2025"/>
      <c r="S28" s="2020"/>
      <c r="T28" s="2020"/>
      <c r="U28" s="2020"/>
      <c r="V28" s="2020"/>
      <c r="W28" s="2020"/>
      <c r="X28" s="2020"/>
      <c r="Y28" s="2020"/>
      <c r="Z28" s="2020"/>
      <c r="AA28" s="2020"/>
      <c r="AB28" s="2020"/>
      <c r="AC28" s="2031"/>
      <c r="AD28" s="2032"/>
      <c r="AE28" s="2033"/>
    </row>
    <row r="29" spans="1:31">
      <c r="A29" s="1958"/>
      <c r="B29" s="1959" t="s">
        <v>299</v>
      </c>
      <c r="C29" s="1303" t="s">
        <v>1083</v>
      </c>
      <c r="D29" s="244" t="s">
        <v>1084</v>
      </c>
      <c r="E29" s="1976">
        <v>2</v>
      </c>
      <c r="F29" s="1327">
        <v>305</v>
      </c>
      <c r="G29" s="1327">
        <f t="shared" si="0"/>
        <v>610</v>
      </c>
      <c r="H29" s="1977"/>
      <c r="I29" s="1992">
        <v>6.3014</v>
      </c>
      <c r="J29" s="606" t="s">
        <v>1085</v>
      </c>
      <c r="K29" s="1999">
        <f>SUM(H39:H40)</f>
        <v>40927.593</v>
      </c>
      <c r="L29" s="2000"/>
      <c r="M29" s="2017"/>
      <c r="N29" s="2018"/>
      <c r="O29" s="2019"/>
      <c r="P29" s="2020"/>
      <c r="Q29" s="2020"/>
      <c r="R29" s="2025"/>
      <c r="S29" s="2020"/>
      <c r="T29" s="2020"/>
      <c r="U29" s="2020"/>
      <c r="V29" s="2020"/>
      <c r="W29" s="2020"/>
      <c r="X29" s="2020"/>
      <c r="Y29" s="2020"/>
      <c r="Z29" s="2020"/>
      <c r="AA29" s="2020"/>
      <c r="AB29" s="2020"/>
      <c r="AC29" s="2031"/>
      <c r="AD29" s="2032"/>
      <c r="AE29" s="2033"/>
    </row>
    <row r="30" spans="1:31">
      <c r="A30" s="1958"/>
      <c r="B30" s="724"/>
      <c r="C30" s="1303"/>
      <c r="D30" s="614"/>
      <c r="E30" s="1050"/>
      <c r="F30" s="1327"/>
      <c r="G30" s="1327"/>
      <c r="H30" s="1509"/>
      <c r="I30" s="733"/>
      <c r="J30" s="1122"/>
      <c r="K30" s="1999"/>
      <c r="L30" s="2000"/>
      <c r="M30" s="2017"/>
      <c r="N30" s="2018"/>
      <c r="O30" s="2019"/>
      <c r="P30" s="2020"/>
      <c r="Q30" s="2020"/>
      <c r="R30" s="2025"/>
      <c r="S30" s="2020"/>
      <c r="T30" s="2020"/>
      <c r="U30" s="2020"/>
      <c r="V30" s="2020"/>
      <c r="W30" s="2020"/>
      <c r="X30" s="2020"/>
      <c r="Y30" s="2020"/>
      <c r="Z30" s="2020"/>
      <c r="AA30" s="2020"/>
      <c r="AB30" s="2020"/>
      <c r="AC30" s="2031"/>
      <c r="AD30" s="2032"/>
      <c r="AE30" s="2033"/>
    </row>
    <row r="31" spans="1:31">
      <c r="A31" s="1958"/>
      <c r="B31" s="1303" t="s">
        <v>299</v>
      </c>
      <c r="C31" s="1915" t="s">
        <v>1086</v>
      </c>
      <c r="D31" s="1050" t="s">
        <v>427</v>
      </c>
      <c r="E31" s="1976">
        <v>168</v>
      </c>
      <c r="F31" s="1327">
        <v>251</v>
      </c>
      <c r="G31" s="1327">
        <f>F31*E31</f>
        <v>42168</v>
      </c>
      <c r="H31" s="1977">
        <f>G31*I31</f>
        <v>265717.4352</v>
      </c>
      <c r="I31" s="1992">
        <v>6.3014</v>
      </c>
      <c r="J31" s="606" t="s">
        <v>1079</v>
      </c>
      <c r="K31" s="1999"/>
      <c r="L31" s="2000"/>
      <c r="M31" s="2017"/>
      <c r="N31" s="2018"/>
      <c r="O31" s="2019"/>
      <c r="P31" s="2020"/>
      <c r="Q31" s="2020"/>
      <c r="R31" s="2025"/>
      <c r="S31" s="2020"/>
      <c r="T31" s="2020"/>
      <c r="U31" s="2020"/>
      <c r="V31" s="2020"/>
      <c r="W31" s="2020"/>
      <c r="X31" s="2020"/>
      <c r="Y31" s="2020"/>
      <c r="Z31" s="2020"/>
      <c r="AA31" s="2020"/>
      <c r="AB31" s="2020"/>
      <c r="AC31" s="2031"/>
      <c r="AD31" s="2032"/>
      <c r="AE31" s="2033"/>
    </row>
    <row r="32" spans="1:31">
      <c r="A32" s="1958"/>
      <c r="B32" s="1959"/>
      <c r="C32" s="1303"/>
      <c r="D32" s="819"/>
      <c r="E32" s="1976"/>
      <c r="F32" s="1327"/>
      <c r="G32" s="1327"/>
      <c r="H32" s="1977"/>
      <c r="I32" s="1992"/>
      <c r="J32" s="606"/>
      <c r="K32" s="1999"/>
      <c r="L32" s="2000"/>
      <c r="M32" s="2017"/>
      <c r="N32" s="2018"/>
      <c r="O32" s="2019"/>
      <c r="P32" s="2020"/>
      <c r="Q32" s="2020"/>
      <c r="R32" s="2025"/>
      <c r="S32" s="2020"/>
      <c r="T32" s="2020"/>
      <c r="U32" s="2020"/>
      <c r="V32" s="2020"/>
      <c r="W32" s="2020"/>
      <c r="X32" s="2020"/>
      <c r="Y32" s="2020"/>
      <c r="Z32" s="2020"/>
      <c r="AA32" s="2020"/>
      <c r="AB32" s="2020"/>
      <c r="AC32" s="2031"/>
      <c r="AD32" s="2032"/>
      <c r="AE32" s="2033"/>
    </row>
    <row r="33" spans="1:31">
      <c r="A33" s="1958"/>
      <c r="B33" s="1303"/>
      <c r="C33" s="572"/>
      <c r="D33" s="655"/>
      <c r="E33" s="1976"/>
      <c r="F33" s="1327"/>
      <c r="G33" s="1327"/>
      <c r="H33" s="1977"/>
      <c r="I33" s="1992"/>
      <c r="J33" s="579"/>
      <c r="K33" s="1999"/>
      <c r="L33" s="2000"/>
      <c r="M33" s="2017"/>
      <c r="N33" s="2018"/>
      <c r="O33" s="2019"/>
      <c r="P33" s="2020"/>
      <c r="Q33" s="2020"/>
      <c r="R33" s="2025"/>
      <c r="S33" s="2020"/>
      <c r="T33" s="2020"/>
      <c r="U33" s="2020"/>
      <c r="V33" s="2020"/>
      <c r="W33" s="2020"/>
      <c r="X33" s="2020"/>
      <c r="Y33" s="2020"/>
      <c r="Z33" s="2020"/>
      <c r="AA33" s="2020"/>
      <c r="AB33" s="2020"/>
      <c r="AC33" s="2031"/>
      <c r="AD33" s="2032"/>
      <c r="AE33" s="2033"/>
    </row>
    <row r="34" spans="1:31">
      <c r="A34" s="2011" t="s">
        <v>220</v>
      </c>
      <c r="B34" s="971" t="s">
        <v>442</v>
      </c>
      <c r="C34" s="1303" t="s">
        <v>1087</v>
      </c>
      <c r="D34" s="614"/>
      <c r="E34" s="571">
        <v>1</v>
      </c>
      <c r="F34" s="1257">
        <v>22867</v>
      </c>
      <c r="G34" s="1327">
        <f>F34*E34</f>
        <v>22867</v>
      </c>
      <c r="H34" s="1977"/>
      <c r="I34" s="1992">
        <v>6.3014</v>
      </c>
      <c r="J34" s="1992" t="s">
        <v>1088</v>
      </c>
      <c r="K34" s="2053"/>
      <c r="L34" s="2054"/>
      <c r="M34" s="2020"/>
      <c r="N34" s="2018"/>
      <c r="O34" s="2019"/>
      <c r="P34" s="2020"/>
      <c r="Q34" s="2020"/>
      <c r="R34" s="2025"/>
      <c r="S34" s="2020"/>
      <c r="T34" s="2020"/>
      <c r="U34" s="2020"/>
      <c r="V34" s="2020"/>
      <c r="W34" s="2020"/>
      <c r="X34" s="2020"/>
      <c r="Y34" s="2020"/>
      <c r="Z34" s="2020"/>
      <c r="AA34" s="2020"/>
      <c r="AB34" s="2020"/>
      <c r="AC34" s="2075"/>
      <c r="AD34" s="1959"/>
      <c r="AE34" s="2020"/>
    </row>
    <row r="35" spans="1:31">
      <c r="A35" s="2011"/>
      <c r="B35" s="971"/>
      <c r="C35" s="1303"/>
      <c r="D35" s="614"/>
      <c r="E35" s="571"/>
      <c r="F35" s="1257"/>
      <c r="G35" s="1327"/>
      <c r="H35" s="1977"/>
      <c r="I35" s="1992"/>
      <c r="J35" s="2055"/>
      <c r="K35" s="2053"/>
      <c r="L35" s="2054"/>
      <c r="M35" s="2020"/>
      <c r="N35" s="2018"/>
      <c r="O35" s="2019"/>
      <c r="P35" s="2020"/>
      <c r="Q35" s="2020"/>
      <c r="R35" s="2025"/>
      <c r="S35" s="2020"/>
      <c r="T35" s="2020"/>
      <c r="U35" s="2020"/>
      <c r="V35" s="2020"/>
      <c r="W35" s="2020"/>
      <c r="X35" s="2020"/>
      <c r="Y35" s="2020"/>
      <c r="Z35" s="2020"/>
      <c r="AA35" s="2020"/>
      <c r="AB35" s="2020"/>
      <c r="AC35" s="2075"/>
      <c r="AD35" s="1959"/>
      <c r="AE35" s="2020"/>
    </row>
    <row r="36" spans="1:31">
      <c r="A36" s="2011"/>
      <c r="B36" s="971"/>
      <c r="C36" s="1303"/>
      <c r="D36" s="571"/>
      <c r="E36" s="571"/>
      <c r="F36" s="1257"/>
      <c r="G36" s="1327"/>
      <c r="H36" s="1977"/>
      <c r="I36" s="1992"/>
      <c r="J36" s="2056"/>
      <c r="K36" s="2053"/>
      <c r="L36" s="2054"/>
      <c r="M36" s="2020"/>
      <c r="N36" s="2018"/>
      <c r="O36" s="2019"/>
      <c r="P36" s="2020"/>
      <c r="Q36" s="2020"/>
      <c r="R36" s="2025"/>
      <c r="S36" s="2020"/>
      <c r="T36" s="2020"/>
      <c r="U36" s="2020"/>
      <c r="V36" s="2020"/>
      <c r="W36" s="2020"/>
      <c r="X36" s="2020"/>
      <c r="Y36" s="2020"/>
      <c r="Z36" s="2020"/>
      <c r="AA36" s="2020"/>
      <c r="AB36" s="2020"/>
      <c r="AC36" s="2075"/>
      <c r="AD36" s="1959"/>
      <c r="AE36" s="2020"/>
    </row>
    <row r="37" spans="1:31">
      <c r="A37" s="2011"/>
      <c r="B37" s="971"/>
      <c r="C37" s="1303"/>
      <c r="D37" s="571"/>
      <c r="E37" s="571"/>
      <c r="F37" s="1257"/>
      <c r="G37" s="1327"/>
      <c r="H37" s="1977"/>
      <c r="I37" s="1992"/>
      <c r="J37" s="2056"/>
      <c r="K37" s="2057"/>
      <c r="L37" s="2058"/>
      <c r="M37" s="2020"/>
      <c r="N37" s="2018"/>
      <c r="O37" s="2019"/>
      <c r="P37" s="2020"/>
      <c r="Q37" s="2020"/>
      <c r="R37" s="2025"/>
      <c r="S37" s="2020"/>
      <c r="T37" s="2020"/>
      <c r="U37" s="2020"/>
      <c r="V37" s="2020"/>
      <c r="W37" s="2020"/>
      <c r="X37" s="2020"/>
      <c r="Y37" s="2020"/>
      <c r="Z37" s="2020"/>
      <c r="AA37" s="2020"/>
      <c r="AB37" s="2020"/>
      <c r="AC37" s="2075"/>
      <c r="AD37" s="1959"/>
      <c r="AE37" s="2020"/>
    </row>
    <row r="38" spans="1:31">
      <c r="A38" s="2011"/>
      <c r="B38" s="971"/>
      <c r="C38" s="1303"/>
      <c r="D38" s="614"/>
      <c r="E38" s="571"/>
      <c r="F38" s="1257"/>
      <c r="G38" s="1327"/>
      <c r="H38" s="1977"/>
      <c r="I38" s="1992"/>
      <c r="J38" s="2056"/>
      <c r="K38" s="2057"/>
      <c r="L38" s="2058"/>
      <c r="M38" s="2020"/>
      <c r="N38" s="2018"/>
      <c r="O38" s="2019"/>
      <c r="P38" s="2020"/>
      <c r="Q38" s="2020"/>
      <c r="R38" s="2025"/>
      <c r="S38" s="2020"/>
      <c r="T38" s="2020"/>
      <c r="U38" s="2020"/>
      <c r="V38" s="2020"/>
      <c r="W38" s="2020"/>
      <c r="X38" s="2020"/>
      <c r="Y38" s="2020"/>
      <c r="Z38" s="2020"/>
      <c r="AA38" s="2020"/>
      <c r="AB38" s="2020"/>
      <c r="AC38" s="2075"/>
      <c r="AD38" s="1959"/>
      <c r="AE38" s="2020"/>
    </row>
    <row r="39" s="10" customFormat="1" spans="1:31">
      <c r="A39" s="1389" t="s">
        <v>509</v>
      </c>
      <c r="B39" s="2034" t="s">
        <v>274</v>
      </c>
      <c r="C39" s="1903" t="s">
        <v>1089</v>
      </c>
      <c r="D39" s="244"/>
      <c r="E39" s="1976">
        <v>1</v>
      </c>
      <c r="F39" s="1079"/>
      <c r="G39" s="2042">
        <v>6495</v>
      </c>
      <c r="H39" s="1977">
        <f>G39*I39</f>
        <v>40927.593</v>
      </c>
      <c r="I39" s="1992">
        <v>6.3014</v>
      </c>
      <c r="J39" s="625" t="s">
        <v>1090</v>
      </c>
      <c r="K39" s="1239"/>
      <c r="L39" s="1176"/>
      <c r="M39" s="1389"/>
      <c r="N39" s="1187"/>
      <c r="O39" s="2070"/>
      <c r="P39" s="1389"/>
      <c r="Q39" s="1389"/>
      <c r="R39" s="1303"/>
      <c r="S39" s="1389"/>
      <c r="T39" s="1389"/>
      <c r="U39" s="1389"/>
      <c r="V39" s="1389"/>
      <c r="W39" s="1389"/>
      <c r="X39" s="1389"/>
      <c r="Y39" s="1389"/>
      <c r="Z39" s="1389"/>
      <c r="AA39" s="1389"/>
      <c r="AB39" s="1389"/>
      <c r="AC39" s="2076"/>
      <c r="AD39" s="628"/>
      <c r="AE39" s="1389"/>
    </row>
    <row r="40" spans="1:31">
      <c r="A40" s="2035"/>
      <c r="B40" s="2036"/>
      <c r="C40" s="2037"/>
      <c r="D40" s="2038"/>
      <c r="E40" s="2043"/>
      <c r="F40" s="2044"/>
      <c r="G40" s="2045"/>
      <c r="H40" s="1977" t="s">
        <v>870</v>
      </c>
      <c r="I40" s="2059"/>
      <c r="J40" s="2060"/>
      <c r="K40" s="2061"/>
      <c r="L40" s="2054"/>
      <c r="M40" s="2020"/>
      <c r="N40" s="2071"/>
      <c r="O40" s="2019"/>
      <c r="P40" s="2020"/>
      <c r="Q40" s="2020"/>
      <c r="R40" s="2073"/>
      <c r="S40" s="2020"/>
      <c r="T40" s="2020"/>
      <c r="U40" s="2020"/>
      <c r="V40" s="2020"/>
      <c r="W40" s="2020"/>
      <c r="X40" s="2020"/>
      <c r="Y40" s="2020"/>
      <c r="Z40" s="2020"/>
      <c r="AA40" s="2020"/>
      <c r="AB40" s="2020"/>
      <c r="AC40" s="2075"/>
      <c r="AD40" s="1959"/>
      <c r="AE40" s="2020"/>
    </row>
    <row r="41" spans="1:31">
      <c r="A41" s="2035"/>
      <c r="B41" s="2036"/>
      <c r="C41" s="2037"/>
      <c r="D41" s="2038"/>
      <c r="E41" s="2043"/>
      <c r="F41" s="2044"/>
      <c r="G41" s="2046"/>
      <c r="H41" s="2047"/>
      <c r="I41" s="2055"/>
      <c r="J41" s="2062"/>
      <c r="K41" s="2063"/>
      <c r="L41" s="2054"/>
      <c r="M41" s="2020"/>
      <c r="N41" s="2071"/>
      <c r="O41" s="2019"/>
      <c r="P41" s="2020"/>
      <c r="Q41" s="2020"/>
      <c r="R41" s="2073"/>
      <c r="S41" s="2020"/>
      <c r="T41" s="2020"/>
      <c r="U41" s="2020"/>
      <c r="V41" s="2020"/>
      <c r="W41" s="2020"/>
      <c r="X41" s="2020"/>
      <c r="Y41" s="2020"/>
      <c r="Z41" s="2020"/>
      <c r="AA41" s="2020"/>
      <c r="AB41" s="2020"/>
      <c r="AC41" s="2075"/>
      <c r="AD41" s="1959"/>
      <c r="AE41" s="2020"/>
    </row>
    <row r="42" spans="1:31">
      <c r="A42" s="2035"/>
      <c r="B42" s="2036"/>
      <c r="C42" s="2037"/>
      <c r="D42" s="2038"/>
      <c r="E42" s="2043"/>
      <c r="F42" s="2044"/>
      <c r="G42" s="2046"/>
      <c r="H42" s="2047"/>
      <c r="I42" s="2055"/>
      <c r="J42" s="2062"/>
      <c r="K42" s="2064"/>
      <c r="L42" s="2065"/>
      <c r="M42" s="2020"/>
      <c r="N42" s="2071"/>
      <c r="O42" s="2019"/>
      <c r="P42" s="2020"/>
      <c r="Q42" s="2020"/>
      <c r="R42" s="2073"/>
      <c r="S42" s="2020"/>
      <c r="T42" s="2020"/>
      <c r="U42" s="2020"/>
      <c r="V42" s="2020"/>
      <c r="W42" s="2020"/>
      <c r="X42" s="2020"/>
      <c r="Y42" s="2020"/>
      <c r="Z42" s="2020"/>
      <c r="AA42" s="2020"/>
      <c r="AB42" s="2020"/>
      <c r="AC42" s="2075"/>
      <c r="AD42" s="1959"/>
      <c r="AE42" s="2020"/>
    </row>
    <row r="43" customHeight="1" spans="1:31">
      <c r="A43" s="2039" t="s">
        <v>67</v>
      </c>
      <c r="B43" s="2039"/>
      <c r="C43" s="2040"/>
      <c r="D43" s="2040"/>
      <c r="E43" s="2048"/>
      <c r="F43" s="2049"/>
      <c r="G43" s="2049"/>
      <c r="H43" s="2050">
        <f>SUM(H27:H42)</f>
        <v>526841.1498</v>
      </c>
      <c r="I43" s="2066"/>
      <c r="J43" s="2050">
        <v>0</v>
      </c>
      <c r="K43" s="2067">
        <v>0</v>
      </c>
      <c r="L43" s="2068">
        <v>0</v>
      </c>
      <c r="M43" s="474"/>
      <c r="N43" s="474"/>
      <c r="O43" s="2072"/>
      <c r="P43" s="2011"/>
      <c r="Q43" s="2011"/>
      <c r="R43" s="2074"/>
      <c r="S43" s="2011"/>
      <c r="T43" s="2011"/>
      <c r="U43" s="2011"/>
      <c r="V43" s="2011"/>
      <c r="W43" s="2011"/>
      <c r="X43" s="2011"/>
      <c r="Y43" s="2011"/>
      <c r="Z43" s="2011"/>
      <c r="AA43" s="2011"/>
      <c r="AB43" s="2011"/>
      <c r="AC43" s="2039"/>
      <c r="AD43" s="2077" t="s">
        <v>325</v>
      </c>
      <c r="AE43" s="2077"/>
    </row>
    <row r="44" spans="1:31">
      <c r="A44" s="2001"/>
      <c r="B44" s="2001"/>
      <c r="C44" s="2001"/>
      <c r="D44" s="2001"/>
      <c r="E44" s="2051"/>
      <c r="F44" s="2001"/>
      <c r="G44" s="2001"/>
      <c r="H44" s="2052"/>
      <c r="I44" s="2001"/>
      <c r="J44" s="2001"/>
      <c r="K44" s="2001"/>
      <c r="L44" s="2001"/>
      <c r="M44" s="2001"/>
      <c r="N44" s="2001"/>
      <c r="O44" s="2002"/>
      <c r="P44" s="2001"/>
      <c r="Q44" s="2001"/>
      <c r="R44" s="2001"/>
      <c r="S44" s="2001"/>
      <c r="T44" s="2001"/>
      <c r="U44" s="2001"/>
      <c r="V44" s="2001"/>
      <c r="W44" s="2001"/>
      <c r="X44" s="2001"/>
      <c r="Y44" s="2001"/>
      <c r="Z44" s="2001"/>
      <c r="AA44" s="2001"/>
      <c r="AB44" s="2001"/>
      <c r="AC44" s="2001"/>
      <c r="AD44" s="2001"/>
      <c r="AE44" s="2001"/>
    </row>
    <row r="45" spans="1:31">
      <c r="A45" s="2001"/>
      <c r="B45" s="2001"/>
      <c r="C45" s="2001"/>
      <c r="D45" s="2001"/>
      <c r="E45" s="2051"/>
      <c r="F45" s="2001"/>
      <c r="G45" s="2001"/>
      <c r="H45" s="2052"/>
      <c r="I45" s="2001"/>
      <c r="J45" s="2001"/>
      <c r="K45" s="2001"/>
      <c r="L45" s="2001"/>
      <c r="M45" s="2001"/>
      <c r="N45" s="2001"/>
      <c r="O45" s="2002"/>
      <c r="P45" s="2001"/>
      <c r="Q45" s="2001"/>
      <c r="R45" s="2001"/>
      <c r="S45" s="2001"/>
      <c r="T45" s="2001"/>
      <c r="U45" s="2001"/>
      <c r="V45" s="2001"/>
      <c r="W45" s="2001"/>
      <c r="X45" s="2001"/>
      <c r="Y45" s="2001"/>
      <c r="Z45" s="2001"/>
      <c r="AA45" s="2001"/>
      <c r="AB45" s="2001"/>
      <c r="AC45" s="2001"/>
      <c r="AD45" s="2001"/>
      <c r="AE45" s="2001"/>
    </row>
    <row r="46" spans="1:31">
      <c r="A46" s="2001"/>
      <c r="B46" s="2001"/>
      <c r="C46" s="2001" t="s">
        <v>139</v>
      </c>
      <c r="D46" s="2001" t="s">
        <v>140</v>
      </c>
      <c r="E46" s="2051"/>
      <c r="F46" s="2001" t="s">
        <v>141</v>
      </c>
      <c r="G46" s="2001"/>
      <c r="H46" s="2052">
        <f>H12+H26+H43</f>
        <v>5775356.3158</v>
      </c>
      <c r="I46" s="2001"/>
      <c r="J46" s="2001" t="s">
        <v>579</v>
      </c>
      <c r="K46" s="2069">
        <f>H12</f>
        <v>2940000</v>
      </c>
      <c r="L46" s="2001"/>
      <c r="M46" s="2069"/>
      <c r="N46" s="2001"/>
      <c r="O46" s="2002"/>
      <c r="P46" s="2001"/>
      <c r="Q46" s="2001"/>
      <c r="R46" s="2001"/>
      <c r="S46" s="2001"/>
      <c r="T46" s="2001"/>
      <c r="U46" s="2001"/>
      <c r="V46" s="2001"/>
      <c r="W46" s="2001"/>
      <c r="X46" s="2001"/>
      <c r="Y46" s="2001"/>
      <c r="Z46" s="2001"/>
      <c r="AA46" s="2001"/>
      <c r="AB46" s="2001"/>
      <c r="AC46" s="2001"/>
      <c r="AD46" s="2001"/>
      <c r="AE46" s="2001"/>
    </row>
    <row r="47" spans="1:31">
      <c r="A47" s="2001"/>
      <c r="B47" s="2001"/>
      <c r="C47" s="2001"/>
      <c r="D47" s="2001"/>
      <c r="E47" s="2051"/>
      <c r="F47" s="2001"/>
      <c r="G47" s="2001"/>
      <c r="H47" s="2052"/>
      <c r="I47" s="2001"/>
      <c r="J47" s="2001" t="s">
        <v>580</v>
      </c>
      <c r="K47" s="2069">
        <f>H26</f>
        <v>2308515.166</v>
      </c>
      <c r="L47" s="2001"/>
      <c r="M47" s="2069"/>
      <c r="N47" s="2001"/>
      <c r="O47" s="2002"/>
      <c r="P47" s="2001"/>
      <c r="Q47" s="2001"/>
      <c r="R47" s="2001"/>
      <c r="S47" s="2001"/>
      <c r="T47" s="2001"/>
      <c r="U47" s="2001"/>
      <c r="V47" s="2001"/>
      <c r="W47" s="2001"/>
      <c r="X47" s="2001"/>
      <c r="Y47" s="2001"/>
      <c r="Z47" s="2001"/>
      <c r="AA47" s="2001"/>
      <c r="AB47" s="2001"/>
      <c r="AC47" s="2001"/>
      <c r="AD47" s="2001"/>
      <c r="AE47" s="2001"/>
    </row>
    <row r="48" spans="1:31">
      <c r="A48" s="2001"/>
      <c r="B48" s="2001"/>
      <c r="C48" s="2001"/>
      <c r="D48" s="2001"/>
      <c r="E48" s="2051"/>
      <c r="F48" s="2001"/>
      <c r="G48" s="2001"/>
      <c r="H48" s="2052"/>
      <c r="I48" s="2001"/>
      <c r="J48" s="2001" t="s">
        <v>581</v>
      </c>
      <c r="K48" s="2069">
        <f>H43</f>
        <v>526841.1498</v>
      </c>
      <c r="L48" s="2001"/>
      <c r="M48" s="2069"/>
      <c r="N48" s="2001"/>
      <c r="O48" s="2002"/>
      <c r="P48" s="2001"/>
      <c r="Q48" s="2001"/>
      <c r="R48" s="2001"/>
      <c r="S48" s="2001"/>
      <c r="T48" s="2001"/>
      <c r="U48" s="2001"/>
      <c r="V48" s="2001"/>
      <c r="W48" s="2001"/>
      <c r="X48" s="2001"/>
      <c r="Y48" s="2001"/>
      <c r="Z48" s="2001"/>
      <c r="AA48" s="2001"/>
      <c r="AB48" s="2001"/>
      <c r="AC48" s="2001"/>
      <c r="AD48" s="2001"/>
      <c r="AE48" s="2001"/>
    </row>
    <row r="49" spans="1:31">
      <c r="A49" s="2001"/>
      <c r="B49" s="2001"/>
      <c r="C49" s="2001"/>
      <c r="D49" s="2001"/>
      <c r="E49" s="2051"/>
      <c r="F49" s="2001"/>
      <c r="G49" s="2001"/>
      <c r="H49" s="2052"/>
      <c r="I49" s="2001"/>
      <c r="J49" s="2001"/>
      <c r="K49" s="2069">
        <f>SUM(K46:K48)</f>
        <v>5775356.3158</v>
      </c>
      <c r="L49" s="2001"/>
      <c r="M49" s="2069"/>
      <c r="N49" s="2001"/>
      <c r="O49" s="2002"/>
      <c r="P49" s="2001"/>
      <c r="Q49" s="2001"/>
      <c r="R49" s="2001"/>
      <c r="S49" s="2001"/>
      <c r="T49" s="2001"/>
      <c r="U49" s="2001"/>
      <c r="V49" s="2001"/>
      <c r="W49" s="2001"/>
      <c r="X49" s="2001"/>
      <c r="Y49" s="2001"/>
      <c r="Z49" s="2001"/>
      <c r="AA49" s="2001"/>
      <c r="AB49" s="2001"/>
      <c r="AC49" s="2001"/>
      <c r="AD49" s="2001"/>
      <c r="AE49" s="2001"/>
    </row>
    <row r="50" spans="1:31">
      <c r="A50" s="2001"/>
      <c r="B50" s="2001"/>
      <c r="C50" s="2001"/>
      <c r="D50" s="2001"/>
      <c r="E50" s="2051"/>
      <c r="F50" s="2001"/>
      <c r="G50" s="2001"/>
      <c r="H50" s="2052"/>
      <c r="I50" s="2001"/>
      <c r="J50" s="2001"/>
      <c r="K50" s="2069"/>
      <c r="L50" s="2001"/>
      <c r="M50" s="2069"/>
      <c r="N50" s="2001"/>
      <c r="O50" s="2002"/>
      <c r="P50" s="2001"/>
      <c r="Q50" s="2001"/>
      <c r="R50" s="2001"/>
      <c r="S50" s="2001"/>
      <c r="T50" s="2001"/>
      <c r="U50" s="2001"/>
      <c r="V50" s="2001"/>
      <c r="W50" s="2001"/>
      <c r="X50" s="2001"/>
      <c r="Y50" s="2001"/>
      <c r="Z50" s="2001"/>
      <c r="AA50" s="2001"/>
      <c r="AB50" s="2001"/>
      <c r="AC50" s="2001"/>
      <c r="AD50" s="2001"/>
      <c r="AE50" s="2001"/>
    </row>
    <row r="51" spans="1:31">
      <c r="A51" s="2041"/>
      <c r="B51" s="2041"/>
      <c r="C51" s="2041"/>
      <c r="D51" s="2041"/>
      <c r="E51" s="2051"/>
      <c r="F51" s="2041"/>
      <c r="G51" s="2041"/>
      <c r="H51" s="2052"/>
      <c r="I51" s="2041"/>
      <c r="J51" s="2041"/>
      <c r="K51" s="2041"/>
      <c r="L51" s="2041"/>
      <c r="M51" s="2069"/>
      <c r="N51" s="2041"/>
      <c r="O51" s="2002"/>
      <c r="P51" s="2041"/>
      <c r="Q51" s="2041"/>
      <c r="R51" s="2041"/>
      <c r="S51" s="2041"/>
      <c r="T51" s="2041"/>
      <c r="U51" s="2041"/>
      <c r="V51" s="2041"/>
      <c r="W51" s="2041"/>
      <c r="X51" s="2041"/>
      <c r="Y51" s="2041"/>
      <c r="Z51" s="2041"/>
      <c r="AA51" s="2041"/>
      <c r="AB51" s="2041"/>
      <c r="AC51" s="2041"/>
      <c r="AD51" s="2041"/>
      <c r="AE51" s="2041"/>
    </row>
    <row r="52" spans="1:31">
      <c r="A52" s="2041"/>
      <c r="B52" s="2041"/>
      <c r="C52" s="2041"/>
      <c r="D52" s="2041"/>
      <c r="E52" s="2051"/>
      <c r="F52" s="2041"/>
      <c r="G52" s="2041"/>
      <c r="H52" s="2052"/>
      <c r="I52" s="2041"/>
      <c r="J52" s="2041"/>
      <c r="K52" s="2041"/>
      <c r="L52" s="2041"/>
      <c r="M52" s="2041"/>
      <c r="N52" s="2041"/>
      <c r="O52" s="2002"/>
      <c r="P52" s="2041"/>
      <c r="Q52" s="2041"/>
      <c r="R52" s="2041"/>
      <c r="S52" s="2041"/>
      <c r="T52" s="2041"/>
      <c r="U52" s="2041"/>
      <c r="V52" s="2041"/>
      <c r="W52" s="2041"/>
      <c r="X52" s="2041"/>
      <c r="Y52" s="2041"/>
      <c r="Z52" s="2041"/>
      <c r="AA52" s="2041"/>
      <c r="AB52" s="2041"/>
      <c r="AC52" s="2041"/>
      <c r="AD52" s="2041"/>
      <c r="AE52" s="2041"/>
    </row>
    <row r="53" spans="1:31">
      <c r="A53" s="2041"/>
      <c r="B53" s="2041"/>
      <c r="C53" s="2041"/>
      <c r="D53" s="2041"/>
      <c r="E53" s="2051"/>
      <c r="F53" s="2041"/>
      <c r="G53" s="2041"/>
      <c r="H53" s="2052"/>
      <c r="I53" s="2041"/>
      <c r="J53" s="2041"/>
      <c r="K53" s="2041"/>
      <c r="L53" s="2041"/>
      <c r="M53" s="2041"/>
      <c r="N53" s="2041"/>
      <c r="O53" s="2002"/>
      <c r="P53" s="2041"/>
      <c r="Q53" s="2041"/>
      <c r="R53" s="2041"/>
      <c r="S53" s="2041"/>
      <c r="T53" s="2041"/>
      <c r="U53" s="2041"/>
      <c r="V53" s="2041"/>
      <c r="W53" s="2041"/>
      <c r="X53" s="2041"/>
      <c r="Y53" s="2041"/>
      <c r="Z53" s="2041"/>
      <c r="AA53" s="2041"/>
      <c r="AB53" s="2041"/>
      <c r="AC53" s="2041"/>
      <c r="AD53" s="2041"/>
      <c r="AE53" s="2041"/>
    </row>
  </sheetData>
  <sheetProtection formatCells="0" insertHyperlinks="0" autoFilter="0"/>
  <mergeCells count="13">
    <mergeCell ref="A1:M1"/>
    <mergeCell ref="A12:B12"/>
    <mergeCell ref="C12:D12"/>
    <mergeCell ref="A26:B26"/>
    <mergeCell ref="C26:D26"/>
    <mergeCell ref="A43:B43"/>
    <mergeCell ref="C43:D43"/>
    <mergeCell ref="A3:A6"/>
    <mergeCell ref="A7:A8"/>
    <mergeCell ref="A9:A11"/>
    <mergeCell ref="A19:A25"/>
    <mergeCell ref="A27:A33"/>
    <mergeCell ref="A34:A3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/>
  <dimension ref="A1:AI48"/>
  <sheetViews>
    <sheetView zoomScale="70" zoomScaleNormal="70" workbookViewId="0">
      <pane xSplit="3" ySplit="1" topLeftCell="D17" activePane="bottomRight" state="frozen"/>
      <selection/>
      <selection pane="topRight"/>
      <selection pane="bottomLeft"/>
      <selection pane="bottomRight" activeCell="N31" sqref="N31"/>
    </sheetView>
  </sheetViews>
  <sheetFormatPr defaultColWidth="9" defaultRowHeight="16.5"/>
  <cols>
    <col min="1" max="1" width="12.9666666666667" style="417" customWidth="1"/>
    <col min="2" max="2" width="11.2583333333333" style="417" customWidth="1"/>
    <col min="3" max="3" width="11.2583333333333" style="879" customWidth="1"/>
    <col min="4" max="4" width="21.5666666666667" style="417" customWidth="1"/>
    <col min="5" max="5" width="17.1916666666667" style="417" customWidth="1"/>
    <col min="6" max="6" width="21.5666666666667" style="417" customWidth="1"/>
    <col min="7" max="7" width="10.375" style="879"/>
    <col min="8" max="8" width="14.3083333333333" style="417" customWidth="1"/>
    <col min="9" max="9" width="16.875" style="417" customWidth="1"/>
    <col min="10" max="10" width="19.875" style="880" customWidth="1"/>
    <col min="11" max="11" width="15.1583333333333" style="417" customWidth="1"/>
    <col min="12" max="12" width="15.1583333333333" style="1913" customWidth="1"/>
    <col min="13" max="13" width="24.8416666666667" style="417" customWidth="1"/>
    <col min="14" max="14" width="20.1583333333333" style="417" customWidth="1"/>
    <col min="15" max="15" width="40" style="417" customWidth="1"/>
    <col min="16" max="16" width="17.3583333333333" style="417" customWidth="1"/>
    <col min="17" max="17" width="14.875" style="417"/>
    <col min="18" max="18" width="14.025" style="417" customWidth="1"/>
    <col min="19" max="19" width="18.1916666666667" style="417" customWidth="1"/>
    <col min="20" max="20" width="43.7583333333333" style="1243" customWidth="1"/>
    <col min="21" max="21" width="9" style="417" hidden="1" customWidth="1"/>
    <col min="22" max="22" width="17.1916666666667" style="417" hidden="1" customWidth="1"/>
    <col min="23" max="32" width="9" style="417" hidden="1" customWidth="1"/>
    <col min="33" max="33" width="10.5333333333333" style="417" hidden="1" customWidth="1"/>
    <col min="34" max="34" width="15" style="417" hidden="1" customWidth="1"/>
    <col min="35" max="35" width="8" style="417" hidden="1" customWidth="1"/>
    <col min="36" max="16384" width="9" style="417"/>
  </cols>
  <sheetData>
    <row r="1" ht="24.75" customHeight="1" spans="1:35">
      <c r="A1" s="1366" t="s">
        <v>1091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916"/>
      <c r="M1" s="1366"/>
      <c r="N1" s="1090"/>
      <c r="O1" s="1391"/>
      <c r="P1" s="1391"/>
      <c r="Q1" s="1391"/>
      <c r="R1" s="1391"/>
      <c r="S1" s="1090"/>
      <c r="T1" s="1242"/>
      <c r="U1" s="1090"/>
      <c r="V1" s="1391"/>
      <c r="W1" s="1090"/>
      <c r="X1" s="1090"/>
      <c r="Y1" s="1090"/>
      <c r="Z1" s="1090"/>
      <c r="AA1" s="1090"/>
      <c r="AB1" s="1090"/>
      <c r="AC1" s="1090"/>
      <c r="AD1" s="1090"/>
      <c r="AE1" s="1090"/>
      <c r="AF1" s="1090"/>
      <c r="AG1" s="1391"/>
      <c r="AH1" s="1391"/>
      <c r="AI1" s="1391"/>
    </row>
    <row r="2" s="1362" customFormat="1" ht="36.85" customHeight="1" spans="1:35">
      <c r="A2" s="1367" t="s">
        <v>1092</v>
      </c>
      <c r="B2" s="1870" t="s">
        <v>1093</v>
      </c>
      <c r="C2" s="1871" t="s">
        <v>1094</v>
      </c>
      <c r="D2" s="1870" t="s">
        <v>361</v>
      </c>
      <c r="E2" s="1875" t="s">
        <v>1095</v>
      </c>
      <c r="F2" s="1379" t="s">
        <v>7</v>
      </c>
      <c r="G2" s="1380" t="s">
        <v>8</v>
      </c>
      <c r="H2" s="1392" t="s">
        <v>9</v>
      </c>
      <c r="I2" s="1392" t="s">
        <v>362</v>
      </c>
      <c r="J2" s="1884" t="s">
        <v>10</v>
      </c>
      <c r="K2" s="1823" t="s">
        <v>1096</v>
      </c>
      <c r="L2" s="1917" t="s">
        <v>1097</v>
      </c>
      <c r="M2" s="1894" t="s">
        <v>1098</v>
      </c>
      <c r="N2" s="1378" t="s">
        <v>1099</v>
      </c>
      <c r="O2" s="1393" t="s">
        <v>12</v>
      </c>
      <c r="P2" s="1393" t="s">
        <v>13</v>
      </c>
      <c r="Q2" s="1394" t="s">
        <v>14</v>
      </c>
      <c r="R2" s="1402" t="s">
        <v>15</v>
      </c>
      <c r="S2" s="1403" t="s">
        <v>1100</v>
      </c>
      <c r="T2" s="1404" t="s">
        <v>1101</v>
      </c>
      <c r="U2" s="1403" t="s">
        <v>1102</v>
      </c>
      <c r="V2" s="1412" t="s">
        <v>363</v>
      </c>
      <c r="W2" s="1413" t="s">
        <v>1103</v>
      </c>
      <c r="X2" s="1403" t="s">
        <v>1104</v>
      </c>
      <c r="Y2" s="1403" t="s">
        <v>1105</v>
      </c>
      <c r="Z2" s="1403" t="s">
        <v>1106</v>
      </c>
      <c r="AA2" s="1403" t="s">
        <v>1107</v>
      </c>
      <c r="AB2" s="1403" t="s">
        <v>1108</v>
      </c>
      <c r="AC2" s="1403" t="s">
        <v>1109</v>
      </c>
      <c r="AD2" s="1403" t="s">
        <v>1110</v>
      </c>
      <c r="AE2" s="1415" t="s">
        <v>1108</v>
      </c>
      <c r="AF2" s="1416" t="s">
        <v>1109</v>
      </c>
      <c r="AG2" s="1417" t="s">
        <v>1111</v>
      </c>
      <c r="AH2" s="1402" t="s">
        <v>4</v>
      </c>
      <c r="AI2" s="1417" t="s">
        <v>1112</v>
      </c>
    </row>
    <row r="3" s="1363" customFormat="1" ht="18.75" customHeight="1" spans="1:35">
      <c r="A3" s="1421" t="s">
        <v>579</v>
      </c>
      <c r="B3" s="671" t="s">
        <v>38</v>
      </c>
      <c r="C3" s="557">
        <v>195</v>
      </c>
      <c r="D3" s="579" t="s">
        <v>1113</v>
      </c>
      <c r="E3" s="579" t="s">
        <v>1114</v>
      </c>
      <c r="F3" s="1381"/>
      <c r="G3" s="1558"/>
      <c r="H3" s="1395"/>
      <c r="I3" s="1395"/>
      <c r="J3" s="1508">
        <v>300000</v>
      </c>
      <c r="K3" s="1168">
        <v>6.3509</v>
      </c>
      <c r="L3" s="1918">
        <v>44676</v>
      </c>
      <c r="M3" s="766"/>
      <c r="N3" s="250" t="s">
        <v>50</v>
      </c>
      <c r="O3" s="602"/>
      <c r="P3" s="1396"/>
      <c r="Q3" s="1172"/>
      <c r="R3" s="1397"/>
      <c r="S3" s="1397"/>
      <c r="T3" s="1405"/>
      <c r="U3" s="1397"/>
      <c r="V3" s="1397"/>
      <c r="W3" s="1397"/>
      <c r="X3" s="1397"/>
      <c r="Y3" s="1397"/>
      <c r="Z3" s="1397"/>
      <c r="AA3" s="1397"/>
      <c r="AB3" s="1397"/>
      <c r="AC3" s="1397"/>
      <c r="AD3" s="1397"/>
      <c r="AE3" s="1397"/>
      <c r="AF3" s="1397"/>
      <c r="AG3" s="1218"/>
      <c r="AH3" s="1182"/>
      <c r="AI3" s="1397"/>
    </row>
    <row r="4" s="1363" customFormat="1" ht="18.75" customHeight="1" spans="1:35">
      <c r="A4" s="1502"/>
      <c r="B4" s="671"/>
      <c r="C4" s="557"/>
      <c r="D4" s="572" t="s">
        <v>840</v>
      </c>
      <c r="E4" s="572" t="s">
        <v>1115</v>
      </c>
      <c r="F4" s="1876"/>
      <c r="G4" s="1877"/>
      <c r="H4" s="1399"/>
      <c r="I4" s="1399"/>
      <c r="J4" s="1509">
        <v>100000</v>
      </c>
      <c r="K4" s="733">
        <v>6.3509</v>
      </c>
      <c r="L4" s="1919">
        <v>44671</v>
      </c>
      <c r="M4" s="602"/>
      <c r="N4" s="250" t="s">
        <v>50</v>
      </c>
      <c r="O4" s="602"/>
      <c r="P4" s="1396"/>
      <c r="Q4" s="1172"/>
      <c r="R4" s="1397"/>
      <c r="S4" s="1397"/>
      <c r="T4" s="1405"/>
      <c r="U4" s="1397"/>
      <c r="V4" s="1397"/>
      <c r="W4" s="1397"/>
      <c r="X4" s="1397"/>
      <c r="Y4" s="1397"/>
      <c r="Z4" s="1397"/>
      <c r="AA4" s="1397"/>
      <c r="AB4" s="1397"/>
      <c r="AC4" s="1397"/>
      <c r="AD4" s="1397"/>
      <c r="AE4" s="1397"/>
      <c r="AF4" s="1397"/>
      <c r="AG4" s="1218"/>
      <c r="AH4" s="1182"/>
      <c r="AI4" s="1397"/>
    </row>
    <row r="5" s="1363" customFormat="1" ht="18.75" customHeight="1" spans="1:35">
      <c r="A5" s="1502"/>
      <c r="B5" s="671"/>
      <c r="C5" s="557"/>
      <c r="D5" s="572" t="s">
        <v>157</v>
      </c>
      <c r="E5" s="572" t="s">
        <v>1116</v>
      </c>
      <c r="F5" s="1387"/>
      <c r="G5" s="1386"/>
      <c r="H5" s="1399"/>
      <c r="I5" s="1399"/>
      <c r="J5" s="1509">
        <v>350000</v>
      </c>
      <c r="K5" s="733">
        <v>6.3509</v>
      </c>
      <c r="L5" s="1919">
        <v>44681</v>
      </c>
      <c r="M5" s="602"/>
      <c r="N5" s="250" t="s">
        <v>1117</v>
      </c>
      <c r="O5" s="602"/>
      <c r="P5" s="1396"/>
      <c r="Q5" s="1172"/>
      <c r="R5" s="1397"/>
      <c r="S5" s="1397"/>
      <c r="T5" s="1405"/>
      <c r="U5" s="1397"/>
      <c r="V5" s="1397"/>
      <c r="W5" s="1397"/>
      <c r="X5" s="1397"/>
      <c r="Y5" s="1397"/>
      <c r="Z5" s="1397"/>
      <c r="AA5" s="1397"/>
      <c r="AB5" s="1397"/>
      <c r="AC5" s="1397"/>
      <c r="AD5" s="1397"/>
      <c r="AE5" s="1397"/>
      <c r="AF5" s="1397"/>
      <c r="AG5" s="1218"/>
      <c r="AH5" s="1182"/>
      <c r="AI5" s="1397"/>
    </row>
    <row r="6" s="1363" customFormat="1" ht="18.75" customHeight="1" spans="1:35">
      <c r="A6" s="1502"/>
      <c r="B6" s="671"/>
      <c r="C6" s="557"/>
      <c r="D6" s="572" t="s">
        <v>143</v>
      </c>
      <c r="E6" s="572" t="s">
        <v>1118</v>
      </c>
      <c r="F6" s="1387"/>
      <c r="G6" s="1386"/>
      <c r="H6" s="1399"/>
      <c r="I6" s="1399"/>
      <c r="J6" s="1509">
        <v>250000</v>
      </c>
      <c r="K6" s="733">
        <v>6.3509</v>
      </c>
      <c r="L6" s="1919">
        <v>44676</v>
      </c>
      <c r="M6" s="602"/>
      <c r="N6" s="250" t="s">
        <v>50</v>
      </c>
      <c r="O6" s="602"/>
      <c r="P6" s="1396"/>
      <c r="Q6" s="1172"/>
      <c r="R6" s="1397"/>
      <c r="S6" s="1397"/>
      <c r="T6" s="1405"/>
      <c r="U6" s="1397"/>
      <c r="V6" s="1397"/>
      <c r="W6" s="1397"/>
      <c r="X6" s="1397"/>
      <c r="Y6" s="1397"/>
      <c r="Z6" s="1397"/>
      <c r="AA6" s="1397"/>
      <c r="AB6" s="1397"/>
      <c r="AC6" s="1397"/>
      <c r="AD6" s="1397"/>
      <c r="AE6" s="1397"/>
      <c r="AF6" s="1397"/>
      <c r="AG6" s="1218"/>
      <c r="AH6" s="1182"/>
      <c r="AI6" s="1397"/>
    </row>
    <row r="7" s="1363" customFormat="1" ht="18.75" customHeight="1" spans="1:35">
      <c r="A7" s="1502"/>
      <c r="B7" s="1247" t="s">
        <v>209</v>
      </c>
      <c r="C7" s="655">
        <v>150</v>
      </c>
      <c r="D7" s="698" t="s">
        <v>768</v>
      </c>
      <c r="E7" s="572" t="s">
        <v>1119</v>
      </c>
      <c r="F7" s="1303"/>
      <c r="G7" s="1303"/>
      <c r="H7" s="1303"/>
      <c r="I7" s="1399"/>
      <c r="J7" s="1509">
        <v>200000</v>
      </c>
      <c r="K7" s="733">
        <v>6.3509</v>
      </c>
      <c r="L7" s="1919">
        <v>44676</v>
      </c>
      <c r="M7" s="602"/>
      <c r="N7" s="250" t="s">
        <v>50</v>
      </c>
      <c r="O7" s="602"/>
      <c r="P7" s="1340"/>
      <c r="Q7" s="1172"/>
      <c r="R7" s="1397"/>
      <c r="S7" s="1397"/>
      <c r="T7" s="1406"/>
      <c r="U7" s="1397"/>
      <c r="V7" s="1414"/>
      <c r="W7" s="1397"/>
      <c r="X7" s="1397"/>
      <c r="Y7" s="1397"/>
      <c r="Z7" s="1397"/>
      <c r="AA7" s="1397"/>
      <c r="AB7" s="1397"/>
      <c r="AC7" s="1397"/>
      <c r="AD7" s="1397"/>
      <c r="AE7" s="1397"/>
      <c r="AF7" s="1397"/>
      <c r="AG7" s="1218"/>
      <c r="AH7" s="1182"/>
      <c r="AI7" s="1397"/>
    </row>
    <row r="8" s="1363" customFormat="1" ht="18.75" customHeight="1" spans="1:35">
      <c r="A8" s="1502"/>
      <c r="B8" s="1247"/>
      <c r="C8" s="655"/>
      <c r="D8" s="698" t="s">
        <v>148</v>
      </c>
      <c r="E8" s="572"/>
      <c r="F8" s="1388"/>
      <c r="G8" s="1878"/>
      <c r="H8" s="1879"/>
      <c r="I8" s="1886"/>
      <c r="J8" s="1509">
        <v>200000</v>
      </c>
      <c r="K8" s="733">
        <v>6.3509</v>
      </c>
      <c r="L8" s="1919">
        <v>44676</v>
      </c>
      <c r="M8" s="602"/>
      <c r="N8" s="250" t="s">
        <v>147</v>
      </c>
      <c r="O8" s="602"/>
      <c r="P8" s="1340"/>
      <c r="Q8" s="1172"/>
      <c r="R8" s="1397"/>
      <c r="S8" s="1397"/>
      <c r="T8" s="1406"/>
      <c r="U8" s="1397"/>
      <c r="V8" s="1414"/>
      <c r="W8" s="1397"/>
      <c r="X8" s="1397"/>
      <c r="Y8" s="1397"/>
      <c r="Z8" s="1397"/>
      <c r="AA8" s="1397"/>
      <c r="AB8" s="1397"/>
      <c r="AC8" s="1397"/>
      <c r="AD8" s="1397"/>
      <c r="AE8" s="1397"/>
      <c r="AF8" s="1397"/>
      <c r="AG8" s="1218"/>
      <c r="AH8" s="1182"/>
      <c r="AI8" s="1397"/>
    </row>
    <row r="9" s="1363" customFormat="1" ht="18.75" customHeight="1" spans="1:35">
      <c r="A9" s="1502"/>
      <c r="B9" s="1188" t="s">
        <v>1120</v>
      </c>
      <c r="C9" s="1554">
        <v>60</v>
      </c>
      <c r="D9" s="572" t="s">
        <v>1121</v>
      </c>
      <c r="E9" s="572" t="s">
        <v>1122</v>
      </c>
      <c r="F9" s="1388"/>
      <c r="G9" s="1386"/>
      <c r="H9" s="1399"/>
      <c r="I9" s="1399"/>
      <c r="J9" s="1509">
        <v>350000</v>
      </c>
      <c r="K9" s="733">
        <v>6.3509</v>
      </c>
      <c r="L9" s="1919">
        <v>44680</v>
      </c>
      <c r="M9" s="602"/>
      <c r="N9" s="250" t="s">
        <v>147</v>
      </c>
      <c r="O9" s="766"/>
      <c r="P9" s="1173"/>
      <c r="Q9" s="1174"/>
      <c r="R9" s="1398"/>
      <c r="S9" s="1398"/>
      <c r="T9" s="1407"/>
      <c r="U9" s="1397"/>
      <c r="V9" s="1414"/>
      <c r="W9" s="1397"/>
      <c r="X9" s="1397"/>
      <c r="Y9" s="1397"/>
      <c r="Z9" s="1397"/>
      <c r="AA9" s="1397"/>
      <c r="AB9" s="1397"/>
      <c r="AC9" s="1397"/>
      <c r="AD9" s="1397"/>
      <c r="AE9" s="1397"/>
      <c r="AF9" s="1397"/>
      <c r="AG9" s="1218"/>
      <c r="AH9" s="1182"/>
      <c r="AI9" s="1397"/>
    </row>
    <row r="10" s="1363" customFormat="1" ht="18.75" customHeight="1" spans="1:35">
      <c r="A10" s="1502"/>
      <c r="B10" s="1188"/>
      <c r="C10" s="1554"/>
      <c r="D10" s="572" t="s">
        <v>221</v>
      </c>
      <c r="E10" s="572" t="s">
        <v>1123</v>
      </c>
      <c r="F10" s="1388"/>
      <c r="G10" s="1386"/>
      <c r="H10" s="1399"/>
      <c r="I10" s="1399"/>
      <c r="J10" s="1509">
        <v>50000</v>
      </c>
      <c r="K10" s="733">
        <v>6.3509</v>
      </c>
      <c r="L10" s="1919">
        <v>44671</v>
      </c>
      <c r="M10" s="602"/>
      <c r="N10" s="250" t="s">
        <v>50</v>
      </c>
      <c r="O10" s="766"/>
      <c r="P10" s="1173"/>
      <c r="Q10" s="1174"/>
      <c r="R10" s="1398"/>
      <c r="S10" s="1398"/>
      <c r="T10" s="1407"/>
      <c r="U10" s="1397"/>
      <c r="V10" s="1414"/>
      <c r="W10" s="1397"/>
      <c r="X10" s="1397"/>
      <c r="Y10" s="1397"/>
      <c r="Z10" s="1397"/>
      <c r="AA10" s="1397"/>
      <c r="AB10" s="1397"/>
      <c r="AC10" s="1397"/>
      <c r="AD10" s="1397"/>
      <c r="AE10" s="1397"/>
      <c r="AF10" s="1397"/>
      <c r="AG10" s="1218"/>
      <c r="AH10" s="1182"/>
      <c r="AI10" s="1397"/>
    </row>
    <row r="11" s="889" customFormat="1" ht="27.2" customHeight="1" spans="1:35">
      <c r="A11" s="1505"/>
      <c r="B11" s="1872" t="s">
        <v>1124</v>
      </c>
      <c r="C11" s="1087">
        <f>SUM(C3:C10)</f>
        <v>405</v>
      </c>
      <c r="D11" s="1873" t="s">
        <v>1125</v>
      </c>
      <c r="E11" s="1880"/>
      <c r="F11" s="777"/>
      <c r="G11" s="1881"/>
      <c r="H11" s="1882"/>
      <c r="I11" s="1887"/>
      <c r="J11" s="1888">
        <f>SUM(J3:J10)</f>
        <v>1800000</v>
      </c>
      <c r="K11" s="1889"/>
      <c r="L11" s="1920"/>
      <c r="M11" s="807"/>
      <c r="N11" s="719"/>
      <c r="O11" s="807"/>
      <c r="P11" s="807">
        <v>0</v>
      </c>
      <c r="Q11" s="807">
        <v>0</v>
      </c>
      <c r="R11" s="1408"/>
      <c r="S11" s="1408"/>
      <c r="T11" s="1409"/>
      <c r="U11" s="727"/>
      <c r="V11" s="727"/>
      <c r="W11" s="727"/>
      <c r="X11" s="727"/>
      <c r="Y11" s="727"/>
      <c r="Z11" s="727"/>
      <c r="AA11" s="727"/>
      <c r="AB11" s="727"/>
      <c r="AC11" s="727"/>
      <c r="AD11" s="727"/>
      <c r="AE11" s="727"/>
      <c r="AF11" s="727"/>
      <c r="AG11" s="727"/>
      <c r="AH11" s="727" t="s">
        <v>285</v>
      </c>
      <c r="AI11" s="727"/>
    </row>
    <row r="12" s="1363" customFormat="1" ht="23.45" customHeight="1" spans="1:35">
      <c r="A12" s="1646" t="s">
        <v>580</v>
      </c>
      <c r="B12" s="1269" t="s">
        <v>331</v>
      </c>
      <c r="C12" s="759">
        <v>134</v>
      </c>
      <c r="D12" s="664" t="s">
        <v>611</v>
      </c>
      <c r="E12" s="572" t="s">
        <v>1126</v>
      </c>
      <c r="F12" s="1390"/>
      <c r="G12" s="655"/>
      <c r="H12" s="656"/>
      <c r="I12" s="656"/>
      <c r="J12" s="1509">
        <v>200000</v>
      </c>
      <c r="K12" s="733">
        <v>6.3509</v>
      </c>
      <c r="L12" s="1919">
        <v>44661</v>
      </c>
      <c r="M12" s="1343"/>
      <c r="N12" s="546"/>
      <c r="O12" s="1400"/>
      <c r="P12" s="1401"/>
      <c r="Q12" s="1401"/>
      <c r="R12" s="1410"/>
      <c r="S12" s="1410"/>
      <c r="T12" s="1183"/>
      <c r="U12" s="1411"/>
      <c r="V12" s="715"/>
      <c r="W12" s="546"/>
      <c r="X12" s="546"/>
      <c r="Y12" s="546"/>
      <c r="Z12" s="546"/>
      <c r="AA12" s="546"/>
      <c r="AB12" s="546"/>
      <c r="AC12" s="546"/>
      <c r="AD12" s="546"/>
      <c r="AE12" s="546"/>
      <c r="AF12" s="546"/>
      <c r="AG12" s="715"/>
      <c r="AH12" s="715"/>
      <c r="AI12" s="715"/>
    </row>
    <row r="13" s="1363" customFormat="1" ht="23.45" customHeight="1" spans="1:35">
      <c r="A13" s="1660"/>
      <c r="B13" s="671"/>
      <c r="C13" s="557"/>
      <c r="D13" s="664" t="s">
        <v>1127</v>
      </c>
      <c r="E13" s="572" t="s">
        <v>1128</v>
      </c>
      <c r="F13" s="1914"/>
      <c r="G13" s="1516"/>
      <c r="H13" s="1516"/>
      <c r="I13" s="1516"/>
      <c r="J13" s="1509">
        <v>120000</v>
      </c>
      <c r="K13" s="733">
        <v>6.3509</v>
      </c>
      <c r="L13" s="1918">
        <v>44656</v>
      </c>
      <c r="M13" s="1343"/>
      <c r="N13" s="546"/>
      <c r="O13" s="1400"/>
      <c r="P13" s="1401"/>
      <c r="Q13" s="1401"/>
      <c r="R13" s="1410"/>
      <c r="S13" s="1410"/>
      <c r="T13" s="1183"/>
      <c r="U13" s="1411"/>
      <c r="V13" s="715"/>
      <c r="W13" s="546"/>
      <c r="X13" s="546"/>
      <c r="Y13" s="546"/>
      <c r="Z13" s="546"/>
      <c r="AA13" s="546"/>
      <c r="AB13" s="546"/>
      <c r="AC13" s="546"/>
      <c r="AD13" s="546"/>
      <c r="AE13" s="546"/>
      <c r="AF13" s="546"/>
      <c r="AG13" s="715"/>
      <c r="AH13" s="715"/>
      <c r="AI13" s="715"/>
    </row>
    <row r="14" s="1363" customFormat="1" ht="23.45" customHeight="1" spans="1:35">
      <c r="A14" s="1660"/>
      <c r="B14" s="671"/>
      <c r="C14" s="557"/>
      <c r="D14" s="664" t="s">
        <v>1129</v>
      </c>
      <c r="E14" s="572" t="s">
        <v>1130</v>
      </c>
      <c r="F14" s="1390"/>
      <c r="G14" s="655"/>
      <c r="H14" s="656"/>
      <c r="I14" s="656"/>
      <c r="J14" s="1509">
        <v>200000</v>
      </c>
      <c r="K14" s="733">
        <v>6.3509</v>
      </c>
      <c r="L14" s="1918">
        <v>44666</v>
      </c>
      <c r="M14" s="1343"/>
      <c r="N14" s="546"/>
      <c r="O14" s="1400"/>
      <c r="P14" s="1401"/>
      <c r="Q14" s="1401"/>
      <c r="R14" s="1410"/>
      <c r="S14" s="1410"/>
      <c r="T14" s="1183"/>
      <c r="U14" s="1411"/>
      <c r="V14" s="715"/>
      <c r="W14" s="546"/>
      <c r="X14" s="546"/>
      <c r="Y14" s="546"/>
      <c r="Z14" s="546"/>
      <c r="AA14" s="546"/>
      <c r="AB14" s="546"/>
      <c r="AC14" s="546"/>
      <c r="AD14" s="546"/>
      <c r="AE14" s="546"/>
      <c r="AF14" s="546"/>
      <c r="AG14" s="715"/>
      <c r="AH14" s="715"/>
      <c r="AI14" s="715"/>
    </row>
    <row r="15" s="1363" customFormat="1" ht="23.45" customHeight="1" spans="1:35">
      <c r="A15" s="1660"/>
      <c r="B15" s="671"/>
      <c r="C15" s="557"/>
      <c r="D15" s="664" t="s">
        <v>175</v>
      </c>
      <c r="E15" s="572" t="s">
        <v>1131</v>
      </c>
      <c r="F15" s="1390"/>
      <c r="G15" s="655"/>
      <c r="H15" s="656"/>
      <c r="I15" s="656"/>
      <c r="J15" s="1509">
        <v>100000</v>
      </c>
      <c r="K15" s="733">
        <v>6.3509</v>
      </c>
      <c r="L15" s="1918">
        <v>44681</v>
      </c>
      <c r="M15" s="1343"/>
      <c r="N15" s="546"/>
      <c r="O15" s="1400"/>
      <c r="P15" s="1401"/>
      <c r="Q15" s="1401"/>
      <c r="R15" s="1410"/>
      <c r="S15" s="1410"/>
      <c r="T15" s="1183"/>
      <c r="U15" s="1411"/>
      <c r="V15" s="715"/>
      <c r="W15" s="546"/>
      <c r="X15" s="546"/>
      <c r="Y15" s="546"/>
      <c r="Z15" s="546"/>
      <c r="AA15" s="546"/>
      <c r="AB15" s="546"/>
      <c r="AC15" s="546"/>
      <c r="AD15" s="546"/>
      <c r="AE15" s="546"/>
      <c r="AF15" s="546"/>
      <c r="AG15" s="715"/>
      <c r="AH15" s="715"/>
      <c r="AI15" s="715"/>
    </row>
    <row r="16" s="1363" customFormat="1" ht="23.45" customHeight="1" spans="1:35">
      <c r="A16" s="1660"/>
      <c r="B16" s="671"/>
      <c r="C16" s="557"/>
      <c r="D16" s="664" t="s">
        <v>166</v>
      </c>
      <c r="E16" s="572" t="s">
        <v>1132</v>
      </c>
      <c r="F16" s="1390"/>
      <c r="G16" s="655"/>
      <c r="H16" s="656"/>
      <c r="I16" s="656"/>
      <c r="J16" s="1509">
        <v>100000</v>
      </c>
      <c r="K16" s="733">
        <v>6.3509</v>
      </c>
      <c r="L16" s="1918">
        <v>44671</v>
      </c>
      <c r="M16" s="1343"/>
      <c r="N16" s="546"/>
      <c r="O16" s="1400"/>
      <c r="P16" s="1401"/>
      <c r="Q16" s="1401"/>
      <c r="R16" s="1410"/>
      <c r="S16" s="1410"/>
      <c r="T16" s="1183"/>
      <c r="U16" s="1411"/>
      <c r="V16" s="715"/>
      <c r="W16" s="546"/>
      <c r="X16" s="546"/>
      <c r="Y16" s="546"/>
      <c r="Z16" s="546"/>
      <c r="AA16" s="546"/>
      <c r="AB16" s="546"/>
      <c r="AC16" s="546"/>
      <c r="AD16" s="546"/>
      <c r="AE16" s="546"/>
      <c r="AF16" s="546"/>
      <c r="AG16" s="715"/>
      <c r="AH16" s="715"/>
      <c r="AI16" s="715"/>
    </row>
    <row r="17" s="1363" customFormat="1" ht="23.45" customHeight="1" spans="1:35">
      <c r="A17" s="1660"/>
      <c r="B17" s="1246"/>
      <c r="C17" s="968"/>
      <c r="D17" s="664" t="s">
        <v>1069</v>
      </c>
      <c r="E17" s="572" t="s">
        <v>1133</v>
      </c>
      <c r="F17" s="1390"/>
      <c r="G17" s="655"/>
      <c r="H17" s="656"/>
      <c r="I17" s="656"/>
      <c r="J17" s="1509">
        <v>200000</v>
      </c>
      <c r="K17" s="733">
        <v>6.3509</v>
      </c>
      <c r="L17" s="1918">
        <v>44676</v>
      </c>
      <c r="M17" s="1343"/>
      <c r="N17" s="546"/>
      <c r="O17" s="1400"/>
      <c r="P17" s="1401"/>
      <c r="Q17" s="1401"/>
      <c r="R17" s="1410"/>
      <c r="S17" s="1410"/>
      <c r="T17" s="1183"/>
      <c r="U17" s="1411"/>
      <c r="V17" s="715"/>
      <c r="W17" s="546"/>
      <c r="X17" s="546"/>
      <c r="Y17" s="546"/>
      <c r="Z17" s="546"/>
      <c r="AA17" s="546"/>
      <c r="AB17" s="546"/>
      <c r="AC17" s="546"/>
      <c r="AD17" s="546"/>
      <c r="AE17" s="546"/>
      <c r="AF17" s="546"/>
      <c r="AG17" s="715"/>
      <c r="AH17" s="715"/>
      <c r="AI17" s="715"/>
    </row>
    <row r="18" s="536" customFormat="1" ht="23.75" customHeight="1" spans="1:35">
      <c r="A18" s="1660"/>
      <c r="B18" s="1269" t="s">
        <v>224</v>
      </c>
      <c r="C18" s="759">
        <v>90</v>
      </c>
      <c r="D18" s="664" t="s">
        <v>408</v>
      </c>
      <c r="E18" s="1055"/>
      <c r="F18" s="1443" t="s">
        <v>1134</v>
      </c>
      <c r="G18" s="945"/>
      <c r="H18" s="945"/>
      <c r="I18" s="753"/>
      <c r="J18" s="1509">
        <v>230000</v>
      </c>
      <c r="K18" s="733">
        <v>6.3509</v>
      </c>
      <c r="L18" s="1919">
        <v>44666</v>
      </c>
      <c r="M18" s="754" t="s">
        <v>1135</v>
      </c>
      <c r="N18" s="715"/>
      <c r="O18" s="754"/>
      <c r="P18" s="754"/>
      <c r="Q18" s="992"/>
      <c r="R18" s="1465"/>
      <c r="S18" s="1209"/>
      <c r="T18" s="1210"/>
      <c r="U18" s="715"/>
      <c r="V18" s="1106"/>
      <c r="W18" s="1473"/>
      <c r="X18" s="715"/>
      <c r="Y18" s="715"/>
      <c r="Z18" s="715"/>
      <c r="AA18" s="715"/>
      <c r="AB18" s="715"/>
      <c r="AC18" s="715"/>
      <c r="AD18" s="715"/>
      <c r="AE18" s="715"/>
      <c r="AF18" s="715"/>
      <c r="AG18" s="715"/>
      <c r="AH18" s="992"/>
      <c r="AI18" s="715"/>
    </row>
    <row r="19" s="536" customFormat="1" ht="23.75" customHeight="1" spans="1:35">
      <c r="A19" s="1660"/>
      <c r="B19" s="671"/>
      <c r="C19" s="557"/>
      <c r="D19" s="664" t="s">
        <v>256</v>
      </c>
      <c r="E19" s="1055"/>
      <c r="F19" s="1443"/>
      <c r="G19" s="945"/>
      <c r="H19" s="945"/>
      <c r="I19" s="753"/>
      <c r="J19" s="1508">
        <v>250000</v>
      </c>
      <c r="K19" s="733">
        <v>6.3509</v>
      </c>
      <c r="L19" s="1919">
        <v>44666</v>
      </c>
      <c r="M19" s="1401"/>
      <c r="N19" s="715"/>
      <c r="O19" s="1401"/>
      <c r="P19" s="754"/>
      <c r="Q19" s="992"/>
      <c r="R19" s="1465"/>
      <c r="S19" s="1209"/>
      <c r="T19" s="1210"/>
      <c r="U19" s="715"/>
      <c r="V19" s="1474"/>
      <c r="W19" s="1473"/>
      <c r="X19" s="715"/>
      <c r="Y19" s="715"/>
      <c r="Z19" s="715"/>
      <c r="AA19" s="715"/>
      <c r="AB19" s="715"/>
      <c r="AC19" s="715"/>
      <c r="AD19" s="715"/>
      <c r="AE19" s="715"/>
      <c r="AF19" s="715"/>
      <c r="AG19" s="715"/>
      <c r="AH19" s="992"/>
      <c r="AI19" s="715"/>
    </row>
    <row r="20" s="536" customFormat="1" ht="23.75" customHeight="1" spans="1:35">
      <c r="A20" s="1660"/>
      <c r="B20" s="671"/>
      <c r="C20" s="557"/>
      <c r="D20" s="670" t="s">
        <v>464</v>
      </c>
      <c r="E20" s="1055" t="s">
        <v>1136</v>
      </c>
      <c r="F20" s="1443"/>
      <c r="G20" s="945"/>
      <c r="H20" s="945"/>
      <c r="I20" s="753"/>
      <c r="J20" s="1508">
        <v>260000</v>
      </c>
      <c r="K20" s="733">
        <v>6.3509</v>
      </c>
      <c r="L20" s="1919">
        <v>44676</v>
      </c>
      <c r="M20" s="1401"/>
      <c r="N20" s="715"/>
      <c r="O20" s="1401"/>
      <c r="P20" s="754"/>
      <c r="Q20" s="992"/>
      <c r="R20" s="1465"/>
      <c r="S20" s="1209"/>
      <c r="T20" s="1210"/>
      <c r="U20" s="715"/>
      <c r="V20" s="1474"/>
      <c r="W20" s="1473"/>
      <c r="X20" s="715"/>
      <c r="Y20" s="715"/>
      <c r="Z20" s="715"/>
      <c r="AA20" s="715"/>
      <c r="AB20" s="715"/>
      <c r="AC20" s="715"/>
      <c r="AD20" s="715"/>
      <c r="AE20" s="715"/>
      <c r="AF20" s="715"/>
      <c r="AG20" s="715"/>
      <c r="AH20" s="992"/>
      <c r="AI20" s="715"/>
    </row>
    <row r="21" s="1364" customFormat="1" ht="27.5" customHeight="1" spans="1:35">
      <c r="A21" s="1662"/>
      <c r="B21" s="1874" t="s">
        <v>1124</v>
      </c>
      <c r="C21" s="1087">
        <f>SUM(C12:C20)</f>
        <v>224</v>
      </c>
      <c r="D21" s="1088"/>
      <c r="E21" s="1880"/>
      <c r="F21" s="777"/>
      <c r="G21" s="746"/>
      <c r="H21" s="747"/>
      <c r="I21" s="747"/>
      <c r="J21" s="1892">
        <f>SUM(J12:J20)</f>
        <v>1660000</v>
      </c>
      <c r="K21" s="747"/>
      <c r="L21" s="1921"/>
      <c r="M21" s="747"/>
      <c r="N21" s="727"/>
      <c r="O21" s="747"/>
      <c r="P21" s="653"/>
      <c r="Q21" s="653"/>
      <c r="R21" s="1184"/>
      <c r="S21" s="1184"/>
      <c r="T21" s="1185"/>
      <c r="U21" s="727"/>
      <c r="V21" s="777"/>
      <c r="W21" s="727"/>
      <c r="X21" s="727"/>
      <c r="Y21" s="727"/>
      <c r="Z21" s="727"/>
      <c r="AA21" s="727"/>
      <c r="AB21" s="727"/>
      <c r="AC21" s="727"/>
      <c r="AD21" s="727"/>
      <c r="AE21" s="727"/>
      <c r="AF21" s="727"/>
      <c r="AG21" s="727"/>
      <c r="AH21" s="727" t="s">
        <v>293</v>
      </c>
      <c r="AI21" s="727"/>
    </row>
    <row r="22" s="1363" customFormat="1" ht="18.75" customHeight="1" spans="1:35">
      <c r="A22" s="1517" t="s">
        <v>1137</v>
      </c>
      <c r="B22" s="671" t="s">
        <v>344</v>
      </c>
      <c r="C22" s="655">
        <v>188</v>
      </c>
      <c r="D22" s="724" t="s">
        <v>299</v>
      </c>
      <c r="E22" s="1883" t="s">
        <v>1138</v>
      </c>
      <c r="F22" s="597" t="s">
        <v>348</v>
      </c>
      <c r="G22" s="751">
        <v>91</v>
      </c>
      <c r="H22" s="752">
        <v>384</v>
      </c>
      <c r="I22" s="752">
        <f>H22*G22</f>
        <v>34944</v>
      </c>
      <c r="J22" s="1509">
        <f>I22*K22</f>
        <v>221925.8496</v>
      </c>
      <c r="K22" s="733">
        <v>6.3509</v>
      </c>
      <c r="L22" s="1922"/>
      <c r="M22" s="1410" t="s">
        <v>1139</v>
      </c>
      <c r="N22" s="1451">
        <f>SUM(J22:J29)</f>
        <v>1134658.1449</v>
      </c>
      <c r="O22" s="1410"/>
      <c r="P22" s="1451"/>
      <c r="Q22" s="1452"/>
      <c r="R22" s="1344"/>
      <c r="S22" s="1466"/>
      <c r="T22" s="1467"/>
      <c r="U22" s="1397"/>
      <c r="V22" s="1475"/>
      <c r="W22" s="1397"/>
      <c r="X22" s="1397"/>
      <c r="Y22" s="1397"/>
      <c r="Z22" s="1397"/>
      <c r="AA22" s="1397"/>
      <c r="AB22" s="1397"/>
      <c r="AC22" s="1397"/>
      <c r="AD22" s="1397"/>
      <c r="AE22" s="1397"/>
      <c r="AF22" s="1397"/>
      <c r="AG22" s="1477"/>
      <c r="AH22" s="1478"/>
      <c r="AI22" s="1398"/>
    </row>
    <row r="23" s="1363" customFormat="1" ht="18.75" customHeight="1" spans="1:35">
      <c r="A23" s="1502"/>
      <c r="B23" s="671"/>
      <c r="C23" s="655"/>
      <c r="D23" s="724" t="s">
        <v>299</v>
      </c>
      <c r="E23" s="1883" t="s">
        <v>1140</v>
      </c>
      <c r="F23" s="597" t="s">
        <v>348</v>
      </c>
      <c r="G23" s="751">
        <v>91</v>
      </c>
      <c r="H23" s="752">
        <v>384</v>
      </c>
      <c r="I23" s="752">
        <f>H23*G23</f>
        <v>34944</v>
      </c>
      <c r="J23" s="1509">
        <f>I23*K23</f>
        <v>221925.8496</v>
      </c>
      <c r="K23" s="733">
        <v>6.3509</v>
      </c>
      <c r="L23" s="1922"/>
      <c r="M23" s="1410" t="s">
        <v>1141</v>
      </c>
      <c r="N23" s="1451">
        <f>SUM(J30:J33)</f>
        <v>590963.9468</v>
      </c>
      <c r="O23" s="1410"/>
      <c r="P23" s="1451"/>
      <c r="Q23" s="1452"/>
      <c r="R23" s="1344"/>
      <c r="S23" s="1466"/>
      <c r="T23" s="1467"/>
      <c r="U23" s="1397"/>
      <c r="V23" s="1475"/>
      <c r="W23" s="1397"/>
      <c r="X23" s="1397"/>
      <c r="Y23" s="1397"/>
      <c r="Z23" s="1397"/>
      <c r="AA23" s="1397"/>
      <c r="AB23" s="1397"/>
      <c r="AC23" s="1397"/>
      <c r="AD23" s="1397"/>
      <c r="AE23" s="1397"/>
      <c r="AF23" s="1397"/>
      <c r="AG23" s="1477"/>
      <c r="AH23" s="1478"/>
      <c r="AI23" s="1398"/>
    </row>
    <row r="24" s="1363" customFormat="1" ht="18.75" customHeight="1" spans="1:35">
      <c r="A24" s="1502"/>
      <c r="B24" s="671"/>
      <c r="C24" s="655"/>
      <c r="D24" s="724" t="s">
        <v>299</v>
      </c>
      <c r="E24" s="1883" t="s">
        <v>1142</v>
      </c>
      <c r="F24" s="597" t="s">
        <v>348</v>
      </c>
      <c r="G24" s="751">
        <v>91</v>
      </c>
      <c r="H24" s="752">
        <v>384</v>
      </c>
      <c r="I24" s="752">
        <f>H24*G24</f>
        <v>34944</v>
      </c>
      <c r="J24" s="1509">
        <f>I24*K24</f>
        <v>221925.8496</v>
      </c>
      <c r="K24" s="733">
        <v>6.3509</v>
      </c>
      <c r="L24" s="1922"/>
      <c r="M24" s="1410" t="s">
        <v>1141</v>
      </c>
      <c r="N24" s="1451">
        <f>SUM(J34:J37)</f>
        <v>511063.2739</v>
      </c>
      <c r="O24" s="1410"/>
      <c r="P24" s="1451"/>
      <c r="Q24" s="1452"/>
      <c r="R24" s="1344"/>
      <c r="S24" s="1466"/>
      <c r="T24" s="1467"/>
      <c r="U24" s="1397"/>
      <c r="V24" s="1475"/>
      <c r="W24" s="1397"/>
      <c r="X24" s="1397"/>
      <c r="Y24" s="1397"/>
      <c r="Z24" s="1397"/>
      <c r="AA24" s="1397"/>
      <c r="AB24" s="1397"/>
      <c r="AC24" s="1397"/>
      <c r="AD24" s="1397"/>
      <c r="AE24" s="1397"/>
      <c r="AF24" s="1397"/>
      <c r="AG24" s="1477"/>
      <c r="AH24" s="1478"/>
      <c r="AI24" s="1398"/>
    </row>
    <row r="25" s="1363" customFormat="1" ht="18.75" customHeight="1" spans="1:35">
      <c r="A25" s="1502"/>
      <c r="B25" s="671"/>
      <c r="C25" s="655"/>
      <c r="D25" s="724" t="s">
        <v>299</v>
      </c>
      <c r="E25" s="1883" t="s">
        <v>1143</v>
      </c>
      <c r="F25" s="597" t="s">
        <v>348</v>
      </c>
      <c r="G25" s="751">
        <v>91</v>
      </c>
      <c r="H25" s="752">
        <v>384</v>
      </c>
      <c r="I25" s="752">
        <f>H25*G25</f>
        <v>34944</v>
      </c>
      <c r="J25" s="1509">
        <f t="shared" ref="J25:J30" si="0">I25*K25</f>
        <v>221925.8496</v>
      </c>
      <c r="K25" s="733">
        <v>6.3509</v>
      </c>
      <c r="L25" s="1922"/>
      <c r="M25" s="1410" t="s">
        <v>1141</v>
      </c>
      <c r="N25" s="1397"/>
      <c r="O25" s="1410"/>
      <c r="P25" s="1451"/>
      <c r="Q25" s="1452"/>
      <c r="R25" s="1344"/>
      <c r="S25" s="1466"/>
      <c r="T25" s="1467"/>
      <c r="U25" s="1397"/>
      <c r="V25" s="1475"/>
      <c r="W25" s="1397"/>
      <c r="X25" s="1397"/>
      <c r="Y25" s="1397"/>
      <c r="Z25" s="1397"/>
      <c r="AA25" s="1397"/>
      <c r="AB25" s="1397"/>
      <c r="AC25" s="1397"/>
      <c r="AD25" s="1397"/>
      <c r="AE25" s="1397"/>
      <c r="AF25" s="1397"/>
      <c r="AG25" s="1477"/>
      <c r="AH25" s="1478"/>
      <c r="AI25" s="1398"/>
    </row>
    <row r="26" s="1363" customFormat="1" ht="18.75" customHeight="1" spans="1:35">
      <c r="A26" s="1502"/>
      <c r="B26" s="671"/>
      <c r="C26" s="655"/>
      <c r="D26" s="724"/>
      <c r="E26" s="1303"/>
      <c r="F26" s="597"/>
      <c r="G26" s="751"/>
      <c r="H26" s="752"/>
      <c r="I26" s="752"/>
      <c r="J26" s="1509"/>
      <c r="K26" s="733"/>
      <c r="L26" s="1922"/>
      <c r="M26" s="1410"/>
      <c r="N26" s="1397"/>
      <c r="O26" s="1410"/>
      <c r="P26" s="1451"/>
      <c r="Q26" s="1452"/>
      <c r="R26" s="1344"/>
      <c r="S26" s="1466"/>
      <c r="T26" s="1467"/>
      <c r="U26" s="1397"/>
      <c r="V26" s="1475"/>
      <c r="W26" s="1397"/>
      <c r="X26" s="1397"/>
      <c r="Y26" s="1397"/>
      <c r="Z26" s="1397"/>
      <c r="AA26" s="1397"/>
      <c r="AB26" s="1397"/>
      <c r="AC26" s="1397"/>
      <c r="AD26" s="1397"/>
      <c r="AE26" s="1397"/>
      <c r="AF26" s="1397"/>
      <c r="AG26" s="1477"/>
      <c r="AH26" s="1478"/>
      <c r="AI26" s="1398"/>
    </row>
    <row r="27" s="1363" customFormat="1" ht="18.75" customHeight="1" spans="1:35">
      <c r="A27" s="1502"/>
      <c r="B27" s="671"/>
      <c r="C27" s="655"/>
      <c r="D27" s="1303" t="s">
        <v>299</v>
      </c>
      <c r="E27" s="1915" t="s">
        <v>1144</v>
      </c>
      <c r="F27" s="716" t="s">
        <v>564</v>
      </c>
      <c r="G27" s="751">
        <v>55</v>
      </c>
      <c r="H27" s="752">
        <v>707</v>
      </c>
      <c r="I27" s="752">
        <f>H27*G27</f>
        <v>38885</v>
      </c>
      <c r="J27" s="1509">
        <f t="shared" si="0"/>
        <v>246954.7465</v>
      </c>
      <c r="K27" s="733">
        <v>6.3509</v>
      </c>
      <c r="L27" s="1922"/>
      <c r="M27" s="1410" t="s">
        <v>1139</v>
      </c>
      <c r="N27" s="1397"/>
      <c r="O27" s="1410"/>
      <c r="P27" s="1451"/>
      <c r="Q27" s="1452"/>
      <c r="R27" s="1344"/>
      <c r="S27" s="1466"/>
      <c r="T27" s="1467"/>
      <c r="U27" s="1397"/>
      <c r="V27" s="1475"/>
      <c r="W27" s="1397"/>
      <c r="X27" s="1397"/>
      <c r="Y27" s="1397"/>
      <c r="Z27" s="1397"/>
      <c r="AA27" s="1397"/>
      <c r="AB27" s="1397"/>
      <c r="AC27" s="1397"/>
      <c r="AD27" s="1397"/>
      <c r="AE27" s="1397"/>
      <c r="AF27" s="1397"/>
      <c r="AG27" s="1477"/>
      <c r="AH27" s="1478"/>
      <c r="AI27" s="1398"/>
    </row>
    <row r="28" s="1363" customFormat="1" ht="18.75" customHeight="1" spans="1:35">
      <c r="A28" s="1502"/>
      <c r="B28" s="671"/>
      <c r="C28" s="655"/>
      <c r="D28" s="1303"/>
      <c r="E28" s="572"/>
      <c r="F28" s="716"/>
      <c r="G28" s="751"/>
      <c r="H28" s="752"/>
      <c r="I28" s="752"/>
      <c r="J28" s="1509"/>
      <c r="K28" s="733"/>
      <c r="L28" s="1922"/>
      <c r="M28" s="1410"/>
      <c r="N28" s="1397"/>
      <c r="O28" s="1410"/>
      <c r="P28" s="1451"/>
      <c r="Q28" s="1452"/>
      <c r="R28" s="1344"/>
      <c r="S28" s="1466"/>
      <c r="T28" s="1467"/>
      <c r="U28" s="1397"/>
      <c r="V28" s="1475"/>
      <c r="W28" s="1397"/>
      <c r="X28" s="1397"/>
      <c r="Y28" s="1397"/>
      <c r="Z28" s="1397"/>
      <c r="AA28" s="1397"/>
      <c r="AB28" s="1397"/>
      <c r="AC28" s="1397"/>
      <c r="AD28" s="1397"/>
      <c r="AE28" s="1397"/>
      <c r="AF28" s="1397"/>
      <c r="AG28" s="1477"/>
      <c r="AH28" s="1478"/>
      <c r="AI28" s="1398"/>
    </row>
    <row r="29" s="1363" customFormat="1" ht="18.75" customHeight="1" spans="1:35">
      <c r="A29" s="1502"/>
      <c r="B29" s="671"/>
      <c r="C29" s="655"/>
      <c r="D29" s="1303"/>
      <c r="E29" s="572"/>
      <c r="F29" s="716"/>
      <c r="G29" s="751"/>
      <c r="H29" s="752"/>
      <c r="I29" s="752"/>
      <c r="J29" s="1509"/>
      <c r="K29" s="733"/>
      <c r="L29" s="1922"/>
      <c r="M29" s="673"/>
      <c r="N29" s="1397"/>
      <c r="O29" s="673"/>
      <c r="P29" s="1451"/>
      <c r="Q29" s="1452"/>
      <c r="R29" s="1344"/>
      <c r="S29" s="1466"/>
      <c r="T29" s="1467"/>
      <c r="U29" s="1397"/>
      <c r="V29" s="1475"/>
      <c r="W29" s="1397"/>
      <c r="X29" s="1397"/>
      <c r="Y29" s="1397"/>
      <c r="Z29" s="1397"/>
      <c r="AA29" s="1397"/>
      <c r="AB29" s="1397"/>
      <c r="AC29" s="1397"/>
      <c r="AD29" s="1397"/>
      <c r="AE29" s="1397"/>
      <c r="AF29" s="1397"/>
      <c r="AG29" s="1477"/>
      <c r="AH29" s="1478"/>
      <c r="AI29" s="1398"/>
    </row>
    <row r="30" s="1363" customFormat="1" ht="21.55" customHeight="1" spans="1:35">
      <c r="A30" s="1502"/>
      <c r="B30" s="1188" t="s">
        <v>1145</v>
      </c>
      <c r="C30" s="655">
        <v>116</v>
      </c>
      <c r="D30" s="1426" t="s">
        <v>295</v>
      </c>
      <c r="E30" s="1155" t="s">
        <v>1146</v>
      </c>
      <c r="F30" s="597">
        <v>1</v>
      </c>
      <c r="G30" s="568">
        <v>1</v>
      </c>
      <c r="H30" s="1240">
        <v>27467</v>
      </c>
      <c r="I30" s="752">
        <f>H30*G30</f>
        <v>27467</v>
      </c>
      <c r="J30" s="1893">
        <f t="shared" si="0"/>
        <v>174440.1703</v>
      </c>
      <c r="K30" s="733">
        <v>6.3509</v>
      </c>
      <c r="L30" s="715" t="s">
        <v>1147</v>
      </c>
      <c r="M30" s="1453" t="s">
        <v>1148</v>
      </c>
      <c r="N30" s="715"/>
      <c r="O30" s="1453"/>
      <c r="P30" s="1461"/>
      <c r="Q30" s="1462"/>
      <c r="R30" s="1397"/>
      <c r="S30" s="1466"/>
      <c r="T30" s="1467"/>
      <c r="U30" s="1397"/>
      <c r="V30" s="1475"/>
      <c r="W30" s="1397"/>
      <c r="X30" s="1397"/>
      <c r="Y30" s="1397"/>
      <c r="Z30" s="1397"/>
      <c r="AA30" s="1397"/>
      <c r="AB30" s="1397"/>
      <c r="AC30" s="1397"/>
      <c r="AD30" s="1397"/>
      <c r="AE30" s="1397"/>
      <c r="AF30" s="1397"/>
      <c r="AG30" s="715"/>
      <c r="AH30" s="561"/>
      <c r="AI30" s="1397"/>
    </row>
    <row r="31" s="1363" customFormat="1" ht="21.55" customHeight="1" spans="1:35">
      <c r="A31" s="1502"/>
      <c r="B31" s="1188"/>
      <c r="C31" s="655"/>
      <c r="D31" s="1426" t="s">
        <v>442</v>
      </c>
      <c r="E31" s="1903" t="s">
        <v>1087</v>
      </c>
      <c r="F31" s="597"/>
      <c r="G31" s="568">
        <v>1</v>
      </c>
      <c r="H31" s="1240">
        <v>22867</v>
      </c>
      <c r="I31" s="752">
        <v>25044</v>
      </c>
      <c r="J31" s="1893">
        <f t="shared" ref="J30:J36" si="1">I31*K31</f>
        <v>159051.9396</v>
      </c>
      <c r="K31" s="733">
        <v>6.3509</v>
      </c>
      <c r="L31" s="1923"/>
      <c r="M31" s="1343" t="s">
        <v>1149</v>
      </c>
      <c r="N31" s="1911" t="s">
        <v>1150</v>
      </c>
      <c r="O31" s="1464"/>
      <c r="P31" s="1461"/>
      <c r="Q31" s="1462"/>
      <c r="R31" s="1397"/>
      <c r="S31" s="1466"/>
      <c r="T31" s="1467"/>
      <c r="U31" s="1397"/>
      <c r="V31" s="1475"/>
      <c r="W31" s="1397"/>
      <c r="X31" s="1397"/>
      <c r="Y31" s="1397"/>
      <c r="Z31" s="1397"/>
      <c r="AA31" s="1397"/>
      <c r="AB31" s="1397"/>
      <c r="AC31" s="1397"/>
      <c r="AD31" s="1397"/>
      <c r="AE31" s="1397"/>
      <c r="AF31" s="1397"/>
      <c r="AG31" s="715"/>
      <c r="AH31" s="561"/>
      <c r="AI31" s="1397"/>
    </row>
    <row r="32" s="1363" customFormat="1" ht="21.55" customHeight="1" spans="1:35">
      <c r="A32" s="1502"/>
      <c r="B32" s="1519"/>
      <c r="C32" s="655"/>
      <c r="D32" s="1426" t="s">
        <v>267</v>
      </c>
      <c r="E32" s="1903" t="s">
        <v>1151</v>
      </c>
      <c r="F32" s="597"/>
      <c r="G32" s="568">
        <v>1</v>
      </c>
      <c r="H32" s="1240">
        <v>37901</v>
      </c>
      <c r="I32" s="752">
        <v>37901</v>
      </c>
      <c r="J32" s="1893">
        <f t="shared" si="1"/>
        <v>240705.4609</v>
      </c>
      <c r="K32" s="733">
        <v>6.3509</v>
      </c>
      <c r="L32" s="1924"/>
      <c r="M32" s="1343" t="s">
        <v>1152</v>
      </c>
      <c r="N32" s="1397"/>
      <c r="O32" s="1464"/>
      <c r="P32" s="1461"/>
      <c r="Q32" s="1462"/>
      <c r="R32" s="1397"/>
      <c r="S32" s="1466"/>
      <c r="T32" s="1467"/>
      <c r="U32" s="1397"/>
      <c r="V32" s="1475"/>
      <c r="W32" s="1397"/>
      <c r="X32" s="1397"/>
      <c r="Y32" s="1397"/>
      <c r="Z32" s="1397"/>
      <c r="AA32" s="1397"/>
      <c r="AB32" s="1397"/>
      <c r="AC32" s="1397"/>
      <c r="AD32" s="1397"/>
      <c r="AE32" s="1397"/>
      <c r="AF32" s="1397"/>
      <c r="AG32" s="715"/>
      <c r="AH32" s="561"/>
      <c r="AI32" s="1397"/>
    </row>
    <row r="33" s="1363" customFormat="1" ht="21.55" customHeight="1" spans="1:35">
      <c r="A33" s="1502"/>
      <c r="B33" s="1519"/>
      <c r="C33" s="655"/>
      <c r="D33" s="1426" t="s">
        <v>1153</v>
      </c>
      <c r="E33" s="1903" t="s">
        <v>1154</v>
      </c>
      <c r="F33" s="250" t="s">
        <v>817</v>
      </c>
      <c r="G33" s="568">
        <v>15</v>
      </c>
      <c r="H33" s="1240">
        <v>176</v>
      </c>
      <c r="I33" s="752">
        <f>H33*G33</f>
        <v>2640</v>
      </c>
      <c r="J33" s="1893">
        <f t="shared" si="1"/>
        <v>16766.376</v>
      </c>
      <c r="K33" s="733">
        <v>6.3509</v>
      </c>
      <c r="L33" s="1924"/>
      <c r="M33" s="1464"/>
      <c r="N33" s="1397"/>
      <c r="O33" s="1464"/>
      <c r="P33" s="1461"/>
      <c r="Q33" s="1462"/>
      <c r="R33" s="1397"/>
      <c r="S33" s="1466"/>
      <c r="T33" s="1467"/>
      <c r="U33" s="1397"/>
      <c r="V33" s="1475"/>
      <c r="W33" s="1397"/>
      <c r="X33" s="1397"/>
      <c r="Y33" s="1397"/>
      <c r="Z33" s="1397"/>
      <c r="AA33" s="1397"/>
      <c r="AB33" s="1397"/>
      <c r="AC33" s="1397"/>
      <c r="AD33" s="1397"/>
      <c r="AE33" s="1397"/>
      <c r="AF33" s="1397"/>
      <c r="AG33" s="715"/>
      <c r="AH33" s="561"/>
      <c r="AI33" s="1397"/>
    </row>
    <row r="34" s="536" customFormat="1" ht="21.55" customHeight="1" spans="1:35">
      <c r="A34" s="1503"/>
      <c r="B34" s="664" t="s">
        <v>509</v>
      </c>
      <c r="C34" s="655">
        <v>89</v>
      </c>
      <c r="D34" s="1627" t="s">
        <v>274</v>
      </c>
      <c r="E34" s="1903" t="s">
        <v>1155</v>
      </c>
      <c r="F34" s="716"/>
      <c r="G34" s="751">
        <v>1</v>
      </c>
      <c r="H34" s="752"/>
      <c r="I34" s="752">
        <v>6764</v>
      </c>
      <c r="J34" s="1893">
        <f t="shared" si="1"/>
        <v>42957.4876</v>
      </c>
      <c r="K34" s="733">
        <v>6.3509</v>
      </c>
      <c r="L34" s="715" t="s">
        <v>1156</v>
      </c>
      <c r="M34" s="1453" t="s">
        <v>1157</v>
      </c>
      <c r="N34" s="715"/>
      <c r="O34" s="1453"/>
      <c r="P34" s="1342"/>
      <c r="Q34" s="1204"/>
      <c r="R34" s="715"/>
      <c r="S34" s="1211"/>
      <c r="T34" s="1182"/>
      <c r="U34" s="715"/>
      <c r="V34" s="764"/>
      <c r="W34" s="715"/>
      <c r="X34" s="715"/>
      <c r="Y34" s="715"/>
      <c r="Z34" s="715"/>
      <c r="AA34" s="715"/>
      <c r="AB34" s="715"/>
      <c r="AC34" s="715"/>
      <c r="AD34" s="715"/>
      <c r="AE34" s="715"/>
      <c r="AF34" s="715"/>
      <c r="AG34" s="715"/>
      <c r="AH34" s="1294"/>
      <c r="AI34" s="715"/>
    </row>
    <row r="35" s="536" customFormat="1" ht="21.55" customHeight="1" spans="1:35">
      <c r="A35" s="1503"/>
      <c r="B35" s="664"/>
      <c r="C35" s="655"/>
      <c r="D35" s="1627" t="s">
        <v>274</v>
      </c>
      <c r="E35" s="1903" t="s">
        <v>1158</v>
      </c>
      <c r="F35" s="716"/>
      <c r="G35" s="751">
        <v>1</v>
      </c>
      <c r="H35" s="752"/>
      <c r="I35" s="752">
        <v>70133</v>
      </c>
      <c r="J35" s="1509">
        <f t="shared" si="1"/>
        <v>445407.6697</v>
      </c>
      <c r="K35" s="733">
        <v>6.3509</v>
      </c>
      <c r="L35" s="1924"/>
      <c r="M35" s="1453" t="s">
        <v>1159</v>
      </c>
      <c r="N35" s="715"/>
      <c r="O35" s="1453"/>
      <c r="P35" s="1203"/>
      <c r="Q35" s="1204"/>
      <c r="R35" s="715"/>
      <c r="S35" s="1211"/>
      <c r="T35" s="1182"/>
      <c r="U35" s="715"/>
      <c r="V35" s="764"/>
      <c r="W35" s="715"/>
      <c r="X35" s="715"/>
      <c r="Y35" s="715"/>
      <c r="Z35" s="715"/>
      <c r="AA35" s="715"/>
      <c r="AB35" s="715"/>
      <c r="AC35" s="715"/>
      <c r="AD35" s="715"/>
      <c r="AE35" s="715"/>
      <c r="AF35" s="715"/>
      <c r="AG35" s="715"/>
      <c r="AH35" s="1294"/>
      <c r="AI35" s="715"/>
    </row>
    <row r="36" s="536" customFormat="1" ht="21.55" customHeight="1" spans="1:35">
      <c r="A36" s="1503"/>
      <c r="B36" s="664"/>
      <c r="C36" s="655"/>
      <c r="D36" s="1627" t="s">
        <v>133</v>
      </c>
      <c r="E36" s="1903" t="s">
        <v>1160</v>
      </c>
      <c r="F36" s="250" t="s">
        <v>1161</v>
      </c>
      <c r="G36" s="751">
        <v>1</v>
      </c>
      <c r="H36" s="755"/>
      <c r="I36" s="1904">
        <v>3574</v>
      </c>
      <c r="J36" s="1509">
        <f t="shared" si="1"/>
        <v>22698.1166</v>
      </c>
      <c r="K36" s="733">
        <v>6.3509</v>
      </c>
      <c r="L36" s="1924"/>
      <c r="M36" s="1453" t="s">
        <v>1162</v>
      </c>
      <c r="N36" s="715"/>
      <c r="O36" s="1912"/>
      <c r="P36" s="1677"/>
      <c r="Q36" s="1457"/>
      <c r="R36" s="542"/>
      <c r="S36" s="1468"/>
      <c r="T36" s="1469"/>
      <c r="U36" s="715"/>
      <c r="V36" s="744"/>
      <c r="W36" s="715"/>
      <c r="X36" s="715"/>
      <c r="Y36" s="715"/>
      <c r="Z36" s="715"/>
      <c r="AA36" s="715"/>
      <c r="AB36" s="715"/>
      <c r="AC36" s="715"/>
      <c r="AD36" s="715"/>
      <c r="AE36" s="715"/>
      <c r="AF36" s="715"/>
      <c r="AG36" s="715"/>
      <c r="AH36" s="568"/>
      <c r="AI36" s="715"/>
    </row>
    <row r="37" s="536" customFormat="1" ht="18.75" customHeight="1" spans="1:35">
      <c r="A37" s="1503"/>
      <c r="B37" s="664"/>
      <c r="C37" s="655"/>
      <c r="D37" s="1925"/>
      <c r="E37" s="1926"/>
      <c r="F37" s="1543"/>
      <c r="G37" s="1544"/>
      <c r="H37" s="1906"/>
      <c r="I37" s="1909"/>
      <c r="J37" s="1927"/>
      <c r="K37" s="1928"/>
      <c r="L37" s="1929"/>
      <c r="M37" s="1912"/>
      <c r="N37" s="542"/>
      <c r="O37" s="1912"/>
      <c r="P37" s="1677"/>
      <c r="Q37" s="1457"/>
      <c r="R37" s="542"/>
      <c r="S37" s="1468"/>
      <c r="T37" s="1469"/>
      <c r="U37" s="1218"/>
      <c r="V37" s="1572"/>
      <c r="W37" s="715"/>
      <c r="X37" s="715"/>
      <c r="Y37" s="715"/>
      <c r="Z37" s="715"/>
      <c r="AA37" s="715"/>
      <c r="AB37" s="715"/>
      <c r="AC37" s="715"/>
      <c r="AD37" s="715"/>
      <c r="AE37" s="715"/>
      <c r="AF37" s="715"/>
      <c r="AG37" s="1496"/>
      <c r="AH37" s="1575"/>
      <c r="AI37" s="1500"/>
    </row>
    <row r="38" s="1364" customFormat="1" ht="18.75" customHeight="1" spans="1:35">
      <c r="A38" s="1899"/>
      <c r="B38" s="1900" t="s">
        <v>1124</v>
      </c>
      <c r="C38" s="1087">
        <f>SUM(C22:C36)</f>
        <v>393</v>
      </c>
      <c r="D38" s="1088"/>
      <c r="E38" s="1088"/>
      <c r="F38" s="727"/>
      <c r="G38" s="652"/>
      <c r="H38" s="653"/>
      <c r="I38" s="653"/>
      <c r="J38" s="1089">
        <f>SUM(J22:J36)</f>
        <v>2236685.3656</v>
      </c>
      <c r="K38" s="808"/>
      <c r="L38" s="1930"/>
      <c r="M38" s="809"/>
      <c r="N38" s="848"/>
      <c r="O38" s="809"/>
      <c r="P38" s="809">
        <v>0</v>
      </c>
      <c r="Q38" s="809">
        <v>0</v>
      </c>
      <c r="R38" s="1184"/>
      <c r="S38" s="1184"/>
      <c r="T38" s="1185"/>
      <c r="U38" s="1490"/>
      <c r="V38" s="1495"/>
      <c r="W38" s="727"/>
      <c r="X38" s="727"/>
      <c r="Y38" s="727"/>
      <c r="Z38" s="727"/>
      <c r="AA38" s="727"/>
      <c r="AB38" s="727"/>
      <c r="AC38" s="727"/>
      <c r="AD38" s="727"/>
      <c r="AE38" s="727"/>
      <c r="AF38" s="727"/>
      <c r="AG38" s="1497"/>
      <c r="AH38" s="1501" t="s">
        <v>325</v>
      </c>
      <c r="AI38" s="1501"/>
    </row>
    <row r="39" s="1365" customFormat="1" ht="30" customHeight="1" spans="1:35">
      <c r="A39" s="1901" t="s">
        <v>1163</v>
      </c>
      <c r="B39" s="1902"/>
      <c r="C39" s="1380">
        <f>C11+C21+C38</f>
        <v>1022</v>
      </c>
      <c r="D39" s="1378"/>
      <c r="E39" s="1378"/>
      <c r="F39" s="1378"/>
      <c r="G39" s="1380"/>
      <c r="H39" s="1378"/>
      <c r="I39" s="1378"/>
      <c r="J39" s="1481">
        <f>J11+J21+J38</f>
        <v>5696685.3656</v>
      </c>
      <c r="K39" s="1378"/>
      <c r="L39" s="1931"/>
      <c r="M39" s="1378"/>
      <c r="N39" s="1378"/>
      <c r="O39" s="1378"/>
      <c r="P39" s="1378"/>
      <c r="Q39" s="1378"/>
      <c r="R39" s="1378"/>
      <c r="S39" s="1378"/>
      <c r="T39" s="1491"/>
      <c r="U39" s="1492"/>
      <c r="V39" s="1492"/>
      <c r="W39" s="1492"/>
      <c r="X39" s="1492"/>
      <c r="Y39" s="1492"/>
      <c r="Z39" s="1492"/>
      <c r="AA39" s="1492"/>
      <c r="AB39" s="1492"/>
      <c r="AC39" s="1492"/>
      <c r="AD39" s="1492"/>
      <c r="AE39" s="1492"/>
      <c r="AF39" s="1492"/>
      <c r="AG39" s="1492"/>
      <c r="AH39" s="1492"/>
      <c r="AI39" s="1492"/>
    </row>
    <row r="40" spans="2:35">
      <c r="B40" s="1090"/>
      <c r="C40" s="878"/>
      <c r="D40" s="1090"/>
      <c r="E40" s="1090"/>
      <c r="F40" s="1090"/>
      <c r="G40" s="878"/>
      <c r="H40" s="1090"/>
      <c r="I40" s="1090"/>
      <c r="J40" s="850"/>
      <c r="K40" s="1090"/>
      <c r="L40" s="1932"/>
      <c r="M40" s="1090"/>
      <c r="N40" s="1090"/>
      <c r="O40" s="1090"/>
      <c r="P40" s="1090"/>
      <c r="Q40" s="1090"/>
      <c r="R40" s="1090"/>
      <c r="S40" s="1090"/>
      <c r="T40" s="1242"/>
      <c r="U40" s="1090"/>
      <c r="V40" s="1090"/>
      <c r="W40" s="1090"/>
      <c r="X40" s="1090"/>
      <c r="Y40" s="1090"/>
      <c r="Z40" s="1090"/>
      <c r="AA40" s="1090"/>
      <c r="AB40" s="1090"/>
      <c r="AC40" s="1090"/>
      <c r="AD40" s="1090"/>
      <c r="AE40" s="1090"/>
      <c r="AF40" s="1090"/>
      <c r="AG40" s="1090"/>
      <c r="AH40" s="1090"/>
      <c r="AI40" s="1090"/>
    </row>
    <row r="41" spans="2:35">
      <c r="B41" s="1090"/>
      <c r="C41" s="878"/>
      <c r="D41" s="1090"/>
      <c r="E41" s="1090" t="s">
        <v>139</v>
      </c>
      <c r="F41" s="1090" t="s">
        <v>140</v>
      </c>
      <c r="G41" s="878"/>
      <c r="H41" s="1090"/>
      <c r="I41" s="1090"/>
      <c r="K41" s="1090"/>
      <c r="L41" s="1932"/>
      <c r="M41" s="1090"/>
      <c r="N41" s="1090"/>
      <c r="O41" s="1090"/>
      <c r="P41" s="1488"/>
      <c r="Q41" s="1090"/>
      <c r="R41" s="1488"/>
      <c r="S41" s="1090"/>
      <c r="T41" s="1242"/>
      <c r="U41" s="1090"/>
      <c r="V41" s="1090"/>
      <c r="W41" s="1090"/>
      <c r="X41" s="1090"/>
      <c r="Y41" s="1090"/>
      <c r="Z41" s="1090"/>
      <c r="AA41" s="1090"/>
      <c r="AB41" s="1090"/>
      <c r="AC41" s="1090"/>
      <c r="AD41" s="1090"/>
      <c r="AE41" s="1090"/>
      <c r="AF41" s="1090"/>
      <c r="AG41" s="1090"/>
      <c r="AH41" s="1090"/>
      <c r="AI41" s="1090"/>
    </row>
    <row r="42" spans="2:35">
      <c r="B42" s="1090"/>
      <c r="C42" s="878"/>
      <c r="D42" s="1090"/>
      <c r="E42" s="1090"/>
      <c r="F42" s="1090"/>
      <c r="G42" s="878"/>
      <c r="H42" s="1090"/>
      <c r="I42" s="1090"/>
      <c r="J42" s="850"/>
      <c r="K42" s="1090"/>
      <c r="L42" s="1932"/>
      <c r="M42" s="1090"/>
      <c r="N42" s="1090"/>
      <c r="O42" s="1090"/>
      <c r="P42" s="1488"/>
      <c r="Q42" s="1090"/>
      <c r="R42" s="1488"/>
      <c r="S42" s="1090"/>
      <c r="T42" s="1242"/>
      <c r="U42" s="1090"/>
      <c r="V42" s="1090"/>
      <c r="W42" s="1090"/>
      <c r="X42" s="1090"/>
      <c r="Y42" s="1090"/>
      <c r="Z42" s="1090"/>
      <c r="AA42" s="1090"/>
      <c r="AB42" s="1090"/>
      <c r="AC42" s="1090"/>
      <c r="AD42" s="1090"/>
      <c r="AE42" s="1090"/>
      <c r="AF42" s="1090"/>
      <c r="AG42" s="1090"/>
      <c r="AH42" s="1090"/>
      <c r="AI42" s="1090"/>
    </row>
    <row r="43" spans="2:35">
      <c r="B43" s="1090"/>
      <c r="C43" s="878"/>
      <c r="D43" s="1090"/>
      <c r="E43" s="1090"/>
      <c r="F43" s="1090"/>
      <c r="G43" s="878"/>
      <c r="H43" s="1090"/>
      <c r="I43" s="1090"/>
      <c r="J43" s="850"/>
      <c r="K43" s="1090"/>
      <c r="L43" s="1932"/>
      <c r="M43" s="1090"/>
      <c r="N43" s="1090"/>
      <c r="O43" s="1090"/>
      <c r="P43" s="1488"/>
      <c r="Q43" s="1090"/>
      <c r="R43" s="1488"/>
      <c r="S43" s="1090"/>
      <c r="T43" s="1242"/>
      <c r="U43" s="1090"/>
      <c r="V43" s="1090"/>
      <c r="W43" s="1090"/>
      <c r="X43" s="1090"/>
      <c r="Y43" s="1090"/>
      <c r="Z43" s="1090"/>
      <c r="AA43" s="1090"/>
      <c r="AB43" s="1090"/>
      <c r="AC43" s="1090"/>
      <c r="AD43" s="1090"/>
      <c r="AE43" s="1090"/>
      <c r="AF43" s="1090"/>
      <c r="AG43" s="1090"/>
      <c r="AH43" s="1090"/>
      <c r="AI43" s="1090"/>
    </row>
    <row r="44" spans="2:35">
      <c r="B44" s="1090"/>
      <c r="C44" s="878"/>
      <c r="D44" s="1090"/>
      <c r="E44" s="1090"/>
      <c r="F44" s="1090"/>
      <c r="G44" s="878"/>
      <c r="H44" s="1090"/>
      <c r="I44" s="1090"/>
      <c r="J44" s="850"/>
      <c r="K44" s="1090"/>
      <c r="L44" s="1932"/>
      <c r="M44" s="1090"/>
      <c r="N44" s="1090"/>
      <c r="O44" s="1090"/>
      <c r="P44" s="1488"/>
      <c r="Q44" s="1090"/>
      <c r="R44" s="1488"/>
      <c r="S44" s="1090"/>
      <c r="T44" s="1242"/>
      <c r="U44" s="1090"/>
      <c r="V44" s="1090"/>
      <c r="W44" s="1090"/>
      <c r="X44" s="1090"/>
      <c r="Y44" s="1090"/>
      <c r="Z44" s="1090"/>
      <c r="AA44" s="1090"/>
      <c r="AB44" s="1090"/>
      <c r="AC44" s="1090"/>
      <c r="AD44" s="1090"/>
      <c r="AE44" s="1090"/>
      <c r="AF44" s="1090"/>
      <c r="AG44" s="1090"/>
      <c r="AH44" s="1090"/>
      <c r="AI44" s="1090"/>
    </row>
    <row r="45" spans="2:35">
      <c r="B45" s="1090"/>
      <c r="C45" s="878"/>
      <c r="D45" s="1090"/>
      <c r="E45" s="1090"/>
      <c r="F45" s="1090"/>
      <c r="G45" s="878"/>
      <c r="H45" s="1090"/>
      <c r="I45" s="1090"/>
      <c r="J45" s="850"/>
      <c r="K45" s="1090"/>
      <c r="L45" s="1932"/>
      <c r="M45" s="1090"/>
      <c r="N45" s="1090"/>
      <c r="O45" s="1090"/>
      <c r="P45" s="1488"/>
      <c r="Q45" s="1090"/>
      <c r="R45" s="1488"/>
      <c r="S45" s="1090"/>
      <c r="T45" s="1242"/>
      <c r="U45" s="1090"/>
      <c r="V45" s="1090"/>
      <c r="W45" s="1090"/>
      <c r="X45" s="1090"/>
      <c r="Y45" s="1090"/>
      <c r="Z45" s="1090"/>
      <c r="AA45" s="1090"/>
      <c r="AB45" s="1090"/>
      <c r="AC45" s="1090"/>
      <c r="AD45" s="1090"/>
      <c r="AE45" s="1090"/>
      <c r="AF45" s="1090"/>
      <c r="AG45" s="1090"/>
      <c r="AH45" s="1090"/>
      <c r="AI45" s="1090"/>
    </row>
    <row r="46" spans="2:35">
      <c r="B46" s="877"/>
      <c r="C46" s="878"/>
      <c r="D46" s="877"/>
      <c r="E46" s="877"/>
      <c r="F46" s="877"/>
      <c r="G46" s="878"/>
      <c r="H46" s="877"/>
      <c r="I46" s="877"/>
      <c r="J46" s="850"/>
      <c r="K46" s="877"/>
      <c r="L46" s="1932"/>
      <c r="M46" s="877"/>
      <c r="N46" s="877"/>
      <c r="O46" s="877"/>
      <c r="P46" s="877"/>
      <c r="Q46" s="877"/>
      <c r="R46" s="1488"/>
      <c r="S46" s="877"/>
      <c r="T46" s="1242"/>
      <c r="U46" s="877"/>
      <c r="V46" s="877"/>
      <c r="W46" s="877"/>
      <c r="X46" s="877"/>
      <c r="Y46" s="877"/>
      <c r="Z46" s="877"/>
      <c r="AA46" s="877"/>
      <c r="AB46" s="877"/>
      <c r="AC46" s="877"/>
      <c r="AD46" s="877"/>
      <c r="AE46" s="877"/>
      <c r="AF46" s="877"/>
      <c r="AG46" s="877"/>
      <c r="AH46" s="877"/>
      <c r="AI46" s="877"/>
    </row>
    <row r="47" spans="2:35">
      <c r="B47" s="877"/>
      <c r="C47" s="878"/>
      <c r="D47" s="877"/>
      <c r="E47" s="877"/>
      <c r="F47" s="877"/>
      <c r="G47" s="878"/>
      <c r="H47" s="877"/>
      <c r="I47" s="877"/>
      <c r="J47" s="850"/>
      <c r="K47" s="877"/>
      <c r="L47" s="1932"/>
      <c r="M47" s="877"/>
      <c r="N47" s="877"/>
      <c r="O47" s="877"/>
      <c r="P47" s="877"/>
      <c r="Q47" s="877"/>
      <c r="R47" s="877"/>
      <c r="S47" s="877"/>
      <c r="T47" s="1242"/>
      <c r="U47" s="877"/>
      <c r="V47" s="877"/>
      <c r="W47" s="877"/>
      <c r="X47" s="877"/>
      <c r="Y47" s="877"/>
      <c r="Z47" s="877"/>
      <c r="AA47" s="877"/>
      <c r="AB47" s="877"/>
      <c r="AC47" s="877"/>
      <c r="AD47" s="877"/>
      <c r="AE47" s="877"/>
      <c r="AF47" s="877"/>
      <c r="AG47" s="877"/>
      <c r="AH47" s="877"/>
      <c r="AI47" s="877"/>
    </row>
    <row r="48" spans="2:35">
      <c r="B48" s="877"/>
      <c r="C48" s="878"/>
      <c r="D48" s="877"/>
      <c r="E48" s="877"/>
      <c r="F48" s="877"/>
      <c r="G48" s="878"/>
      <c r="H48" s="877"/>
      <c r="I48" s="877"/>
      <c r="J48" s="850"/>
      <c r="K48" s="877"/>
      <c r="L48" s="1932"/>
      <c r="M48" s="877"/>
      <c r="N48" s="877"/>
      <c r="O48" s="877"/>
      <c r="P48" s="877"/>
      <c r="Q48" s="877"/>
      <c r="R48" s="877"/>
      <c r="S48" s="877"/>
      <c r="T48" s="1242"/>
      <c r="U48" s="877"/>
      <c r="V48" s="877"/>
      <c r="W48" s="877"/>
      <c r="X48" s="877"/>
      <c r="Y48" s="877"/>
      <c r="Z48" s="877"/>
      <c r="AA48" s="877"/>
      <c r="AB48" s="877"/>
      <c r="AC48" s="877"/>
      <c r="AD48" s="877"/>
      <c r="AE48" s="877"/>
      <c r="AF48" s="877"/>
      <c r="AG48" s="877"/>
      <c r="AH48" s="877"/>
      <c r="AI48" s="877"/>
    </row>
  </sheetData>
  <sheetProtection formatCells="0" insertHyperlinks="0" autoFilter="0"/>
  <mergeCells count="21">
    <mergeCell ref="A1:M1"/>
    <mergeCell ref="A39:B39"/>
    <mergeCell ref="A3:A11"/>
    <mergeCell ref="A12:A21"/>
    <mergeCell ref="A22:A38"/>
    <mergeCell ref="B3:B6"/>
    <mergeCell ref="B7:B8"/>
    <mergeCell ref="B9:B10"/>
    <mergeCell ref="B12:B17"/>
    <mergeCell ref="B18:B20"/>
    <mergeCell ref="B22:B29"/>
    <mergeCell ref="B30:B33"/>
    <mergeCell ref="B34:B37"/>
    <mergeCell ref="C3:C6"/>
    <mergeCell ref="C7:C8"/>
    <mergeCell ref="C9:C10"/>
    <mergeCell ref="C12:C17"/>
    <mergeCell ref="C18:C20"/>
    <mergeCell ref="C22:C29"/>
    <mergeCell ref="C30:C33"/>
    <mergeCell ref="C34:C37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0"/>
  <dimension ref="A1:AI57"/>
  <sheetViews>
    <sheetView zoomScale="70" zoomScaleNormal="70" workbookViewId="0">
      <pane ySplit="2" topLeftCell="A3" activePane="bottomLeft" state="frozen"/>
      <selection/>
      <selection pane="bottomLeft" activeCell="N33" sqref="N33"/>
    </sheetView>
  </sheetViews>
  <sheetFormatPr defaultColWidth="9" defaultRowHeight="16.5"/>
  <cols>
    <col min="1" max="1" width="12.9666666666667" style="417" customWidth="1"/>
    <col min="2" max="2" width="11.2583333333333" style="417" customWidth="1"/>
    <col min="3" max="3" width="11.2583333333333" style="879" customWidth="1"/>
    <col min="4" max="4" width="21.5666666666667" style="417" customWidth="1"/>
    <col min="5" max="5" width="17.1916666666667" style="417" customWidth="1"/>
    <col min="6" max="6" width="21.5666666666667" style="417" customWidth="1"/>
    <col min="7" max="7" width="10.375" style="879"/>
    <col min="8" max="8" width="14.3083333333333" style="417" customWidth="1"/>
    <col min="9" max="9" width="16.875" style="417" customWidth="1"/>
    <col min="10" max="10" width="19.875" style="880" customWidth="1"/>
    <col min="11" max="11" width="15.1583333333333" style="417" customWidth="1"/>
    <col min="12" max="12" width="15.1583333333333" style="898" customWidth="1"/>
    <col min="13" max="13" width="24.8416666666667" style="417" customWidth="1"/>
    <col min="14" max="14" width="20.1583333333333" style="417" customWidth="1"/>
    <col min="15" max="15" width="40" style="417" customWidth="1"/>
    <col min="16" max="16" width="17.3583333333333" style="417" customWidth="1"/>
    <col min="17" max="17" width="14.875" style="417"/>
    <col min="18" max="18" width="14.025" style="417" customWidth="1"/>
    <col min="19" max="19" width="18.1916666666667" style="417" customWidth="1"/>
    <col min="20" max="20" width="43.7583333333333" style="1243" customWidth="1"/>
    <col min="21" max="21" width="9" style="417" hidden="1" customWidth="1"/>
    <col min="22" max="22" width="17.1916666666667" style="417" hidden="1" customWidth="1"/>
    <col min="23" max="32" width="9" style="417" hidden="1" customWidth="1"/>
    <col min="33" max="33" width="10.5333333333333" style="417" hidden="1" customWidth="1"/>
    <col min="34" max="34" width="15" style="417" hidden="1" customWidth="1"/>
    <col min="35" max="35" width="8" style="417" hidden="1" customWidth="1"/>
    <col min="36" max="16384" width="9" style="417"/>
  </cols>
  <sheetData>
    <row r="1" s="417" customFormat="1" ht="24.75" customHeight="1" spans="1:35">
      <c r="A1" s="1366" t="s">
        <v>1164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74"/>
      <c r="M1" s="1366"/>
      <c r="N1" s="1090"/>
      <c r="O1" s="1391"/>
      <c r="P1" s="1391"/>
      <c r="Q1" s="1391"/>
      <c r="R1" s="1391"/>
      <c r="S1" s="1090"/>
      <c r="T1" s="1242"/>
      <c r="U1" s="1090"/>
      <c r="V1" s="1391"/>
      <c r="W1" s="1090"/>
      <c r="X1" s="1090"/>
      <c r="Y1" s="1090"/>
      <c r="Z1" s="1090"/>
      <c r="AA1" s="1090"/>
      <c r="AB1" s="1090"/>
      <c r="AC1" s="1090"/>
      <c r="AD1" s="1090"/>
      <c r="AE1" s="1090"/>
      <c r="AF1" s="1090"/>
      <c r="AG1" s="1391"/>
      <c r="AH1" s="1391"/>
      <c r="AI1" s="1391"/>
    </row>
    <row r="2" s="1362" customFormat="1" ht="36.85" customHeight="1" spans="1:35">
      <c r="A2" s="1367" t="s">
        <v>1092</v>
      </c>
      <c r="B2" s="1870" t="s">
        <v>1093</v>
      </c>
      <c r="C2" s="1871" t="s">
        <v>1094</v>
      </c>
      <c r="D2" s="1870" t="s">
        <v>361</v>
      </c>
      <c r="E2" s="1875" t="s">
        <v>1095</v>
      </c>
      <c r="F2" s="1379" t="s">
        <v>7</v>
      </c>
      <c r="G2" s="1380" t="s">
        <v>8</v>
      </c>
      <c r="H2" s="1392" t="s">
        <v>9</v>
      </c>
      <c r="I2" s="1392" t="s">
        <v>362</v>
      </c>
      <c r="J2" s="1884" t="s">
        <v>10</v>
      </c>
      <c r="K2" s="1823" t="s">
        <v>1096</v>
      </c>
      <c r="L2" s="1885" t="s">
        <v>1097</v>
      </c>
      <c r="M2" s="1894" t="s">
        <v>1098</v>
      </c>
      <c r="N2" s="1378" t="s">
        <v>1099</v>
      </c>
      <c r="O2" s="1393" t="s">
        <v>12</v>
      </c>
      <c r="P2" s="1393" t="s">
        <v>13</v>
      </c>
      <c r="Q2" s="1394" t="s">
        <v>14</v>
      </c>
      <c r="R2" s="1402" t="s">
        <v>15</v>
      </c>
      <c r="S2" s="1403" t="s">
        <v>1100</v>
      </c>
      <c r="T2" s="1404" t="s">
        <v>1101</v>
      </c>
      <c r="U2" s="1403" t="s">
        <v>1102</v>
      </c>
      <c r="V2" s="1412" t="s">
        <v>363</v>
      </c>
      <c r="W2" s="1413" t="s">
        <v>1103</v>
      </c>
      <c r="X2" s="1403" t="s">
        <v>1104</v>
      </c>
      <c r="Y2" s="1403" t="s">
        <v>1105</v>
      </c>
      <c r="Z2" s="1403" t="s">
        <v>1106</v>
      </c>
      <c r="AA2" s="1403" t="s">
        <v>1107</v>
      </c>
      <c r="AB2" s="1403" t="s">
        <v>1108</v>
      </c>
      <c r="AC2" s="1403" t="s">
        <v>1109</v>
      </c>
      <c r="AD2" s="1403" t="s">
        <v>1110</v>
      </c>
      <c r="AE2" s="1415" t="s">
        <v>1108</v>
      </c>
      <c r="AF2" s="1416" t="s">
        <v>1109</v>
      </c>
      <c r="AG2" s="1417" t="s">
        <v>1111</v>
      </c>
      <c r="AH2" s="1402" t="s">
        <v>4</v>
      </c>
      <c r="AI2" s="1417" t="s">
        <v>1112</v>
      </c>
    </row>
    <row r="3" s="1363" customFormat="1" ht="18.75" customHeight="1" spans="1:35">
      <c r="A3" s="1421" t="s">
        <v>579</v>
      </c>
      <c r="B3" s="671" t="s">
        <v>38</v>
      </c>
      <c r="C3" s="557">
        <v>200</v>
      </c>
      <c r="D3" s="579"/>
      <c r="E3" s="579"/>
      <c r="F3" s="1381"/>
      <c r="G3" s="1558"/>
      <c r="H3" s="1395"/>
      <c r="I3" s="1395"/>
      <c r="J3" s="1508">
        <f>I3*K3</f>
        <v>0</v>
      </c>
      <c r="K3" s="1168">
        <v>6.5672</v>
      </c>
      <c r="L3" s="644"/>
      <c r="M3" s="766"/>
      <c r="N3" s="250"/>
      <c r="O3" s="602"/>
      <c r="P3" s="1396"/>
      <c r="Q3" s="1172"/>
      <c r="R3" s="1397"/>
      <c r="S3" s="1397"/>
      <c r="T3" s="1405"/>
      <c r="U3" s="1397"/>
      <c r="V3" s="1397"/>
      <c r="W3" s="1397"/>
      <c r="X3" s="1397"/>
      <c r="Y3" s="1397"/>
      <c r="Z3" s="1397"/>
      <c r="AA3" s="1397"/>
      <c r="AB3" s="1397"/>
      <c r="AC3" s="1397"/>
      <c r="AD3" s="1397"/>
      <c r="AE3" s="1397"/>
      <c r="AF3" s="1397"/>
      <c r="AG3" s="1218"/>
      <c r="AH3" s="1182"/>
      <c r="AI3" s="1397"/>
    </row>
    <row r="4" s="1363" customFormat="1" ht="18.75" customHeight="1" spans="1:35">
      <c r="A4" s="1502"/>
      <c r="B4" s="671"/>
      <c r="C4" s="557"/>
      <c r="D4" s="572"/>
      <c r="E4" s="572"/>
      <c r="F4" s="1876"/>
      <c r="G4" s="1877"/>
      <c r="H4" s="1399"/>
      <c r="I4" s="1399"/>
      <c r="J4" s="1508">
        <f t="shared" ref="J4:J10" si="0">I4*K4</f>
        <v>0</v>
      </c>
      <c r="K4" s="1168">
        <v>6.5672</v>
      </c>
      <c r="L4" s="645"/>
      <c r="M4" s="602"/>
      <c r="N4" s="250"/>
      <c r="O4" s="602"/>
      <c r="P4" s="1396"/>
      <c r="Q4" s="1172"/>
      <c r="R4" s="1397"/>
      <c r="S4" s="1397"/>
      <c r="T4" s="1405"/>
      <c r="U4" s="1397"/>
      <c r="V4" s="1397"/>
      <c r="W4" s="1397"/>
      <c r="X4" s="1397"/>
      <c r="Y4" s="1397"/>
      <c r="Z4" s="1397"/>
      <c r="AA4" s="1397"/>
      <c r="AB4" s="1397"/>
      <c r="AC4" s="1397"/>
      <c r="AD4" s="1397"/>
      <c r="AE4" s="1397"/>
      <c r="AF4" s="1397"/>
      <c r="AG4" s="1218"/>
      <c r="AH4" s="1182"/>
      <c r="AI4" s="1397"/>
    </row>
    <row r="5" s="1363" customFormat="1" ht="18.75" customHeight="1" spans="1:35">
      <c r="A5" s="1502"/>
      <c r="B5" s="671"/>
      <c r="C5" s="557"/>
      <c r="D5" s="572"/>
      <c r="E5" s="572"/>
      <c r="F5" s="1387"/>
      <c r="G5" s="1386"/>
      <c r="H5" s="1399"/>
      <c r="I5" s="1399"/>
      <c r="J5" s="1508">
        <f t="shared" si="0"/>
        <v>0</v>
      </c>
      <c r="K5" s="1168">
        <v>6.5672</v>
      </c>
      <c r="L5" s="645"/>
      <c r="M5" s="602"/>
      <c r="N5" s="250"/>
      <c r="O5" s="602"/>
      <c r="P5" s="1396"/>
      <c r="Q5" s="1172"/>
      <c r="R5" s="1397"/>
      <c r="S5" s="1397"/>
      <c r="T5" s="1405"/>
      <c r="U5" s="1397"/>
      <c r="V5" s="1397"/>
      <c r="W5" s="1397"/>
      <c r="X5" s="1397"/>
      <c r="Y5" s="1397"/>
      <c r="Z5" s="1397"/>
      <c r="AA5" s="1397"/>
      <c r="AB5" s="1397"/>
      <c r="AC5" s="1397"/>
      <c r="AD5" s="1397"/>
      <c r="AE5" s="1397"/>
      <c r="AF5" s="1397"/>
      <c r="AG5" s="1218"/>
      <c r="AH5" s="1182"/>
      <c r="AI5" s="1397"/>
    </row>
    <row r="6" s="1363" customFormat="1" ht="18.75" customHeight="1" spans="1:35">
      <c r="A6" s="1502"/>
      <c r="B6" s="671"/>
      <c r="C6" s="557"/>
      <c r="D6" s="572"/>
      <c r="E6" s="572"/>
      <c r="F6" s="1387"/>
      <c r="G6" s="1386"/>
      <c r="H6" s="1399"/>
      <c r="I6" s="1399"/>
      <c r="J6" s="1508">
        <f t="shared" si="0"/>
        <v>0</v>
      </c>
      <c r="K6" s="1168">
        <v>6.5672</v>
      </c>
      <c r="L6" s="645"/>
      <c r="M6" s="602"/>
      <c r="N6" s="250"/>
      <c r="O6" s="602"/>
      <c r="P6" s="1396"/>
      <c r="Q6" s="1172"/>
      <c r="R6" s="1397"/>
      <c r="S6" s="1397"/>
      <c r="T6" s="1405"/>
      <c r="U6" s="1397"/>
      <c r="V6" s="1397"/>
      <c r="W6" s="1397"/>
      <c r="X6" s="1397"/>
      <c r="Y6" s="1397"/>
      <c r="Z6" s="1397"/>
      <c r="AA6" s="1397"/>
      <c r="AB6" s="1397"/>
      <c r="AC6" s="1397"/>
      <c r="AD6" s="1397"/>
      <c r="AE6" s="1397"/>
      <c r="AF6" s="1397"/>
      <c r="AG6" s="1218"/>
      <c r="AH6" s="1182"/>
      <c r="AI6" s="1397"/>
    </row>
    <row r="7" s="1363" customFormat="1" ht="18.75" customHeight="1" spans="1:35">
      <c r="A7" s="1502"/>
      <c r="B7" s="1247" t="s">
        <v>209</v>
      </c>
      <c r="C7" s="655">
        <v>178</v>
      </c>
      <c r="D7" s="698" t="s">
        <v>768</v>
      </c>
      <c r="E7" s="572"/>
      <c r="F7" s="1303"/>
      <c r="G7" s="1303"/>
      <c r="H7" s="1303"/>
      <c r="I7" s="1399">
        <v>40000</v>
      </c>
      <c r="J7" s="1508">
        <f t="shared" si="0"/>
        <v>262688</v>
      </c>
      <c r="K7" s="1168">
        <v>6.5672</v>
      </c>
      <c r="L7" s="645">
        <v>44699</v>
      </c>
      <c r="M7" s="602"/>
      <c r="N7" s="250"/>
      <c r="O7" s="602"/>
      <c r="P7" s="1340"/>
      <c r="Q7" s="1172"/>
      <c r="R7" s="1397"/>
      <c r="S7" s="1397"/>
      <c r="T7" s="1406"/>
      <c r="U7" s="1397"/>
      <c r="V7" s="1414"/>
      <c r="W7" s="1397"/>
      <c r="X7" s="1397"/>
      <c r="Y7" s="1397"/>
      <c r="Z7" s="1397"/>
      <c r="AA7" s="1397"/>
      <c r="AB7" s="1397"/>
      <c r="AC7" s="1397"/>
      <c r="AD7" s="1397"/>
      <c r="AE7" s="1397"/>
      <c r="AF7" s="1397"/>
      <c r="AG7" s="1218"/>
      <c r="AH7" s="1182"/>
      <c r="AI7" s="1397"/>
    </row>
    <row r="8" s="1363" customFormat="1" ht="18.75" customHeight="1" spans="1:35">
      <c r="A8" s="1502"/>
      <c r="B8" s="1247"/>
      <c r="C8" s="655"/>
      <c r="D8" s="698" t="s">
        <v>284</v>
      </c>
      <c r="E8" s="572"/>
      <c r="F8" s="1388"/>
      <c r="G8" s="1878"/>
      <c r="H8" s="1879"/>
      <c r="I8" s="1886">
        <v>150000</v>
      </c>
      <c r="J8" s="1508">
        <f t="shared" si="0"/>
        <v>985080</v>
      </c>
      <c r="K8" s="1168">
        <v>6.5672</v>
      </c>
      <c r="L8" s="645">
        <v>44706</v>
      </c>
      <c r="M8" s="602"/>
      <c r="N8" s="250"/>
      <c r="O8" s="602"/>
      <c r="P8" s="1340"/>
      <c r="Q8" s="1172"/>
      <c r="R8" s="1397"/>
      <c r="S8" s="1397"/>
      <c r="T8" s="1406"/>
      <c r="U8" s="1397"/>
      <c r="V8" s="1414"/>
      <c r="W8" s="1397"/>
      <c r="X8" s="1397"/>
      <c r="Y8" s="1397"/>
      <c r="Z8" s="1397"/>
      <c r="AA8" s="1397"/>
      <c r="AB8" s="1397"/>
      <c r="AC8" s="1397"/>
      <c r="AD8" s="1397"/>
      <c r="AE8" s="1397"/>
      <c r="AF8" s="1397"/>
      <c r="AG8" s="1218"/>
      <c r="AH8" s="1182"/>
      <c r="AI8" s="1397"/>
    </row>
    <row r="9" s="1363" customFormat="1" ht="18.75" customHeight="1" spans="1:35">
      <c r="A9" s="1502"/>
      <c r="B9" s="1188" t="s">
        <v>1120</v>
      </c>
      <c r="C9" s="1554">
        <v>50</v>
      </c>
      <c r="D9" s="572"/>
      <c r="E9" s="572"/>
      <c r="F9" s="1388"/>
      <c r="G9" s="1386"/>
      <c r="H9" s="1399"/>
      <c r="I9" s="1399"/>
      <c r="J9" s="1508">
        <f t="shared" si="0"/>
        <v>0</v>
      </c>
      <c r="K9" s="1168">
        <v>6.5672</v>
      </c>
      <c r="L9" s="645"/>
      <c r="M9" s="602"/>
      <c r="N9" s="250"/>
      <c r="O9" s="766"/>
      <c r="P9" s="1173"/>
      <c r="Q9" s="1174"/>
      <c r="R9" s="1398"/>
      <c r="S9" s="1398"/>
      <c r="T9" s="1407"/>
      <c r="U9" s="1397"/>
      <c r="V9" s="1414"/>
      <c r="W9" s="1397"/>
      <c r="X9" s="1397"/>
      <c r="Y9" s="1397"/>
      <c r="Z9" s="1397"/>
      <c r="AA9" s="1397"/>
      <c r="AB9" s="1397"/>
      <c r="AC9" s="1397"/>
      <c r="AD9" s="1397"/>
      <c r="AE9" s="1397"/>
      <c r="AF9" s="1397"/>
      <c r="AG9" s="1218"/>
      <c r="AH9" s="1182"/>
      <c r="AI9" s="1397"/>
    </row>
    <row r="10" s="1363" customFormat="1" ht="18.75" customHeight="1" spans="1:35">
      <c r="A10" s="1502"/>
      <c r="B10" s="1188"/>
      <c r="C10" s="1554"/>
      <c r="D10" s="572"/>
      <c r="E10" s="572"/>
      <c r="F10" s="1388"/>
      <c r="G10" s="1386"/>
      <c r="H10" s="1399"/>
      <c r="I10" s="1399"/>
      <c r="J10" s="1508">
        <f t="shared" si="0"/>
        <v>0</v>
      </c>
      <c r="K10" s="1168">
        <v>6.5672</v>
      </c>
      <c r="L10" s="645"/>
      <c r="M10" s="602"/>
      <c r="N10" s="250"/>
      <c r="O10" s="766"/>
      <c r="P10" s="1173"/>
      <c r="Q10" s="1174"/>
      <c r="R10" s="1398"/>
      <c r="S10" s="1398"/>
      <c r="T10" s="1407"/>
      <c r="U10" s="1397"/>
      <c r="V10" s="1414"/>
      <c r="W10" s="1397"/>
      <c r="X10" s="1397"/>
      <c r="Y10" s="1397"/>
      <c r="Z10" s="1397"/>
      <c r="AA10" s="1397"/>
      <c r="AB10" s="1397"/>
      <c r="AC10" s="1397"/>
      <c r="AD10" s="1397"/>
      <c r="AE10" s="1397"/>
      <c r="AF10" s="1397"/>
      <c r="AG10" s="1218"/>
      <c r="AH10" s="1182"/>
      <c r="AI10" s="1397"/>
    </row>
    <row r="11" s="889" customFormat="1" ht="27.2" customHeight="1" spans="1:35">
      <c r="A11" s="1505"/>
      <c r="B11" s="1872" t="s">
        <v>1124</v>
      </c>
      <c r="C11" s="1087">
        <f>SUM(C3:C10)</f>
        <v>428</v>
      </c>
      <c r="D11" s="1873" t="s">
        <v>1125</v>
      </c>
      <c r="E11" s="1880"/>
      <c r="F11" s="777"/>
      <c r="G11" s="1881"/>
      <c r="H11" s="1882"/>
      <c r="I11" s="1887"/>
      <c r="J11" s="1888">
        <f>SUM(J3:J10)</f>
        <v>1247768</v>
      </c>
      <c r="K11" s="1889"/>
      <c r="L11" s="1890"/>
      <c r="M11" s="807"/>
      <c r="N11" s="719"/>
      <c r="O11" s="807"/>
      <c r="P11" s="807">
        <v>0</v>
      </c>
      <c r="Q11" s="807">
        <v>0</v>
      </c>
      <c r="R11" s="1408"/>
      <c r="S11" s="1408"/>
      <c r="T11" s="1409"/>
      <c r="U11" s="727"/>
      <c r="V11" s="727"/>
      <c r="W11" s="727"/>
      <c r="X11" s="727"/>
      <c r="Y11" s="727"/>
      <c r="Z11" s="727"/>
      <c r="AA11" s="727"/>
      <c r="AB11" s="727"/>
      <c r="AC11" s="727"/>
      <c r="AD11" s="727"/>
      <c r="AE11" s="727"/>
      <c r="AF11" s="727"/>
      <c r="AG11" s="727"/>
      <c r="AH11" s="727" t="s">
        <v>285</v>
      </c>
      <c r="AI11" s="727"/>
    </row>
    <row r="12" s="1363" customFormat="1" ht="23.45" customHeight="1" spans="1:35">
      <c r="A12" s="1646" t="s">
        <v>580</v>
      </c>
      <c r="B12" s="1269" t="s">
        <v>331</v>
      </c>
      <c r="C12" s="759">
        <v>197</v>
      </c>
      <c r="D12" s="664" t="s">
        <v>167</v>
      </c>
      <c r="E12" s="572" t="s">
        <v>1165</v>
      </c>
      <c r="F12" s="664" t="s">
        <v>518</v>
      </c>
      <c r="G12" s="655"/>
      <c r="H12" s="656"/>
      <c r="I12" s="656"/>
      <c r="J12" s="1508">
        <v>228044.8</v>
      </c>
      <c r="K12" s="1168">
        <v>6.5672</v>
      </c>
      <c r="L12" s="645"/>
      <c r="M12" s="1343"/>
      <c r="N12" s="546"/>
      <c r="O12" s="1400"/>
      <c r="P12" s="1401"/>
      <c r="Q12" s="1401"/>
      <c r="R12" s="1410"/>
      <c r="S12" s="1410"/>
      <c r="T12" s="1183"/>
      <c r="U12" s="1411"/>
      <c r="V12" s="715"/>
      <c r="W12" s="546"/>
      <c r="X12" s="546"/>
      <c r="Y12" s="546"/>
      <c r="Z12" s="546"/>
      <c r="AA12" s="546"/>
      <c r="AB12" s="546"/>
      <c r="AC12" s="546"/>
      <c r="AD12" s="546"/>
      <c r="AE12" s="546"/>
      <c r="AF12" s="546"/>
      <c r="AG12" s="715"/>
      <c r="AH12" s="715"/>
      <c r="AI12" s="715"/>
    </row>
    <row r="13" s="1363" customFormat="1" ht="23.45" customHeight="1" spans="1:35">
      <c r="A13" s="1660"/>
      <c r="B13" s="671"/>
      <c r="C13" s="557"/>
      <c r="D13" s="664" t="s">
        <v>1166</v>
      </c>
      <c r="E13" s="572" t="s">
        <v>1167</v>
      </c>
      <c r="F13" s="664" t="s">
        <v>1168</v>
      </c>
      <c r="G13" s="1516"/>
      <c r="H13" s="1516"/>
      <c r="I13" s="1516"/>
      <c r="J13" s="1508">
        <v>250000</v>
      </c>
      <c r="K13" s="1168">
        <v>6.5672</v>
      </c>
      <c r="L13" s="644"/>
      <c r="M13" s="1343"/>
      <c r="N13" s="546"/>
      <c r="O13" s="1400"/>
      <c r="P13" s="1401"/>
      <c r="Q13" s="1401"/>
      <c r="R13" s="1410"/>
      <c r="S13" s="1410"/>
      <c r="T13" s="1183"/>
      <c r="U13" s="1411"/>
      <c r="V13" s="715"/>
      <c r="W13" s="546"/>
      <c r="X13" s="546"/>
      <c r="Y13" s="546"/>
      <c r="Z13" s="546"/>
      <c r="AA13" s="546"/>
      <c r="AB13" s="546"/>
      <c r="AC13" s="546"/>
      <c r="AD13" s="546"/>
      <c r="AE13" s="546"/>
      <c r="AF13" s="546"/>
      <c r="AG13" s="715"/>
      <c r="AH13" s="715"/>
      <c r="AI13" s="715"/>
    </row>
    <row r="14" s="1363" customFormat="1" ht="23.45" customHeight="1" spans="1:35">
      <c r="A14" s="1660"/>
      <c r="B14" s="671"/>
      <c r="C14" s="557"/>
      <c r="D14" s="664" t="s">
        <v>1169</v>
      </c>
      <c r="E14" s="572" t="s">
        <v>1170</v>
      </c>
      <c r="F14" s="664" t="s">
        <v>1171</v>
      </c>
      <c r="G14" s="655"/>
      <c r="H14" s="656"/>
      <c r="I14" s="656"/>
      <c r="J14" s="1508">
        <v>413779.2</v>
      </c>
      <c r="K14" s="1168">
        <v>6.5672</v>
      </c>
      <c r="L14" s="644"/>
      <c r="M14" s="1343"/>
      <c r="N14" s="546"/>
      <c r="O14" s="1400"/>
      <c r="P14" s="1401"/>
      <c r="Q14" s="1401"/>
      <c r="R14" s="1410"/>
      <c r="S14" s="1410"/>
      <c r="T14" s="1183"/>
      <c r="U14" s="1411"/>
      <c r="V14" s="715"/>
      <c r="W14" s="546"/>
      <c r="X14" s="546"/>
      <c r="Y14" s="546"/>
      <c r="Z14" s="546"/>
      <c r="AA14" s="546"/>
      <c r="AB14" s="546"/>
      <c r="AC14" s="546"/>
      <c r="AD14" s="546"/>
      <c r="AE14" s="546"/>
      <c r="AF14" s="546"/>
      <c r="AG14" s="715"/>
      <c r="AH14" s="715"/>
      <c r="AI14" s="715"/>
    </row>
    <row r="15" s="1363" customFormat="1" ht="23.45" customHeight="1" spans="1:35">
      <c r="A15" s="1660"/>
      <c r="B15" s="671"/>
      <c r="C15" s="557"/>
      <c r="D15" s="664" t="s">
        <v>175</v>
      </c>
      <c r="E15" s="572" t="s">
        <v>1172</v>
      </c>
      <c r="F15" s="664" t="s">
        <v>1043</v>
      </c>
      <c r="G15" s="655"/>
      <c r="H15" s="656"/>
      <c r="I15" s="656"/>
      <c r="J15" s="1508">
        <v>130000</v>
      </c>
      <c r="K15" s="1168">
        <v>6.5672</v>
      </c>
      <c r="L15" s="644"/>
      <c r="M15" s="1343"/>
      <c r="N15" s="546"/>
      <c r="O15" s="1400"/>
      <c r="P15" s="1401"/>
      <c r="Q15" s="1401"/>
      <c r="R15" s="1410"/>
      <c r="S15" s="1410"/>
      <c r="T15" s="1183"/>
      <c r="U15" s="1411"/>
      <c r="V15" s="715"/>
      <c r="W15" s="546"/>
      <c r="X15" s="546"/>
      <c r="Y15" s="546"/>
      <c r="Z15" s="546"/>
      <c r="AA15" s="546"/>
      <c r="AB15" s="546"/>
      <c r="AC15" s="546"/>
      <c r="AD15" s="546"/>
      <c r="AE15" s="546"/>
      <c r="AF15" s="546"/>
      <c r="AG15" s="715"/>
      <c r="AH15" s="715"/>
      <c r="AI15" s="715"/>
    </row>
    <row r="16" s="1363" customFormat="1" ht="23.45" customHeight="1" spans="1:35">
      <c r="A16" s="1660"/>
      <c r="B16" s="671"/>
      <c r="C16" s="557"/>
      <c r="D16" s="664" t="s">
        <v>165</v>
      </c>
      <c r="E16" s="572" t="s">
        <v>1173</v>
      </c>
      <c r="F16" s="664" t="s">
        <v>1174</v>
      </c>
      <c r="G16" s="655"/>
      <c r="H16" s="656"/>
      <c r="I16" s="656"/>
      <c r="J16" s="1508">
        <v>100000</v>
      </c>
      <c r="K16" s="1168">
        <v>6.5672</v>
      </c>
      <c r="L16" s="644"/>
      <c r="M16" s="1343"/>
      <c r="N16" s="546"/>
      <c r="O16" s="1400"/>
      <c r="P16" s="1401"/>
      <c r="Q16" s="1401"/>
      <c r="R16" s="1410"/>
      <c r="S16" s="1410"/>
      <c r="T16" s="1183"/>
      <c r="U16" s="1411"/>
      <c r="V16" s="715"/>
      <c r="W16" s="546"/>
      <c r="X16" s="546"/>
      <c r="Y16" s="546"/>
      <c r="Z16" s="546"/>
      <c r="AA16" s="546"/>
      <c r="AB16" s="546"/>
      <c r="AC16" s="546"/>
      <c r="AD16" s="546"/>
      <c r="AE16" s="546"/>
      <c r="AF16" s="546"/>
      <c r="AG16" s="715"/>
      <c r="AH16" s="715"/>
      <c r="AI16" s="715"/>
    </row>
    <row r="17" s="1363" customFormat="1" ht="23.45" customHeight="1" spans="1:35">
      <c r="A17" s="1660"/>
      <c r="B17" s="671"/>
      <c r="C17" s="557"/>
      <c r="D17" s="664" t="s">
        <v>1129</v>
      </c>
      <c r="E17" s="572" t="s">
        <v>1175</v>
      </c>
      <c r="F17" s="664"/>
      <c r="G17" s="655"/>
      <c r="H17" s="656"/>
      <c r="I17" s="656"/>
      <c r="J17" s="1508">
        <v>200000</v>
      </c>
      <c r="K17" s="1168">
        <v>6.5672</v>
      </c>
      <c r="L17" s="644"/>
      <c r="M17" s="1343"/>
      <c r="N17" s="546"/>
      <c r="O17" s="1400"/>
      <c r="P17" s="1401"/>
      <c r="Q17" s="1401"/>
      <c r="R17" s="1410"/>
      <c r="S17" s="1410"/>
      <c r="T17" s="1183"/>
      <c r="U17" s="1411"/>
      <c r="V17" s="715"/>
      <c r="W17" s="546"/>
      <c r="X17" s="546"/>
      <c r="Y17" s="546"/>
      <c r="Z17" s="546"/>
      <c r="AA17" s="546"/>
      <c r="AB17" s="546"/>
      <c r="AC17" s="546"/>
      <c r="AD17" s="546"/>
      <c r="AE17" s="546"/>
      <c r="AF17" s="546"/>
      <c r="AG17" s="715"/>
      <c r="AH17" s="715"/>
      <c r="AI17" s="715"/>
    </row>
    <row r="18" s="1363" customFormat="1" ht="23.45" customHeight="1" spans="1:35">
      <c r="A18" s="1660"/>
      <c r="B18" s="671"/>
      <c r="C18" s="557"/>
      <c r="D18" s="664" t="s">
        <v>1176</v>
      </c>
      <c r="E18" s="572" t="s">
        <v>1177</v>
      </c>
      <c r="F18" s="664"/>
      <c r="G18" s="655"/>
      <c r="H18" s="656"/>
      <c r="I18" s="656"/>
      <c r="J18" s="1508">
        <v>78336</v>
      </c>
      <c r="K18" s="1168">
        <v>6.5672</v>
      </c>
      <c r="L18" s="644"/>
      <c r="M18" s="1343"/>
      <c r="N18" s="546"/>
      <c r="O18" s="1400"/>
      <c r="P18" s="1401"/>
      <c r="Q18" s="1401"/>
      <c r="R18" s="1410"/>
      <c r="S18" s="1410"/>
      <c r="T18" s="1183"/>
      <c r="U18" s="1411"/>
      <c r="V18" s="715"/>
      <c r="W18" s="546"/>
      <c r="X18" s="546"/>
      <c r="Y18" s="546"/>
      <c r="Z18" s="546"/>
      <c r="AA18" s="546"/>
      <c r="AB18" s="546"/>
      <c r="AC18" s="546"/>
      <c r="AD18" s="546"/>
      <c r="AE18" s="546"/>
      <c r="AF18" s="546"/>
      <c r="AG18" s="715"/>
      <c r="AH18" s="715"/>
      <c r="AI18" s="715"/>
    </row>
    <row r="19" s="536" customFormat="1" ht="23.75" customHeight="1" spans="1:35">
      <c r="A19" s="1660"/>
      <c r="B19" s="1269" t="s">
        <v>224</v>
      </c>
      <c r="C19" s="759">
        <v>131</v>
      </c>
      <c r="D19" s="664" t="s">
        <v>479</v>
      </c>
      <c r="E19" s="1055" t="s">
        <v>1178</v>
      </c>
      <c r="F19" s="1443" t="s">
        <v>411</v>
      </c>
      <c r="G19" s="945"/>
      <c r="H19" s="945"/>
      <c r="I19" s="753"/>
      <c r="J19" s="1509">
        <v>250000</v>
      </c>
      <c r="K19" s="1168">
        <v>6.5672</v>
      </c>
      <c r="L19" s="645"/>
      <c r="M19" s="754"/>
      <c r="N19" s="715"/>
      <c r="O19" s="754"/>
      <c r="P19" s="754"/>
      <c r="Q19" s="992"/>
      <c r="R19" s="1465"/>
      <c r="S19" s="1209"/>
      <c r="T19" s="1210"/>
      <c r="U19" s="715"/>
      <c r="V19" s="1106"/>
      <c r="W19" s="1473"/>
      <c r="X19" s="715"/>
      <c r="Y19" s="715"/>
      <c r="Z19" s="715"/>
      <c r="AA19" s="715"/>
      <c r="AB19" s="715"/>
      <c r="AC19" s="715"/>
      <c r="AD19" s="715"/>
      <c r="AE19" s="715"/>
      <c r="AF19" s="715"/>
      <c r="AG19" s="715"/>
      <c r="AH19" s="992"/>
      <c r="AI19" s="715"/>
    </row>
    <row r="20" s="536" customFormat="1" ht="23.75" customHeight="1" spans="1:35">
      <c r="A20" s="1660"/>
      <c r="B20" s="671"/>
      <c r="C20" s="557"/>
      <c r="D20" s="664" t="s">
        <v>256</v>
      </c>
      <c r="E20" s="1055" t="s">
        <v>1179</v>
      </c>
      <c r="F20" s="1443"/>
      <c r="G20" s="945"/>
      <c r="H20" s="945"/>
      <c r="I20" s="753">
        <v>40452</v>
      </c>
      <c r="J20" s="1509">
        <f>I20*K20</f>
        <v>265656.3744</v>
      </c>
      <c r="K20" s="1168">
        <v>6.5672</v>
      </c>
      <c r="L20" s="645"/>
      <c r="M20" s="1401"/>
      <c r="N20" s="715"/>
      <c r="O20" s="1401"/>
      <c r="P20" s="754"/>
      <c r="Q20" s="992"/>
      <c r="R20" s="1465"/>
      <c r="S20" s="1209"/>
      <c r="T20" s="1210"/>
      <c r="U20" s="715"/>
      <c r="V20" s="1474"/>
      <c r="W20" s="1473"/>
      <c r="X20" s="715"/>
      <c r="Y20" s="715"/>
      <c r="Z20" s="715"/>
      <c r="AA20" s="715"/>
      <c r="AB20" s="715"/>
      <c r="AC20" s="715"/>
      <c r="AD20" s="715"/>
      <c r="AE20" s="715"/>
      <c r="AF20" s="715"/>
      <c r="AG20" s="715"/>
      <c r="AH20" s="992"/>
      <c r="AI20" s="715"/>
    </row>
    <row r="21" s="536" customFormat="1" ht="23.75" customHeight="1" spans="1:35">
      <c r="A21" s="1660"/>
      <c r="B21" s="671"/>
      <c r="C21" s="557"/>
      <c r="D21" s="670" t="s">
        <v>464</v>
      </c>
      <c r="E21" s="1055" t="s">
        <v>1180</v>
      </c>
      <c r="F21" s="1443"/>
      <c r="G21" s="945"/>
      <c r="H21" s="945"/>
      <c r="I21" s="753"/>
      <c r="J21" s="1509">
        <v>100000</v>
      </c>
      <c r="K21" s="1168">
        <v>6.5672</v>
      </c>
      <c r="L21" s="645"/>
      <c r="M21" s="1401"/>
      <c r="N21" s="715"/>
      <c r="O21" s="1401"/>
      <c r="P21" s="754"/>
      <c r="Q21" s="992"/>
      <c r="R21" s="1465"/>
      <c r="S21" s="1209"/>
      <c r="T21" s="1210"/>
      <c r="U21" s="715"/>
      <c r="V21" s="1474"/>
      <c r="W21" s="1473"/>
      <c r="X21" s="715"/>
      <c r="Y21" s="715"/>
      <c r="Z21" s="715"/>
      <c r="AA21" s="715"/>
      <c r="AB21" s="715"/>
      <c r="AC21" s="715"/>
      <c r="AD21" s="715"/>
      <c r="AE21" s="715"/>
      <c r="AF21" s="715"/>
      <c r="AG21" s="715"/>
      <c r="AH21" s="992"/>
      <c r="AI21" s="715"/>
    </row>
    <row r="22" s="536" customFormat="1" ht="23.75" customHeight="1" spans="1:35">
      <c r="A22" s="1660"/>
      <c r="B22" s="1246"/>
      <c r="C22" s="968"/>
      <c r="D22" s="670" t="s">
        <v>335</v>
      </c>
      <c r="E22" s="1055" t="s">
        <v>1136</v>
      </c>
      <c r="F22" s="1443"/>
      <c r="G22" s="1043"/>
      <c r="H22" s="1043"/>
      <c r="I22" s="1891"/>
      <c r="J22" s="1509">
        <v>230000</v>
      </c>
      <c r="K22" s="1168">
        <v>6.5672</v>
      </c>
      <c r="L22" s="645"/>
      <c r="M22" s="1401"/>
      <c r="N22" s="715"/>
      <c r="O22" s="1401"/>
      <c r="P22" s="754"/>
      <c r="Q22" s="992"/>
      <c r="R22" s="1465"/>
      <c r="S22" s="1209"/>
      <c r="T22" s="1210"/>
      <c r="U22" s="715"/>
      <c r="V22" s="1474"/>
      <c r="W22" s="1473"/>
      <c r="X22" s="715"/>
      <c r="Y22" s="715"/>
      <c r="Z22" s="715"/>
      <c r="AA22" s="715"/>
      <c r="AB22" s="715"/>
      <c r="AC22" s="715"/>
      <c r="AD22" s="715"/>
      <c r="AE22" s="715"/>
      <c r="AF22" s="715"/>
      <c r="AG22" s="715"/>
      <c r="AH22" s="992"/>
      <c r="AI22" s="715"/>
    </row>
    <row r="23" s="1364" customFormat="1" ht="27.5" customHeight="1" spans="1:35">
      <c r="A23" s="1662"/>
      <c r="B23" s="1874" t="s">
        <v>1124</v>
      </c>
      <c r="C23" s="1087">
        <f>SUM(C12:C22)</f>
        <v>328</v>
      </c>
      <c r="D23" s="1088"/>
      <c r="E23" s="1880"/>
      <c r="F23" s="777"/>
      <c r="G23" s="746"/>
      <c r="H23" s="747"/>
      <c r="I23" s="747"/>
      <c r="J23" s="1892">
        <f>SUM(J12:J22)</f>
        <v>2245816.3744</v>
      </c>
      <c r="K23" s="747"/>
      <c r="L23" s="1132"/>
      <c r="M23" s="747"/>
      <c r="N23" s="727"/>
      <c r="O23" s="747"/>
      <c r="P23" s="653"/>
      <c r="Q23" s="653"/>
      <c r="R23" s="1184"/>
      <c r="S23" s="1184"/>
      <c r="T23" s="1185"/>
      <c r="U23" s="727"/>
      <c r="V23" s="777"/>
      <c r="W23" s="727"/>
      <c r="X23" s="727"/>
      <c r="Y23" s="727"/>
      <c r="Z23" s="727"/>
      <c r="AA23" s="727"/>
      <c r="AB23" s="727"/>
      <c r="AC23" s="727"/>
      <c r="AD23" s="727"/>
      <c r="AE23" s="727"/>
      <c r="AF23" s="727"/>
      <c r="AG23" s="727"/>
      <c r="AH23" s="727" t="s">
        <v>293</v>
      </c>
      <c r="AI23" s="727"/>
    </row>
    <row r="24" s="1363" customFormat="1" ht="18.75" customHeight="1" spans="1:35">
      <c r="A24" s="1517" t="s">
        <v>1137</v>
      </c>
      <c r="B24" s="671" t="s">
        <v>344</v>
      </c>
      <c r="C24" s="557">
        <v>165</v>
      </c>
      <c r="D24" s="724" t="s">
        <v>299</v>
      </c>
      <c r="E24" s="1883" t="s">
        <v>1181</v>
      </c>
      <c r="F24" s="597" t="s">
        <v>348</v>
      </c>
      <c r="G24" s="751">
        <v>91</v>
      </c>
      <c r="H24" s="752">
        <v>389</v>
      </c>
      <c r="I24" s="752">
        <f>H24*G24</f>
        <v>35399</v>
      </c>
      <c r="J24" s="1509">
        <f>I24*K24</f>
        <v>232473.02078</v>
      </c>
      <c r="K24" s="733">
        <v>6.56722</v>
      </c>
      <c r="L24" s="633"/>
      <c r="M24" s="1410" t="s">
        <v>1182</v>
      </c>
      <c r="N24" s="1451">
        <f>SUM(J24:J27)</f>
        <v>464946.04156</v>
      </c>
      <c r="O24" s="1410"/>
      <c r="P24" s="1451"/>
      <c r="Q24" s="1452"/>
      <c r="R24" s="1344"/>
      <c r="S24" s="1466"/>
      <c r="T24" s="1467"/>
      <c r="U24" s="1397"/>
      <c r="V24" s="1475"/>
      <c r="W24" s="1397"/>
      <c r="X24" s="1397"/>
      <c r="Y24" s="1397"/>
      <c r="Z24" s="1397"/>
      <c r="AA24" s="1397"/>
      <c r="AB24" s="1397"/>
      <c r="AC24" s="1397"/>
      <c r="AD24" s="1397"/>
      <c r="AE24" s="1397"/>
      <c r="AF24" s="1397"/>
      <c r="AG24" s="1477"/>
      <c r="AH24" s="1478"/>
      <c r="AI24" s="1398"/>
    </row>
    <row r="25" s="1363" customFormat="1" ht="18.75" customHeight="1" spans="1:35">
      <c r="A25" s="1502"/>
      <c r="B25" s="671"/>
      <c r="C25" s="557"/>
      <c r="D25" s="724" t="s">
        <v>299</v>
      </c>
      <c r="E25" s="1883" t="s">
        <v>1183</v>
      </c>
      <c r="F25" s="597" t="s">
        <v>348</v>
      </c>
      <c r="G25" s="751">
        <v>91</v>
      </c>
      <c r="H25" s="752">
        <v>389</v>
      </c>
      <c r="I25" s="752">
        <f>H25*G25</f>
        <v>35399</v>
      </c>
      <c r="J25" s="1509">
        <f>I25*K25</f>
        <v>232473.02078</v>
      </c>
      <c r="K25" s="733">
        <v>6.56722</v>
      </c>
      <c r="L25" s="633"/>
      <c r="M25" s="1410" t="s">
        <v>1182</v>
      </c>
      <c r="N25" s="1451">
        <f>SUM(J28:J38)</f>
        <v>632108.05944</v>
      </c>
      <c r="O25" s="1410"/>
      <c r="P25" s="1451"/>
      <c r="Q25" s="1452"/>
      <c r="R25" s="1344"/>
      <c r="S25" s="1466"/>
      <c r="T25" s="1467"/>
      <c r="U25" s="1397"/>
      <c r="V25" s="1475"/>
      <c r="W25" s="1397"/>
      <c r="X25" s="1397"/>
      <c r="Y25" s="1397"/>
      <c r="Z25" s="1397"/>
      <c r="AA25" s="1397"/>
      <c r="AB25" s="1397"/>
      <c r="AC25" s="1397"/>
      <c r="AD25" s="1397"/>
      <c r="AE25" s="1397"/>
      <c r="AF25" s="1397"/>
      <c r="AG25" s="1477"/>
      <c r="AH25" s="1478"/>
      <c r="AI25" s="1398"/>
    </row>
    <row r="26" s="1363" customFormat="1" ht="18.75" customHeight="1" spans="1:35">
      <c r="A26" s="1502"/>
      <c r="B26" s="671"/>
      <c r="C26" s="557"/>
      <c r="D26" s="724"/>
      <c r="E26" s="1303"/>
      <c r="F26" s="597"/>
      <c r="G26" s="751"/>
      <c r="H26" s="752"/>
      <c r="I26" s="752"/>
      <c r="J26" s="1509"/>
      <c r="K26" s="733"/>
      <c r="L26" s="633"/>
      <c r="M26" s="1410"/>
      <c r="N26" s="1451">
        <f>SUM(J39:J45)</f>
        <v>0</v>
      </c>
      <c r="O26" s="1410"/>
      <c r="P26" s="1451"/>
      <c r="Q26" s="1452"/>
      <c r="R26" s="1344"/>
      <c r="S26" s="1466"/>
      <c r="T26" s="1467"/>
      <c r="U26" s="1397"/>
      <c r="V26" s="1475"/>
      <c r="W26" s="1397"/>
      <c r="X26" s="1397"/>
      <c r="Y26" s="1397"/>
      <c r="Z26" s="1397"/>
      <c r="AA26" s="1397"/>
      <c r="AB26" s="1397"/>
      <c r="AC26" s="1397"/>
      <c r="AD26" s="1397"/>
      <c r="AE26" s="1397"/>
      <c r="AF26" s="1397"/>
      <c r="AG26" s="1477"/>
      <c r="AH26" s="1478"/>
      <c r="AI26" s="1398"/>
    </row>
    <row r="27" s="1363" customFormat="1" ht="18.75" customHeight="1" spans="1:35">
      <c r="A27" s="1502"/>
      <c r="B27" s="671"/>
      <c r="C27" s="557"/>
      <c r="D27" s="561"/>
      <c r="E27" s="764"/>
      <c r="F27" s="597"/>
      <c r="G27" s="751"/>
      <c r="H27" s="752"/>
      <c r="I27" s="752"/>
      <c r="J27" s="1509"/>
      <c r="K27" s="733"/>
      <c r="L27" s="633"/>
      <c r="M27" s="1410"/>
      <c r="N27" s="1397"/>
      <c r="O27" s="1410"/>
      <c r="P27" s="1451"/>
      <c r="Q27" s="1452"/>
      <c r="R27" s="1344"/>
      <c r="S27" s="1466"/>
      <c r="T27" s="1467"/>
      <c r="U27" s="1397"/>
      <c r="V27" s="1475"/>
      <c r="W27" s="1397"/>
      <c r="X27" s="1397"/>
      <c r="Y27" s="1397"/>
      <c r="Z27" s="1397"/>
      <c r="AA27" s="1397"/>
      <c r="AB27" s="1397"/>
      <c r="AC27" s="1397"/>
      <c r="AD27" s="1397"/>
      <c r="AE27" s="1397"/>
      <c r="AF27" s="1397"/>
      <c r="AG27" s="1477"/>
      <c r="AH27" s="1478"/>
      <c r="AI27" s="1398"/>
    </row>
    <row r="28" s="1363" customFormat="1" ht="21.55" customHeight="1" spans="1:35">
      <c r="A28" s="1502"/>
      <c r="B28" s="1188" t="s">
        <v>1145</v>
      </c>
      <c r="C28" s="1430">
        <v>141</v>
      </c>
      <c r="D28" s="971" t="s">
        <v>258</v>
      </c>
      <c r="E28" s="561" t="s">
        <v>1184</v>
      </c>
      <c r="F28" s="597"/>
      <c r="G28" s="568">
        <v>1</v>
      </c>
      <c r="H28" s="1240">
        <v>40775</v>
      </c>
      <c r="I28" s="752">
        <f t="shared" ref="I28:I33" si="1">H28*G28</f>
        <v>40775</v>
      </c>
      <c r="J28" s="1893"/>
      <c r="K28" s="733">
        <v>6.56722</v>
      </c>
      <c r="L28" s="1819">
        <v>44707</v>
      </c>
      <c r="M28" s="1587" t="s">
        <v>1185</v>
      </c>
      <c r="N28" s="1588" t="s">
        <v>645</v>
      </c>
      <c r="O28" s="1453"/>
      <c r="P28" s="1461"/>
      <c r="Q28" s="1462"/>
      <c r="R28" s="1397"/>
      <c r="S28" s="1466"/>
      <c r="T28" s="1467"/>
      <c r="U28" s="1397"/>
      <c r="V28" s="1475"/>
      <c r="W28" s="1397"/>
      <c r="X28" s="1397"/>
      <c r="Y28" s="1397"/>
      <c r="Z28" s="1397"/>
      <c r="AA28" s="1397"/>
      <c r="AB28" s="1397"/>
      <c r="AC28" s="1397"/>
      <c r="AD28" s="1397"/>
      <c r="AE28" s="1397"/>
      <c r="AF28" s="1397"/>
      <c r="AG28" s="715"/>
      <c r="AH28" s="561"/>
      <c r="AI28" s="1397"/>
    </row>
    <row r="29" s="1363" customFormat="1" ht="21.55" customHeight="1" spans="1:35">
      <c r="A29" s="1502"/>
      <c r="B29" s="1188"/>
      <c r="C29" s="1431"/>
      <c r="D29" s="971" t="s">
        <v>258</v>
      </c>
      <c r="E29" s="561" t="s">
        <v>1186</v>
      </c>
      <c r="F29" s="597"/>
      <c r="G29" s="568">
        <v>1</v>
      </c>
      <c r="H29" s="1240">
        <v>40650</v>
      </c>
      <c r="I29" s="752">
        <f t="shared" si="1"/>
        <v>40650</v>
      </c>
      <c r="J29" s="1509"/>
      <c r="K29" s="733">
        <v>6.56722</v>
      </c>
      <c r="L29" s="1819"/>
      <c r="M29" s="1587"/>
      <c r="N29" s="1588"/>
      <c r="O29" s="1453"/>
      <c r="P29" s="1461"/>
      <c r="Q29" s="1462"/>
      <c r="R29" s="1397"/>
      <c r="S29" s="1466"/>
      <c r="T29" s="1467"/>
      <c r="U29" s="1397"/>
      <c r="V29" s="1475"/>
      <c r="W29" s="1397"/>
      <c r="X29" s="1397"/>
      <c r="Y29" s="1397"/>
      <c r="Z29" s="1397"/>
      <c r="AA29" s="1397"/>
      <c r="AB29" s="1397"/>
      <c r="AC29" s="1397"/>
      <c r="AD29" s="1397"/>
      <c r="AE29" s="1397"/>
      <c r="AF29" s="1397"/>
      <c r="AG29" s="715"/>
      <c r="AH29" s="561"/>
      <c r="AI29" s="1397"/>
    </row>
    <row r="30" s="1363" customFormat="1" ht="21.55" customHeight="1" spans="1:35">
      <c r="A30" s="1502"/>
      <c r="B30" s="1188"/>
      <c r="C30" s="1431"/>
      <c r="D30" s="705" t="s">
        <v>663</v>
      </c>
      <c r="E30" s="1155" t="s">
        <v>1187</v>
      </c>
      <c r="F30" s="597">
        <v>5918</v>
      </c>
      <c r="G30" s="568">
        <v>44</v>
      </c>
      <c r="H30" s="1240">
        <v>840</v>
      </c>
      <c r="I30" s="752">
        <f t="shared" si="1"/>
        <v>36960</v>
      </c>
      <c r="J30" s="1509">
        <f>I30*K30</f>
        <v>242724.4512</v>
      </c>
      <c r="K30" s="733">
        <v>6.56722</v>
      </c>
      <c r="L30" s="1819">
        <v>44704</v>
      </c>
      <c r="M30" s="1587" t="s">
        <v>1185</v>
      </c>
      <c r="N30" s="1588" t="s">
        <v>1188</v>
      </c>
      <c r="O30" s="1464"/>
      <c r="P30" s="1461"/>
      <c r="Q30" s="1462"/>
      <c r="R30" s="1397"/>
      <c r="S30" s="1466"/>
      <c r="T30" s="1467"/>
      <c r="U30" s="1397"/>
      <c r="V30" s="1475"/>
      <c r="W30" s="1397"/>
      <c r="X30" s="1397"/>
      <c r="Y30" s="1397"/>
      <c r="Z30" s="1397"/>
      <c r="AA30" s="1397"/>
      <c r="AB30" s="1397"/>
      <c r="AC30" s="1397"/>
      <c r="AD30" s="1397"/>
      <c r="AE30" s="1397"/>
      <c r="AF30" s="1397"/>
      <c r="AG30" s="715"/>
      <c r="AH30" s="561"/>
      <c r="AI30" s="1397"/>
    </row>
    <row r="31" s="1363" customFormat="1" ht="21.55" customHeight="1" spans="1:35">
      <c r="A31" s="1502"/>
      <c r="B31" s="1188"/>
      <c r="C31" s="1431"/>
      <c r="D31" s="705" t="s">
        <v>663</v>
      </c>
      <c r="E31" s="1155" t="s">
        <v>1189</v>
      </c>
      <c r="F31" s="568">
        <v>5517</v>
      </c>
      <c r="G31" s="568">
        <v>67</v>
      </c>
      <c r="H31" s="1240">
        <v>475</v>
      </c>
      <c r="I31" s="752">
        <f t="shared" si="1"/>
        <v>31825</v>
      </c>
      <c r="J31" s="1509">
        <f>I31*K31</f>
        <v>209001.7765</v>
      </c>
      <c r="K31" s="733">
        <v>6.56722</v>
      </c>
      <c r="L31" s="1819">
        <v>44704</v>
      </c>
      <c r="M31" s="1587" t="s">
        <v>1185</v>
      </c>
      <c r="N31" s="1588" t="s">
        <v>1188</v>
      </c>
      <c r="O31" s="1895"/>
      <c r="P31" s="1461"/>
      <c r="Q31" s="1462"/>
      <c r="R31" s="1397"/>
      <c r="S31" s="1466"/>
      <c r="T31" s="1467"/>
      <c r="U31" s="1397"/>
      <c r="V31" s="1475"/>
      <c r="W31" s="1397"/>
      <c r="X31" s="1397"/>
      <c r="Y31" s="1397"/>
      <c r="Z31" s="1397"/>
      <c r="AA31" s="1397"/>
      <c r="AB31" s="1397"/>
      <c r="AC31" s="1397"/>
      <c r="AD31" s="1397"/>
      <c r="AE31" s="1397"/>
      <c r="AF31" s="1397"/>
      <c r="AG31" s="715"/>
      <c r="AH31" s="561"/>
      <c r="AI31" s="1397"/>
    </row>
    <row r="32" s="1363" customFormat="1" ht="21.55" customHeight="1" spans="1:35">
      <c r="A32" s="1502"/>
      <c r="B32" s="1188"/>
      <c r="C32" s="1431"/>
      <c r="D32" s="705" t="s">
        <v>882</v>
      </c>
      <c r="E32" s="561" t="s">
        <v>1190</v>
      </c>
      <c r="F32" s="250" t="s">
        <v>1191</v>
      </c>
      <c r="G32" s="568">
        <v>170</v>
      </c>
      <c r="H32" s="1240">
        <v>300</v>
      </c>
      <c r="I32" s="752">
        <f t="shared" si="1"/>
        <v>51000</v>
      </c>
      <c r="J32" s="1509"/>
      <c r="K32" s="733">
        <v>6.56722</v>
      </c>
      <c r="L32" s="625"/>
      <c r="M32" s="1896" t="s">
        <v>1192</v>
      </c>
      <c r="N32" s="1588" t="s">
        <v>552</v>
      </c>
      <c r="O32" s="1464"/>
      <c r="P32" s="1461"/>
      <c r="Q32" s="1462"/>
      <c r="R32" s="1397"/>
      <c r="S32" s="1466"/>
      <c r="T32" s="1467"/>
      <c r="U32" s="1397"/>
      <c r="V32" s="1475"/>
      <c r="W32" s="1397"/>
      <c r="X32" s="1397"/>
      <c r="Y32" s="1397"/>
      <c r="Z32" s="1397"/>
      <c r="AA32" s="1397"/>
      <c r="AB32" s="1397"/>
      <c r="AC32" s="1397"/>
      <c r="AD32" s="1397"/>
      <c r="AE32" s="1397"/>
      <c r="AF32" s="1397"/>
      <c r="AG32" s="715"/>
      <c r="AH32" s="561"/>
      <c r="AI32" s="1397"/>
    </row>
    <row r="33" s="1363" customFormat="1" ht="21.55" customHeight="1" spans="1:35">
      <c r="A33" s="1502"/>
      <c r="B33" s="1519"/>
      <c r="C33" s="1431"/>
      <c r="D33" s="705" t="s">
        <v>882</v>
      </c>
      <c r="E33" s="561" t="s">
        <v>1193</v>
      </c>
      <c r="F33" s="250" t="s">
        <v>1194</v>
      </c>
      <c r="G33" s="568">
        <v>90</v>
      </c>
      <c r="H33" s="1240">
        <v>415</v>
      </c>
      <c r="I33" s="752">
        <f t="shared" si="1"/>
        <v>37350</v>
      </c>
      <c r="J33" s="1509"/>
      <c r="K33" s="733">
        <v>6.56722</v>
      </c>
      <c r="L33" s="1819"/>
      <c r="M33" s="1343" t="s">
        <v>1195</v>
      </c>
      <c r="N33" s="1397"/>
      <c r="O33" s="1464"/>
      <c r="P33" s="1461"/>
      <c r="Q33" s="1462"/>
      <c r="R33" s="1397"/>
      <c r="S33" s="1466"/>
      <c r="T33" s="1467"/>
      <c r="U33" s="1397"/>
      <c r="V33" s="1475"/>
      <c r="W33" s="1397"/>
      <c r="X33" s="1397"/>
      <c r="Y33" s="1397"/>
      <c r="Z33" s="1397"/>
      <c r="AA33" s="1397"/>
      <c r="AB33" s="1397"/>
      <c r="AC33" s="1397"/>
      <c r="AD33" s="1397"/>
      <c r="AE33" s="1397"/>
      <c r="AF33" s="1397"/>
      <c r="AG33" s="715"/>
      <c r="AH33" s="561"/>
      <c r="AI33" s="1397"/>
    </row>
    <row r="34" s="1363" customFormat="1" ht="21.55" customHeight="1" spans="1:35">
      <c r="A34" s="1502"/>
      <c r="B34" s="1519"/>
      <c r="C34" s="1431"/>
      <c r="D34" s="1346" t="s">
        <v>267</v>
      </c>
      <c r="E34" s="561" t="s">
        <v>1196</v>
      </c>
      <c r="F34" s="250"/>
      <c r="G34" s="568">
        <v>1</v>
      </c>
      <c r="H34" s="1240"/>
      <c r="I34" s="1240">
        <v>38172</v>
      </c>
      <c r="J34" s="1509"/>
      <c r="K34" s="733">
        <v>6.56722</v>
      </c>
      <c r="L34" s="1819"/>
      <c r="M34" s="1896" t="s">
        <v>1192</v>
      </c>
      <c r="N34" s="1588" t="s">
        <v>654</v>
      </c>
      <c r="O34" s="1464"/>
      <c r="P34" s="1461"/>
      <c r="Q34" s="1462"/>
      <c r="R34" s="1397"/>
      <c r="S34" s="1466"/>
      <c r="T34" s="1467"/>
      <c r="U34" s="1397"/>
      <c r="V34" s="1475"/>
      <c r="W34" s="1397"/>
      <c r="X34" s="1397"/>
      <c r="Y34" s="1397"/>
      <c r="Z34" s="1397"/>
      <c r="AA34" s="1397"/>
      <c r="AB34" s="1397"/>
      <c r="AC34" s="1397"/>
      <c r="AD34" s="1397"/>
      <c r="AE34" s="1397"/>
      <c r="AF34" s="1397"/>
      <c r="AG34" s="715"/>
      <c r="AH34" s="561"/>
      <c r="AI34" s="1397"/>
    </row>
    <row r="35" s="1363" customFormat="1" ht="21.55" customHeight="1" spans="1:35">
      <c r="A35" s="1502"/>
      <c r="B35" s="1519"/>
      <c r="C35" s="1431"/>
      <c r="D35" s="1346" t="s">
        <v>267</v>
      </c>
      <c r="E35" s="561" t="s">
        <v>1197</v>
      </c>
      <c r="F35" s="250"/>
      <c r="G35" s="568">
        <v>1</v>
      </c>
      <c r="H35" s="1240"/>
      <c r="I35" s="1240">
        <v>51785</v>
      </c>
      <c r="J35" s="1509"/>
      <c r="K35" s="733">
        <v>6.56722</v>
      </c>
      <c r="L35" s="1819"/>
      <c r="M35" s="1896"/>
      <c r="N35" s="1911"/>
      <c r="O35" s="1464"/>
      <c r="P35" s="1461"/>
      <c r="Q35" s="1462"/>
      <c r="R35" s="1397"/>
      <c r="S35" s="1466"/>
      <c r="T35" s="1467"/>
      <c r="U35" s="1397"/>
      <c r="V35" s="1475"/>
      <c r="W35" s="1397"/>
      <c r="X35" s="1397"/>
      <c r="Y35" s="1397"/>
      <c r="Z35" s="1397"/>
      <c r="AA35" s="1397"/>
      <c r="AB35" s="1397"/>
      <c r="AC35" s="1397"/>
      <c r="AD35" s="1397"/>
      <c r="AE35" s="1397"/>
      <c r="AF35" s="1397"/>
      <c r="AG35" s="715"/>
      <c r="AH35" s="561"/>
      <c r="AI35" s="1397"/>
    </row>
    <row r="36" s="1363" customFormat="1" ht="21.55" customHeight="1" spans="1:35">
      <c r="A36" s="1502"/>
      <c r="B36" s="1519"/>
      <c r="C36" s="1431"/>
      <c r="D36" s="1426" t="s">
        <v>295</v>
      </c>
      <c r="E36" s="1903" t="s">
        <v>1146</v>
      </c>
      <c r="F36" s="597"/>
      <c r="G36" s="568">
        <v>1</v>
      </c>
      <c r="H36" s="1240">
        <v>27467</v>
      </c>
      <c r="I36" s="752">
        <f>H36*G36</f>
        <v>27467</v>
      </c>
      <c r="J36" s="1509">
        <f>I36*K36</f>
        <v>180381.83174</v>
      </c>
      <c r="K36" s="733">
        <v>6.56722</v>
      </c>
      <c r="L36" s="598">
        <v>44675</v>
      </c>
      <c r="M36" s="1453" t="s">
        <v>1198</v>
      </c>
      <c r="N36" s="1397"/>
      <c r="O36" s="1464"/>
      <c r="P36" s="1461"/>
      <c r="Q36" s="1462"/>
      <c r="R36" s="1397"/>
      <c r="S36" s="1466"/>
      <c r="T36" s="1467"/>
      <c r="U36" s="1397"/>
      <c r="V36" s="1475"/>
      <c r="W36" s="1397"/>
      <c r="X36" s="1397"/>
      <c r="Y36" s="1397"/>
      <c r="Z36" s="1397"/>
      <c r="AA36" s="1397"/>
      <c r="AB36" s="1397"/>
      <c r="AC36" s="1397"/>
      <c r="AD36" s="1397"/>
      <c r="AE36" s="1397"/>
      <c r="AF36" s="1397"/>
      <c r="AG36" s="715"/>
      <c r="AH36" s="561"/>
      <c r="AI36" s="1397"/>
    </row>
    <row r="37" s="1363" customFormat="1" ht="21.55" customHeight="1" spans="1:35">
      <c r="A37" s="1502"/>
      <c r="B37" s="1519"/>
      <c r="C37" s="1431"/>
      <c r="D37" s="1426" t="s">
        <v>262</v>
      </c>
      <c r="E37" s="561" t="s">
        <v>1199</v>
      </c>
      <c r="F37" s="597"/>
      <c r="G37" s="568">
        <v>1</v>
      </c>
      <c r="H37" s="1240">
        <v>38437</v>
      </c>
      <c r="I37" s="752">
        <f>H37*G37</f>
        <v>38437</v>
      </c>
      <c r="J37" s="1509"/>
      <c r="K37" s="733">
        <v>6.56722</v>
      </c>
      <c r="L37" s="1568"/>
      <c r="M37" s="1453" t="s">
        <v>1200</v>
      </c>
      <c r="N37" s="1397"/>
      <c r="O37" s="1464"/>
      <c r="P37" s="1461"/>
      <c r="Q37" s="1462"/>
      <c r="R37" s="1397"/>
      <c r="S37" s="1466"/>
      <c r="T37" s="1467"/>
      <c r="U37" s="1397"/>
      <c r="V37" s="1475"/>
      <c r="W37" s="1397"/>
      <c r="X37" s="1397"/>
      <c r="Y37" s="1397"/>
      <c r="Z37" s="1397"/>
      <c r="AA37" s="1397"/>
      <c r="AB37" s="1397"/>
      <c r="AC37" s="1397"/>
      <c r="AD37" s="1397"/>
      <c r="AE37" s="1397"/>
      <c r="AF37" s="1397"/>
      <c r="AG37" s="715"/>
      <c r="AH37" s="561"/>
      <c r="AI37" s="1397"/>
    </row>
    <row r="38" s="1363" customFormat="1" ht="21.55" customHeight="1" spans="1:35">
      <c r="A38" s="1502"/>
      <c r="B38" s="1519"/>
      <c r="C38" s="1431"/>
      <c r="D38" s="1346"/>
      <c r="E38" s="561"/>
      <c r="F38" s="250"/>
      <c r="G38" s="568"/>
      <c r="H38" s="1240"/>
      <c r="I38" s="752"/>
      <c r="J38" s="1893"/>
      <c r="K38" s="733"/>
      <c r="L38" s="1819"/>
      <c r="M38" s="1464"/>
      <c r="N38" s="1397"/>
      <c r="O38" s="1464"/>
      <c r="P38" s="1461"/>
      <c r="Q38" s="1462"/>
      <c r="R38" s="1397"/>
      <c r="S38" s="1466"/>
      <c r="T38" s="1467"/>
      <c r="U38" s="1397"/>
      <c r="V38" s="1475"/>
      <c r="W38" s="1397"/>
      <c r="X38" s="1397"/>
      <c r="Y38" s="1397"/>
      <c r="Z38" s="1397"/>
      <c r="AA38" s="1397"/>
      <c r="AB38" s="1397"/>
      <c r="AC38" s="1397"/>
      <c r="AD38" s="1397"/>
      <c r="AE38" s="1397"/>
      <c r="AF38" s="1397"/>
      <c r="AG38" s="715"/>
      <c r="AH38" s="561"/>
      <c r="AI38" s="1397"/>
    </row>
    <row r="39" s="536" customFormat="1" ht="21.55" customHeight="1" spans="1:35">
      <c r="A39" s="1503"/>
      <c r="B39" s="664" t="s">
        <v>509</v>
      </c>
      <c r="C39" s="1897">
        <v>108</v>
      </c>
      <c r="D39" s="1627" t="s">
        <v>274</v>
      </c>
      <c r="E39" s="561" t="s">
        <v>1201</v>
      </c>
      <c r="F39" s="597"/>
      <c r="G39" s="751">
        <v>1</v>
      </c>
      <c r="H39" s="1904"/>
      <c r="I39" s="1904">
        <v>12529</v>
      </c>
      <c r="J39" s="1509"/>
      <c r="K39" s="733">
        <v>6.56722</v>
      </c>
      <c r="L39" s="1819"/>
      <c r="M39" s="1453" t="s">
        <v>1202</v>
      </c>
      <c r="N39" s="715"/>
      <c r="O39" s="1453"/>
      <c r="P39" s="1342"/>
      <c r="Q39" s="1204"/>
      <c r="R39" s="715"/>
      <c r="S39" s="1211"/>
      <c r="T39" s="1182"/>
      <c r="U39" s="715"/>
      <c r="V39" s="764"/>
      <c r="W39" s="715"/>
      <c r="X39" s="715"/>
      <c r="Y39" s="715"/>
      <c r="Z39" s="715"/>
      <c r="AA39" s="715"/>
      <c r="AB39" s="715"/>
      <c r="AC39" s="715"/>
      <c r="AD39" s="715"/>
      <c r="AE39" s="715"/>
      <c r="AF39" s="715"/>
      <c r="AG39" s="715"/>
      <c r="AH39" s="1294"/>
      <c r="AI39" s="715"/>
    </row>
    <row r="40" s="536" customFormat="1" ht="21.55" customHeight="1" spans="1:35">
      <c r="A40" s="1503"/>
      <c r="B40" s="664"/>
      <c r="C40" s="1554"/>
      <c r="D40" s="1627" t="s">
        <v>274</v>
      </c>
      <c r="E40" s="724" t="s">
        <v>1203</v>
      </c>
      <c r="F40" s="597"/>
      <c r="G40" s="751">
        <v>1</v>
      </c>
      <c r="H40" s="1904"/>
      <c r="I40" s="1907">
        <v>9306</v>
      </c>
      <c r="J40" s="1509"/>
      <c r="K40" s="733">
        <v>6.56722</v>
      </c>
      <c r="L40" s="1819"/>
      <c r="M40" s="1453"/>
      <c r="N40" s="715"/>
      <c r="O40" s="1453"/>
      <c r="P40" s="1342"/>
      <c r="Q40" s="1204"/>
      <c r="R40" s="715"/>
      <c r="S40" s="1211"/>
      <c r="T40" s="1182"/>
      <c r="U40" s="715"/>
      <c r="V40" s="764"/>
      <c r="W40" s="715"/>
      <c r="X40" s="715"/>
      <c r="Y40" s="715"/>
      <c r="Z40" s="715"/>
      <c r="AA40" s="715"/>
      <c r="AB40" s="715"/>
      <c r="AC40" s="715"/>
      <c r="AD40" s="715"/>
      <c r="AE40" s="715"/>
      <c r="AF40" s="715"/>
      <c r="AG40" s="715"/>
      <c r="AH40" s="1294"/>
      <c r="AI40" s="715"/>
    </row>
    <row r="41" s="536" customFormat="1" ht="21.55" customHeight="1" spans="1:35">
      <c r="A41" s="1503"/>
      <c r="B41" s="664"/>
      <c r="C41" s="1554"/>
      <c r="D41" s="1627" t="s">
        <v>274</v>
      </c>
      <c r="E41" s="724" t="s">
        <v>1204</v>
      </c>
      <c r="F41" s="597"/>
      <c r="G41" s="751">
        <v>1</v>
      </c>
      <c r="H41" s="1904"/>
      <c r="I41" s="1907">
        <v>2416</v>
      </c>
      <c r="J41" s="1509"/>
      <c r="K41" s="733">
        <v>6.56722</v>
      </c>
      <c r="L41" s="1819"/>
      <c r="M41" s="1453"/>
      <c r="N41" s="715"/>
      <c r="O41" s="1453"/>
      <c r="P41" s="1342"/>
      <c r="Q41" s="1204"/>
      <c r="R41" s="715"/>
      <c r="S41" s="1211"/>
      <c r="T41" s="1182"/>
      <c r="U41" s="715"/>
      <c r="V41" s="764"/>
      <c r="W41" s="715"/>
      <c r="X41" s="715"/>
      <c r="Y41" s="715"/>
      <c r="Z41" s="715"/>
      <c r="AA41" s="715"/>
      <c r="AB41" s="715"/>
      <c r="AC41" s="715"/>
      <c r="AD41" s="715"/>
      <c r="AE41" s="715"/>
      <c r="AF41" s="715"/>
      <c r="AG41" s="715"/>
      <c r="AH41" s="1294"/>
      <c r="AI41" s="715"/>
    </row>
    <row r="42" s="536" customFormat="1" ht="21.55" customHeight="1" spans="1:35">
      <c r="A42" s="1503"/>
      <c r="B42" s="664"/>
      <c r="C42" s="1554"/>
      <c r="D42" s="1627" t="s">
        <v>1205</v>
      </c>
      <c r="E42" s="724" t="s">
        <v>1206</v>
      </c>
      <c r="F42" s="597"/>
      <c r="G42" s="751">
        <v>1</v>
      </c>
      <c r="H42" s="1204"/>
      <c r="I42" s="1908">
        <v>17778</v>
      </c>
      <c r="J42" s="1509"/>
      <c r="K42" s="733">
        <v>6.56722</v>
      </c>
      <c r="L42" s="1819"/>
      <c r="M42" s="1453"/>
      <c r="N42" s="715"/>
      <c r="O42" s="1453"/>
      <c r="P42" s="1342"/>
      <c r="Q42" s="1204"/>
      <c r="R42" s="715"/>
      <c r="S42" s="1211"/>
      <c r="T42" s="1182"/>
      <c r="U42" s="715"/>
      <c r="V42" s="764"/>
      <c r="W42" s="715"/>
      <c r="X42" s="715"/>
      <c r="Y42" s="715"/>
      <c r="Z42" s="715"/>
      <c r="AA42" s="715"/>
      <c r="AB42" s="715"/>
      <c r="AC42" s="715"/>
      <c r="AD42" s="715"/>
      <c r="AE42" s="715"/>
      <c r="AF42" s="715"/>
      <c r="AG42" s="715"/>
      <c r="AH42" s="1294"/>
      <c r="AI42" s="715"/>
    </row>
    <row r="43" s="536" customFormat="1" ht="21.55" customHeight="1" spans="1:35">
      <c r="A43" s="1503"/>
      <c r="B43" s="664"/>
      <c r="C43" s="1554"/>
      <c r="D43" s="1229" t="s">
        <v>324</v>
      </c>
      <c r="E43" s="561" t="s">
        <v>1207</v>
      </c>
      <c r="F43" s="716"/>
      <c r="G43" s="751">
        <v>66</v>
      </c>
      <c r="H43" s="752">
        <v>476</v>
      </c>
      <c r="I43" s="1908">
        <f>H43*G43</f>
        <v>31416</v>
      </c>
      <c r="J43" s="1509"/>
      <c r="K43" s="733">
        <v>6.56722</v>
      </c>
      <c r="L43" s="1819"/>
      <c r="M43" s="1453" t="s">
        <v>1208</v>
      </c>
      <c r="N43" s="715"/>
      <c r="O43" s="1453"/>
      <c r="P43" s="1203"/>
      <c r="Q43" s="1204"/>
      <c r="R43" s="715"/>
      <c r="S43" s="1211"/>
      <c r="T43" s="1182"/>
      <c r="U43" s="715"/>
      <c r="V43" s="764"/>
      <c r="W43" s="715"/>
      <c r="X43" s="715"/>
      <c r="Y43" s="715"/>
      <c r="Z43" s="715"/>
      <c r="AA43" s="715"/>
      <c r="AB43" s="715"/>
      <c r="AC43" s="715"/>
      <c r="AD43" s="715"/>
      <c r="AE43" s="715"/>
      <c r="AF43" s="715"/>
      <c r="AG43" s="715"/>
      <c r="AH43" s="1294"/>
      <c r="AI43" s="715"/>
    </row>
    <row r="44" s="536" customFormat="1" ht="21.55" customHeight="1" spans="1:35">
      <c r="A44" s="1503"/>
      <c r="B44" s="664"/>
      <c r="C44" s="1554"/>
      <c r="D44" s="1229" t="s">
        <v>133</v>
      </c>
      <c r="E44" s="561" t="s">
        <v>1209</v>
      </c>
      <c r="F44" s="561" t="s">
        <v>399</v>
      </c>
      <c r="G44" s="751">
        <v>90</v>
      </c>
      <c r="H44" s="1204">
        <v>385</v>
      </c>
      <c r="I44" s="1908">
        <f>H44*G44</f>
        <v>34650</v>
      </c>
      <c r="J44" s="1509"/>
      <c r="K44" s="733">
        <v>6.56722</v>
      </c>
      <c r="L44" s="625"/>
      <c r="M44" s="598"/>
      <c r="N44" s="715"/>
      <c r="O44" s="856"/>
      <c r="P44" s="1203"/>
      <c r="Q44" s="1204"/>
      <c r="R44" s="715"/>
      <c r="S44" s="1211"/>
      <c r="T44" s="1182"/>
      <c r="U44" s="715"/>
      <c r="V44" s="764"/>
      <c r="W44" s="715"/>
      <c r="X44" s="715"/>
      <c r="Y44" s="715"/>
      <c r="Z44" s="715"/>
      <c r="AA44" s="715"/>
      <c r="AB44" s="715"/>
      <c r="AC44" s="715"/>
      <c r="AD44" s="715"/>
      <c r="AE44" s="715"/>
      <c r="AF44" s="715"/>
      <c r="AG44" s="715"/>
      <c r="AH44" s="1294"/>
      <c r="AI44" s="715"/>
    </row>
    <row r="45" s="536" customFormat="1" ht="21.55" customHeight="1" spans="1:35">
      <c r="A45" s="1503"/>
      <c r="B45" s="664"/>
      <c r="C45" s="1554"/>
      <c r="D45" s="1229"/>
      <c r="E45" s="561"/>
      <c r="F45" s="250"/>
      <c r="G45" s="751"/>
      <c r="H45" s="755"/>
      <c r="I45" s="1904"/>
      <c r="J45" s="1509"/>
      <c r="K45" s="733"/>
      <c r="L45" s="1819"/>
      <c r="M45" s="1453"/>
      <c r="N45" s="715"/>
      <c r="O45" s="1912"/>
      <c r="P45" s="1677"/>
      <c r="Q45" s="1457"/>
      <c r="R45" s="542"/>
      <c r="S45" s="1468"/>
      <c r="T45" s="1469"/>
      <c r="U45" s="715"/>
      <c r="V45" s="744"/>
      <c r="W45" s="715"/>
      <c r="X45" s="715"/>
      <c r="Y45" s="715"/>
      <c r="Z45" s="715"/>
      <c r="AA45" s="715"/>
      <c r="AB45" s="715"/>
      <c r="AC45" s="715"/>
      <c r="AD45" s="715"/>
      <c r="AE45" s="715"/>
      <c r="AF45" s="715"/>
      <c r="AG45" s="715"/>
      <c r="AH45" s="568"/>
      <c r="AI45" s="715"/>
    </row>
    <row r="46" s="536" customFormat="1" ht="18.75" customHeight="1" spans="1:35">
      <c r="A46" s="1503"/>
      <c r="B46" s="664"/>
      <c r="C46" s="1554"/>
      <c r="D46" s="1898"/>
      <c r="E46" s="1905"/>
      <c r="F46" s="1543"/>
      <c r="G46" s="1544"/>
      <c r="H46" s="1906"/>
      <c r="I46" s="1909"/>
      <c r="J46" s="1509"/>
      <c r="K46" s="733"/>
      <c r="L46" s="1910"/>
      <c r="M46" s="1912"/>
      <c r="N46" s="542"/>
      <c r="O46" s="1912"/>
      <c r="P46" s="1677"/>
      <c r="Q46" s="1457"/>
      <c r="R46" s="542"/>
      <c r="S46" s="1468"/>
      <c r="T46" s="1469"/>
      <c r="U46" s="1218"/>
      <c r="V46" s="1572"/>
      <c r="W46" s="715"/>
      <c r="X46" s="715"/>
      <c r="Y46" s="715"/>
      <c r="Z46" s="715"/>
      <c r="AA46" s="715"/>
      <c r="AB46" s="715"/>
      <c r="AC46" s="715"/>
      <c r="AD46" s="715"/>
      <c r="AE46" s="715"/>
      <c r="AF46" s="715"/>
      <c r="AG46" s="1496"/>
      <c r="AH46" s="1575"/>
      <c r="AI46" s="1500"/>
    </row>
    <row r="47" s="1364" customFormat="1" ht="18.75" customHeight="1" spans="1:35">
      <c r="A47" s="1899"/>
      <c r="B47" s="1900" t="s">
        <v>1124</v>
      </c>
      <c r="C47" s="1087">
        <f>SUM(C24:C45)</f>
        <v>414</v>
      </c>
      <c r="D47" s="1088"/>
      <c r="E47" s="1088"/>
      <c r="F47" s="727"/>
      <c r="G47" s="652"/>
      <c r="H47" s="653"/>
      <c r="I47" s="653"/>
      <c r="J47" s="1089">
        <f>SUM(J24:J45)</f>
        <v>1097054.101</v>
      </c>
      <c r="K47" s="808"/>
      <c r="L47" s="1091"/>
      <c r="M47" s="809"/>
      <c r="N47" s="848"/>
      <c r="O47" s="809"/>
      <c r="P47" s="809">
        <v>0</v>
      </c>
      <c r="Q47" s="809">
        <v>0</v>
      </c>
      <c r="R47" s="1184"/>
      <c r="S47" s="1184"/>
      <c r="T47" s="1185"/>
      <c r="U47" s="1490"/>
      <c r="V47" s="1495"/>
      <c r="W47" s="727"/>
      <c r="X47" s="727"/>
      <c r="Y47" s="727"/>
      <c r="Z47" s="727"/>
      <c r="AA47" s="727"/>
      <c r="AB47" s="727"/>
      <c r="AC47" s="727"/>
      <c r="AD47" s="727"/>
      <c r="AE47" s="727"/>
      <c r="AF47" s="727"/>
      <c r="AG47" s="1497"/>
      <c r="AH47" s="1501" t="s">
        <v>325</v>
      </c>
      <c r="AI47" s="1501"/>
    </row>
    <row r="48" s="1365" customFormat="1" ht="30" customHeight="1" spans="1:35">
      <c r="A48" s="1901" t="s">
        <v>1163</v>
      </c>
      <c r="B48" s="1902"/>
      <c r="C48" s="1380">
        <f>C11+C23+C47</f>
        <v>1170</v>
      </c>
      <c r="D48" s="1378"/>
      <c r="E48" s="1378"/>
      <c r="F48" s="1378"/>
      <c r="G48" s="1380"/>
      <c r="H48" s="1378"/>
      <c r="I48" s="1378"/>
      <c r="J48" s="1481">
        <f>J11+J23+J47</f>
        <v>4590638.4754</v>
      </c>
      <c r="K48" s="1378"/>
      <c r="L48" s="1483"/>
      <c r="M48" s="1378"/>
      <c r="N48" s="1378"/>
      <c r="O48" s="1378"/>
      <c r="P48" s="1378"/>
      <c r="Q48" s="1378"/>
      <c r="R48" s="1378"/>
      <c r="S48" s="1378"/>
      <c r="T48" s="1491"/>
      <c r="U48" s="1492"/>
      <c r="V48" s="1492"/>
      <c r="W48" s="1492"/>
      <c r="X48" s="1492"/>
      <c r="Y48" s="1492"/>
      <c r="Z48" s="1492"/>
      <c r="AA48" s="1492"/>
      <c r="AB48" s="1492"/>
      <c r="AC48" s="1492"/>
      <c r="AD48" s="1492"/>
      <c r="AE48" s="1492"/>
      <c r="AF48" s="1492"/>
      <c r="AG48" s="1492"/>
      <c r="AH48" s="1492"/>
      <c r="AI48" s="1492"/>
    </row>
    <row r="49" s="417" customFormat="1" spans="2:35">
      <c r="B49" s="1090"/>
      <c r="C49" s="878"/>
      <c r="D49" s="1090"/>
      <c r="E49" s="1090"/>
      <c r="F49" s="1090"/>
      <c r="G49" s="878"/>
      <c r="H49" s="1090"/>
      <c r="I49" s="1090"/>
      <c r="J49" s="850"/>
      <c r="K49" s="1090"/>
      <c r="L49" s="896"/>
      <c r="M49" s="1090"/>
      <c r="N49" s="1090"/>
      <c r="O49" s="1090"/>
      <c r="P49" s="1090"/>
      <c r="Q49" s="1090"/>
      <c r="R49" s="1090"/>
      <c r="S49" s="1090"/>
      <c r="T49" s="1242"/>
      <c r="U49" s="1090"/>
      <c r="V49" s="1090"/>
      <c r="W49" s="1090"/>
      <c r="X49" s="1090"/>
      <c r="Y49" s="1090"/>
      <c r="Z49" s="1090"/>
      <c r="AA49" s="1090"/>
      <c r="AB49" s="1090"/>
      <c r="AC49" s="1090"/>
      <c r="AD49" s="1090"/>
      <c r="AE49" s="1090"/>
      <c r="AF49" s="1090"/>
      <c r="AG49" s="1090"/>
      <c r="AH49" s="1090"/>
      <c r="AI49" s="1090"/>
    </row>
    <row r="50" s="417" customFormat="1" spans="2:35">
      <c r="B50" s="1090"/>
      <c r="C50" s="878"/>
      <c r="D50" s="1090"/>
      <c r="E50" s="1090" t="s">
        <v>139</v>
      </c>
      <c r="F50" s="1090" t="s">
        <v>140</v>
      </c>
      <c r="G50" s="878"/>
      <c r="H50" s="1090"/>
      <c r="I50" s="1090"/>
      <c r="J50" s="880"/>
      <c r="K50" s="1090"/>
      <c r="L50" s="896"/>
      <c r="M50" s="1090"/>
      <c r="N50" s="1090"/>
      <c r="O50" s="1090"/>
      <c r="P50" s="1488"/>
      <c r="Q50" s="1090"/>
      <c r="R50" s="1488"/>
      <c r="S50" s="1090"/>
      <c r="T50" s="1242"/>
      <c r="U50" s="1090"/>
      <c r="V50" s="1090"/>
      <c r="W50" s="1090"/>
      <c r="X50" s="1090"/>
      <c r="Y50" s="1090"/>
      <c r="Z50" s="1090"/>
      <c r="AA50" s="1090"/>
      <c r="AB50" s="1090"/>
      <c r="AC50" s="1090"/>
      <c r="AD50" s="1090"/>
      <c r="AE50" s="1090"/>
      <c r="AF50" s="1090"/>
      <c r="AG50" s="1090"/>
      <c r="AH50" s="1090"/>
      <c r="AI50" s="1090"/>
    </row>
    <row r="51" s="417" customFormat="1" spans="2:35">
      <c r="B51" s="1090"/>
      <c r="C51" s="878"/>
      <c r="D51" s="1090"/>
      <c r="E51" s="1090"/>
      <c r="F51" s="1090"/>
      <c r="G51" s="878"/>
      <c r="H51" s="1090"/>
      <c r="I51" s="1090"/>
      <c r="J51" s="850"/>
      <c r="K51" s="1090"/>
      <c r="L51" s="896"/>
      <c r="M51" s="1090"/>
      <c r="N51" s="1090"/>
      <c r="O51" s="1090"/>
      <c r="P51" s="1488"/>
      <c r="Q51" s="1090"/>
      <c r="R51" s="1488"/>
      <c r="S51" s="1090"/>
      <c r="T51" s="1242"/>
      <c r="U51" s="1090"/>
      <c r="V51" s="1090"/>
      <c r="W51" s="1090"/>
      <c r="X51" s="1090"/>
      <c r="Y51" s="1090"/>
      <c r="Z51" s="1090"/>
      <c r="AA51" s="1090"/>
      <c r="AB51" s="1090"/>
      <c r="AC51" s="1090"/>
      <c r="AD51" s="1090"/>
      <c r="AE51" s="1090"/>
      <c r="AF51" s="1090"/>
      <c r="AG51" s="1090"/>
      <c r="AH51" s="1090"/>
      <c r="AI51" s="1090"/>
    </row>
    <row r="52" s="417" customFormat="1" spans="2:35">
      <c r="B52" s="1090"/>
      <c r="C52" s="878"/>
      <c r="D52" s="1090"/>
      <c r="E52" s="1090"/>
      <c r="F52" s="1090"/>
      <c r="G52" s="878"/>
      <c r="H52" s="1090"/>
      <c r="I52" s="1090"/>
      <c r="J52" s="850"/>
      <c r="K52" s="1090"/>
      <c r="L52" s="896"/>
      <c r="M52" s="1090"/>
      <c r="N52" s="1090"/>
      <c r="O52" s="1090"/>
      <c r="P52" s="1488"/>
      <c r="Q52" s="1090"/>
      <c r="R52" s="1488"/>
      <c r="S52" s="1090"/>
      <c r="T52" s="1242"/>
      <c r="U52" s="1090"/>
      <c r="V52" s="1090"/>
      <c r="W52" s="1090"/>
      <c r="X52" s="1090"/>
      <c r="Y52" s="1090"/>
      <c r="Z52" s="1090"/>
      <c r="AA52" s="1090"/>
      <c r="AB52" s="1090"/>
      <c r="AC52" s="1090"/>
      <c r="AD52" s="1090"/>
      <c r="AE52" s="1090"/>
      <c r="AF52" s="1090"/>
      <c r="AG52" s="1090"/>
      <c r="AH52" s="1090"/>
      <c r="AI52" s="1090"/>
    </row>
    <row r="53" s="417" customFormat="1" spans="2:35">
      <c r="B53" s="1090"/>
      <c r="C53" s="878"/>
      <c r="D53" s="1090"/>
      <c r="E53" s="1090"/>
      <c r="F53" s="1090"/>
      <c r="G53" s="878"/>
      <c r="H53" s="1090"/>
      <c r="I53" s="1090"/>
      <c r="J53" s="850"/>
      <c r="K53" s="1090"/>
      <c r="L53" s="896"/>
      <c r="M53" s="1090"/>
      <c r="N53" s="1090"/>
      <c r="O53" s="1090"/>
      <c r="P53" s="1488"/>
      <c r="Q53" s="1090"/>
      <c r="R53" s="1488"/>
      <c r="S53" s="1090"/>
      <c r="T53" s="1242"/>
      <c r="U53" s="1090"/>
      <c r="V53" s="1090"/>
      <c r="W53" s="1090"/>
      <c r="X53" s="1090"/>
      <c r="Y53" s="1090"/>
      <c r="Z53" s="1090"/>
      <c r="AA53" s="1090"/>
      <c r="AB53" s="1090"/>
      <c r="AC53" s="1090"/>
      <c r="AD53" s="1090"/>
      <c r="AE53" s="1090"/>
      <c r="AF53" s="1090"/>
      <c r="AG53" s="1090"/>
      <c r="AH53" s="1090"/>
      <c r="AI53" s="1090"/>
    </row>
    <row r="54" s="417" customFormat="1" spans="2:35">
      <c r="B54" s="1090"/>
      <c r="C54" s="878"/>
      <c r="D54" s="1090"/>
      <c r="E54" s="1090"/>
      <c r="F54" s="1090"/>
      <c r="G54" s="878"/>
      <c r="H54" s="1090"/>
      <c r="I54" s="1090"/>
      <c r="J54" s="850"/>
      <c r="K54" s="1090"/>
      <c r="L54" s="896"/>
      <c r="M54" s="1090"/>
      <c r="N54" s="1090"/>
      <c r="O54" s="1090"/>
      <c r="P54" s="1488"/>
      <c r="Q54" s="1090"/>
      <c r="R54" s="1488"/>
      <c r="S54" s="1090"/>
      <c r="T54" s="1242"/>
      <c r="U54" s="1090"/>
      <c r="V54" s="1090"/>
      <c r="W54" s="1090"/>
      <c r="X54" s="1090"/>
      <c r="Y54" s="1090"/>
      <c r="Z54" s="1090"/>
      <c r="AA54" s="1090"/>
      <c r="AB54" s="1090"/>
      <c r="AC54" s="1090"/>
      <c r="AD54" s="1090"/>
      <c r="AE54" s="1090"/>
      <c r="AF54" s="1090"/>
      <c r="AG54" s="1090"/>
      <c r="AH54" s="1090"/>
      <c r="AI54" s="1090"/>
    </row>
    <row r="55" s="417" customFormat="1" spans="2:35">
      <c r="B55" s="877"/>
      <c r="C55" s="878"/>
      <c r="D55" s="877"/>
      <c r="E55" s="877"/>
      <c r="F55" s="877"/>
      <c r="G55" s="878"/>
      <c r="H55" s="877"/>
      <c r="I55" s="877"/>
      <c r="J55" s="850"/>
      <c r="K55" s="877"/>
      <c r="L55" s="896"/>
      <c r="M55" s="877"/>
      <c r="N55" s="877"/>
      <c r="O55" s="877"/>
      <c r="P55" s="877"/>
      <c r="Q55" s="877"/>
      <c r="R55" s="1488"/>
      <c r="S55" s="877"/>
      <c r="T55" s="1242"/>
      <c r="U55" s="877"/>
      <c r="V55" s="877"/>
      <c r="W55" s="877"/>
      <c r="X55" s="877"/>
      <c r="Y55" s="877"/>
      <c r="Z55" s="877"/>
      <c r="AA55" s="877"/>
      <c r="AB55" s="877"/>
      <c r="AC55" s="877"/>
      <c r="AD55" s="877"/>
      <c r="AE55" s="877"/>
      <c r="AF55" s="877"/>
      <c r="AG55" s="877"/>
      <c r="AH55" s="877"/>
      <c r="AI55" s="877"/>
    </row>
    <row r="56" s="417" customFormat="1" spans="2:35">
      <c r="B56" s="877"/>
      <c r="C56" s="878"/>
      <c r="D56" s="877"/>
      <c r="E56" s="877"/>
      <c r="F56" s="877"/>
      <c r="G56" s="878"/>
      <c r="H56" s="877"/>
      <c r="I56" s="877"/>
      <c r="J56" s="850"/>
      <c r="K56" s="877"/>
      <c r="L56" s="896"/>
      <c r="M56" s="877"/>
      <c r="N56" s="877"/>
      <c r="O56" s="877"/>
      <c r="P56" s="877"/>
      <c r="Q56" s="877"/>
      <c r="R56" s="877"/>
      <c r="S56" s="877"/>
      <c r="T56" s="1242"/>
      <c r="U56" s="877"/>
      <c r="V56" s="877"/>
      <c r="W56" s="877"/>
      <c r="X56" s="877"/>
      <c r="Y56" s="877"/>
      <c r="Z56" s="877"/>
      <c r="AA56" s="877"/>
      <c r="AB56" s="877"/>
      <c r="AC56" s="877"/>
      <c r="AD56" s="877"/>
      <c r="AE56" s="877"/>
      <c r="AF56" s="877"/>
      <c r="AG56" s="877"/>
      <c r="AH56" s="877"/>
      <c r="AI56" s="877"/>
    </row>
    <row r="57" s="417" customFormat="1" spans="2:35">
      <c r="B57" s="877"/>
      <c r="C57" s="878"/>
      <c r="D57" s="877"/>
      <c r="E57" s="877"/>
      <c r="F57" s="877"/>
      <c r="G57" s="878"/>
      <c r="H57" s="877"/>
      <c r="I57" s="877"/>
      <c r="J57" s="850"/>
      <c r="K57" s="877"/>
      <c r="L57" s="896"/>
      <c r="M57" s="877"/>
      <c r="N57" s="877"/>
      <c r="O57" s="877"/>
      <c r="P57" s="877"/>
      <c r="Q57" s="877"/>
      <c r="R57" s="877"/>
      <c r="S57" s="877"/>
      <c r="T57" s="1242"/>
      <c r="U57" s="877"/>
      <c r="V57" s="877"/>
      <c r="W57" s="877"/>
      <c r="X57" s="877"/>
      <c r="Y57" s="877"/>
      <c r="Z57" s="877"/>
      <c r="AA57" s="877"/>
      <c r="AB57" s="877"/>
      <c r="AC57" s="877"/>
      <c r="AD57" s="877"/>
      <c r="AE57" s="877"/>
      <c r="AF57" s="877"/>
      <c r="AG57" s="877"/>
      <c r="AH57" s="877"/>
      <c r="AI57" s="877"/>
    </row>
  </sheetData>
  <sheetProtection formatCells="0" insertHyperlinks="0" autoFilter="0"/>
  <mergeCells count="21">
    <mergeCell ref="A1:M1"/>
    <mergeCell ref="A48:B48"/>
    <mergeCell ref="A3:A11"/>
    <mergeCell ref="A12:A23"/>
    <mergeCell ref="A24:A47"/>
    <mergeCell ref="B3:B6"/>
    <mergeCell ref="B7:B8"/>
    <mergeCell ref="B9:B10"/>
    <mergeCell ref="B12:B18"/>
    <mergeCell ref="B19:B22"/>
    <mergeCell ref="B24:B27"/>
    <mergeCell ref="B28:B38"/>
    <mergeCell ref="B39:B46"/>
    <mergeCell ref="C3:C6"/>
    <mergeCell ref="C7:C8"/>
    <mergeCell ref="C9:C10"/>
    <mergeCell ref="C12:C18"/>
    <mergeCell ref="C19:C22"/>
    <mergeCell ref="C24:C27"/>
    <mergeCell ref="C28:C38"/>
    <mergeCell ref="C39:C46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/>
  <dimension ref="A1:AL68"/>
  <sheetViews>
    <sheetView workbookViewId="0">
      <pane ySplit="2" topLeftCell="A17" activePane="bottomLeft" state="frozen"/>
      <selection/>
      <selection pane="bottomLeft" activeCell="H23" sqref="H23"/>
    </sheetView>
  </sheetViews>
  <sheetFormatPr defaultColWidth="9" defaultRowHeight="17.25"/>
  <cols>
    <col min="1" max="1" width="12.9666666666667" style="1590" customWidth="1"/>
    <col min="2" max="2" width="11.2583333333333" style="1590" customWidth="1"/>
    <col min="3" max="3" width="11.2583333333333" style="1681" customWidth="1"/>
    <col min="4" max="4" width="17.7916666666667" style="1590" customWidth="1"/>
    <col min="5" max="5" width="17.875" style="1590" customWidth="1"/>
    <col min="6" max="6" width="13.125" style="1590" customWidth="1"/>
    <col min="7" max="7" width="16.9666666666667" style="1008" customWidth="1"/>
    <col min="8" max="8" width="18.8333333333333" style="1008" customWidth="1"/>
    <col min="9" max="9" width="19.4" style="1008" customWidth="1"/>
    <col min="10" max="10" width="14.9583333333333" style="1590" customWidth="1"/>
    <col min="11" max="11" width="11.7833333333333" style="1590" customWidth="1"/>
    <col min="12" max="12" width="10.7916666666667" style="1682" customWidth="1"/>
    <col min="13" max="13" width="12.9166666666667" style="1682" customWidth="1"/>
    <col min="14" max="14" width="38.625" style="1683" customWidth="1"/>
    <col min="15" max="15" width="17.2166666666667" style="1590" customWidth="1"/>
    <col min="16" max="16" width="12.5" style="1681" customWidth="1"/>
    <col min="17" max="17" width="14.3083333333333" style="1590" customWidth="1"/>
    <col min="18" max="18" width="40" style="1590" customWidth="1"/>
    <col min="19" max="19" width="17.3583333333333" style="1590" customWidth="1"/>
    <col min="20" max="20" width="14.875" style="1590"/>
    <col min="21" max="21" width="14.025" style="1590" customWidth="1"/>
    <col min="22" max="22" width="18.1916666666667" style="1590" customWidth="1"/>
    <col min="23" max="23" width="43.7583333333333" style="1684" customWidth="1"/>
    <col min="24" max="24" width="9" style="1590" hidden="1" customWidth="1"/>
    <col min="25" max="25" width="17.1916666666667" style="1590" hidden="1" customWidth="1"/>
    <col min="26" max="35" width="9" style="1590" hidden="1" customWidth="1"/>
    <col min="36" max="36" width="10.5333333333333" style="1590" hidden="1" customWidth="1"/>
    <col min="37" max="37" width="15" style="1590" hidden="1" customWidth="1"/>
    <col min="38" max="38" width="8" style="1590" hidden="1" customWidth="1"/>
    <col min="39" max="16384" width="9" style="1590"/>
  </cols>
  <sheetData>
    <row r="1" s="1590" customFormat="1" ht="24.75" customHeight="1" spans="1:38">
      <c r="A1" s="1685" t="s">
        <v>1210</v>
      </c>
      <c r="B1" s="1685"/>
      <c r="C1" s="1685"/>
      <c r="D1" s="1685"/>
      <c r="E1" s="1685"/>
      <c r="F1" s="1685"/>
      <c r="G1" s="1685"/>
      <c r="H1" s="1685"/>
      <c r="I1" s="1685"/>
      <c r="J1" s="1685"/>
      <c r="K1" s="1685"/>
      <c r="L1" s="1723"/>
      <c r="M1" s="1723"/>
      <c r="N1" s="1733"/>
      <c r="O1" s="1685"/>
      <c r="P1" s="1685"/>
      <c r="Q1" s="1685"/>
      <c r="R1" s="1753"/>
      <c r="S1" s="1753"/>
      <c r="T1" s="1753"/>
      <c r="U1" s="1753"/>
      <c r="V1" s="1771"/>
      <c r="W1" s="1772"/>
      <c r="X1" s="1771"/>
      <c r="Y1" s="1753"/>
      <c r="Z1" s="1771"/>
      <c r="AA1" s="1771"/>
      <c r="AB1" s="1771"/>
      <c r="AC1" s="1771"/>
      <c r="AD1" s="1771"/>
      <c r="AE1" s="1771"/>
      <c r="AF1" s="1771"/>
      <c r="AG1" s="1771"/>
      <c r="AH1" s="1771"/>
      <c r="AI1" s="1771"/>
      <c r="AJ1" s="1753"/>
      <c r="AK1" s="1753"/>
      <c r="AL1" s="1753"/>
    </row>
    <row r="2" s="1678" customFormat="1" ht="36.85" customHeight="1" spans="1:38">
      <c r="A2" s="1686" t="s">
        <v>1092</v>
      </c>
      <c r="B2" s="1687" t="s">
        <v>1093</v>
      </c>
      <c r="C2" s="1369" t="s">
        <v>1094</v>
      </c>
      <c r="D2" s="1687" t="s">
        <v>361</v>
      </c>
      <c r="E2" s="1712" t="s">
        <v>1095</v>
      </c>
      <c r="F2" s="1713" t="s">
        <v>362</v>
      </c>
      <c r="G2" s="1714" t="s">
        <v>1211</v>
      </c>
      <c r="H2" s="1714" t="s">
        <v>1212</v>
      </c>
      <c r="I2" s="1714" t="s">
        <v>1213</v>
      </c>
      <c r="J2" s="1724" t="s">
        <v>1096</v>
      </c>
      <c r="K2" s="1725" t="s">
        <v>1098</v>
      </c>
      <c r="L2" s="1726" t="s">
        <v>1097</v>
      </c>
      <c r="M2" s="1726" t="s">
        <v>1214</v>
      </c>
      <c r="N2" s="1608" t="s">
        <v>1215</v>
      </c>
      <c r="O2" s="1734" t="s">
        <v>7</v>
      </c>
      <c r="P2" s="1735" t="s">
        <v>8</v>
      </c>
      <c r="Q2" s="1754" t="s">
        <v>9</v>
      </c>
      <c r="R2" s="1755" t="s">
        <v>12</v>
      </c>
      <c r="S2" s="1755" t="s">
        <v>13</v>
      </c>
      <c r="T2" s="1756" t="s">
        <v>14</v>
      </c>
      <c r="U2" s="1773" t="s">
        <v>15</v>
      </c>
      <c r="V2" s="1774" t="s">
        <v>1100</v>
      </c>
      <c r="W2" s="1775" t="s">
        <v>1101</v>
      </c>
      <c r="X2" s="1774" t="s">
        <v>1102</v>
      </c>
      <c r="Y2" s="1788" t="s">
        <v>363</v>
      </c>
      <c r="Z2" s="1413" t="s">
        <v>1103</v>
      </c>
      <c r="AA2" s="1774" t="s">
        <v>1104</v>
      </c>
      <c r="AB2" s="1774" t="s">
        <v>1105</v>
      </c>
      <c r="AC2" s="1774" t="s">
        <v>1106</v>
      </c>
      <c r="AD2" s="1774" t="s">
        <v>1107</v>
      </c>
      <c r="AE2" s="1774" t="s">
        <v>1108</v>
      </c>
      <c r="AF2" s="1774" t="s">
        <v>1109</v>
      </c>
      <c r="AG2" s="1774" t="s">
        <v>1110</v>
      </c>
      <c r="AH2" s="1796" t="s">
        <v>1108</v>
      </c>
      <c r="AI2" s="1797" t="s">
        <v>1109</v>
      </c>
      <c r="AJ2" s="1798" t="s">
        <v>1111</v>
      </c>
      <c r="AK2" s="1773" t="s">
        <v>4</v>
      </c>
      <c r="AL2" s="1798" t="s">
        <v>1112</v>
      </c>
    </row>
    <row r="3" s="1590" customFormat="1" ht="18.75" customHeight="1" spans="1:38">
      <c r="A3" s="1595"/>
      <c r="B3" s="1593" t="s">
        <v>38</v>
      </c>
      <c r="C3" s="1594">
        <v>200</v>
      </c>
      <c r="D3" s="1596" t="s">
        <v>1216</v>
      </c>
      <c r="E3" s="1649" t="s">
        <v>1217</v>
      </c>
      <c r="F3" s="1581">
        <v>21400</v>
      </c>
      <c r="G3" s="1605">
        <v>142359.89</v>
      </c>
      <c r="H3" s="1605">
        <v>142359.89</v>
      </c>
      <c r="I3" s="1605">
        <v>142359.89</v>
      </c>
      <c r="J3" s="1654">
        <v>6.6651</v>
      </c>
      <c r="K3" s="1659" t="s">
        <v>1218</v>
      </c>
      <c r="L3" s="1583">
        <v>44716</v>
      </c>
      <c r="M3" s="1583">
        <v>44725</v>
      </c>
      <c r="N3" s="1736"/>
      <c r="O3" s="1611"/>
      <c r="P3" s="1737"/>
      <c r="Q3" s="1616"/>
      <c r="R3" s="1606"/>
      <c r="S3" s="1614"/>
      <c r="T3" s="1615"/>
      <c r="U3" s="1617"/>
      <c r="V3" s="1617"/>
      <c r="W3" s="1618"/>
      <c r="X3" s="1617"/>
      <c r="Y3" s="1617"/>
      <c r="Z3" s="1617"/>
      <c r="AA3" s="1617"/>
      <c r="AB3" s="1617"/>
      <c r="AC3" s="1617"/>
      <c r="AD3" s="1617"/>
      <c r="AE3" s="1617"/>
      <c r="AF3" s="1617"/>
      <c r="AG3" s="1617"/>
      <c r="AH3" s="1617"/>
      <c r="AI3" s="1617"/>
      <c r="AJ3" s="1619"/>
      <c r="AK3" s="1620"/>
      <c r="AL3" s="1617"/>
    </row>
    <row r="4" s="1590" customFormat="1" ht="18.75" customHeight="1" spans="1:38">
      <c r="A4" s="1595"/>
      <c r="B4" s="1593"/>
      <c r="C4" s="1594"/>
      <c r="D4" s="1596" t="s">
        <v>53</v>
      </c>
      <c r="E4" s="1649" t="s">
        <v>1219</v>
      </c>
      <c r="F4" s="1581">
        <v>49000</v>
      </c>
      <c r="G4" s="1605">
        <v>325876.73</v>
      </c>
      <c r="H4" s="1605">
        <v>325876.73</v>
      </c>
      <c r="I4" s="1605">
        <v>325876.73</v>
      </c>
      <c r="J4" s="1654">
        <v>6.6651</v>
      </c>
      <c r="K4" s="1659" t="s">
        <v>1218</v>
      </c>
      <c r="L4" s="1583">
        <v>44713</v>
      </c>
      <c r="M4" s="1583">
        <v>44721</v>
      </c>
      <c r="N4" s="1736"/>
      <c r="O4" s="1611"/>
      <c r="P4" s="1610"/>
      <c r="Q4" s="1616"/>
      <c r="R4" s="1606"/>
      <c r="S4" s="1614"/>
      <c r="T4" s="1615"/>
      <c r="U4" s="1617"/>
      <c r="V4" s="1617"/>
      <c r="W4" s="1618"/>
      <c r="X4" s="1617"/>
      <c r="Y4" s="1617"/>
      <c r="Z4" s="1617"/>
      <c r="AA4" s="1617"/>
      <c r="AB4" s="1617"/>
      <c r="AC4" s="1617"/>
      <c r="AD4" s="1617"/>
      <c r="AE4" s="1617"/>
      <c r="AF4" s="1617"/>
      <c r="AG4" s="1617"/>
      <c r="AH4" s="1617"/>
      <c r="AI4" s="1617"/>
      <c r="AJ4" s="1619"/>
      <c r="AK4" s="1620"/>
      <c r="AL4" s="1617"/>
    </row>
    <row r="5" s="1590" customFormat="1" ht="18.75" customHeight="1" spans="1:38">
      <c r="A5" s="1592"/>
      <c r="B5" s="1593"/>
      <c r="C5" s="1594"/>
      <c r="D5" s="1596" t="s">
        <v>143</v>
      </c>
      <c r="E5" s="1522" t="s">
        <v>1220</v>
      </c>
      <c r="F5" s="1602">
        <v>20000</v>
      </c>
      <c r="G5" s="1605">
        <v>132695.48</v>
      </c>
      <c r="H5" s="1605">
        <v>132695.48</v>
      </c>
      <c r="I5" s="1605">
        <v>132695.48</v>
      </c>
      <c r="J5" s="1654">
        <v>6.6651</v>
      </c>
      <c r="K5" s="1355" t="s">
        <v>1218</v>
      </c>
      <c r="L5" s="1442">
        <v>44734</v>
      </c>
      <c r="M5" s="1442">
        <v>44737</v>
      </c>
      <c r="N5" s="1584"/>
      <c r="O5" s="1609"/>
      <c r="P5" s="1610"/>
      <c r="Q5" s="1613"/>
      <c r="R5" s="1606"/>
      <c r="S5" s="1614"/>
      <c r="T5" s="1615"/>
      <c r="U5" s="1617"/>
      <c r="V5" s="1617"/>
      <c r="W5" s="1618"/>
      <c r="X5" s="1617"/>
      <c r="Y5" s="1617"/>
      <c r="Z5" s="1617"/>
      <c r="AA5" s="1617"/>
      <c r="AB5" s="1617"/>
      <c r="AC5" s="1617"/>
      <c r="AD5" s="1617"/>
      <c r="AE5" s="1617"/>
      <c r="AF5" s="1617"/>
      <c r="AG5" s="1617"/>
      <c r="AH5" s="1617"/>
      <c r="AI5" s="1617"/>
      <c r="AJ5" s="1619"/>
      <c r="AK5" s="1620"/>
      <c r="AL5" s="1617"/>
    </row>
    <row r="6" s="1590" customFormat="1" ht="18.75" customHeight="1" spans="1:38">
      <c r="A6" s="1592"/>
      <c r="B6" s="1688" t="s">
        <v>209</v>
      </c>
      <c r="C6" s="1689">
        <v>160</v>
      </c>
      <c r="D6" s="1596" t="s">
        <v>1221</v>
      </c>
      <c r="E6" s="1522" t="s">
        <v>1222</v>
      </c>
      <c r="F6" s="1602">
        <v>60150</v>
      </c>
      <c r="G6" s="1605">
        <v>400912.42</v>
      </c>
      <c r="H6" s="1605">
        <v>400912.42</v>
      </c>
      <c r="I6" s="1605">
        <v>400912.42</v>
      </c>
      <c r="J6" s="1654">
        <v>6.6651</v>
      </c>
      <c r="K6" s="1355" t="s">
        <v>1218</v>
      </c>
      <c r="L6" s="1355">
        <v>44722</v>
      </c>
      <c r="M6" s="1442">
        <v>44738</v>
      </c>
      <c r="N6" s="1584" t="s">
        <v>1223</v>
      </c>
      <c r="O6" s="1518"/>
      <c r="P6" s="1518"/>
      <c r="Q6" s="1518"/>
      <c r="R6" s="1606"/>
      <c r="S6" s="1757"/>
      <c r="T6" s="1615"/>
      <c r="U6" s="1617"/>
      <c r="V6" s="1617"/>
      <c r="W6" s="1684"/>
      <c r="X6" s="1617"/>
      <c r="Y6" s="1789"/>
      <c r="Z6" s="1617"/>
      <c r="AA6" s="1617"/>
      <c r="AB6" s="1617"/>
      <c r="AC6" s="1617"/>
      <c r="AD6" s="1617"/>
      <c r="AE6" s="1617"/>
      <c r="AF6" s="1617"/>
      <c r="AG6" s="1617"/>
      <c r="AH6" s="1617"/>
      <c r="AI6" s="1617"/>
      <c r="AJ6" s="1619"/>
      <c r="AK6" s="1620"/>
      <c r="AL6" s="1617"/>
    </row>
    <row r="7" s="1590" customFormat="1" ht="18.75" customHeight="1" spans="1:38">
      <c r="A7" s="1592"/>
      <c r="B7" s="1688"/>
      <c r="C7" s="1689"/>
      <c r="D7" s="1596" t="s">
        <v>1224</v>
      </c>
      <c r="E7" s="1522" t="s">
        <v>1225</v>
      </c>
      <c r="F7" s="1602">
        <v>81500</v>
      </c>
      <c r="G7" s="1605">
        <v>545218.54</v>
      </c>
      <c r="H7" s="1605">
        <v>545218.54</v>
      </c>
      <c r="I7" s="1605">
        <v>545218.54</v>
      </c>
      <c r="J7" s="1654">
        <v>6.6651</v>
      </c>
      <c r="K7" s="1355" t="s">
        <v>1218</v>
      </c>
      <c r="L7" s="1727">
        <v>44725</v>
      </c>
      <c r="M7" s="1442">
        <v>44737</v>
      </c>
      <c r="N7" s="1584"/>
      <c r="O7" s="1518"/>
      <c r="P7" s="1518"/>
      <c r="Q7" s="1518"/>
      <c r="R7" s="1606"/>
      <c r="S7" s="1757"/>
      <c r="T7" s="1615"/>
      <c r="U7" s="1617"/>
      <c r="V7" s="1617"/>
      <c r="W7" s="1684"/>
      <c r="X7" s="1617"/>
      <c r="Y7" s="1789"/>
      <c r="Z7" s="1617"/>
      <c r="AA7" s="1617"/>
      <c r="AB7" s="1617"/>
      <c r="AC7" s="1617"/>
      <c r="AD7" s="1617"/>
      <c r="AE7" s="1617"/>
      <c r="AF7" s="1617"/>
      <c r="AG7" s="1617"/>
      <c r="AH7" s="1617"/>
      <c r="AI7" s="1617"/>
      <c r="AJ7" s="1619"/>
      <c r="AK7" s="1620"/>
      <c r="AL7" s="1617"/>
    </row>
    <row r="8" s="1590" customFormat="1" ht="18.75" customHeight="1" spans="1:38">
      <c r="A8" s="1592"/>
      <c r="B8" s="1688"/>
      <c r="C8" s="1689"/>
      <c r="D8" s="1596" t="s">
        <v>844</v>
      </c>
      <c r="E8" s="1522" t="s">
        <v>1226</v>
      </c>
      <c r="F8" s="1602">
        <v>60500</v>
      </c>
      <c r="G8" s="1605">
        <v>400265.89</v>
      </c>
      <c r="H8" s="1605">
        <v>400265.89</v>
      </c>
      <c r="I8" s="1604">
        <v>400265.89</v>
      </c>
      <c r="J8" s="1654">
        <v>6.6651</v>
      </c>
      <c r="K8" s="1355" t="s">
        <v>1218</v>
      </c>
      <c r="L8" s="1727">
        <v>44736</v>
      </c>
      <c r="M8" s="1442">
        <v>44741</v>
      </c>
      <c r="N8" s="1584"/>
      <c r="O8" s="1518"/>
      <c r="P8" s="1518"/>
      <c r="Q8" s="1518"/>
      <c r="R8" s="1606"/>
      <c r="S8" s="1757"/>
      <c r="T8" s="1615"/>
      <c r="U8" s="1617"/>
      <c r="V8" s="1617"/>
      <c r="W8" s="1684"/>
      <c r="X8" s="1617"/>
      <c r="Y8" s="1789"/>
      <c r="Z8" s="1617"/>
      <c r="AA8" s="1617"/>
      <c r="AB8" s="1617"/>
      <c r="AC8" s="1617"/>
      <c r="AD8" s="1617"/>
      <c r="AE8" s="1617"/>
      <c r="AF8" s="1617"/>
      <c r="AG8" s="1617"/>
      <c r="AH8" s="1617"/>
      <c r="AI8" s="1617"/>
      <c r="AJ8" s="1619"/>
      <c r="AK8" s="1620"/>
      <c r="AL8" s="1617"/>
    </row>
    <row r="9" s="1590" customFormat="1" ht="18.75" customHeight="1" spans="1:38">
      <c r="A9" s="1592"/>
      <c r="B9" s="1690" t="s">
        <v>1120</v>
      </c>
      <c r="C9" s="1691">
        <v>111</v>
      </c>
      <c r="D9" s="1645" t="s">
        <v>221</v>
      </c>
      <c r="E9" s="1522" t="s">
        <v>1123</v>
      </c>
      <c r="F9" s="1602">
        <v>4500</v>
      </c>
      <c r="G9" s="1605">
        <v>28186.41</v>
      </c>
      <c r="H9" s="1605">
        <v>28186.41</v>
      </c>
      <c r="I9" s="1605">
        <v>28186.41</v>
      </c>
      <c r="J9" s="1654">
        <v>6.6651</v>
      </c>
      <c r="K9" s="1658" t="s">
        <v>1218</v>
      </c>
      <c r="L9" s="1442">
        <v>44713</v>
      </c>
      <c r="M9" s="1442">
        <v>44727</v>
      </c>
      <c r="N9" s="1736"/>
      <c r="O9" s="1738"/>
      <c r="P9" s="1610"/>
      <c r="Q9" s="1613"/>
      <c r="R9" s="1604"/>
      <c r="S9" s="1758"/>
      <c r="T9" s="1759"/>
      <c r="U9" s="1776"/>
      <c r="V9" s="1776"/>
      <c r="W9" s="1777"/>
      <c r="X9" s="1617"/>
      <c r="Y9" s="1789"/>
      <c r="Z9" s="1617"/>
      <c r="AA9" s="1617"/>
      <c r="AB9" s="1617"/>
      <c r="AC9" s="1617"/>
      <c r="AD9" s="1617"/>
      <c r="AE9" s="1617"/>
      <c r="AF9" s="1617"/>
      <c r="AG9" s="1617"/>
      <c r="AH9" s="1617"/>
      <c r="AI9" s="1617"/>
      <c r="AJ9" s="1619"/>
      <c r="AK9" s="1620"/>
      <c r="AL9" s="1617"/>
    </row>
    <row r="10" s="1590" customFormat="1" ht="18.75" customHeight="1" spans="1:38">
      <c r="A10" s="1592"/>
      <c r="B10" s="1692"/>
      <c r="C10" s="1693"/>
      <c r="D10" s="1601" t="s">
        <v>152</v>
      </c>
      <c r="E10" s="1591" t="s">
        <v>1227</v>
      </c>
      <c r="F10" s="1652">
        <v>82732</v>
      </c>
      <c r="G10" s="1605"/>
      <c r="H10" s="1605"/>
      <c r="I10" s="1605">
        <v>551417</v>
      </c>
      <c r="J10" s="1654">
        <v>6.6651</v>
      </c>
      <c r="K10" s="1355" t="s">
        <v>1218</v>
      </c>
      <c r="L10" s="1442">
        <v>44722</v>
      </c>
      <c r="M10" s="1442">
        <v>44735</v>
      </c>
      <c r="N10" s="1664" t="s">
        <v>1228</v>
      </c>
      <c r="O10" s="1739"/>
      <c r="P10" s="1740"/>
      <c r="Q10" s="1617"/>
      <c r="R10" s="1604"/>
      <c r="S10" s="1758"/>
      <c r="T10" s="1759"/>
      <c r="U10" s="1776"/>
      <c r="V10" s="1776"/>
      <c r="W10" s="1777"/>
      <c r="X10" s="1617"/>
      <c r="Y10" s="1789"/>
      <c r="Z10" s="1617"/>
      <c r="AA10" s="1617"/>
      <c r="AB10" s="1617"/>
      <c r="AC10" s="1617"/>
      <c r="AD10" s="1617"/>
      <c r="AE10" s="1617"/>
      <c r="AF10" s="1617"/>
      <c r="AG10" s="1617"/>
      <c r="AH10" s="1617"/>
      <c r="AI10" s="1617"/>
      <c r="AJ10" s="1619"/>
      <c r="AK10" s="1620"/>
      <c r="AL10" s="1617"/>
    </row>
    <row r="11" s="1590" customFormat="1" ht="18.75" customHeight="1" spans="1:38">
      <c r="A11" s="1592"/>
      <c r="B11" s="1692"/>
      <c r="C11" s="1693"/>
      <c r="D11" s="1578" t="s">
        <v>143</v>
      </c>
      <c r="E11" s="1591" t="s">
        <v>1229</v>
      </c>
      <c r="F11" s="1715">
        <f>I11/J11</f>
        <v>18196.7337324271</v>
      </c>
      <c r="G11" s="1604"/>
      <c r="H11" s="1604"/>
      <c r="I11" s="1604">
        <v>121283.05</v>
      </c>
      <c r="J11" s="1654">
        <v>6.6651</v>
      </c>
      <c r="K11" s="1355" t="s">
        <v>1218</v>
      </c>
      <c r="L11" s="1513">
        <v>44701</v>
      </c>
      <c r="M11" s="1513">
        <v>44716</v>
      </c>
      <c r="N11" s="1664" t="s">
        <v>1230</v>
      </c>
      <c r="O11" s="1739"/>
      <c r="P11" s="1740"/>
      <c r="Q11" s="1617"/>
      <c r="R11" s="1604"/>
      <c r="S11" s="1758"/>
      <c r="T11" s="1759"/>
      <c r="U11" s="1776"/>
      <c r="V11" s="1776"/>
      <c r="W11" s="1777"/>
      <c r="X11" s="1617"/>
      <c r="Y11" s="1789"/>
      <c r="Z11" s="1617"/>
      <c r="AA11" s="1617"/>
      <c r="AB11" s="1617"/>
      <c r="AC11" s="1617"/>
      <c r="AD11" s="1617"/>
      <c r="AE11" s="1617"/>
      <c r="AF11" s="1617"/>
      <c r="AG11" s="1617"/>
      <c r="AH11" s="1617"/>
      <c r="AI11" s="1617"/>
      <c r="AJ11" s="1619"/>
      <c r="AK11" s="1620"/>
      <c r="AL11" s="1617"/>
    </row>
    <row r="12" s="1590" customFormat="1" ht="18.75" customHeight="1" spans="1:38">
      <c r="A12" s="1592"/>
      <c r="B12" s="1692"/>
      <c r="C12" s="1693"/>
      <c r="D12" s="1578" t="s">
        <v>593</v>
      </c>
      <c r="E12" s="1591" t="s">
        <v>1231</v>
      </c>
      <c r="F12" s="1715">
        <f>I12/J12</f>
        <v>52620.760378689</v>
      </c>
      <c r="G12" s="1604"/>
      <c r="H12" s="1604"/>
      <c r="I12" s="1604">
        <v>350722.63</v>
      </c>
      <c r="J12" s="1654">
        <v>6.6651</v>
      </c>
      <c r="K12" s="1355" t="s">
        <v>1218</v>
      </c>
      <c r="L12" s="1513">
        <v>44710</v>
      </c>
      <c r="M12" s="1513">
        <v>44720</v>
      </c>
      <c r="N12" s="1741"/>
      <c r="O12" s="1739"/>
      <c r="P12" s="1740"/>
      <c r="Q12" s="1617"/>
      <c r="R12" s="1604"/>
      <c r="S12" s="1758"/>
      <c r="T12" s="1759"/>
      <c r="U12" s="1776"/>
      <c r="V12" s="1776"/>
      <c r="W12" s="1777"/>
      <c r="X12" s="1617"/>
      <c r="Y12" s="1789"/>
      <c r="Z12" s="1617"/>
      <c r="AA12" s="1617"/>
      <c r="AB12" s="1617"/>
      <c r="AC12" s="1617"/>
      <c r="AD12" s="1617"/>
      <c r="AE12" s="1617"/>
      <c r="AF12" s="1617"/>
      <c r="AG12" s="1617"/>
      <c r="AH12" s="1617"/>
      <c r="AI12" s="1617"/>
      <c r="AJ12" s="1619"/>
      <c r="AK12" s="1620"/>
      <c r="AL12" s="1617"/>
    </row>
    <row r="13" s="1590" customFormat="1" ht="25.3" customHeight="1" spans="1:38">
      <c r="A13" s="1592"/>
      <c r="B13" s="1690"/>
      <c r="C13" s="1691"/>
      <c r="D13" s="1578" t="s">
        <v>1232</v>
      </c>
      <c r="E13" s="1591" t="s">
        <v>1233</v>
      </c>
      <c r="F13" s="1715">
        <f>I13/J13</f>
        <v>59633.1127815037</v>
      </c>
      <c r="G13" s="1604"/>
      <c r="H13" s="1604"/>
      <c r="I13" s="1604">
        <v>397460.66</v>
      </c>
      <c r="J13" s="1654">
        <v>6.6651</v>
      </c>
      <c r="K13" s="1355" t="s">
        <v>1234</v>
      </c>
      <c r="L13" s="1442">
        <v>44706</v>
      </c>
      <c r="M13" s="1442">
        <v>44717</v>
      </c>
      <c r="N13" s="1742"/>
      <c r="O13" s="1738"/>
      <c r="P13" s="1610"/>
      <c r="Q13" s="1613"/>
      <c r="R13" s="1604"/>
      <c r="S13" s="1758"/>
      <c r="T13" s="1759"/>
      <c r="U13" s="1776"/>
      <c r="V13" s="1776"/>
      <c r="W13" s="1777"/>
      <c r="X13" s="1617"/>
      <c r="Y13" s="1789"/>
      <c r="Z13" s="1617"/>
      <c r="AA13" s="1617"/>
      <c r="AB13" s="1617"/>
      <c r="AC13" s="1617"/>
      <c r="AD13" s="1617"/>
      <c r="AE13" s="1617"/>
      <c r="AF13" s="1617"/>
      <c r="AG13" s="1617"/>
      <c r="AH13" s="1617"/>
      <c r="AI13" s="1617"/>
      <c r="AJ13" s="1619"/>
      <c r="AK13" s="1620"/>
      <c r="AL13" s="1617"/>
    </row>
    <row r="14" s="1590" customFormat="1" ht="24.4" customHeight="1" spans="1:38">
      <c r="A14" s="1592"/>
      <c r="B14" s="1694" t="s">
        <v>1124</v>
      </c>
      <c r="C14" s="1695">
        <f>SUM(C3:C13)</f>
        <v>471</v>
      </c>
      <c r="D14" s="1696"/>
      <c r="E14" s="1696"/>
      <c r="F14" s="1716" t="s">
        <v>1235</v>
      </c>
      <c r="G14" s="1717">
        <f>SUM(G3:G13)</f>
        <v>1975515.36</v>
      </c>
      <c r="H14" s="1717">
        <f>SUM(H3:H13)</f>
        <v>1975515.36</v>
      </c>
      <c r="I14" s="1717">
        <f>SUM(I3:I13)</f>
        <v>3396398.7</v>
      </c>
      <c r="J14" s="1654"/>
      <c r="K14" s="1556"/>
      <c r="L14" s="1442"/>
      <c r="M14" s="1442"/>
      <c r="N14" s="1584"/>
      <c r="O14" s="1738"/>
      <c r="P14" s="1610"/>
      <c r="Q14" s="1613"/>
      <c r="R14" s="1604"/>
      <c r="S14" s="1758"/>
      <c r="T14" s="1759"/>
      <c r="U14" s="1776"/>
      <c r="V14" s="1776"/>
      <c r="W14" s="1777"/>
      <c r="X14" s="1617"/>
      <c r="Y14" s="1789"/>
      <c r="Z14" s="1617"/>
      <c r="AA14" s="1617"/>
      <c r="AB14" s="1617"/>
      <c r="AC14" s="1617"/>
      <c r="AD14" s="1617"/>
      <c r="AE14" s="1617"/>
      <c r="AF14" s="1617"/>
      <c r="AG14" s="1617"/>
      <c r="AH14" s="1617"/>
      <c r="AI14" s="1617"/>
      <c r="AJ14" s="1619"/>
      <c r="AK14" s="1620"/>
      <c r="AL14" s="1617"/>
    </row>
    <row r="15" s="1679" customFormat="1" ht="27.2" customHeight="1" spans="1:38">
      <c r="A15" s="1697"/>
      <c r="B15" s="1694"/>
      <c r="C15" s="1695"/>
      <c r="D15" s="1368" t="s">
        <v>1125</v>
      </c>
      <c r="E15" s="1368"/>
      <c r="F15" s="1716" t="s">
        <v>1236</v>
      </c>
      <c r="G15" s="1718">
        <f>G14/4710000</f>
        <v>0.419430012738854</v>
      </c>
      <c r="H15" s="1718">
        <f>H14/4710000</f>
        <v>0.419430012738854</v>
      </c>
      <c r="I15" s="1718">
        <f>I14/4710000</f>
        <v>0.721103757961783</v>
      </c>
      <c r="J15" s="1654"/>
      <c r="K15" s="1728"/>
      <c r="L15" s="1729"/>
      <c r="M15" s="1656"/>
      <c r="N15" s="1608"/>
      <c r="O15" s="1481"/>
      <c r="P15" s="1380"/>
      <c r="Q15" s="1392"/>
      <c r="R15" s="1760"/>
      <c r="S15" s="1760">
        <v>0</v>
      </c>
      <c r="T15" s="1760">
        <v>0</v>
      </c>
      <c r="U15" s="1778"/>
      <c r="V15" s="1778"/>
      <c r="W15" s="1779"/>
      <c r="X15" s="1378"/>
      <c r="Y15" s="1378"/>
      <c r="Z15" s="1378"/>
      <c r="AA15" s="1378"/>
      <c r="AB15" s="1378"/>
      <c r="AC15" s="1378"/>
      <c r="AD15" s="1378"/>
      <c r="AE15" s="1378"/>
      <c r="AF15" s="1378"/>
      <c r="AG15" s="1378"/>
      <c r="AH15" s="1378"/>
      <c r="AI15" s="1378"/>
      <c r="AJ15" s="1378"/>
      <c r="AK15" s="1378" t="s">
        <v>285</v>
      </c>
      <c r="AL15" s="1378"/>
    </row>
    <row r="16" s="1590" customFormat="1" ht="23.45" customHeight="1" spans="1:38">
      <c r="A16" s="1698" t="s">
        <v>580</v>
      </c>
      <c r="B16" s="1647" t="s">
        <v>331</v>
      </c>
      <c r="C16" s="1699">
        <v>248</v>
      </c>
      <c r="D16" s="1580" t="s">
        <v>1237</v>
      </c>
      <c r="E16" s="1522" t="s">
        <v>1238</v>
      </c>
      <c r="F16" s="1433">
        <v>25023</v>
      </c>
      <c r="G16" s="1434"/>
      <c r="H16" s="1434"/>
      <c r="I16" s="1434">
        <v>164331.0456</v>
      </c>
      <c r="J16" s="1670">
        <v>6.5672</v>
      </c>
      <c r="K16" s="1355"/>
      <c r="L16" s="1727"/>
      <c r="M16" s="1442"/>
      <c r="N16" s="1444" t="s">
        <v>1239</v>
      </c>
      <c r="O16" s="1580"/>
      <c r="P16" s="1689"/>
      <c r="Q16" s="1761"/>
      <c r="R16" s="1762"/>
      <c r="S16" s="1763"/>
      <c r="T16" s="1763"/>
      <c r="U16" s="1768"/>
      <c r="V16" s="1768"/>
      <c r="W16" s="1780"/>
      <c r="X16" s="1781"/>
      <c r="Y16" s="1552"/>
      <c r="Z16" s="1790"/>
      <c r="AA16" s="1790"/>
      <c r="AB16" s="1790"/>
      <c r="AC16" s="1790"/>
      <c r="AD16" s="1790"/>
      <c r="AE16" s="1790"/>
      <c r="AF16" s="1790"/>
      <c r="AG16" s="1790"/>
      <c r="AH16" s="1790"/>
      <c r="AI16" s="1790"/>
      <c r="AJ16" s="1552"/>
      <c r="AK16" s="1552"/>
      <c r="AL16" s="1552"/>
    </row>
    <row r="17" s="1590" customFormat="1" ht="23.45" customHeight="1" spans="1:38">
      <c r="A17" s="1700"/>
      <c r="B17" s="1701"/>
      <c r="C17" s="1594"/>
      <c r="D17" s="1580" t="s">
        <v>247</v>
      </c>
      <c r="E17" s="1522" t="s">
        <v>1240</v>
      </c>
      <c r="F17" s="1433">
        <v>7172</v>
      </c>
      <c r="G17" s="1434">
        <f>F17*J17</f>
        <v>47802.0972</v>
      </c>
      <c r="H17" s="1434">
        <f>F17*J17</f>
        <v>47802.0972</v>
      </c>
      <c r="I17" s="1434">
        <v>47802.0972</v>
      </c>
      <c r="J17" s="1670">
        <v>6.6651</v>
      </c>
      <c r="K17" s="1355"/>
      <c r="L17" s="1730"/>
      <c r="M17" s="1442"/>
      <c r="N17" s="1444" t="s">
        <v>228</v>
      </c>
      <c r="O17" s="1580"/>
      <c r="P17" s="1689"/>
      <c r="Q17" s="1761"/>
      <c r="R17" s="1762"/>
      <c r="S17" s="1763"/>
      <c r="T17" s="1763"/>
      <c r="U17" s="1768"/>
      <c r="V17" s="1768"/>
      <c r="W17" s="1780"/>
      <c r="X17" s="1781"/>
      <c r="Y17" s="1552"/>
      <c r="Z17" s="1790"/>
      <c r="AA17" s="1790"/>
      <c r="AB17" s="1790"/>
      <c r="AC17" s="1790"/>
      <c r="AD17" s="1790"/>
      <c r="AE17" s="1790"/>
      <c r="AF17" s="1790"/>
      <c r="AG17" s="1790"/>
      <c r="AH17" s="1790"/>
      <c r="AI17" s="1790"/>
      <c r="AJ17" s="1552"/>
      <c r="AK17" s="1552"/>
      <c r="AL17" s="1552"/>
    </row>
    <row r="18" s="1590" customFormat="1" ht="23.45" customHeight="1" spans="1:38">
      <c r="A18" s="1702"/>
      <c r="B18" s="1701"/>
      <c r="C18" s="1594"/>
      <c r="D18" s="1580" t="s">
        <v>287</v>
      </c>
      <c r="E18" s="1522" t="s">
        <v>1241</v>
      </c>
      <c r="F18" s="1433">
        <v>31014</v>
      </c>
      <c r="G18" s="1434">
        <f>F18*J18</f>
        <v>206711.4114</v>
      </c>
      <c r="H18" s="1434">
        <f>F18*J18</f>
        <v>206711.4114</v>
      </c>
      <c r="I18" s="1434">
        <v>206711.4114</v>
      </c>
      <c r="J18" s="1670">
        <v>6.6651</v>
      </c>
      <c r="K18" s="1355"/>
      <c r="L18" s="1583"/>
      <c r="M18" s="1442"/>
      <c r="N18" s="1444" t="s">
        <v>228</v>
      </c>
      <c r="O18" s="1580"/>
      <c r="P18" s="1689"/>
      <c r="Q18" s="1761"/>
      <c r="R18" s="1762"/>
      <c r="S18" s="1763"/>
      <c r="T18" s="1763"/>
      <c r="U18" s="1768"/>
      <c r="V18" s="1768"/>
      <c r="W18" s="1780"/>
      <c r="X18" s="1781"/>
      <c r="Y18" s="1552"/>
      <c r="Z18" s="1790"/>
      <c r="AA18" s="1790"/>
      <c r="AB18" s="1790"/>
      <c r="AC18" s="1790"/>
      <c r="AD18" s="1790"/>
      <c r="AE18" s="1790"/>
      <c r="AF18" s="1790"/>
      <c r="AG18" s="1790"/>
      <c r="AH18" s="1790"/>
      <c r="AI18" s="1790"/>
      <c r="AJ18" s="1552"/>
      <c r="AK18" s="1552"/>
      <c r="AL18" s="1552"/>
    </row>
    <row r="19" s="1590" customFormat="1" ht="23.45" customHeight="1" spans="1:38">
      <c r="A19" s="1702"/>
      <c r="B19" s="1701"/>
      <c r="C19" s="1594"/>
      <c r="D19" s="1580" t="s">
        <v>1242</v>
      </c>
      <c r="E19" s="1522" t="s">
        <v>1243</v>
      </c>
      <c r="F19" s="1433" t="s">
        <v>1125</v>
      </c>
      <c r="G19" s="1434">
        <v>270225</v>
      </c>
      <c r="H19" s="1434">
        <v>270225</v>
      </c>
      <c r="I19" s="1434">
        <v>270225</v>
      </c>
      <c r="J19" s="1670">
        <v>6.6651</v>
      </c>
      <c r="K19" s="1355"/>
      <c r="L19" s="1583"/>
      <c r="M19" s="1442"/>
      <c r="N19" s="1444" t="s">
        <v>228</v>
      </c>
      <c r="O19" s="1580"/>
      <c r="P19" s="1689"/>
      <c r="Q19" s="1761"/>
      <c r="R19" s="1762"/>
      <c r="S19" s="1763"/>
      <c r="T19" s="1763"/>
      <c r="U19" s="1768"/>
      <c r="V19" s="1768"/>
      <c r="W19" s="1780"/>
      <c r="X19" s="1781"/>
      <c r="Y19" s="1552"/>
      <c r="Z19" s="1790"/>
      <c r="AA19" s="1790"/>
      <c r="AB19" s="1790"/>
      <c r="AC19" s="1790"/>
      <c r="AD19" s="1790"/>
      <c r="AE19" s="1790"/>
      <c r="AF19" s="1790"/>
      <c r="AG19" s="1790"/>
      <c r="AH19" s="1790"/>
      <c r="AI19" s="1790"/>
      <c r="AJ19" s="1552"/>
      <c r="AK19" s="1552"/>
      <c r="AL19" s="1552"/>
    </row>
    <row r="20" s="1590" customFormat="1" ht="23.45" customHeight="1" spans="1:38">
      <c r="A20" s="1702"/>
      <c r="B20" s="1701"/>
      <c r="C20" s="1594"/>
      <c r="D20" s="1580" t="s">
        <v>165</v>
      </c>
      <c r="E20" s="1522" t="s">
        <v>1244</v>
      </c>
      <c r="F20" s="1433">
        <v>31858</v>
      </c>
      <c r="G20" s="1434">
        <f>F20*J20</f>
        <v>212336.7558</v>
      </c>
      <c r="H20" s="1434">
        <f>F20*J20</f>
        <v>212336.7558</v>
      </c>
      <c r="I20" s="1434">
        <v>212337</v>
      </c>
      <c r="J20" s="1670">
        <v>6.6651</v>
      </c>
      <c r="K20" s="1355"/>
      <c r="L20" s="1583"/>
      <c r="M20" s="1442"/>
      <c r="N20" s="1444" t="s">
        <v>228</v>
      </c>
      <c r="O20" s="1580"/>
      <c r="P20" s="1689"/>
      <c r="Q20" s="1761"/>
      <c r="R20" s="1762"/>
      <c r="S20" s="1763"/>
      <c r="T20" s="1763"/>
      <c r="U20" s="1768"/>
      <c r="V20" s="1768"/>
      <c r="W20" s="1780"/>
      <c r="X20" s="1781"/>
      <c r="Y20" s="1552"/>
      <c r="Z20" s="1790"/>
      <c r="AA20" s="1790"/>
      <c r="AB20" s="1790"/>
      <c r="AC20" s="1790"/>
      <c r="AD20" s="1790"/>
      <c r="AE20" s="1790"/>
      <c r="AF20" s="1790"/>
      <c r="AG20" s="1790"/>
      <c r="AH20" s="1790"/>
      <c r="AI20" s="1790"/>
      <c r="AJ20" s="1552"/>
      <c r="AK20" s="1552"/>
      <c r="AL20" s="1552"/>
    </row>
    <row r="21" s="1590" customFormat="1" ht="23.45" customHeight="1" spans="1:38">
      <c r="A21" s="1702"/>
      <c r="B21" s="1701"/>
      <c r="C21" s="1594"/>
      <c r="D21" s="1580" t="s">
        <v>243</v>
      </c>
      <c r="E21" s="1522" t="s">
        <v>1245</v>
      </c>
      <c r="F21" s="1433">
        <v>15000</v>
      </c>
      <c r="G21" s="1434">
        <f>F21*J21</f>
        <v>99976.5</v>
      </c>
      <c r="H21" s="1434">
        <f>F21*J21</f>
        <v>99976.5</v>
      </c>
      <c r="I21" s="1434">
        <v>99976.5</v>
      </c>
      <c r="J21" s="1670">
        <v>6.6651</v>
      </c>
      <c r="K21" s="1355"/>
      <c r="L21" s="1583"/>
      <c r="M21" s="1442"/>
      <c r="N21" s="1444" t="s">
        <v>228</v>
      </c>
      <c r="O21" s="1743"/>
      <c r="P21" s="1689"/>
      <c r="Q21" s="1761"/>
      <c r="R21" s="1762"/>
      <c r="S21" s="1763"/>
      <c r="T21" s="1763"/>
      <c r="U21" s="1768"/>
      <c r="V21" s="1768"/>
      <c r="W21" s="1780"/>
      <c r="X21" s="1781"/>
      <c r="Y21" s="1552"/>
      <c r="Z21" s="1790"/>
      <c r="AA21" s="1790"/>
      <c r="AB21" s="1790"/>
      <c r="AC21" s="1790"/>
      <c r="AD21" s="1790"/>
      <c r="AE21" s="1790"/>
      <c r="AF21" s="1790"/>
      <c r="AG21" s="1790"/>
      <c r="AH21" s="1790"/>
      <c r="AI21" s="1790"/>
      <c r="AJ21" s="1552"/>
      <c r="AK21" s="1552"/>
      <c r="AL21" s="1552"/>
    </row>
    <row r="22" s="1590" customFormat="1" ht="23.45" customHeight="1" spans="1:38">
      <c r="A22" s="1702"/>
      <c r="B22" s="1701"/>
      <c r="C22" s="1594"/>
      <c r="D22" s="1580" t="s">
        <v>1246</v>
      </c>
      <c r="E22" s="1522" t="s">
        <v>1247</v>
      </c>
      <c r="F22" s="722" t="s">
        <v>1125</v>
      </c>
      <c r="G22" s="735">
        <v>105600</v>
      </c>
      <c r="H22" s="735">
        <v>105600</v>
      </c>
      <c r="I22" s="735">
        <v>105600</v>
      </c>
      <c r="J22" s="819">
        <v>6.6651</v>
      </c>
      <c r="K22" s="1355"/>
      <c r="L22" s="1583"/>
      <c r="M22" s="1583"/>
      <c r="N22" s="1444" t="s">
        <v>228</v>
      </c>
      <c r="O22" s="1743"/>
      <c r="P22" s="1689"/>
      <c r="Q22" s="1761"/>
      <c r="R22" s="1762"/>
      <c r="S22" s="1763"/>
      <c r="T22" s="1763"/>
      <c r="U22" s="1768"/>
      <c r="V22" s="1768"/>
      <c r="W22" s="1780"/>
      <c r="X22" s="1781"/>
      <c r="Y22" s="1552"/>
      <c r="Z22" s="1790"/>
      <c r="AA22" s="1790"/>
      <c r="AB22" s="1790"/>
      <c r="AC22" s="1790"/>
      <c r="AD22" s="1790"/>
      <c r="AE22" s="1790"/>
      <c r="AF22" s="1790"/>
      <c r="AG22" s="1790"/>
      <c r="AH22" s="1790"/>
      <c r="AI22" s="1790"/>
      <c r="AJ22" s="1552"/>
      <c r="AK22" s="1552"/>
      <c r="AL22" s="1552"/>
    </row>
    <row r="23" s="1590" customFormat="1" ht="23.45" customHeight="1" spans="1:38">
      <c r="A23" s="1702"/>
      <c r="B23" s="1580" t="s">
        <v>1248</v>
      </c>
      <c r="C23" s="1689">
        <v>0</v>
      </c>
      <c r="D23" s="1580" t="s">
        <v>1249</v>
      </c>
      <c r="E23" s="1522" t="s">
        <v>1250</v>
      </c>
      <c r="F23" s="1433">
        <v>7412</v>
      </c>
      <c r="G23" s="1434">
        <f>F23*J23</f>
        <v>49401.7212</v>
      </c>
      <c r="H23" s="1434">
        <v>49401.7212</v>
      </c>
      <c r="I23" s="1434">
        <v>49401.7212</v>
      </c>
      <c r="J23" s="1670">
        <v>6.6651</v>
      </c>
      <c r="K23" s="1355" t="s">
        <v>1251</v>
      </c>
      <c r="L23" s="1442"/>
      <c r="M23" s="1442"/>
      <c r="N23" s="1444" t="s">
        <v>228</v>
      </c>
      <c r="O23" s="1744"/>
      <c r="P23" s="1745"/>
      <c r="Q23" s="1745"/>
      <c r="R23" s="1762"/>
      <c r="S23" s="1763"/>
      <c r="T23" s="1763"/>
      <c r="U23" s="1768"/>
      <c r="V23" s="1768"/>
      <c r="W23" s="1780"/>
      <c r="X23" s="1781"/>
      <c r="Y23" s="1552"/>
      <c r="Z23" s="1790"/>
      <c r="AA23" s="1790"/>
      <c r="AB23" s="1790"/>
      <c r="AC23" s="1790"/>
      <c r="AD23" s="1790"/>
      <c r="AE23" s="1790"/>
      <c r="AF23" s="1790"/>
      <c r="AG23" s="1790"/>
      <c r="AH23" s="1790"/>
      <c r="AI23" s="1790"/>
      <c r="AJ23" s="1552"/>
      <c r="AK23" s="1552"/>
      <c r="AL23" s="1552"/>
    </row>
    <row r="24" s="1590" customFormat="1" ht="23.45" customHeight="1" spans="1:38">
      <c r="A24" s="1700"/>
      <c r="B24" s="1647" t="s">
        <v>224</v>
      </c>
      <c r="C24" s="1699">
        <v>165</v>
      </c>
      <c r="D24" s="1580" t="s">
        <v>638</v>
      </c>
      <c r="E24" s="1522" t="s">
        <v>1252</v>
      </c>
      <c r="F24" s="1433">
        <v>43034</v>
      </c>
      <c r="G24" s="1434"/>
      <c r="H24" s="1434"/>
      <c r="I24" s="1434">
        <v>286825.9134</v>
      </c>
      <c r="J24" s="1670">
        <v>6.6651</v>
      </c>
      <c r="K24" s="1355" t="s">
        <v>1251</v>
      </c>
      <c r="L24" s="1730">
        <v>44705</v>
      </c>
      <c r="M24" s="1442">
        <v>44718</v>
      </c>
      <c r="N24" s="1444" t="s">
        <v>1253</v>
      </c>
      <c r="O24" s="1580"/>
      <c r="P24" s="1689"/>
      <c r="Q24" s="1761"/>
      <c r="R24" s="1762"/>
      <c r="S24" s="1763"/>
      <c r="T24" s="1763"/>
      <c r="U24" s="1768"/>
      <c r="V24" s="1768"/>
      <c r="W24" s="1780"/>
      <c r="X24" s="1781"/>
      <c r="Y24" s="1552"/>
      <c r="Z24" s="1790"/>
      <c r="AA24" s="1790"/>
      <c r="AB24" s="1790"/>
      <c r="AC24" s="1790"/>
      <c r="AD24" s="1790"/>
      <c r="AE24" s="1790"/>
      <c r="AF24" s="1790"/>
      <c r="AG24" s="1790"/>
      <c r="AH24" s="1790"/>
      <c r="AI24" s="1790"/>
      <c r="AJ24" s="1552"/>
      <c r="AK24" s="1552"/>
      <c r="AL24" s="1552"/>
    </row>
    <row r="25" s="1362" customFormat="1" ht="23.75" customHeight="1" spans="1:38">
      <c r="A25" s="1702"/>
      <c r="B25" s="1701"/>
      <c r="C25" s="1594"/>
      <c r="D25" s="1580" t="s">
        <v>335</v>
      </c>
      <c r="E25" s="1629" t="s">
        <v>1254</v>
      </c>
      <c r="F25" s="1433">
        <v>14137</v>
      </c>
      <c r="G25" s="1434">
        <f>F25*J25</f>
        <v>94224.5187</v>
      </c>
      <c r="H25" s="1434">
        <f>F25*J25</f>
        <v>94224.5187</v>
      </c>
      <c r="I25" s="1434">
        <v>94224.5187</v>
      </c>
      <c r="J25" s="1670">
        <v>6.6651</v>
      </c>
      <c r="K25" s="1355" t="s">
        <v>1251</v>
      </c>
      <c r="L25" s="1442">
        <v>44721</v>
      </c>
      <c r="M25" s="1442">
        <v>44732</v>
      </c>
      <c r="N25" s="1444" t="s">
        <v>1253</v>
      </c>
      <c r="O25" s="1744"/>
      <c r="P25" s="1746"/>
      <c r="Q25" s="1746"/>
      <c r="R25" s="1763"/>
      <c r="S25" s="1764"/>
      <c r="T25" s="1765"/>
      <c r="U25" s="1782"/>
      <c r="V25" s="1692"/>
      <c r="W25" s="1783"/>
      <c r="X25" s="1552"/>
      <c r="Y25" s="1791"/>
      <c r="Z25" s="1792"/>
      <c r="AA25" s="1552"/>
      <c r="AB25" s="1552"/>
      <c r="AC25" s="1552"/>
      <c r="AD25" s="1552"/>
      <c r="AE25" s="1552"/>
      <c r="AF25" s="1552"/>
      <c r="AG25" s="1552"/>
      <c r="AH25" s="1552"/>
      <c r="AI25" s="1552"/>
      <c r="AJ25" s="1552"/>
      <c r="AK25" s="1765"/>
      <c r="AL25" s="1552"/>
    </row>
    <row r="26" s="1362" customFormat="1" ht="23.75" customHeight="1" spans="1:38">
      <c r="A26" s="1702"/>
      <c r="B26" s="1701"/>
      <c r="C26" s="1594"/>
      <c r="D26" s="1580" t="s">
        <v>869</v>
      </c>
      <c r="E26" s="1629" t="s">
        <v>1255</v>
      </c>
      <c r="F26" s="1433">
        <v>6450</v>
      </c>
      <c r="G26" s="1434">
        <f>F26*J26</f>
        <v>42989.895</v>
      </c>
      <c r="H26" s="1434">
        <f>F26*J26</f>
        <v>42989.895</v>
      </c>
      <c r="I26" s="1434">
        <v>42989.895</v>
      </c>
      <c r="J26" s="1670">
        <v>6.6651</v>
      </c>
      <c r="K26" s="1355" t="s">
        <v>1251</v>
      </c>
      <c r="L26" s="1442">
        <v>44728</v>
      </c>
      <c r="M26" s="1442">
        <v>44745</v>
      </c>
      <c r="N26" s="1444" t="s">
        <v>1253</v>
      </c>
      <c r="O26" s="1744"/>
      <c r="P26" s="1746"/>
      <c r="Q26" s="1746"/>
      <c r="R26" s="1763"/>
      <c r="S26" s="1764"/>
      <c r="T26" s="1765"/>
      <c r="U26" s="1782"/>
      <c r="V26" s="1692"/>
      <c r="W26" s="1783"/>
      <c r="X26" s="1552"/>
      <c r="Y26" s="1791"/>
      <c r="Z26" s="1792"/>
      <c r="AA26" s="1552"/>
      <c r="AB26" s="1552"/>
      <c r="AC26" s="1552"/>
      <c r="AD26" s="1552"/>
      <c r="AE26" s="1552"/>
      <c r="AF26" s="1552"/>
      <c r="AG26" s="1552"/>
      <c r="AH26" s="1552"/>
      <c r="AI26" s="1552"/>
      <c r="AJ26" s="1552"/>
      <c r="AK26" s="1765"/>
      <c r="AL26" s="1552"/>
    </row>
    <row r="27" s="1362" customFormat="1" ht="23.75" customHeight="1" spans="1:38">
      <c r="A27" s="1702"/>
      <c r="B27" s="1701"/>
      <c r="C27" s="1594"/>
      <c r="D27" s="1580" t="s">
        <v>408</v>
      </c>
      <c r="E27" s="1629" t="s">
        <v>1256</v>
      </c>
      <c r="F27" s="1433">
        <v>40975</v>
      </c>
      <c r="G27" s="1434">
        <f>F27*J27</f>
        <v>273102.4725</v>
      </c>
      <c r="H27" s="1434">
        <f>F27*J27</f>
        <v>273102.4725</v>
      </c>
      <c r="I27" s="1434">
        <v>273102.4725</v>
      </c>
      <c r="J27" s="1670">
        <v>6.6651</v>
      </c>
      <c r="K27" s="1355" t="s">
        <v>1251</v>
      </c>
      <c r="L27" s="1442">
        <v>44728</v>
      </c>
      <c r="M27" s="1442">
        <v>44744</v>
      </c>
      <c r="N27" s="1444" t="s">
        <v>1257</v>
      </c>
      <c r="O27" s="1744"/>
      <c r="P27" s="1745"/>
      <c r="Q27" s="1745"/>
      <c r="R27" s="1764"/>
      <c r="S27" s="1764"/>
      <c r="T27" s="1765"/>
      <c r="U27" s="1782"/>
      <c r="V27" s="1692"/>
      <c r="W27" s="1783"/>
      <c r="X27" s="1552"/>
      <c r="Y27" s="1793"/>
      <c r="Z27" s="1792"/>
      <c r="AA27" s="1552"/>
      <c r="AB27" s="1552"/>
      <c r="AC27" s="1552"/>
      <c r="AD27" s="1552"/>
      <c r="AE27" s="1552"/>
      <c r="AF27" s="1552"/>
      <c r="AG27" s="1552"/>
      <c r="AH27" s="1552"/>
      <c r="AI27" s="1552"/>
      <c r="AJ27" s="1552"/>
      <c r="AK27" s="1765"/>
      <c r="AL27" s="1552"/>
    </row>
    <row r="28" s="1362" customFormat="1" ht="23.75" customHeight="1" spans="1:38">
      <c r="A28" s="1702"/>
      <c r="B28" s="1703" t="s">
        <v>1124</v>
      </c>
      <c r="C28" s="1704">
        <f>SUM(C16:C27)</f>
        <v>413</v>
      </c>
      <c r="D28" s="1705"/>
      <c r="E28" s="1719"/>
      <c r="F28" s="1720" t="s">
        <v>1235</v>
      </c>
      <c r="G28" s="1717">
        <f>SUM(G16:G27)</f>
        <v>1402370.3718</v>
      </c>
      <c r="H28" s="1717">
        <f>SUM(H17:H27)</f>
        <v>1402370.3718</v>
      </c>
      <c r="I28" s="1717">
        <f>SUM(I16:I27)</f>
        <v>1853527.575</v>
      </c>
      <c r="J28" s="1654"/>
      <c r="K28" s="1556"/>
      <c r="L28" s="1583"/>
      <c r="M28" s="1583"/>
      <c r="N28" s="1444"/>
      <c r="O28" s="1747"/>
      <c r="P28" s="1748"/>
      <c r="Q28" s="1766"/>
      <c r="R28" s="1763"/>
      <c r="S28" s="1764"/>
      <c r="T28" s="1765"/>
      <c r="U28" s="1782"/>
      <c r="V28" s="1692"/>
      <c r="W28" s="1783"/>
      <c r="X28" s="1552"/>
      <c r="Y28" s="1791"/>
      <c r="Z28" s="1792"/>
      <c r="AA28" s="1552"/>
      <c r="AB28" s="1552"/>
      <c r="AC28" s="1552"/>
      <c r="AD28" s="1552"/>
      <c r="AE28" s="1552"/>
      <c r="AF28" s="1552"/>
      <c r="AG28" s="1552"/>
      <c r="AH28" s="1552"/>
      <c r="AI28" s="1552"/>
      <c r="AJ28" s="1552"/>
      <c r="AK28" s="1765"/>
      <c r="AL28" s="1552"/>
    </row>
    <row r="29" s="1680" customFormat="1" ht="27.5" customHeight="1" spans="1:38">
      <c r="A29" s="1706"/>
      <c r="B29" s="1707"/>
      <c r="C29" s="1708"/>
      <c r="D29" s="1709"/>
      <c r="E29" s="1696"/>
      <c r="F29" s="1720" t="s">
        <v>1236</v>
      </c>
      <c r="G29" s="1721">
        <f>G28/4130000</f>
        <v>0.339556990750605</v>
      </c>
      <c r="H29" s="1721">
        <f>H28/4130000</f>
        <v>0.339556990750605</v>
      </c>
      <c r="I29" s="1721">
        <f>I28/4130000</f>
        <v>0.448796023002421</v>
      </c>
      <c r="J29" s="1731"/>
      <c r="K29" s="1728"/>
      <c r="L29" s="1732"/>
      <c r="M29" s="1732"/>
      <c r="N29" s="1608"/>
      <c r="O29" s="1378"/>
      <c r="P29" s="1749"/>
      <c r="Q29" s="1731"/>
      <c r="R29" s="1731"/>
      <c r="S29" s="1392"/>
      <c r="T29" s="1392"/>
      <c r="U29" s="1784"/>
      <c r="V29" s="1784"/>
      <c r="W29" s="1491"/>
      <c r="X29" s="1378"/>
      <c r="Y29" s="1794"/>
      <c r="Z29" s="1378"/>
      <c r="AA29" s="1378"/>
      <c r="AB29" s="1378"/>
      <c r="AC29" s="1378"/>
      <c r="AD29" s="1378"/>
      <c r="AE29" s="1378"/>
      <c r="AF29" s="1378"/>
      <c r="AG29" s="1378"/>
      <c r="AH29" s="1378"/>
      <c r="AI29" s="1378"/>
      <c r="AJ29" s="1378"/>
      <c r="AK29" s="1378" t="s">
        <v>293</v>
      </c>
      <c r="AL29" s="1378"/>
    </row>
    <row r="30" s="1590" customFormat="1" ht="18.75" customHeight="1" spans="1:38">
      <c r="A30" s="1710" t="s">
        <v>1137</v>
      </c>
      <c r="B30" s="1593" t="s">
        <v>344</v>
      </c>
      <c r="C30" s="1594">
        <v>170</v>
      </c>
      <c r="D30" s="1711" t="s">
        <v>299</v>
      </c>
      <c r="E30" s="1722" t="s">
        <v>1258</v>
      </c>
      <c r="F30" s="1523">
        <v>35769</v>
      </c>
      <c r="G30" s="1434">
        <f t="shared" ref="G30:G32" si="0">F30*J30</f>
        <v>238403.9619</v>
      </c>
      <c r="H30" s="1434">
        <v>238403.9619</v>
      </c>
      <c r="I30" s="1434">
        <f>G30</f>
        <v>238403.9619</v>
      </c>
      <c r="J30" s="1670">
        <v>6.6651</v>
      </c>
      <c r="K30" s="1532" t="s">
        <v>1251</v>
      </c>
      <c r="L30" s="1659">
        <v>44722</v>
      </c>
      <c r="M30" s="1659">
        <v>44728</v>
      </c>
      <c r="N30" s="1750">
        <f>SUM(I30:I35)</f>
        <v>759874.7208</v>
      </c>
      <c r="O30" s="1751" t="s">
        <v>348</v>
      </c>
      <c r="P30" s="1752">
        <v>91</v>
      </c>
      <c r="Q30" s="1767">
        <v>389</v>
      </c>
      <c r="R30" s="1768"/>
      <c r="S30" s="1769"/>
      <c r="T30" s="1770"/>
      <c r="U30" s="1785"/>
      <c r="V30" s="1786"/>
      <c r="W30" s="1787"/>
      <c r="X30" s="1617"/>
      <c r="Y30" s="1795"/>
      <c r="Z30" s="1617"/>
      <c r="AA30" s="1617"/>
      <c r="AB30" s="1617"/>
      <c r="AC30" s="1617"/>
      <c r="AD30" s="1617"/>
      <c r="AE30" s="1617"/>
      <c r="AF30" s="1617"/>
      <c r="AG30" s="1617"/>
      <c r="AH30" s="1617"/>
      <c r="AI30" s="1617"/>
      <c r="AJ30" s="1799"/>
      <c r="AK30" s="1800"/>
      <c r="AL30" s="1776"/>
    </row>
    <row r="31" s="1590" customFormat="1" ht="18.75" customHeight="1" spans="1:38">
      <c r="A31" s="1710"/>
      <c r="B31" s="1593"/>
      <c r="C31" s="1594"/>
      <c r="D31" s="1711" t="s">
        <v>299</v>
      </c>
      <c r="E31" s="1722" t="s">
        <v>1259</v>
      </c>
      <c r="F31" s="1523">
        <f>P31*Q31</f>
        <v>35399</v>
      </c>
      <c r="G31" s="1434">
        <f t="shared" si="0"/>
        <v>235937.8749</v>
      </c>
      <c r="H31" s="1434">
        <v>235937.8749</v>
      </c>
      <c r="I31" s="1434">
        <v>235937.8749</v>
      </c>
      <c r="J31" s="1670">
        <v>6.6651</v>
      </c>
      <c r="K31" s="1532" t="s">
        <v>1251</v>
      </c>
      <c r="L31" s="1659">
        <v>44730</v>
      </c>
      <c r="M31" s="1659">
        <v>44736</v>
      </c>
      <c r="N31" s="1750">
        <f>SUM(I36:I49)</f>
        <v>1398204.678</v>
      </c>
      <c r="O31" s="1751" t="s">
        <v>348</v>
      </c>
      <c r="P31" s="1752">
        <v>91</v>
      </c>
      <c r="Q31" s="1767">
        <v>389</v>
      </c>
      <c r="R31" s="1768"/>
      <c r="S31" s="1769"/>
      <c r="T31" s="1770"/>
      <c r="U31" s="1785"/>
      <c r="V31" s="1786"/>
      <c r="W31" s="1787"/>
      <c r="X31" s="1617"/>
      <c r="Y31" s="1795"/>
      <c r="Z31" s="1617"/>
      <c r="AA31" s="1617"/>
      <c r="AB31" s="1617"/>
      <c r="AC31" s="1617"/>
      <c r="AD31" s="1617"/>
      <c r="AE31" s="1617"/>
      <c r="AF31" s="1617"/>
      <c r="AG31" s="1617"/>
      <c r="AH31" s="1617"/>
      <c r="AI31" s="1617"/>
      <c r="AJ31" s="1799"/>
      <c r="AK31" s="1800"/>
      <c r="AL31" s="1776"/>
    </row>
    <row r="32" s="1590" customFormat="1" ht="18.75" customHeight="1" spans="1:38">
      <c r="A32" s="1710"/>
      <c r="B32" s="1593"/>
      <c r="C32" s="1594"/>
      <c r="D32" s="1711"/>
      <c r="E32" s="1518"/>
      <c r="F32" s="1523"/>
      <c r="G32" s="1434"/>
      <c r="H32" s="1434"/>
      <c r="I32" s="1434"/>
      <c r="J32" s="1670"/>
      <c r="K32" s="1532"/>
      <c r="L32" s="1659"/>
      <c r="M32" s="1659"/>
      <c r="N32" s="1750">
        <f>SUM(I50:I55)</f>
        <v>76462.0272</v>
      </c>
      <c r="O32" s="1751"/>
      <c r="P32" s="1752"/>
      <c r="Q32" s="1767"/>
      <c r="R32" s="1768"/>
      <c r="S32" s="1769"/>
      <c r="T32" s="1770"/>
      <c r="U32" s="1785"/>
      <c r="V32" s="1786"/>
      <c r="W32" s="1787"/>
      <c r="X32" s="1617"/>
      <c r="Y32" s="1795"/>
      <c r="Z32" s="1617"/>
      <c r="AA32" s="1617"/>
      <c r="AB32" s="1617"/>
      <c r="AC32" s="1617"/>
      <c r="AD32" s="1617"/>
      <c r="AE32" s="1617"/>
      <c r="AF32" s="1617"/>
      <c r="AG32" s="1617"/>
      <c r="AH32" s="1617"/>
      <c r="AI32" s="1617"/>
      <c r="AJ32" s="1799"/>
      <c r="AK32" s="1800"/>
      <c r="AL32" s="1776"/>
    </row>
    <row r="33" s="1590" customFormat="1" ht="18.75" customHeight="1" spans="1:38">
      <c r="A33" s="1710"/>
      <c r="B33" s="1593"/>
      <c r="C33" s="1594"/>
      <c r="D33" s="1518" t="s">
        <v>299</v>
      </c>
      <c r="E33" s="1522" t="s">
        <v>1260</v>
      </c>
      <c r="F33" s="1523">
        <f>P33*Q33</f>
        <v>42840</v>
      </c>
      <c r="G33" s="1812">
        <f>F33*J33</f>
        <v>285532.884</v>
      </c>
      <c r="H33" s="1812">
        <v>281053.9368</v>
      </c>
      <c r="I33" s="1812">
        <f>G33</f>
        <v>285532.884</v>
      </c>
      <c r="J33" s="1818">
        <v>6.6651</v>
      </c>
      <c r="K33" s="1532" t="s">
        <v>1251</v>
      </c>
      <c r="L33" s="1532">
        <v>44714</v>
      </c>
      <c r="M33" s="1532" t="s">
        <v>1261</v>
      </c>
      <c r="N33" s="1539"/>
      <c r="O33" s="1540" t="s">
        <v>427</v>
      </c>
      <c r="P33" s="1541">
        <v>168</v>
      </c>
      <c r="Q33" s="1545">
        <v>255</v>
      </c>
      <c r="R33" s="1768"/>
      <c r="S33" s="1769"/>
      <c r="T33" s="1770"/>
      <c r="U33" s="1785"/>
      <c r="V33" s="1786"/>
      <c r="W33" s="1787"/>
      <c r="X33" s="1617"/>
      <c r="Y33" s="1795"/>
      <c r="Z33" s="1617"/>
      <c r="AA33" s="1617"/>
      <c r="AB33" s="1617"/>
      <c r="AC33" s="1617"/>
      <c r="AD33" s="1617"/>
      <c r="AE33" s="1617"/>
      <c r="AF33" s="1617"/>
      <c r="AG33" s="1617"/>
      <c r="AH33" s="1617"/>
      <c r="AI33" s="1617"/>
      <c r="AJ33" s="1799"/>
      <c r="AK33" s="1800"/>
      <c r="AL33" s="1776"/>
    </row>
    <row r="34" s="1590" customFormat="1" ht="18.75" customHeight="1" spans="1:38">
      <c r="A34" s="1710"/>
      <c r="B34" s="1593"/>
      <c r="C34" s="1594"/>
      <c r="D34" s="1711"/>
      <c r="E34" s="1518"/>
      <c r="F34" s="1523"/>
      <c r="G34" s="1434"/>
      <c r="H34" s="1434"/>
      <c r="I34" s="1434"/>
      <c r="J34" s="1670"/>
      <c r="K34" s="1556"/>
      <c r="L34" s="1659"/>
      <c r="M34" s="1659"/>
      <c r="N34" s="1539"/>
      <c r="O34" s="1751"/>
      <c r="P34" s="1752"/>
      <c r="Q34" s="1767"/>
      <c r="R34" s="1768"/>
      <c r="S34" s="1769"/>
      <c r="T34" s="1770"/>
      <c r="U34" s="1785"/>
      <c r="V34" s="1786"/>
      <c r="W34" s="1787"/>
      <c r="X34" s="1617"/>
      <c r="Y34" s="1795"/>
      <c r="Z34" s="1617"/>
      <c r="AA34" s="1617"/>
      <c r="AB34" s="1617"/>
      <c r="AC34" s="1617"/>
      <c r="AD34" s="1617"/>
      <c r="AE34" s="1617"/>
      <c r="AF34" s="1617"/>
      <c r="AG34" s="1617"/>
      <c r="AH34" s="1617"/>
      <c r="AI34" s="1617"/>
      <c r="AJ34" s="1799"/>
      <c r="AK34" s="1800"/>
      <c r="AL34" s="1776"/>
    </row>
    <row r="35" s="1590" customFormat="1" ht="18.75" customHeight="1" spans="1:38">
      <c r="A35" s="1710"/>
      <c r="B35" s="1593"/>
      <c r="C35" s="1594"/>
      <c r="D35" s="1330"/>
      <c r="E35" s="1813"/>
      <c r="F35" s="1523"/>
      <c r="G35" s="1434"/>
      <c r="H35" s="1434"/>
      <c r="I35" s="1434"/>
      <c r="J35" s="1670"/>
      <c r="K35" s="1556"/>
      <c r="L35" s="1659"/>
      <c r="M35" s="1659"/>
      <c r="N35" s="1539"/>
      <c r="O35" s="1751"/>
      <c r="P35" s="1752"/>
      <c r="Q35" s="1767"/>
      <c r="R35" s="1768"/>
      <c r="S35" s="1769"/>
      <c r="T35" s="1770"/>
      <c r="U35" s="1785"/>
      <c r="V35" s="1786"/>
      <c r="W35" s="1787"/>
      <c r="X35" s="1617"/>
      <c r="Y35" s="1795"/>
      <c r="Z35" s="1617"/>
      <c r="AA35" s="1617"/>
      <c r="AB35" s="1617"/>
      <c r="AC35" s="1617"/>
      <c r="AD35" s="1617"/>
      <c r="AE35" s="1617"/>
      <c r="AF35" s="1617"/>
      <c r="AG35" s="1617"/>
      <c r="AH35" s="1617"/>
      <c r="AI35" s="1617"/>
      <c r="AJ35" s="1799"/>
      <c r="AK35" s="1800"/>
      <c r="AL35" s="1776"/>
    </row>
    <row r="36" s="1590" customFormat="1" ht="21.55" customHeight="1" spans="1:38">
      <c r="A36" s="1710"/>
      <c r="B36" s="1801" t="s">
        <v>1145</v>
      </c>
      <c r="C36" s="1802">
        <v>145</v>
      </c>
      <c r="D36" s="1663" t="s">
        <v>258</v>
      </c>
      <c r="E36" s="1526" t="s">
        <v>1184</v>
      </c>
      <c r="F36" s="1523">
        <v>40775</v>
      </c>
      <c r="G36" s="1434">
        <f t="shared" ref="G36:G48" si="1">F36*J36</f>
        <v>271769.4525</v>
      </c>
      <c r="H36" s="1434">
        <v>271769.4525</v>
      </c>
      <c r="I36" s="1434">
        <f>F36*J36</f>
        <v>271769.4525</v>
      </c>
      <c r="J36" s="1670">
        <v>6.6651</v>
      </c>
      <c r="K36" s="1587" t="s">
        <v>1251</v>
      </c>
      <c r="L36" s="1532">
        <v>44713</v>
      </c>
      <c r="M36" s="1556" t="s">
        <v>1262</v>
      </c>
      <c r="N36" s="1827"/>
      <c r="O36" s="1751"/>
      <c r="P36" s="1584">
        <v>1</v>
      </c>
      <c r="Q36" s="1838"/>
      <c r="R36" s="1839"/>
      <c r="S36" s="1840"/>
      <c r="T36" s="1841"/>
      <c r="U36" s="1617"/>
      <c r="V36" s="1786"/>
      <c r="W36" s="1787"/>
      <c r="X36" s="1617"/>
      <c r="Y36" s="1795"/>
      <c r="Z36" s="1617"/>
      <c r="AA36" s="1617"/>
      <c r="AB36" s="1617"/>
      <c r="AC36" s="1617"/>
      <c r="AD36" s="1617"/>
      <c r="AE36" s="1617"/>
      <c r="AF36" s="1617"/>
      <c r="AG36" s="1617"/>
      <c r="AH36" s="1617"/>
      <c r="AI36" s="1617"/>
      <c r="AJ36" s="1552"/>
      <c r="AK36" s="1330"/>
      <c r="AL36" s="1617"/>
    </row>
    <row r="37" s="1590" customFormat="1" ht="21.55" customHeight="1" spans="1:38">
      <c r="A37" s="1710"/>
      <c r="B37" s="1801"/>
      <c r="C37" s="1803"/>
      <c r="D37" s="1663" t="s">
        <v>258</v>
      </c>
      <c r="E37" s="1526" t="s">
        <v>1186</v>
      </c>
      <c r="F37" s="1523">
        <v>40650</v>
      </c>
      <c r="G37" s="1434">
        <f t="shared" si="1"/>
        <v>270936.315</v>
      </c>
      <c r="H37" s="1434">
        <f>G37</f>
        <v>270936.315</v>
      </c>
      <c r="I37" s="1434"/>
      <c r="J37" s="1670">
        <v>6.6651</v>
      </c>
      <c r="K37" s="1587" t="s">
        <v>1251</v>
      </c>
      <c r="L37" s="1532">
        <v>44735</v>
      </c>
      <c r="M37" s="1532">
        <v>44743</v>
      </c>
      <c r="N37" s="1827" t="s">
        <v>1263</v>
      </c>
      <c r="O37" s="1751"/>
      <c r="P37" s="1584">
        <v>1</v>
      </c>
      <c r="Q37" s="1838"/>
      <c r="R37" s="1842"/>
      <c r="S37" s="1840"/>
      <c r="T37" s="1841"/>
      <c r="U37" s="1617"/>
      <c r="V37" s="1786"/>
      <c r="W37" s="1787"/>
      <c r="X37" s="1617"/>
      <c r="Y37" s="1795"/>
      <c r="Z37" s="1617"/>
      <c r="AA37" s="1617"/>
      <c r="AB37" s="1617"/>
      <c r="AC37" s="1617"/>
      <c r="AD37" s="1617"/>
      <c r="AE37" s="1617"/>
      <c r="AF37" s="1617"/>
      <c r="AG37" s="1617"/>
      <c r="AH37" s="1617"/>
      <c r="AI37" s="1617"/>
      <c r="AJ37" s="1552"/>
      <c r="AK37" s="1330"/>
      <c r="AL37" s="1617"/>
    </row>
    <row r="38" s="1590" customFormat="1" ht="21.55" customHeight="1" spans="1:38">
      <c r="A38" s="1710"/>
      <c r="B38" s="1801"/>
      <c r="C38" s="1803"/>
      <c r="D38" s="1664" t="s">
        <v>663</v>
      </c>
      <c r="E38" s="1526" t="s">
        <v>1187</v>
      </c>
      <c r="F38" s="1523">
        <v>36960</v>
      </c>
      <c r="G38" s="1434"/>
      <c r="H38" s="1434"/>
      <c r="I38" s="1434">
        <f t="shared" ref="I37:I53" si="2">F38*J38</f>
        <v>246342.096</v>
      </c>
      <c r="J38" s="1670">
        <v>6.6651</v>
      </c>
      <c r="K38" s="1587" t="s">
        <v>1251</v>
      </c>
      <c r="L38" s="1819">
        <v>44704</v>
      </c>
      <c r="M38" s="1556" t="s">
        <v>1264</v>
      </c>
      <c r="N38" s="1828" t="s">
        <v>1230</v>
      </c>
      <c r="O38" s="1450" t="s">
        <v>508</v>
      </c>
      <c r="P38" s="568">
        <v>44</v>
      </c>
      <c r="Q38" s="1240">
        <v>840</v>
      </c>
      <c r="R38" s="1840"/>
      <c r="S38" s="1840"/>
      <c r="T38" s="1841"/>
      <c r="U38" s="1617"/>
      <c r="V38" s="1786"/>
      <c r="W38" s="1787"/>
      <c r="X38" s="1617"/>
      <c r="Y38" s="1795"/>
      <c r="Z38" s="1617"/>
      <c r="AA38" s="1617"/>
      <c r="AB38" s="1617"/>
      <c r="AC38" s="1617"/>
      <c r="AD38" s="1617"/>
      <c r="AE38" s="1617"/>
      <c r="AF38" s="1617"/>
      <c r="AG38" s="1617"/>
      <c r="AH38" s="1617"/>
      <c r="AI38" s="1617"/>
      <c r="AJ38" s="1552"/>
      <c r="AK38" s="1330"/>
      <c r="AL38" s="1617"/>
    </row>
    <row r="39" s="1590" customFormat="1" ht="21.55" customHeight="1" spans="1:38">
      <c r="A39" s="1710"/>
      <c r="B39" s="1801"/>
      <c r="C39" s="1803"/>
      <c r="D39" s="1664" t="s">
        <v>663</v>
      </c>
      <c r="E39" s="1526" t="s">
        <v>1189</v>
      </c>
      <c r="F39" s="1523">
        <v>31825</v>
      </c>
      <c r="G39" s="1434"/>
      <c r="H39" s="1434"/>
      <c r="I39" s="1434">
        <f t="shared" si="2"/>
        <v>212116.8075</v>
      </c>
      <c r="J39" s="1670">
        <v>6.6651</v>
      </c>
      <c r="K39" s="1587" t="s">
        <v>1251</v>
      </c>
      <c r="L39" s="1819">
        <v>44704</v>
      </c>
      <c r="M39" s="1556" t="s">
        <v>1264</v>
      </c>
      <c r="N39" s="1827"/>
      <c r="O39" s="1450" t="s">
        <v>337</v>
      </c>
      <c r="P39" s="568">
        <v>67</v>
      </c>
      <c r="Q39" s="1240">
        <v>475</v>
      </c>
      <c r="R39" s="1840"/>
      <c r="S39" s="1840"/>
      <c r="T39" s="1841"/>
      <c r="U39" s="1617"/>
      <c r="V39" s="1786"/>
      <c r="W39" s="1787"/>
      <c r="X39" s="1617"/>
      <c r="Y39" s="1795"/>
      <c r="Z39" s="1617"/>
      <c r="AA39" s="1617"/>
      <c r="AB39" s="1617"/>
      <c r="AC39" s="1617"/>
      <c r="AD39" s="1617"/>
      <c r="AE39" s="1617"/>
      <c r="AF39" s="1617"/>
      <c r="AG39" s="1617"/>
      <c r="AH39" s="1617"/>
      <c r="AI39" s="1617"/>
      <c r="AJ39" s="1552"/>
      <c r="AK39" s="1330"/>
      <c r="AL39" s="1617"/>
    </row>
    <row r="40" s="1590" customFormat="1" ht="21.55" customHeight="1" spans="1:38">
      <c r="A40" s="1710"/>
      <c r="B40" s="1801"/>
      <c r="C40" s="1803"/>
      <c r="D40" s="1664" t="s">
        <v>663</v>
      </c>
      <c r="E40" s="1526" t="s">
        <v>1265</v>
      </c>
      <c r="F40" s="1523">
        <v>36960</v>
      </c>
      <c r="G40" s="1434">
        <f t="shared" si="1"/>
        <v>246342.096</v>
      </c>
      <c r="H40" s="1434">
        <f>G40</f>
        <v>246342.096</v>
      </c>
      <c r="I40" s="1434"/>
      <c r="J40" s="1670">
        <v>6.6651</v>
      </c>
      <c r="K40" s="1587" t="s">
        <v>1251</v>
      </c>
      <c r="L40" s="1532">
        <v>44741</v>
      </c>
      <c r="M40" s="1532">
        <v>44743</v>
      </c>
      <c r="N40" s="1827" t="s">
        <v>1266</v>
      </c>
      <c r="O40" s="1450" t="s">
        <v>508</v>
      </c>
      <c r="P40" s="568"/>
      <c r="Q40" s="1240"/>
      <c r="R40" s="1840"/>
      <c r="S40" s="1840"/>
      <c r="T40" s="1841"/>
      <c r="U40" s="1617"/>
      <c r="V40" s="1786"/>
      <c r="W40" s="1787"/>
      <c r="X40" s="1617"/>
      <c r="Y40" s="1795"/>
      <c r="Z40" s="1617"/>
      <c r="AA40" s="1617"/>
      <c r="AB40" s="1617"/>
      <c r="AC40" s="1617"/>
      <c r="AD40" s="1617"/>
      <c r="AE40" s="1617"/>
      <c r="AF40" s="1617"/>
      <c r="AG40" s="1617"/>
      <c r="AH40" s="1617"/>
      <c r="AI40" s="1617"/>
      <c r="AJ40" s="1552"/>
      <c r="AK40" s="1330"/>
      <c r="AL40" s="1617"/>
    </row>
    <row r="41" s="1590" customFormat="1" ht="21.55" customHeight="1" spans="1:38">
      <c r="A41" s="1710"/>
      <c r="B41" s="1801"/>
      <c r="C41" s="1803"/>
      <c r="D41" s="1664" t="s">
        <v>882</v>
      </c>
      <c r="E41" s="1526" t="s">
        <v>1190</v>
      </c>
      <c r="F41" s="1523">
        <v>50400</v>
      </c>
      <c r="G41" s="1434">
        <f t="shared" si="1"/>
        <v>335921.04</v>
      </c>
      <c r="H41" s="1434">
        <v>335921.04</v>
      </c>
      <c r="I41" s="1434">
        <f t="shared" si="2"/>
        <v>335921.04</v>
      </c>
      <c r="J41" s="1670">
        <v>6.6651</v>
      </c>
      <c r="K41" s="1587" t="s">
        <v>1251</v>
      </c>
      <c r="L41" s="1532">
        <v>44720</v>
      </c>
      <c r="M41" s="1532" t="s">
        <v>1267</v>
      </c>
      <c r="N41" s="1827" t="s">
        <v>1268</v>
      </c>
      <c r="O41" s="1450" t="s">
        <v>1191</v>
      </c>
      <c r="P41" s="1584">
        <v>170</v>
      </c>
      <c r="Q41" s="1838">
        <v>300</v>
      </c>
      <c r="R41" s="1843"/>
      <c r="S41" s="1840"/>
      <c r="T41" s="1841"/>
      <c r="U41" s="1617"/>
      <c r="V41" s="1786"/>
      <c r="W41" s="1787"/>
      <c r="X41" s="1617"/>
      <c r="Y41" s="1795"/>
      <c r="Z41" s="1617"/>
      <c r="AA41" s="1617"/>
      <c r="AB41" s="1617"/>
      <c r="AC41" s="1617"/>
      <c r="AD41" s="1617"/>
      <c r="AE41" s="1617"/>
      <c r="AF41" s="1617"/>
      <c r="AG41" s="1617"/>
      <c r="AH41" s="1617"/>
      <c r="AI41" s="1617"/>
      <c r="AJ41" s="1552"/>
      <c r="AK41" s="1330"/>
      <c r="AL41" s="1617"/>
    </row>
    <row r="42" s="1590" customFormat="1" spans="1:38">
      <c r="A42" s="1710"/>
      <c r="B42" s="1804"/>
      <c r="C42" s="1803"/>
      <c r="D42" s="1664" t="s">
        <v>882</v>
      </c>
      <c r="E42" s="1526" t="s">
        <v>1193</v>
      </c>
      <c r="F42" s="1523">
        <v>37950</v>
      </c>
      <c r="G42" s="1434">
        <f t="shared" si="1"/>
        <v>252940.545</v>
      </c>
      <c r="H42" s="1434">
        <v>252940.545</v>
      </c>
      <c r="I42" s="1434"/>
      <c r="J42" s="1670">
        <v>6.6651</v>
      </c>
      <c r="K42" s="1355">
        <v>44732</v>
      </c>
      <c r="L42" s="1532">
        <v>44733</v>
      </c>
      <c r="M42" s="1532">
        <v>44746</v>
      </c>
      <c r="N42" s="1827" t="s">
        <v>1269</v>
      </c>
      <c r="O42" s="1450" t="s">
        <v>1194</v>
      </c>
      <c r="P42" s="1584">
        <v>90</v>
      </c>
      <c r="Q42" s="1838">
        <v>415</v>
      </c>
      <c r="R42" s="1842"/>
      <c r="S42" s="1840"/>
      <c r="T42" s="1841"/>
      <c r="U42" s="1617"/>
      <c r="V42" s="1786"/>
      <c r="W42" s="1787"/>
      <c r="X42" s="1617"/>
      <c r="Y42" s="1795"/>
      <c r="Z42" s="1617"/>
      <c r="AA42" s="1617"/>
      <c r="AB42" s="1617"/>
      <c r="AC42" s="1617"/>
      <c r="AD42" s="1617"/>
      <c r="AE42" s="1617"/>
      <c r="AF42" s="1617"/>
      <c r="AG42" s="1617"/>
      <c r="AH42" s="1617"/>
      <c r="AI42" s="1617"/>
      <c r="AJ42" s="1552"/>
      <c r="AK42" s="1330"/>
      <c r="AL42" s="1617"/>
    </row>
    <row r="43" s="1590" customFormat="1" ht="21.55" customHeight="1" spans="1:38">
      <c r="A43" s="1710"/>
      <c r="B43" s="1804"/>
      <c r="C43" s="1803"/>
      <c r="D43" s="1665" t="s">
        <v>267</v>
      </c>
      <c r="E43" s="1526" t="s">
        <v>1196</v>
      </c>
      <c r="F43" s="1523">
        <v>37524</v>
      </c>
      <c r="G43" s="1434">
        <f t="shared" si="1"/>
        <v>250101.2124</v>
      </c>
      <c r="H43" s="1434">
        <f>G43</f>
        <v>250101.2124</v>
      </c>
      <c r="I43" s="1434">
        <f t="shared" si="2"/>
        <v>250101.2124</v>
      </c>
      <c r="J43" s="1670">
        <v>6.6651</v>
      </c>
      <c r="K43" s="1355" t="s">
        <v>1270</v>
      </c>
      <c r="L43" s="1532">
        <v>44714</v>
      </c>
      <c r="M43" s="1556" t="s">
        <v>1262</v>
      </c>
      <c r="N43" s="1827" t="s">
        <v>1271</v>
      </c>
      <c r="O43" s="1450"/>
      <c r="P43" s="1584">
        <v>1</v>
      </c>
      <c r="Q43" s="1838"/>
      <c r="R43" s="1843"/>
      <c r="S43" s="1840"/>
      <c r="T43" s="1841"/>
      <c r="U43" s="1617"/>
      <c r="V43" s="1786"/>
      <c r="W43" s="1787"/>
      <c r="X43" s="1617"/>
      <c r="Y43" s="1795"/>
      <c r="Z43" s="1617"/>
      <c r="AA43" s="1617"/>
      <c r="AB43" s="1617"/>
      <c r="AC43" s="1617"/>
      <c r="AD43" s="1617"/>
      <c r="AE43" s="1617"/>
      <c r="AF43" s="1617"/>
      <c r="AG43" s="1617"/>
      <c r="AH43" s="1617"/>
      <c r="AI43" s="1617"/>
      <c r="AJ43" s="1552"/>
      <c r="AK43" s="1330"/>
      <c r="AL43" s="1617"/>
    </row>
    <row r="44" s="1590" customFormat="1" ht="21.55" customHeight="1" spans="1:38">
      <c r="A44" s="1710"/>
      <c r="B44" s="1804"/>
      <c r="C44" s="1803"/>
      <c r="D44" s="1665" t="s">
        <v>267</v>
      </c>
      <c r="E44" s="1526" t="s">
        <v>1272</v>
      </c>
      <c r="F44" s="1523">
        <v>41938</v>
      </c>
      <c r="G44" s="1434">
        <f t="shared" si="1"/>
        <v>279520.9638</v>
      </c>
      <c r="H44" s="1434">
        <f>G44</f>
        <v>279520.9638</v>
      </c>
      <c r="I44" s="1434"/>
      <c r="J44" s="1670">
        <v>6.6651</v>
      </c>
      <c r="K44" s="1587" t="s">
        <v>1251</v>
      </c>
      <c r="L44" s="1532">
        <v>44739</v>
      </c>
      <c r="M44" s="1532">
        <v>44743</v>
      </c>
      <c r="N44" s="1444" t="s">
        <v>1273</v>
      </c>
      <c r="O44" s="1450"/>
      <c r="P44" s="1584">
        <v>1</v>
      </c>
      <c r="Q44" s="1838"/>
      <c r="R44" s="1843"/>
      <c r="S44" s="1840"/>
      <c r="T44" s="1841"/>
      <c r="U44" s="1617"/>
      <c r="V44" s="1786"/>
      <c r="W44" s="1787"/>
      <c r="X44" s="1617"/>
      <c r="Y44" s="1795"/>
      <c r="Z44" s="1617"/>
      <c r="AA44" s="1617"/>
      <c r="AB44" s="1617"/>
      <c r="AC44" s="1617"/>
      <c r="AD44" s="1617"/>
      <c r="AE44" s="1617"/>
      <c r="AF44" s="1617"/>
      <c r="AG44" s="1617"/>
      <c r="AH44" s="1617"/>
      <c r="AI44" s="1617"/>
      <c r="AJ44" s="1552"/>
      <c r="AK44" s="1330"/>
      <c r="AL44" s="1617"/>
    </row>
    <row r="45" s="1590" customFormat="1" ht="21.55" customHeight="1" spans="1:38">
      <c r="A45" s="1710"/>
      <c r="B45" s="1804"/>
      <c r="C45" s="1803"/>
      <c r="D45" s="1666" t="s">
        <v>1274</v>
      </c>
      <c r="E45" s="1526" t="s">
        <v>1275</v>
      </c>
      <c r="F45" s="1523">
        <v>42754</v>
      </c>
      <c r="G45" s="1434">
        <f t="shared" si="1"/>
        <v>284959.6854</v>
      </c>
      <c r="H45" s="1434">
        <f>G45</f>
        <v>284959.6854</v>
      </c>
      <c r="I45" s="1434"/>
      <c r="J45" s="1670">
        <v>6.6651</v>
      </c>
      <c r="K45" s="1671">
        <v>44736</v>
      </c>
      <c r="L45" s="1532">
        <v>44735</v>
      </c>
      <c r="M45" s="1532">
        <v>44743</v>
      </c>
      <c r="N45" s="1827" t="s">
        <v>1276</v>
      </c>
      <c r="O45" s="1751"/>
      <c r="P45" s="1584">
        <v>1</v>
      </c>
      <c r="Q45" s="1838"/>
      <c r="R45" s="1843"/>
      <c r="S45" s="1840"/>
      <c r="T45" s="1841"/>
      <c r="U45" s="1617"/>
      <c r="V45" s="1786"/>
      <c r="W45" s="1787"/>
      <c r="X45" s="1617"/>
      <c r="Y45" s="1795"/>
      <c r="Z45" s="1617"/>
      <c r="AA45" s="1617"/>
      <c r="AB45" s="1617"/>
      <c r="AC45" s="1617"/>
      <c r="AD45" s="1617"/>
      <c r="AE45" s="1617"/>
      <c r="AF45" s="1617"/>
      <c r="AG45" s="1617"/>
      <c r="AH45" s="1617"/>
      <c r="AI45" s="1617"/>
      <c r="AJ45" s="1552"/>
      <c r="AK45" s="1330"/>
      <c r="AL45" s="1617"/>
    </row>
    <row r="46" s="1590" customFormat="1" ht="21.55" customHeight="1" spans="1:38">
      <c r="A46" s="1710"/>
      <c r="B46" s="1804"/>
      <c r="C46" s="1803"/>
      <c r="D46" s="1666" t="s">
        <v>660</v>
      </c>
      <c r="E46" s="1526" t="s">
        <v>1277</v>
      </c>
      <c r="F46" s="1523">
        <v>3060</v>
      </c>
      <c r="G46" s="1434">
        <f t="shared" si="1"/>
        <v>20395.206</v>
      </c>
      <c r="H46" s="1434">
        <v>20395.206</v>
      </c>
      <c r="I46" s="1434">
        <f t="shared" si="2"/>
        <v>20395.206</v>
      </c>
      <c r="J46" s="1670">
        <v>6.6651</v>
      </c>
      <c r="K46" s="1532" t="s">
        <v>1251</v>
      </c>
      <c r="L46" s="1532">
        <v>44727</v>
      </c>
      <c r="M46" s="1532">
        <v>44731</v>
      </c>
      <c r="N46" s="1829"/>
      <c r="O46" s="1751"/>
      <c r="P46" s="1584"/>
      <c r="Q46" s="1838"/>
      <c r="R46" s="1843"/>
      <c r="S46" s="1840"/>
      <c r="T46" s="1841"/>
      <c r="U46" s="1617"/>
      <c r="V46" s="1786"/>
      <c r="W46" s="1787"/>
      <c r="X46" s="1617"/>
      <c r="Y46" s="1795"/>
      <c r="Z46" s="1617"/>
      <c r="AA46" s="1617"/>
      <c r="AB46" s="1617"/>
      <c r="AC46" s="1617"/>
      <c r="AD46" s="1617"/>
      <c r="AE46" s="1617"/>
      <c r="AF46" s="1617"/>
      <c r="AG46" s="1617"/>
      <c r="AH46" s="1617"/>
      <c r="AI46" s="1617"/>
      <c r="AJ46" s="1552"/>
      <c r="AK46" s="1330"/>
      <c r="AL46" s="1617"/>
    </row>
    <row r="47" s="1590" customFormat="1" ht="21.55" customHeight="1" spans="1:38">
      <c r="A47" s="1710"/>
      <c r="B47" s="1804"/>
      <c r="C47" s="1803"/>
      <c r="D47" s="1666" t="s">
        <v>660</v>
      </c>
      <c r="E47" s="1526" t="s">
        <v>1278</v>
      </c>
      <c r="F47" s="1523">
        <v>5000</v>
      </c>
      <c r="G47" s="1434">
        <f t="shared" si="1"/>
        <v>33325.5</v>
      </c>
      <c r="H47" s="1434">
        <v>33325.5</v>
      </c>
      <c r="I47" s="1434">
        <f t="shared" si="2"/>
        <v>33325.5</v>
      </c>
      <c r="J47" s="1670">
        <v>6.6651</v>
      </c>
      <c r="K47" s="1532" t="s">
        <v>1251</v>
      </c>
      <c r="L47" s="1532">
        <v>44727</v>
      </c>
      <c r="M47" s="1532">
        <v>44731</v>
      </c>
      <c r="N47" s="1829"/>
      <c r="O47" s="1751"/>
      <c r="P47" s="1584"/>
      <c r="Q47" s="1838"/>
      <c r="R47" s="1843"/>
      <c r="S47" s="1840"/>
      <c r="T47" s="1841"/>
      <c r="U47" s="1617"/>
      <c r="V47" s="1786"/>
      <c r="W47" s="1787"/>
      <c r="X47" s="1617"/>
      <c r="Y47" s="1795"/>
      <c r="Z47" s="1617"/>
      <c r="AA47" s="1617"/>
      <c r="AB47" s="1617"/>
      <c r="AC47" s="1617"/>
      <c r="AD47" s="1617"/>
      <c r="AE47" s="1617"/>
      <c r="AF47" s="1617"/>
      <c r="AG47" s="1617"/>
      <c r="AH47" s="1617"/>
      <c r="AI47" s="1617"/>
      <c r="AJ47" s="1552"/>
      <c r="AK47" s="1330"/>
      <c r="AL47" s="1617"/>
    </row>
    <row r="48" s="1590" customFormat="1" ht="21.55" customHeight="1" spans="1:38">
      <c r="A48" s="1710"/>
      <c r="B48" s="1804"/>
      <c r="C48" s="1803"/>
      <c r="D48" s="1666" t="s">
        <v>660</v>
      </c>
      <c r="E48" s="1526" t="s">
        <v>1279</v>
      </c>
      <c r="F48" s="1523">
        <v>4236</v>
      </c>
      <c r="G48" s="1434">
        <f t="shared" si="1"/>
        <v>28233.3636</v>
      </c>
      <c r="H48" s="1434">
        <v>28233.3636</v>
      </c>
      <c r="I48" s="1434">
        <f t="shared" si="2"/>
        <v>28233.3636</v>
      </c>
      <c r="J48" s="1670">
        <v>6.6651</v>
      </c>
      <c r="K48" s="1532" t="s">
        <v>1251</v>
      </c>
      <c r="L48" s="1532">
        <v>44730</v>
      </c>
      <c r="M48" s="1532">
        <v>44734</v>
      </c>
      <c r="N48" s="1829"/>
      <c r="O48" s="1751"/>
      <c r="P48" s="1584"/>
      <c r="Q48" s="1838"/>
      <c r="R48" s="1843"/>
      <c r="S48" s="1840"/>
      <c r="T48" s="1841"/>
      <c r="U48" s="1617"/>
      <c r="V48" s="1786"/>
      <c r="W48" s="1787"/>
      <c r="X48" s="1617"/>
      <c r="Y48" s="1795"/>
      <c r="Z48" s="1617"/>
      <c r="AA48" s="1617"/>
      <c r="AB48" s="1617"/>
      <c r="AC48" s="1617"/>
      <c r="AD48" s="1617"/>
      <c r="AE48" s="1617"/>
      <c r="AF48" s="1617"/>
      <c r="AG48" s="1617"/>
      <c r="AH48" s="1617"/>
      <c r="AI48" s="1617"/>
      <c r="AJ48" s="1552"/>
      <c r="AK48" s="1330"/>
      <c r="AL48" s="1617"/>
    </row>
    <row r="49" s="1590" customFormat="1" ht="21.55" customHeight="1" spans="1:38">
      <c r="A49" s="1710"/>
      <c r="B49" s="1804"/>
      <c r="C49" s="1803"/>
      <c r="D49" s="1665"/>
      <c r="E49" s="1330"/>
      <c r="F49" s="1523"/>
      <c r="G49" s="1434"/>
      <c r="H49" s="1434"/>
      <c r="I49" s="1434"/>
      <c r="J49" s="1670"/>
      <c r="K49" s="1671"/>
      <c r="L49" s="1532"/>
      <c r="M49" s="1532"/>
      <c r="N49" s="1539"/>
      <c r="O49" s="1450"/>
      <c r="P49" s="1584"/>
      <c r="Q49" s="1838"/>
      <c r="R49" s="1843"/>
      <c r="S49" s="1840"/>
      <c r="T49" s="1841"/>
      <c r="U49" s="1617"/>
      <c r="V49" s="1786"/>
      <c r="W49" s="1787"/>
      <c r="X49" s="1617"/>
      <c r="Y49" s="1795"/>
      <c r="Z49" s="1617"/>
      <c r="AA49" s="1617"/>
      <c r="AB49" s="1617"/>
      <c r="AC49" s="1617"/>
      <c r="AD49" s="1617"/>
      <c r="AE49" s="1617"/>
      <c r="AF49" s="1617"/>
      <c r="AG49" s="1617"/>
      <c r="AH49" s="1617"/>
      <c r="AI49" s="1617"/>
      <c r="AJ49" s="1552"/>
      <c r="AK49" s="1330"/>
      <c r="AL49" s="1617"/>
    </row>
    <row r="50" s="1362" customFormat="1" ht="21.55" customHeight="1" spans="1:38">
      <c r="A50" s="1710"/>
      <c r="B50" s="1805" t="s">
        <v>509</v>
      </c>
      <c r="C50" s="1806">
        <v>111</v>
      </c>
      <c r="D50" s="1667" t="s">
        <v>274</v>
      </c>
      <c r="E50" s="1526" t="s">
        <v>1201</v>
      </c>
      <c r="F50" s="1373">
        <v>11472</v>
      </c>
      <c r="G50" s="1434">
        <f>F50*J50</f>
        <v>76462.0272</v>
      </c>
      <c r="H50" s="1434">
        <f>F50*J50</f>
        <v>76462.0272</v>
      </c>
      <c r="I50" s="1434">
        <f t="shared" si="2"/>
        <v>76462.0272</v>
      </c>
      <c r="J50" s="1670">
        <v>6.6651</v>
      </c>
      <c r="K50" s="1671" t="s">
        <v>1251</v>
      </c>
      <c r="L50" s="1532">
        <v>44728</v>
      </c>
      <c r="M50" s="1830" t="s">
        <v>851</v>
      </c>
      <c r="N50" s="1831" t="s">
        <v>1280</v>
      </c>
      <c r="O50" s="1751"/>
      <c r="P50" s="1752">
        <v>1</v>
      </c>
      <c r="Q50" s="1844"/>
      <c r="R50" s="1839"/>
      <c r="S50" s="1845"/>
      <c r="T50" s="1846"/>
      <c r="U50" s="1552"/>
      <c r="V50" s="1854"/>
      <c r="W50" s="1620"/>
      <c r="X50" s="1552"/>
      <c r="Y50" s="1813"/>
      <c r="Z50" s="1552"/>
      <c r="AA50" s="1552"/>
      <c r="AB50" s="1552"/>
      <c r="AC50" s="1552"/>
      <c r="AD50" s="1552"/>
      <c r="AE50" s="1552"/>
      <c r="AF50" s="1552"/>
      <c r="AG50" s="1552"/>
      <c r="AH50" s="1552"/>
      <c r="AI50" s="1552"/>
      <c r="AJ50" s="1552"/>
      <c r="AK50" s="1864"/>
      <c r="AL50" s="1552"/>
    </row>
    <row r="51" s="1362" customFormat="1" ht="21.55" customHeight="1" spans="1:38">
      <c r="A51" s="1710"/>
      <c r="B51" s="1805"/>
      <c r="C51" s="1691"/>
      <c r="D51" s="1667" t="s">
        <v>274</v>
      </c>
      <c r="E51" s="1526" t="s">
        <v>1281</v>
      </c>
      <c r="F51" s="1669">
        <v>12186</v>
      </c>
      <c r="G51" s="1434">
        <f>F51*J51</f>
        <v>81220.9086</v>
      </c>
      <c r="H51" s="1434">
        <f>F51*J51</f>
        <v>81220.9086</v>
      </c>
      <c r="I51" s="1434"/>
      <c r="J51" s="1670">
        <v>6.6651</v>
      </c>
      <c r="K51" s="1671">
        <v>44727</v>
      </c>
      <c r="L51" s="1532">
        <v>44728</v>
      </c>
      <c r="M51" s="1532">
        <v>44746</v>
      </c>
      <c r="N51" s="1444"/>
      <c r="O51" s="1751"/>
      <c r="P51" s="1752">
        <v>1</v>
      </c>
      <c r="Q51" s="1844"/>
      <c r="R51" s="1839"/>
      <c r="S51" s="1845"/>
      <c r="T51" s="1846"/>
      <c r="U51" s="1552"/>
      <c r="V51" s="1854"/>
      <c r="W51" s="1620"/>
      <c r="X51" s="1552"/>
      <c r="Y51" s="1813"/>
      <c r="Z51" s="1552"/>
      <c r="AA51" s="1552"/>
      <c r="AB51" s="1552"/>
      <c r="AC51" s="1552"/>
      <c r="AD51" s="1552"/>
      <c r="AE51" s="1552"/>
      <c r="AF51" s="1552"/>
      <c r="AG51" s="1552"/>
      <c r="AH51" s="1552"/>
      <c r="AI51" s="1552"/>
      <c r="AJ51" s="1552"/>
      <c r="AK51" s="1864"/>
      <c r="AL51" s="1552"/>
    </row>
    <row r="52" s="1362" customFormat="1" ht="21.55" customHeight="1" spans="1:38">
      <c r="A52" s="1710"/>
      <c r="B52" s="1805"/>
      <c r="C52" s="1691"/>
      <c r="D52" s="1807" t="s">
        <v>324</v>
      </c>
      <c r="E52" s="1814" t="s">
        <v>1282</v>
      </c>
      <c r="F52" s="1669">
        <f>P52*Q52</f>
        <v>31416</v>
      </c>
      <c r="G52" s="1434">
        <f>F52*J52</f>
        <v>209390.7816</v>
      </c>
      <c r="H52" s="1434">
        <v>209390.7816</v>
      </c>
      <c r="I52" s="1434"/>
      <c r="J52" s="1670">
        <v>6.6651</v>
      </c>
      <c r="K52" s="1671">
        <v>44732</v>
      </c>
      <c r="L52" s="1532">
        <v>44734</v>
      </c>
      <c r="M52" s="1532">
        <v>44748</v>
      </c>
      <c r="N52" s="1444" t="s">
        <v>1283</v>
      </c>
      <c r="O52" s="1330" t="s">
        <v>1207</v>
      </c>
      <c r="P52" s="1752">
        <v>66</v>
      </c>
      <c r="Q52" s="1767">
        <v>476</v>
      </c>
      <c r="R52" s="1839"/>
      <c r="S52" s="1847"/>
      <c r="T52" s="1846"/>
      <c r="U52" s="1552"/>
      <c r="V52" s="1854"/>
      <c r="W52" s="1620"/>
      <c r="X52" s="1552"/>
      <c r="Y52" s="1813"/>
      <c r="Z52" s="1552"/>
      <c r="AA52" s="1552"/>
      <c r="AB52" s="1552"/>
      <c r="AC52" s="1552"/>
      <c r="AD52" s="1552"/>
      <c r="AE52" s="1552"/>
      <c r="AF52" s="1552"/>
      <c r="AG52" s="1552"/>
      <c r="AH52" s="1552"/>
      <c r="AI52" s="1552"/>
      <c r="AJ52" s="1552"/>
      <c r="AK52" s="1864"/>
      <c r="AL52" s="1552"/>
    </row>
    <row r="53" s="1362" customFormat="1" ht="21.55" customHeight="1" spans="1:38">
      <c r="A53" s="1710"/>
      <c r="B53" s="1805"/>
      <c r="C53" s="1691"/>
      <c r="D53" s="1807" t="s">
        <v>133</v>
      </c>
      <c r="E53" s="1526" t="s">
        <v>1209</v>
      </c>
      <c r="F53" s="1669">
        <v>34570</v>
      </c>
      <c r="G53" s="1434">
        <f>F53*J53</f>
        <v>230412.507</v>
      </c>
      <c r="H53" s="1434">
        <v>230412.507</v>
      </c>
      <c r="I53" s="1434"/>
      <c r="J53" s="1670">
        <v>6.6651</v>
      </c>
      <c r="K53" s="1671" t="s">
        <v>1251</v>
      </c>
      <c r="L53" s="1532">
        <v>44733</v>
      </c>
      <c r="M53" s="1532">
        <v>44744</v>
      </c>
      <c r="N53" s="1444" t="s">
        <v>1283</v>
      </c>
      <c r="O53" s="1330" t="s">
        <v>399</v>
      </c>
      <c r="P53" s="1752">
        <v>90</v>
      </c>
      <c r="Q53" s="1846">
        <v>385</v>
      </c>
      <c r="R53" s="1513"/>
      <c r="S53" s="1847"/>
      <c r="T53" s="1846"/>
      <c r="U53" s="1552"/>
      <c r="V53" s="1854"/>
      <c r="W53" s="1620"/>
      <c r="X53" s="1552"/>
      <c r="Y53" s="1813"/>
      <c r="Z53" s="1552"/>
      <c r="AA53" s="1552"/>
      <c r="AB53" s="1552"/>
      <c r="AC53" s="1552"/>
      <c r="AD53" s="1552"/>
      <c r="AE53" s="1552"/>
      <c r="AF53" s="1552"/>
      <c r="AG53" s="1552"/>
      <c r="AH53" s="1552"/>
      <c r="AI53" s="1552"/>
      <c r="AJ53" s="1552"/>
      <c r="AK53" s="1864"/>
      <c r="AL53" s="1552"/>
    </row>
    <row r="54" s="1362" customFormat="1" ht="22.1" customHeight="1" spans="1:38">
      <c r="A54" s="1710"/>
      <c r="B54" s="1805"/>
      <c r="C54" s="1691"/>
      <c r="D54" s="1807"/>
      <c r="E54" s="1330"/>
      <c r="F54" s="1373"/>
      <c r="G54" s="1434"/>
      <c r="H54" s="1434"/>
      <c r="I54" s="1434"/>
      <c r="J54" s="1670"/>
      <c r="K54" s="1671"/>
      <c r="L54" s="1820"/>
      <c r="M54" s="1820"/>
      <c r="N54" s="1444"/>
      <c r="O54" s="1450"/>
      <c r="P54" s="1752"/>
      <c r="Q54" s="1848"/>
      <c r="R54" s="1849"/>
      <c r="S54" s="1850"/>
      <c r="T54" s="1851"/>
      <c r="U54" s="1855"/>
      <c r="V54" s="1856"/>
      <c r="W54" s="1857"/>
      <c r="X54" s="1552"/>
      <c r="Y54" s="1859"/>
      <c r="Z54" s="1552"/>
      <c r="AA54" s="1552"/>
      <c r="AB54" s="1552"/>
      <c r="AC54" s="1552"/>
      <c r="AD54" s="1552"/>
      <c r="AE54" s="1552"/>
      <c r="AF54" s="1552"/>
      <c r="AG54" s="1552"/>
      <c r="AH54" s="1552"/>
      <c r="AI54" s="1552"/>
      <c r="AJ54" s="1552"/>
      <c r="AK54" s="1584"/>
      <c r="AL54" s="1552"/>
    </row>
    <row r="55" s="1362" customFormat="1" ht="22.1" customHeight="1" spans="1:38">
      <c r="A55" s="1710"/>
      <c r="B55" s="1805"/>
      <c r="C55" s="1691"/>
      <c r="D55" s="1808"/>
      <c r="E55" s="1815"/>
      <c r="F55" s="1816"/>
      <c r="G55" s="1434"/>
      <c r="H55" s="1434"/>
      <c r="I55" s="1434"/>
      <c r="J55" s="1670"/>
      <c r="K55" s="1821"/>
      <c r="L55" s="1822"/>
      <c r="M55" s="1822"/>
      <c r="N55" s="1832"/>
      <c r="O55" s="1833"/>
      <c r="P55" s="1834"/>
      <c r="Q55" s="1852"/>
      <c r="R55" s="1849"/>
      <c r="S55" s="1850"/>
      <c r="T55" s="1851"/>
      <c r="U55" s="1855"/>
      <c r="V55" s="1856"/>
      <c r="W55" s="1857"/>
      <c r="X55" s="1619"/>
      <c r="Y55" s="1860"/>
      <c r="Z55" s="1552"/>
      <c r="AA55" s="1552"/>
      <c r="AB55" s="1552"/>
      <c r="AC55" s="1552"/>
      <c r="AD55" s="1552"/>
      <c r="AE55" s="1552"/>
      <c r="AF55" s="1552"/>
      <c r="AG55" s="1552"/>
      <c r="AH55" s="1552"/>
      <c r="AI55" s="1552"/>
      <c r="AJ55" s="1862"/>
      <c r="AK55" s="1865"/>
      <c r="AL55" s="1866"/>
    </row>
    <row r="56" s="1680" customFormat="1" ht="32.5" customHeight="1" spans="1:38">
      <c r="A56" s="1710"/>
      <c r="B56" s="1703" t="s">
        <v>1124</v>
      </c>
      <c r="C56" s="1809">
        <f>SUM(C30:C54)</f>
        <v>426</v>
      </c>
      <c r="D56" s="1368"/>
      <c r="E56" s="1368"/>
      <c r="F56" s="1716" t="s">
        <v>1235</v>
      </c>
      <c r="G56" s="1154">
        <f>SUM(G30:G54)</f>
        <v>3631806.3249</v>
      </c>
      <c r="H56" s="1154">
        <f>SUM(H30:H54)</f>
        <v>3627327.3777</v>
      </c>
      <c r="I56" s="1154">
        <f>SUM(I30:I54)</f>
        <v>2234541.426</v>
      </c>
      <c r="J56" s="1823"/>
      <c r="K56" s="1824"/>
      <c r="L56" s="1656"/>
      <c r="M56" s="1835"/>
      <c r="N56" s="1836"/>
      <c r="O56" s="1378"/>
      <c r="P56" s="1380"/>
      <c r="Q56" s="1392"/>
      <c r="R56" s="1824"/>
      <c r="S56" s="1824">
        <v>0</v>
      </c>
      <c r="T56" s="1824">
        <v>0</v>
      </c>
      <c r="U56" s="1784"/>
      <c r="V56" s="1784"/>
      <c r="W56" s="1491"/>
      <c r="X56" s="1858"/>
      <c r="Y56" s="1861"/>
      <c r="Z56" s="1378"/>
      <c r="AA56" s="1378"/>
      <c r="AB56" s="1378"/>
      <c r="AC56" s="1378"/>
      <c r="AD56" s="1378"/>
      <c r="AE56" s="1378"/>
      <c r="AF56" s="1378"/>
      <c r="AG56" s="1378"/>
      <c r="AH56" s="1378"/>
      <c r="AI56" s="1378"/>
      <c r="AJ56" s="1863"/>
      <c r="AK56" s="1867" t="s">
        <v>325</v>
      </c>
      <c r="AL56" s="1867"/>
    </row>
    <row r="57" s="1680" customFormat="1" ht="32.5" customHeight="1" spans="1:38">
      <c r="A57" s="1710"/>
      <c r="B57" s="1707"/>
      <c r="C57" s="1708"/>
      <c r="D57" s="1368"/>
      <c r="E57" s="1368"/>
      <c r="F57" s="1716" t="s">
        <v>1236</v>
      </c>
      <c r="G57" s="1718">
        <f>G56/4260000</f>
        <v>0.852536695985915</v>
      </c>
      <c r="H57" s="1718">
        <f>H56/4260000</f>
        <v>0.851485299929577</v>
      </c>
      <c r="I57" s="1718">
        <f>I56/4260000</f>
        <v>0.52454024084507</v>
      </c>
      <c r="J57" s="1823"/>
      <c r="K57" s="1824"/>
      <c r="L57" s="1656"/>
      <c r="M57" s="1835"/>
      <c r="N57" s="1836"/>
      <c r="O57" s="1378"/>
      <c r="P57" s="1380"/>
      <c r="Q57" s="1392"/>
      <c r="R57" s="1824"/>
      <c r="S57" s="1824"/>
      <c r="T57" s="1824"/>
      <c r="U57" s="1784"/>
      <c r="V57" s="1784"/>
      <c r="W57" s="1491"/>
      <c r="X57" s="1492"/>
      <c r="Y57" s="1492"/>
      <c r="Z57" s="1492"/>
      <c r="AA57" s="1492"/>
      <c r="AB57" s="1492"/>
      <c r="AC57" s="1492"/>
      <c r="AD57" s="1492"/>
      <c r="AE57" s="1492"/>
      <c r="AF57" s="1492"/>
      <c r="AG57" s="1492"/>
      <c r="AH57" s="1492"/>
      <c r="AI57" s="1492"/>
      <c r="AJ57" s="1492"/>
      <c r="AK57" s="1492"/>
      <c r="AL57" s="1492"/>
    </row>
    <row r="58" s="1365" customFormat="1" ht="30" customHeight="1" spans="1:38">
      <c r="A58" s="1367" t="s">
        <v>1163</v>
      </c>
      <c r="B58" s="1367"/>
      <c r="C58" s="1380">
        <f t="shared" ref="C58:I58" si="3">C14+C28+C56</f>
        <v>1310</v>
      </c>
      <c r="D58" s="1378"/>
      <c r="E58" s="1378"/>
      <c r="F58" s="1378" t="s">
        <v>14</v>
      </c>
      <c r="G58" s="1481">
        <f t="shared" si="3"/>
        <v>7009692.0567</v>
      </c>
      <c r="H58" s="1481">
        <f t="shared" si="3"/>
        <v>7005213.1095</v>
      </c>
      <c r="I58" s="1481">
        <f t="shared" si="3"/>
        <v>7484467.701</v>
      </c>
      <c r="J58" s="1378"/>
      <c r="K58" s="1378"/>
      <c r="L58" s="1483"/>
      <c r="M58" s="1483"/>
      <c r="N58" s="1608"/>
      <c r="O58" s="1378"/>
      <c r="P58" s="1380"/>
      <c r="Q58" s="1378"/>
      <c r="R58" s="1378"/>
      <c r="S58" s="1378"/>
      <c r="T58" s="1378"/>
      <c r="U58" s="1378"/>
      <c r="V58" s="1378"/>
      <c r="W58" s="1491"/>
      <c r="X58" s="1492"/>
      <c r="Y58" s="1492"/>
      <c r="Z58" s="1492"/>
      <c r="AA58" s="1492"/>
      <c r="AB58" s="1492"/>
      <c r="AC58" s="1492"/>
      <c r="AD58" s="1492"/>
      <c r="AE58" s="1492"/>
      <c r="AF58" s="1492"/>
      <c r="AG58" s="1492"/>
      <c r="AH58" s="1492"/>
      <c r="AI58" s="1492"/>
      <c r="AJ58" s="1492"/>
      <c r="AK58" s="1492"/>
      <c r="AL58" s="1492"/>
    </row>
    <row r="59" s="1365" customFormat="1" ht="30" customHeight="1" spans="1:38">
      <c r="A59" s="1367"/>
      <c r="B59" s="1367"/>
      <c r="C59" s="1380"/>
      <c r="D59" s="1378"/>
      <c r="E59" s="1378"/>
      <c r="F59" s="1378" t="s">
        <v>1236</v>
      </c>
      <c r="G59" s="1482">
        <f t="shared" ref="G59:I59" si="4">G58/13100000</f>
        <v>0.535090996694656</v>
      </c>
      <c r="H59" s="1482">
        <f t="shared" si="4"/>
        <v>0.534749092328244</v>
      </c>
      <c r="I59" s="1482">
        <f t="shared" si="4"/>
        <v>0.571333412290076</v>
      </c>
      <c r="J59" s="1378"/>
      <c r="K59" s="1378"/>
      <c r="L59" s="1483"/>
      <c r="M59" s="1483"/>
      <c r="N59" s="1608"/>
      <c r="O59" s="1378"/>
      <c r="P59" s="1378"/>
      <c r="Q59" s="1378"/>
      <c r="R59" s="1378"/>
      <c r="S59" s="1378"/>
      <c r="T59" s="1378"/>
      <c r="U59" s="1378"/>
      <c r="V59" s="1378"/>
      <c r="W59" s="1378"/>
      <c r="X59" s="1492"/>
      <c r="Y59" s="1492"/>
      <c r="Z59" s="1492"/>
      <c r="AA59" s="1492"/>
      <c r="AB59" s="1492"/>
      <c r="AC59" s="1492"/>
      <c r="AD59" s="1492"/>
      <c r="AE59" s="1492"/>
      <c r="AF59" s="1492"/>
      <c r="AG59" s="1492"/>
      <c r="AH59" s="1492"/>
      <c r="AI59" s="1492"/>
      <c r="AJ59" s="1492"/>
      <c r="AK59" s="1492"/>
      <c r="AL59" s="1492"/>
    </row>
    <row r="60" s="1590" customFormat="1" spans="2:38">
      <c r="B60" s="1771"/>
      <c r="C60" s="1810"/>
      <c r="D60" s="1771"/>
      <c r="E60" s="1771"/>
      <c r="F60" s="1771"/>
      <c r="G60" s="1817"/>
      <c r="H60" s="1817"/>
      <c r="I60" s="1817"/>
      <c r="J60" s="1771"/>
      <c r="K60" s="1771"/>
      <c r="L60" s="1825"/>
      <c r="M60" s="1825"/>
      <c r="N60" s="1733"/>
      <c r="O60" s="1771"/>
      <c r="P60" s="1810"/>
      <c r="Q60" s="1771"/>
      <c r="R60" s="1771"/>
      <c r="S60" s="1771"/>
      <c r="T60" s="1771"/>
      <c r="U60" s="1771"/>
      <c r="V60" s="1771"/>
      <c r="W60" s="1772"/>
      <c r="X60" s="1771"/>
      <c r="Y60" s="1771"/>
      <c r="Z60" s="1771"/>
      <c r="AA60" s="1771"/>
      <c r="AB60" s="1771"/>
      <c r="AC60" s="1771"/>
      <c r="AD60" s="1771"/>
      <c r="AE60" s="1771"/>
      <c r="AF60" s="1771"/>
      <c r="AG60" s="1771"/>
      <c r="AH60" s="1771"/>
      <c r="AI60" s="1771"/>
      <c r="AJ60" s="1771"/>
      <c r="AK60" s="1771"/>
      <c r="AL60" s="1771"/>
    </row>
    <row r="61" s="1590" customFormat="1" spans="2:38">
      <c r="B61" s="1771"/>
      <c r="C61" s="1810"/>
      <c r="D61" s="1771"/>
      <c r="E61" s="1771" t="s">
        <v>139</v>
      </c>
      <c r="F61" s="1771"/>
      <c r="G61" s="1008"/>
      <c r="H61" s="1008"/>
      <c r="I61" s="1008"/>
      <c r="J61" s="1771"/>
      <c r="K61" s="1771"/>
      <c r="L61" s="1825"/>
      <c r="M61" s="1825"/>
      <c r="N61" s="1733"/>
      <c r="O61" s="1771" t="s">
        <v>140</v>
      </c>
      <c r="P61" s="1810"/>
      <c r="Q61" s="1771"/>
      <c r="R61" s="1771"/>
      <c r="S61" s="1853"/>
      <c r="T61" s="1771"/>
      <c r="U61" s="1853"/>
      <c r="V61" s="1771"/>
      <c r="W61" s="1772"/>
      <c r="X61" s="1771"/>
      <c r="Y61" s="1771"/>
      <c r="Z61" s="1771"/>
      <c r="AA61" s="1771"/>
      <c r="AB61" s="1771"/>
      <c r="AC61" s="1771"/>
      <c r="AD61" s="1771"/>
      <c r="AE61" s="1771"/>
      <c r="AF61" s="1771"/>
      <c r="AG61" s="1771"/>
      <c r="AH61" s="1771"/>
      <c r="AI61" s="1771"/>
      <c r="AJ61" s="1771"/>
      <c r="AK61" s="1771"/>
      <c r="AL61" s="1771"/>
    </row>
    <row r="62" s="1590" customFormat="1" spans="1:38">
      <c r="A62" s="1811" t="s">
        <v>1284</v>
      </c>
      <c r="B62" s="1811"/>
      <c r="C62" s="1811"/>
      <c r="D62" s="1811"/>
      <c r="E62" s="1811"/>
      <c r="F62" s="1771"/>
      <c r="G62" s="1817"/>
      <c r="H62" s="1817"/>
      <c r="I62" s="1817"/>
      <c r="J62" s="1771"/>
      <c r="K62" s="1771"/>
      <c r="L62" s="1825"/>
      <c r="M62" s="1825"/>
      <c r="N62" s="1733"/>
      <c r="O62" s="1837"/>
      <c r="P62" s="1810"/>
      <c r="Q62" s="1771"/>
      <c r="R62" s="1771"/>
      <c r="S62" s="1853"/>
      <c r="T62" s="1771"/>
      <c r="U62" s="1853"/>
      <c r="V62" s="1771"/>
      <c r="W62" s="1772"/>
      <c r="X62" s="1771"/>
      <c r="Y62" s="1771"/>
      <c r="Z62" s="1771"/>
      <c r="AA62" s="1771"/>
      <c r="AB62" s="1771"/>
      <c r="AC62" s="1771"/>
      <c r="AD62" s="1771"/>
      <c r="AE62" s="1771"/>
      <c r="AF62" s="1771"/>
      <c r="AG62" s="1771"/>
      <c r="AH62" s="1771"/>
      <c r="AI62" s="1771"/>
      <c r="AJ62" s="1771"/>
      <c r="AK62" s="1771"/>
      <c r="AL62" s="1771"/>
    </row>
    <row r="63" s="1590" customFormat="1" spans="1:38">
      <c r="A63" s="1811" t="s">
        <v>1285</v>
      </c>
      <c r="B63" s="1811"/>
      <c r="C63" s="1811"/>
      <c r="D63" s="1811"/>
      <c r="E63" s="1811"/>
      <c r="F63" s="1771"/>
      <c r="G63" s="1817"/>
      <c r="H63" s="1817"/>
      <c r="I63" s="1817"/>
      <c r="J63" s="1771"/>
      <c r="K63" s="1771"/>
      <c r="L63" s="1825"/>
      <c r="M63" s="1825"/>
      <c r="N63" s="1733"/>
      <c r="O63" s="1837"/>
      <c r="P63" s="1810"/>
      <c r="Q63" s="1771"/>
      <c r="R63" s="1771"/>
      <c r="S63" s="1853"/>
      <c r="T63" s="1771"/>
      <c r="U63" s="1853"/>
      <c r="V63" s="1771"/>
      <c r="W63" s="1772"/>
      <c r="X63" s="1771"/>
      <c r="Y63" s="1771"/>
      <c r="Z63" s="1771"/>
      <c r="AA63" s="1771"/>
      <c r="AB63" s="1771"/>
      <c r="AC63" s="1771"/>
      <c r="AD63" s="1771"/>
      <c r="AE63" s="1771"/>
      <c r="AF63" s="1771"/>
      <c r="AG63" s="1771"/>
      <c r="AH63" s="1771"/>
      <c r="AI63" s="1771"/>
      <c r="AJ63" s="1771"/>
      <c r="AK63" s="1771"/>
      <c r="AL63" s="1771"/>
    </row>
    <row r="64" s="1590" customFormat="1" spans="1:38">
      <c r="A64" s="1811" t="s">
        <v>1286</v>
      </c>
      <c r="B64" s="1811"/>
      <c r="C64" s="1811"/>
      <c r="D64" s="1811"/>
      <c r="E64" s="1811"/>
      <c r="F64" s="1771"/>
      <c r="G64" s="1817"/>
      <c r="H64" s="1817"/>
      <c r="I64" s="1817"/>
      <c r="J64" s="1826"/>
      <c r="K64" s="1771"/>
      <c r="L64" s="1825"/>
      <c r="M64" s="1825"/>
      <c r="N64" s="1733"/>
      <c r="O64" s="1837"/>
      <c r="P64" s="1810"/>
      <c r="Q64" s="1771"/>
      <c r="R64" s="1771"/>
      <c r="S64" s="1853"/>
      <c r="T64" s="1771"/>
      <c r="U64" s="1853"/>
      <c r="V64" s="1771"/>
      <c r="W64" s="1772"/>
      <c r="X64" s="1771"/>
      <c r="Y64" s="1771"/>
      <c r="Z64" s="1771"/>
      <c r="AA64" s="1771"/>
      <c r="AB64" s="1771"/>
      <c r="AC64" s="1771"/>
      <c r="AD64" s="1771"/>
      <c r="AE64" s="1771"/>
      <c r="AF64" s="1771"/>
      <c r="AG64" s="1771"/>
      <c r="AH64" s="1771"/>
      <c r="AI64" s="1771"/>
      <c r="AJ64" s="1771"/>
      <c r="AK64" s="1771"/>
      <c r="AL64" s="1771"/>
    </row>
    <row r="65" s="1590" customFormat="1" spans="1:38">
      <c r="A65" s="1811" t="s">
        <v>1287</v>
      </c>
      <c r="B65" s="1837"/>
      <c r="C65" s="1837"/>
      <c r="D65" s="1837"/>
      <c r="E65" s="1837"/>
      <c r="F65" s="1771"/>
      <c r="G65" s="1817"/>
      <c r="H65" s="1817"/>
      <c r="I65" s="1817"/>
      <c r="J65" s="1771"/>
      <c r="K65" s="1771"/>
      <c r="L65" s="1825"/>
      <c r="M65" s="1825"/>
      <c r="N65" s="1733"/>
      <c r="O65" s="1837"/>
      <c r="P65" s="1810"/>
      <c r="Q65" s="1771"/>
      <c r="R65" s="1771"/>
      <c r="S65" s="1853"/>
      <c r="T65" s="1771"/>
      <c r="U65" s="1853"/>
      <c r="V65" s="1771"/>
      <c r="W65" s="1772"/>
      <c r="X65" s="1771"/>
      <c r="Y65" s="1771"/>
      <c r="Z65" s="1771"/>
      <c r="AA65" s="1771"/>
      <c r="AB65" s="1771"/>
      <c r="AC65" s="1771"/>
      <c r="AD65" s="1771"/>
      <c r="AE65" s="1771"/>
      <c r="AF65" s="1771"/>
      <c r="AG65" s="1771"/>
      <c r="AH65" s="1771"/>
      <c r="AI65" s="1771"/>
      <c r="AJ65" s="1771"/>
      <c r="AK65" s="1771"/>
      <c r="AL65" s="1771"/>
    </row>
    <row r="66" s="1590" customFormat="1" spans="1:38">
      <c r="A66" s="1811" t="s">
        <v>1288</v>
      </c>
      <c r="B66" s="1837"/>
      <c r="C66" s="1837"/>
      <c r="D66" s="1837"/>
      <c r="E66" s="1837"/>
      <c r="F66" s="1868"/>
      <c r="G66" s="1817"/>
      <c r="H66" s="1817"/>
      <c r="I66" s="1817"/>
      <c r="J66" s="1868"/>
      <c r="K66" s="1868"/>
      <c r="L66" s="1825"/>
      <c r="M66" s="1825"/>
      <c r="N66" s="1869"/>
      <c r="O66" s="1837"/>
      <c r="P66" s="1810"/>
      <c r="Q66" s="1868"/>
      <c r="R66" s="1868"/>
      <c r="S66" s="1868"/>
      <c r="T66" s="1868"/>
      <c r="U66" s="1853"/>
      <c r="V66" s="1868"/>
      <c r="W66" s="1772"/>
      <c r="X66" s="1868"/>
      <c r="Y66" s="1868"/>
      <c r="Z66" s="1868"/>
      <c r="AA66" s="1868"/>
      <c r="AB66" s="1868"/>
      <c r="AC66" s="1868"/>
      <c r="AD66" s="1868"/>
      <c r="AE66" s="1868"/>
      <c r="AF66" s="1868"/>
      <c r="AG66" s="1868"/>
      <c r="AH66" s="1868"/>
      <c r="AI66" s="1868"/>
      <c r="AJ66" s="1868"/>
      <c r="AK66" s="1868"/>
      <c r="AL66" s="1868"/>
    </row>
    <row r="67" s="1590" customFormat="1" spans="1:38">
      <c r="A67" s="1837"/>
      <c r="B67" s="1837"/>
      <c r="C67" s="1837"/>
      <c r="D67" s="1837"/>
      <c r="E67" s="1837"/>
      <c r="F67" s="1868"/>
      <c r="G67" s="1817"/>
      <c r="H67" s="1817"/>
      <c r="I67" s="1817"/>
      <c r="J67" s="1868"/>
      <c r="K67" s="1868"/>
      <c r="L67" s="1825"/>
      <c r="M67" s="1825"/>
      <c r="N67" s="1869"/>
      <c r="O67" s="1837"/>
      <c r="P67" s="1810"/>
      <c r="Q67" s="1868"/>
      <c r="R67" s="1868"/>
      <c r="S67" s="1868"/>
      <c r="T67" s="1868"/>
      <c r="U67" s="1868"/>
      <c r="V67" s="1868"/>
      <c r="W67" s="1772"/>
      <c r="X67" s="1868"/>
      <c r="Y67" s="1868"/>
      <c r="Z67" s="1868"/>
      <c r="AA67" s="1868"/>
      <c r="AB67" s="1868"/>
      <c r="AC67" s="1868"/>
      <c r="AD67" s="1868"/>
      <c r="AE67" s="1868"/>
      <c r="AF67" s="1868"/>
      <c r="AG67" s="1868"/>
      <c r="AH67" s="1868"/>
      <c r="AI67" s="1868"/>
      <c r="AJ67" s="1868"/>
      <c r="AK67" s="1868"/>
      <c r="AL67" s="1868"/>
    </row>
    <row r="68" s="1590" customFormat="1" spans="2:38">
      <c r="B68" s="1868"/>
      <c r="C68" s="1810"/>
      <c r="D68" s="1868"/>
      <c r="E68" s="1868"/>
      <c r="F68" s="1868"/>
      <c r="G68" s="1817"/>
      <c r="H68" s="1817"/>
      <c r="I68" s="1817"/>
      <c r="J68" s="1868"/>
      <c r="K68" s="1868"/>
      <c r="L68" s="1825"/>
      <c r="M68" s="1825"/>
      <c r="N68" s="1869"/>
      <c r="O68" s="1868"/>
      <c r="P68" s="1810"/>
      <c r="Q68" s="1868"/>
      <c r="R68" s="1868"/>
      <c r="S68" s="1868"/>
      <c r="T68" s="1868"/>
      <c r="U68" s="1868"/>
      <c r="V68" s="1868"/>
      <c r="W68" s="1772"/>
      <c r="X68" s="1868"/>
      <c r="Y68" s="1868"/>
      <c r="Z68" s="1868"/>
      <c r="AA68" s="1868"/>
      <c r="AB68" s="1868"/>
      <c r="AC68" s="1868"/>
      <c r="AD68" s="1868"/>
      <c r="AE68" s="1868"/>
      <c r="AF68" s="1868"/>
      <c r="AG68" s="1868"/>
      <c r="AH68" s="1868"/>
      <c r="AI68" s="1868"/>
      <c r="AJ68" s="1868"/>
      <c r="AK68" s="1868"/>
      <c r="AL68" s="1868"/>
    </row>
  </sheetData>
  <sheetProtection formatCells="0" insertHyperlinks="0" autoFilter="0"/>
  <mergeCells count="30">
    <mergeCell ref="A1:Q1"/>
    <mergeCell ref="A3:A15"/>
    <mergeCell ref="A16:A29"/>
    <mergeCell ref="A30:A57"/>
    <mergeCell ref="B3:B5"/>
    <mergeCell ref="B6:B8"/>
    <mergeCell ref="B9:B13"/>
    <mergeCell ref="B14:B15"/>
    <mergeCell ref="B16:B22"/>
    <mergeCell ref="B24:B27"/>
    <mergeCell ref="B28:B29"/>
    <mergeCell ref="B30:B35"/>
    <mergeCell ref="B36:B49"/>
    <mergeCell ref="B50:B55"/>
    <mergeCell ref="B56:B57"/>
    <mergeCell ref="C3:C5"/>
    <mergeCell ref="C6:C8"/>
    <mergeCell ref="C9:C13"/>
    <mergeCell ref="C14:C15"/>
    <mergeCell ref="C16:C22"/>
    <mergeCell ref="C24:C27"/>
    <mergeCell ref="C28:C29"/>
    <mergeCell ref="C30:C35"/>
    <mergeCell ref="C36:C49"/>
    <mergeCell ref="C50:C55"/>
    <mergeCell ref="C56:C57"/>
    <mergeCell ref="C58:C59"/>
    <mergeCell ref="N11:N13"/>
    <mergeCell ref="N38:N39"/>
    <mergeCell ref="A58:B59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2"/>
  <dimension ref="A1:AL73"/>
  <sheetViews>
    <sheetView workbookViewId="0">
      <pane ySplit="2" topLeftCell="A38" activePane="bottomLeft" state="frozen"/>
      <selection/>
      <selection pane="bottomLeft" activeCell="K72" sqref="K72"/>
    </sheetView>
  </sheetViews>
  <sheetFormatPr defaultColWidth="9" defaultRowHeight="16.5"/>
  <cols>
    <col min="1" max="1" width="9.4" style="417" customWidth="1"/>
    <col min="2" max="2" width="9.5" style="417" customWidth="1"/>
    <col min="3" max="3" width="8.83333333333333" style="879" customWidth="1"/>
    <col min="4" max="4" width="14.325" style="417" customWidth="1"/>
    <col min="5" max="5" width="17.525" style="417" customWidth="1"/>
    <col min="6" max="6" width="9.425" style="417" customWidth="1"/>
    <col min="7" max="7" width="17.0416666666667" style="880" customWidth="1"/>
    <col min="8" max="8" width="16.9083333333333" style="880" customWidth="1"/>
    <col min="9" max="9" width="15.6583333333333" style="880" customWidth="1"/>
    <col min="10" max="10" width="10.1583333333333" style="417" customWidth="1"/>
    <col min="11" max="11" width="10.2333333333333" style="417" customWidth="1"/>
    <col min="12" max="12" width="8.64166666666667" style="898" customWidth="1"/>
    <col min="13" max="13" width="11.3916666666667" style="898" customWidth="1"/>
    <col min="14" max="14" width="24.8916666666667" style="1358" customWidth="1"/>
    <col min="15" max="15" width="15.575" style="417" customWidth="1"/>
    <col min="16" max="16" width="12.5" style="879" customWidth="1"/>
    <col min="17" max="17" width="14.3083333333333" style="417" customWidth="1"/>
    <col min="18" max="18" width="40" style="417" customWidth="1"/>
    <col min="19" max="19" width="17.3583333333333" style="417" customWidth="1"/>
    <col min="20" max="20" width="14.875" style="417"/>
    <col min="21" max="21" width="14.025" style="417" customWidth="1"/>
    <col min="22" max="22" width="18.1916666666667" style="417" customWidth="1"/>
    <col min="23" max="23" width="43.7583333333333" style="1243" customWidth="1"/>
    <col min="24" max="24" width="9" style="417" hidden="1" customWidth="1"/>
    <col min="25" max="25" width="17.1916666666667" style="417" hidden="1" customWidth="1"/>
    <col min="26" max="35" width="9" style="417" hidden="1" customWidth="1"/>
    <col min="36" max="36" width="10.5333333333333" style="417" hidden="1" customWidth="1"/>
    <col min="37" max="37" width="15" style="417" hidden="1" customWidth="1"/>
    <col min="38" max="38" width="8" style="417" hidden="1" customWidth="1"/>
    <col min="39" max="16384" width="9" style="417"/>
  </cols>
  <sheetData>
    <row r="1" s="417" customFormat="1" ht="24.75" customHeight="1" spans="1:38">
      <c r="A1" s="1366" t="s">
        <v>1289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74"/>
      <c r="M1" s="1374"/>
      <c r="N1" s="1607"/>
      <c r="O1" s="1366"/>
      <c r="P1" s="1366"/>
      <c r="Q1" s="1366"/>
      <c r="R1" s="1391"/>
      <c r="S1" s="1391"/>
      <c r="T1" s="1391"/>
      <c r="U1" s="1391"/>
      <c r="V1" s="1090"/>
      <c r="W1" s="1242"/>
      <c r="X1" s="1090"/>
      <c r="Y1" s="1391"/>
      <c r="Z1" s="1090"/>
      <c r="AA1" s="1090"/>
      <c r="AB1" s="1090"/>
      <c r="AC1" s="1090"/>
      <c r="AD1" s="1090"/>
      <c r="AE1" s="1090"/>
      <c r="AF1" s="1090"/>
      <c r="AG1" s="1090"/>
      <c r="AH1" s="1090"/>
      <c r="AI1" s="1090"/>
      <c r="AJ1" s="1391"/>
      <c r="AK1" s="1391"/>
      <c r="AL1" s="1391"/>
    </row>
    <row r="2" s="1362" customFormat="1" ht="36.85" customHeight="1" spans="1:38">
      <c r="A2" s="1367" t="s">
        <v>1092</v>
      </c>
      <c r="B2" s="1368" t="s">
        <v>1093</v>
      </c>
      <c r="C2" s="1369" t="s">
        <v>1290</v>
      </c>
      <c r="D2" s="1368" t="s">
        <v>361</v>
      </c>
      <c r="E2" s="1372" t="s">
        <v>1095</v>
      </c>
      <c r="F2" s="1153" t="s">
        <v>362</v>
      </c>
      <c r="G2" s="1154" t="s">
        <v>1211</v>
      </c>
      <c r="H2" s="1154" t="s">
        <v>1212</v>
      </c>
      <c r="I2" s="1154" t="s">
        <v>1213</v>
      </c>
      <c r="J2" s="1375" t="s">
        <v>1096</v>
      </c>
      <c r="K2" s="1376" t="s">
        <v>1098</v>
      </c>
      <c r="L2" s="1377" t="s">
        <v>1097</v>
      </c>
      <c r="M2" s="1377" t="s">
        <v>1214</v>
      </c>
      <c r="N2" s="1608" t="s">
        <v>1215</v>
      </c>
      <c r="O2" s="1379" t="s">
        <v>7</v>
      </c>
      <c r="P2" s="1380" t="s">
        <v>8</v>
      </c>
      <c r="Q2" s="1392" t="s">
        <v>9</v>
      </c>
      <c r="R2" s="1393" t="s">
        <v>1291</v>
      </c>
      <c r="S2" s="1393" t="s">
        <v>13</v>
      </c>
      <c r="T2" s="1394" t="s">
        <v>14</v>
      </c>
      <c r="U2" s="1402" t="s">
        <v>15</v>
      </c>
      <c r="V2" s="1403" t="s">
        <v>1100</v>
      </c>
      <c r="W2" s="1404" t="s">
        <v>1101</v>
      </c>
      <c r="X2" s="1403" t="s">
        <v>1102</v>
      </c>
      <c r="Y2" s="1412" t="s">
        <v>363</v>
      </c>
      <c r="Z2" s="1413" t="s">
        <v>1103</v>
      </c>
      <c r="AA2" s="1403" t="s">
        <v>1104</v>
      </c>
      <c r="AB2" s="1403" t="s">
        <v>1105</v>
      </c>
      <c r="AC2" s="1403" t="s">
        <v>1106</v>
      </c>
      <c r="AD2" s="1403" t="s">
        <v>1107</v>
      </c>
      <c r="AE2" s="1403" t="s">
        <v>1108</v>
      </c>
      <c r="AF2" s="1403" t="s">
        <v>1109</v>
      </c>
      <c r="AG2" s="1403" t="s">
        <v>1110</v>
      </c>
      <c r="AH2" s="1415" t="s">
        <v>1108</v>
      </c>
      <c r="AI2" s="1416" t="s">
        <v>1109</v>
      </c>
      <c r="AJ2" s="1417" t="s">
        <v>1111</v>
      </c>
      <c r="AK2" s="1402" t="s">
        <v>4</v>
      </c>
      <c r="AL2" s="1417" t="s">
        <v>1112</v>
      </c>
    </row>
    <row r="3" s="1363" customFormat="1" ht="18.75" customHeight="1" spans="1:38">
      <c r="A3" s="1421" t="s">
        <v>579</v>
      </c>
      <c r="B3" s="671" t="s">
        <v>38</v>
      </c>
      <c r="C3" s="557">
        <v>229</v>
      </c>
      <c r="D3" s="244" t="s">
        <v>143</v>
      </c>
      <c r="E3" s="1163" t="s">
        <v>1292</v>
      </c>
      <c r="F3" s="1002">
        <v>38764</v>
      </c>
      <c r="G3" s="603">
        <f>F3*J3</f>
        <v>259187.7332</v>
      </c>
      <c r="H3" s="603">
        <v>259187.7332</v>
      </c>
      <c r="I3" s="603">
        <v>257382.43</v>
      </c>
      <c r="J3" s="819">
        <v>6.6863</v>
      </c>
      <c r="K3" s="610" t="s">
        <v>1218</v>
      </c>
      <c r="L3" s="644">
        <v>44762</v>
      </c>
      <c r="M3" s="644">
        <v>44765</v>
      </c>
      <c r="N3" s="568"/>
      <c r="O3" s="1381"/>
      <c r="P3" s="1558"/>
      <c r="Q3" s="1395"/>
      <c r="R3" s="602"/>
      <c r="S3" s="1396"/>
      <c r="T3" s="1172"/>
      <c r="U3" s="1397"/>
      <c r="V3" s="1397"/>
      <c r="W3" s="1405"/>
      <c r="X3" s="1397"/>
      <c r="Y3" s="1397"/>
      <c r="Z3" s="1397"/>
      <c r="AA3" s="1397"/>
      <c r="AB3" s="1397"/>
      <c r="AC3" s="1397"/>
      <c r="AD3" s="1397"/>
      <c r="AE3" s="1397"/>
      <c r="AF3" s="1397"/>
      <c r="AG3" s="1397"/>
      <c r="AH3" s="1397"/>
      <c r="AI3" s="1397"/>
      <c r="AJ3" s="1218"/>
      <c r="AK3" s="1182"/>
      <c r="AL3" s="1397"/>
    </row>
    <row r="4" s="1363" customFormat="1" ht="18.75" customHeight="1" spans="1:38">
      <c r="A4" s="1421"/>
      <c r="B4" s="671"/>
      <c r="C4" s="557"/>
      <c r="D4" s="244" t="s">
        <v>201</v>
      </c>
      <c r="E4" s="1163" t="s">
        <v>1293</v>
      </c>
      <c r="F4" s="1002">
        <v>52800</v>
      </c>
      <c r="G4" s="603">
        <f>F4*J4</f>
        <v>353036.64</v>
      </c>
      <c r="H4" s="603">
        <v>353037</v>
      </c>
      <c r="I4" s="603"/>
      <c r="J4" s="819">
        <v>6.6863</v>
      </c>
      <c r="K4" s="610" t="s">
        <v>1294</v>
      </c>
      <c r="L4" s="644">
        <v>44768</v>
      </c>
      <c r="M4" s="1169">
        <v>44776</v>
      </c>
      <c r="N4" s="568"/>
      <c r="O4" s="1381"/>
      <c r="P4" s="1386"/>
      <c r="Q4" s="1395"/>
      <c r="R4" s="602"/>
      <c r="S4" s="1396"/>
      <c r="T4" s="1172"/>
      <c r="U4" s="1397"/>
      <c r="V4" s="1397"/>
      <c r="W4" s="1405"/>
      <c r="X4" s="1397"/>
      <c r="Y4" s="1397"/>
      <c r="Z4" s="1397"/>
      <c r="AA4" s="1397"/>
      <c r="AB4" s="1397"/>
      <c r="AC4" s="1397"/>
      <c r="AD4" s="1397"/>
      <c r="AE4" s="1397"/>
      <c r="AF4" s="1397"/>
      <c r="AG4" s="1397"/>
      <c r="AH4" s="1397"/>
      <c r="AI4" s="1397"/>
      <c r="AJ4" s="1218"/>
      <c r="AK4" s="1182"/>
      <c r="AL4" s="1397"/>
    </row>
    <row r="5" s="1590" customFormat="1" ht="18.75" customHeight="1" spans="1:38">
      <c r="A5" s="1595"/>
      <c r="B5" s="1593"/>
      <c r="C5" s="1594"/>
      <c r="D5" s="1596" t="s">
        <v>840</v>
      </c>
      <c r="E5" s="1649" t="s">
        <v>1295</v>
      </c>
      <c r="F5" s="1581">
        <v>8203</v>
      </c>
      <c r="G5" s="603">
        <f>F5*J5</f>
        <v>54847.7189</v>
      </c>
      <c r="H5" s="680">
        <v>54847.72</v>
      </c>
      <c r="I5" s="1605">
        <v>54848</v>
      </c>
      <c r="J5" s="819">
        <v>6.6863</v>
      </c>
      <c r="K5" s="1556" t="s">
        <v>1218</v>
      </c>
      <c r="L5" s="1583">
        <v>44763</v>
      </c>
      <c r="M5" s="1655">
        <v>44776</v>
      </c>
      <c r="N5" s="1584"/>
      <c r="O5" s="1611"/>
      <c r="P5" s="1612"/>
      <c r="Q5" s="1616"/>
      <c r="R5" s="1606"/>
      <c r="S5" s="1614"/>
      <c r="T5" s="1615"/>
      <c r="U5" s="1617"/>
      <c r="V5" s="1617"/>
      <c r="W5" s="1618"/>
      <c r="X5" s="1617"/>
      <c r="Y5" s="1617"/>
      <c r="Z5" s="1617"/>
      <c r="AA5" s="1617"/>
      <c r="AB5" s="1617"/>
      <c r="AC5" s="1617"/>
      <c r="AD5" s="1617"/>
      <c r="AE5" s="1617"/>
      <c r="AF5" s="1617"/>
      <c r="AG5" s="1617"/>
      <c r="AH5" s="1617"/>
      <c r="AI5" s="1617"/>
      <c r="AJ5" s="1619"/>
      <c r="AK5" s="1620"/>
      <c r="AL5" s="1617"/>
    </row>
    <row r="6" s="1363" customFormat="1" ht="18.75" customHeight="1" spans="1:38">
      <c r="A6" s="1421"/>
      <c r="B6" s="671"/>
      <c r="C6" s="557"/>
      <c r="D6" s="244" t="s">
        <v>204</v>
      </c>
      <c r="E6" s="1649" t="s">
        <v>1296</v>
      </c>
      <c r="F6" s="1002">
        <v>4670</v>
      </c>
      <c r="G6" s="603">
        <f>F6*J6</f>
        <v>31225.021</v>
      </c>
      <c r="H6" s="603">
        <v>31225.021</v>
      </c>
      <c r="I6" s="680">
        <v>21976</v>
      </c>
      <c r="J6" s="819">
        <v>6.6863</v>
      </c>
      <c r="K6" s="1355" t="s">
        <v>1218</v>
      </c>
      <c r="L6" s="644">
        <v>44769</v>
      </c>
      <c r="M6" s="644">
        <v>44772</v>
      </c>
      <c r="N6" s="568" t="s">
        <v>1297</v>
      </c>
      <c r="O6" s="1381"/>
      <c r="P6" s="1386"/>
      <c r="Q6" s="1395"/>
      <c r="R6" s="602"/>
      <c r="S6" s="1396"/>
      <c r="T6" s="1172"/>
      <c r="U6" s="1397"/>
      <c r="V6" s="1397"/>
      <c r="W6" s="1405"/>
      <c r="X6" s="1397"/>
      <c r="Y6" s="1397"/>
      <c r="Z6" s="1397"/>
      <c r="AA6" s="1397"/>
      <c r="AB6" s="1397"/>
      <c r="AC6" s="1397"/>
      <c r="AD6" s="1397"/>
      <c r="AE6" s="1397"/>
      <c r="AF6" s="1397"/>
      <c r="AG6" s="1397"/>
      <c r="AH6" s="1397"/>
      <c r="AI6" s="1397"/>
      <c r="AJ6" s="1218"/>
      <c r="AK6" s="1182"/>
      <c r="AL6" s="1397"/>
    </row>
    <row r="7" s="1363" customFormat="1" ht="18.75" customHeight="1" spans="1:38">
      <c r="A7" s="1421"/>
      <c r="B7" s="671"/>
      <c r="C7" s="557"/>
      <c r="D7" s="244" t="s">
        <v>1298</v>
      </c>
      <c r="E7" s="1649" t="s">
        <v>1299</v>
      </c>
      <c r="F7" s="1002"/>
      <c r="G7" s="603">
        <v>7400</v>
      </c>
      <c r="H7" s="603">
        <v>7400</v>
      </c>
      <c r="I7" s="680">
        <v>6549</v>
      </c>
      <c r="J7" s="819">
        <v>6.6863</v>
      </c>
      <c r="K7" s="1355" t="s">
        <v>1218</v>
      </c>
      <c r="L7" s="644"/>
      <c r="M7" s="644"/>
      <c r="N7" s="568" t="s">
        <v>1297</v>
      </c>
      <c r="O7" s="1381"/>
      <c r="P7" s="1386"/>
      <c r="Q7" s="1395"/>
      <c r="R7" s="602"/>
      <c r="S7" s="1396"/>
      <c r="T7" s="1172"/>
      <c r="U7" s="1397"/>
      <c r="V7" s="1397"/>
      <c r="W7" s="1405"/>
      <c r="X7" s="1397"/>
      <c r="Y7" s="1397"/>
      <c r="Z7" s="1397"/>
      <c r="AA7" s="1397"/>
      <c r="AB7" s="1397"/>
      <c r="AC7" s="1397"/>
      <c r="AD7" s="1397"/>
      <c r="AE7" s="1397"/>
      <c r="AF7" s="1397"/>
      <c r="AG7" s="1397"/>
      <c r="AH7" s="1397"/>
      <c r="AI7" s="1397"/>
      <c r="AJ7" s="1218"/>
      <c r="AK7" s="1182"/>
      <c r="AL7" s="1397"/>
    </row>
    <row r="8" s="1363" customFormat="1" ht="18.75" customHeight="1" spans="1:38">
      <c r="A8" s="1421"/>
      <c r="B8" s="671"/>
      <c r="C8" s="557"/>
      <c r="D8" s="244" t="s">
        <v>145</v>
      </c>
      <c r="E8" s="1649" t="s">
        <v>1300</v>
      </c>
      <c r="F8" s="1002">
        <v>19500</v>
      </c>
      <c r="G8" s="603">
        <f>F8*J8</f>
        <v>130382.85</v>
      </c>
      <c r="H8" s="603">
        <v>130383</v>
      </c>
      <c r="I8" s="603"/>
      <c r="J8" s="819">
        <v>6.6863</v>
      </c>
      <c r="K8" s="1355" t="s">
        <v>1218</v>
      </c>
      <c r="L8" s="644">
        <v>44772</v>
      </c>
      <c r="M8" s="1169">
        <v>44776</v>
      </c>
      <c r="N8" s="568" t="s">
        <v>1301</v>
      </c>
      <c r="O8" s="1381"/>
      <c r="P8" s="1386"/>
      <c r="Q8" s="1395"/>
      <c r="R8" s="602"/>
      <c r="S8" s="1396"/>
      <c r="T8" s="1172"/>
      <c r="U8" s="1397"/>
      <c r="V8" s="1397"/>
      <c r="W8" s="1405"/>
      <c r="X8" s="1397"/>
      <c r="Y8" s="1397"/>
      <c r="Z8" s="1397"/>
      <c r="AA8" s="1397"/>
      <c r="AB8" s="1397"/>
      <c r="AC8" s="1397"/>
      <c r="AD8" s="1397"/>
      <c r="AE8" s="1397"/>
      <c r="AF8" s="1397"/>
      <c r="AG8" s="1397"/>
      <c r="AH8" s="1397"/>
      <c r="AI8" s="1397"/>
      <c r="AJ8" s="1218"/>
      <c r="AK8" s="1182"/>
      <c r="AL8" s="1397"/>
    </row>
    <row r="9" s="1590" customFormat="1" ht="18.75" customHeight="1" spans="1:38">
      <c r="A9" s="1595"/>
      <c r="B9" s="1593"/>
      <c r="C9" s="1594"/>
      <c r="D9" s="1596" t="s">
        <v>53</v>
      </c>
      <c r="E9" s="1649" t="s">
        <v>1302</v>
      </c>
      <c r="F9" s="1603" t="s">
        <v>1302</v>
      </c>
      <c r="G9" s="603">
        <v>2282</v>
      </c>
      <c r="H9" s="603">
        <v>2282</v>
      </c>
      <c r="I9" s="1604">
        <v>3795.34</v>
      </c>
      <c r="J9" s="819">
        <v>6.6863</v>
      </c>
      <c r="K9" s="1556" t="s">
        <v>1218</v>
      </c>
      <c r="L9" s="1557"/>
      <c r="M9" s="1557"/>
      <c r="N9" s="1584" t="s">
        <v>1297</v>
      </c>
      <c r="O9" s="1611"/>
      <c r="P9" s="1610"/>
      <c r="Q9" s="1616"/>
      <c r="R9" s="1606"/>
      <c r="S9" s="1614"/>
      <c r="T9" s="1615"/>
      <c r="U9" s="1617"/>
      <c r="V9" s="1617"/>
      <c r="W9" s="1618"/>
      <c r="X9" s="1617"/>
      <c r="Y9" s="1617"/>
      <c r="Z9" s="1617"/>
      <c r="AA9" s="1617"/>
      <c r="AB9" s="1617"/>
      <c r="AC9" s="1617"/>
      <c r="AD9" s="1617"/>
      <c r="AE9" s="1617"/>
      <c r="AF9" s="1617"/>
      <c r="AG9" s="1617"/>
      <c r="AH9" s="1617"/>
      <c r="AI9" s="1617"/>
      <c r="AJ9" s="1619"/>
      <c r="AK9" s="1620"/>
      <c r="AL9" s="1617"/>
    </row>
    <row r="10" s="1590" customFormat="1" ht="18.75" customHeight="1" spans="1:38">
      <c r="A10" s="1595"/>
      <c r="B10" s="1593"/>
      <c r="C10" s="1594"/>
      <c r="D10" s="1642" t="s">
        <v>283</v>
      </c>
      <c r="E10" s="1649" t="s">
        <v>1303</v>
      </c>
      <c r="F10" s="1555">
        <v>36200</v>
      </c>
      <c r="G10" s="680">
        <v>242044</v>
      </c>
      <c r="H10" s="680">
        <v>242044</v>
      </c>
      <c r="I10" s="1604">
        <v>242044</v>
      </c>
      <c r="J10" s="819">
        <v>6.6863</v>
      </c>
      <c r="K10" s="1556" t="s">
        <v>1218</v>
      </c>
      <c r="L10" s="1557">
        <v>44764</v>
      </c>
      <c r="M10" s="1557">
        <v>44771</v>
      </c>
      <c r="N10" s="1584" t="s">
        <v>1304</v>
      </c>
      <c r="O10" s="1611"/>
      <c r="P10" s="1610"/>
      <c r="Q10" s="1616"/>
      <c r="R10" s="1606"/>
      <c r="S10" s="1614"/>
      <c r="T10" s="1615"/>
      <c r="U10" s="1617"/>
      <c r="V10" s="1617"/>
      <c r="W10" s="1618"/>
      <c r="X10" s="1617"/>
      <c r="Y10" s="1617"/>
      <c r="Z10" s="1617"/>
      <c r="AA10" s="1617"/>
      <c r="AB10" s="1617"/>
      <c r="AC10" s="1617"/>
      <c r="AD10" s="1617"/>
      <c r="AE10" s="1617"/>
      <c r="AF10" s="1617"/>
      <c r="AG10" s="1617"/>
      <c r="AH10" s="1617"/>
      <c r="AI10" s="1617"/>
      <c r="AJ10" s="1619"/>
      <c r="AK10" s="1620"/>
      <c r="AL10" s="1617"/>
    </row>
    <row r="11" s="1590" customFormat="1" ht="18.75" customHeight="1" spans="1:38">
      <c r="A11" s="1592"/>
      <c r="B11" s="1593"/>
      <c r="C11" s="1594"/>
      <c r="D11" s="1642" t="s">
        <v>1057</v>
      </c>
      <c r="E11" s="1522" t="s">
        <v>1305</v>
      </c>
      <c r="F11" s="1602">
        <v>14818</v>
      </c>
      <c r="G11" s="603">
        <f>F11*J11</f>
        <v>99077.5934</v>
      </c>
      <c r="H11" s="1605">
        <v>99078</v>
      </c>
      <c r="I11" s="1604"/>
      <c r="J11" s="819">
        <v>6.6863</v>
      </c>
      <c r="K11" s="1355" t="s">
        <v>1218</v>
      </c>
      <c r="L11" s="1442">
        <v>44763</v>
      </c>
      <c r="M11" s="1656">
        <v>44778</v>
      </c>
      <c r="N11" s="1584"/>
      <c r="O11" s="1609"/>
      <c r="P11" s="1610"/>
      <c r="Q11" s="1613"/>
      <c r="R11" s="1606"/>
      <c r="S11" s="1614"/>
      <c r="T11" s="1615"/>
      <c r="U11" s="1617"/>
      <c r="V11" s="1617"/>
      <c r="W11" s="1618"/>
      <c r="X11" s="1617"/>
      <c r="Y11" s="1617"/>
      <c r="Z11" s="1617"/>
      <c r="AA11" s="1617"/>
      <c r="AB11" s="1617"/>
      <c r="AC11" s="1617"/>
      <c r="AD11" s="1617"/>
      <c r="AE11" s="1617"/>
      <c r="AF11" s="1617"/>
      <c r="AG11" s="1617"/>
      <c r="AH11" s="1617"/>
      <c r="AI11" s="1617"/>
      <c r="AJ11" s="1619"/>
      <c r="AK11" s="1620"/>
      <c r="AL11" s="1617"/>
    </row>
    <row r="12" s="1363" customFormat="1" ht="18.75" customHeight="1" spans="1:38">
      <c r="A12" s="1502"/>
      <c r="B12" s="1264"/>
      <c r="C12" s="557"/>
      <c r="D12" s="1643" t="s">
        <v>161</v>
      </c>
      <c r="E12" s="1163" t="s">
        <v>1306</v>
      </c>
      <c r="F12" s="725"/>
      <c r="G12" s="735"/>
      <c r="H12" s="735"/>
      <c r="I12" s="735">
        <v>70707</v>
      </c>
      <c r="J12" s="819">
        <v>6.6863</v>
      </c>
      <c r="K12" s="1355"/>
      <c r="L12" s="1355" t="s">
        <v>1307</v>
      </c>
      <c r="M12" s="1513">
        <v>44762</v>
      </c>
      <c r="N12" s="568" t="s">
        <v>1308</v>
      </c>
      <c r="O12" s="1303"/>
      <c r="P12" s="1303"/>
      <c r="Q12" s="1303"/>
      <c r="R12" s="602"/>
      <c r="S12" s="1340"/>
      <c r="T12" s="1172"/>
      <c r="U12" s="1397"/>
      <c r="V12" s="1397"/>
      <c r="W12" s="1406"/>
      <c r="X12" s="1397"/>
      <c r="Y12" s="1414"/>
      <c r="Z12" s="1397"/>
      <c r="AA12" s="1397"/>
      <c r="AB12" s="1397"/>
      <c r="AC12" s="1397"/>
      <c r="AD12" s="1397"/>
      <c r="AE12" s="1397"/>
      <c r="AF12" s="1397"/>
      <c r="AG12" s="1397"/>
      <c r="AH12" s="1397"/>
      <c r="AI12" s="1397"/>
      <c r="AJ12" s="1218"/>
      <c r="AK12" s="1182"/>
      <c r="AL12" s="1397"/>
    </row>
    <row r="13" s="1363" customFormat="1" ht="18.75" customHeight="1" spans="1:38">
      <c r="A13" s="1502"/>
      <c r="B13" s="1264"/>
      <c r="C13" s="557"/>
      <c r="D13" s="1643" t="s">
        <v>1309</v>
      </c>
      <c r="E13" s="1163" t="s">
        <v>1310</v>
      </c>
      <c r="F13" s="725"/>
      <c r="G13" s="735">
        <v>6392</v>
      </c>
      <c r="H13" s="735">
        <v>6392</v>
      </c>
      <c r="I13" s="735">
        <v>6392</v>
      </c>
      <c r="J13" s="819">
        <v>6.6863</v>
      </c>
      <c r="K13" s="1355" t="s">
        <v>1218</v>
      </c>
      <c r="L13" s="1513">
        <v>44752</v>
      </c>
      <c r="M13" s="1513">
        <v>44770</v>
      </c>
      <c r="N13" s="568"/>
      <c r="O13" s="1303"/>
      <c r="P13" s="1303"/>
      <c r="Q13" s="1303"/>
      <c r="R13" s="602"/>
      <c r="S13" s="1340"/>
      <c r="T13" s="1172"/>
      <c r="U13" s="1397"/>
      <c r="V13" s="1397"/>
      <c r="W13" s="1406"/>
      <c r="X13" s="1397"/>
      <c r="Y13" s="1414"/>
      <c r="Z13" s="1397"/>
      <c r="AA13" s="1397"/>
      <c r="AB13" s="1397"/>
      <c r="AC13" s="1397"/>
      <c r="AD13" s="1397"/>
      <c r="AE13" s="1397"/>
      <c r="AF13" s="1397"/>
      <c r="AG13" s="1397"/>
      <c r="AH13" s="1397"/>
      <c r="AI13" s="1397"/>
      <c r="AJ13" s="1218"/>
      <c r="AK13" s="1182"/>
      <c r="AL13" s="1397"/>
    </row>
    <row r="14" s="1363" customFormat="1" ht="18.75" customHeight="1" spans="1:38">
      <c r="A14" s="1502"/>
      <c r="B14" s="1247" t="s">
        <v>209</v>
      </c>
      <c r="C14" s="655">
        <v>200</v>
      </c>
      <c r="D14" s="1644" t="s">
        <v>1221</v>
      </c>
      <c r="E14" s="1163" t="s">
        <v>1311</v>
      </c>
      <c r="F14" s="725">
        <v>54610</v>
      </c>
      <c r="G14" s="735">
        <f>F14*J14</f>
        <v>365138.843</v>
      </c>
      <c r="H14" s="735">
        <v>365138.843</v>
      </c>
      <c r="I14" s="735">
        <v>365138.843</v>
      </c>
      <c r="J14" s="819">
        <v>6.6863</v>
      </c>
      <c r="K14" s="1355" t="s">
        <v>1218</v>
      </c>
      <c r="L14" s="1513">
        <v>44761</v>
      </c>
      <c r="M14" s="1513">
        <v>44763</v>
      </c>
      <c r="N14" s="568"/>
      <c r="O14" s="1303"/>
      <c r="P14" s="1303"/>
      <c r="Q14" s="1303"/>
      <c r="R14" s="602"/>
      <c r="S14" s="1340"/>
      <c r="T14" s="1172"/>
      <c r="U14" s="1397"/>
      <c r="V14" s="1397"/>
      <c r="W14" s="1406"/>
      <c r="X14" s="1397"/>
      <c r="Y14" s="1414"/>
      <c r="Z14" s="1397"/>
      <c r="AA14" s="1397"/>
      <c r="AB14" s="1397"/>
      <c r="AC14" s="1397"/>
      <c r="AD14" s="1397"/>
      <c r="AE14" s="1397"/>
      <c r="AF14" s="1397"/>
      <c r="AG14" s="1397"/>
      <c r="AH14" s="1397"/>
      <c r="AI14" s="1397"/>
      <c r="AJ14" s="1218"/>
      <c r="AK14" s="1182"/>
      <c r="AL14" s="1397"/>
    </row>
    <row r="15" s="1363" customFormat="1" ht="18.75" customHeight="1" spans="1:38">
      <c r="A15" s="1502"/>
      <c r="B15" s="1247"/>
      <c r="C15" s="655"/>
      <c r="D15" s="1644" t="s">
        <v>146</v>
      </c>
      <c r="E15" s="1155" t="s">
        <v>1312</v>
      </c>
      <c r="F15" s="725">
        <v>23140</v>
      </c>
      <c r="G15" s="735">
        <f>F15*J15</f>
        <v>154720.982</v>
      </c>
      <c r="H15" s="735">
        <v>154720.98</v>
      </c>
      <c r="I15" s="735"/>
      <c r="J15" s="819">
        <v>6.6863</v>
      </c>
      <c r="K15" s="1355" t="s">
        <v>1218</v>
      </c>
      <c r="L15" s="645">
        <v>44762</v>
      </c>
      <c r="M15" s="645">
        <v>44768</v>
      </c>
      <c r="N15" s="568"/>
      <c r="O15" s="1303"/>
      <c r="P15" s="1303"/>
      <c r="Q15" s="1303"/>
      <c r="R15" s="602"/>
      <c r="S15" s="1340"/>
      <c r="T15" s="1172"/>
      <c r="U15" s="1397"/>
      <c r="V15" s="1397"/>
      <c r="W15" s="1406"/>
      <c r="X15" s="1397"/>
      <c r="Y15" s="1414"/>
      <c r="Z15" s="1397"/>
      <c r="AA15" s="1397"/>
      <c r="AB15" s="1397"/>
      <c r="AC15" s="1397"/>
      <c r="AD15" s="1397"/>
      <c r="AE15" s="1397"/>
      <c r="AF15" s="1397"/>
      <c r="AG15" s="1397"/>
      <c r="AH15" s="1397"/>
      <c r="AI15" s="1397"/>
      <c r="AJ15" s="1218"/>
      <c r="AK15" s="1182"/>
      <c r="AL15" s="1397"/>
    </row>
    <row r="16" s="1363" customFormat="1" ht="18.75" customHeight="1" spans="1:38">
      <c r="A16" s="1502"/>
      <c r="B16" s="1345"/>
      <c r="C16" s="716"/>
      <c r="D16" s="1599" t="s">
        <v>1313</v>
      </c>
      <c r="E16" s="1155" t="s">
        <v>1314</v>
      </c>
      <c r="F16" s="1373">
        <v>39342</v>
      </c>
      <c r="G16" s="766">
        <v>257773.59</v>
      </c>
      <c r="H16" s="766">
        <v>257773.59</v>
      </c>
      <c r="I16" s="1604">
        <f>H16</f>
        <v>257773.59</v>
      </c>
      <c r="J16" s="597">
        <v>6.6863</v>
      </c>
      <c r="K16" s="1355" t="s">
        <v>1294</v>
      </c>
      <c r="L16" s="1513">
        <v>44756</v>
      </c>
      <c r="M16" s="1513">
        <v>44762</v>
      </c>
      <c r="N16" s="1584"/>
      <c r="O16" s="764"/>
      <c r="P16" s="764"/>
      <c r="Q16" s="764"/>
      <c r="R16" s="602">
        <f>SUM(H14:H20)</f>
        <v>2010412.1743</v>
      </c>
      <c r="S16" s="1340"/>
      <c r="T16" s="1172"/>
      <c r="U16" s="1397"/>
      <c r="V16" s="1397"/>
      <c r="W16" s="1406"/>
      <c r="X16" s="1397"/>
      <c r="Y16" s="1414"/>
      <c r="Z16" s="1397"/>
      <c r="AA16" s="1397"/>
      <c r="AB16" s="1397"/>
      <c r="AC16" s="1397"/>
      <c r="AD16" s="1397"/>
      <c r="AE16" s="1397"/>
      <c r="AF16" s="1397"/>
      <c r="AG16" s="1397"/>
      <c r="AH16" s="1397"/>
      <c r="AI16" s="1397"/>
      <c r="AJ16" s="1218"/>
      <c r="AK16" s="1182"/>
      <c r="AL16" s="1397"/>
    </row>
    <row r="17" s="1363" customFormat="1" ht="18.75" customHeight="1" spans="1:38">
      <c r="A17" s="1502"/>
      <c r="B17" s="1345"/>
      <c r="C17" s="716"/>
      <c r="D17" s="1599" t="s">
        <v>1313</v>
      </c>
      <c r="E17" s="1155" t="s">
        <v>1315</v>
      </c>
      <c r="F17" s="1373">
        <v>16951</v>
      </c>
      <c r="G17" s="766">
        <f>F17*J17</f>
        <v>113339.4713</v>
      </c>
      <c r="H17" s="1604">
        <v>113339.4713</v>
      </c>
      <c r="I17" s="1604"/>
      <c r="J17" s="597">
        <v>6.6863</v>
      </c>
      <c r="K17" s="1355" t="s">
        <v>1294</v>
      </c>
      <c r="L17" s="1513">
        <v>44763</v>
      </c>
      <c r="M17" s="1513">
        <v>44766</v>
      </c>
      <c r="N17" s="568"/>
      <c r="O17" s="764"/>
      <c r="P17" s="764"/>
      <c r="Q17" s="764"/>
      <c r="R17" s="602"/>
      <c r="S17" s="1340"/>
      <c r="T17" s="1172"/>
      <c r="U17" s="1397"/>
      <c r="V17" s="1397"/>
      <c r="W17" s="1406"/>
      <c r="X17" s="1397"/>
      <c r="Y17" s="1414"/>
      <c r="Z17" s="1397"/>
      <c r="AA17" s="1397"/>
      <c r="AB17" s="1397"/>
      <c r="AC17" s="1397"/>
      <c r="AD17" s="1397"/>
      <c r="AE17" s="1397"/>
      <c r="AF17" s="1397"/>
      <c r="AG17" s="1397"/>
      <c r="AH17" s="1397"/>
      <c r="AI17" s="1397"/>
      <c r="AJ17" s="1218"/>
      <c r="AK17" s="1182"/>
      <c r="AL17" s="1397"/>
    </row>
    <row r="18" s="1363" customFormat="1" ht="18.75" customHeight="1" spans="1:38">
      <c r="A18" s="1502"/>
      <c r="B18" s="1247"/>
      <c r="C18" s="655"/>
      <c r="D18" s="1645" t="s">
        <v>1316</v>
      </c>
      <c r="E18" s="1155" t="s">
        <v>1317</v>
      </c>
      <c r="F18" s="1602">
        <v>28159</v>
      </c>
      <c r="G18" s="735">
        <v>188948</v>
      </c>
      <c r="H18" s="735">
        <v>188948</v>
      </c>
      <c r="I18" s="735">
        <v>188948</v>
      </c>
      <c r="J18" s="819">
        <v>6.6863</v>
      </c>
      <c r="K18" s="1355" t="s">
        <v>1218</v>
      </c>
      <c r="L18" s="1442">
        <v>44768</v>
      </c>
      <c r="M18" s="1355">
        <v>44771</v>
      </c>
      <c r="N18" s="1584"/>
      <c r="O18" s="1303"/>
      <c r="P18" s="1303"/>
      <c r="Q18" s="1303"/>
      <c r="R18" s="602"/>
      <c r="S18" s="1340"/>
      <c r="T18" s="1172"/>
      <c r="U18" s="1397"/>
      <c r="V18" s="1397"/>
      <c r="W18" s="1406"/>
      <c r="X18" s="1397"/>
      <c r="Y18" s="1414"/>
      <c r="Z18" s="1397"/>
      <c r="AA18" s="1397"/>
      <c r="AB18" s="1397"/>
      <c r="AC18" s="1397"/>
      <c r="AD18" s="1397"/>
      <c r="AE18" s="1397"/>
      <c r="AF18" s="1397"/>
      <c r="AG18" s="1397"/>
      <c r="AH18" s="1397"/>
      <c r="AI18" s="1397"/>
      <c r="AJ18" s="1218"/>
      <c r="AK18" s="1182"/>
      <c r="AL18" s="1397"/>
    </row>
    <row r="19" s="1363" customFormat="1" ht="17.25" customHeight="1" spans="1:38">
      <c r="A19" s="1502"/>
      <c r="B19" s="1247"/>
      <c r="C19" s="655"/>
      <c r="D19" s="1596" t="s">
        <v>844</v>
      </c>
      <c r="E19" s="1522" t="s">
        <v>1226</v>
      </c>
      <c r="F19" s="1602">
        <v>60500</v>
      </c>
      <c r="G19" s="1605"/>
      <c r="H19" s="1605"/>
      <c r="I19" s="1604">
        <v>401539.09</v>
      </c>
      <c r="J19" s="1654">
        <v>6.6651</v>
      </c>
      <c r="K19" s="1355" t="s">
        <v>1218</v>
      </c>
      <c r="L19" s="645">
        <v>44736</v>
      </c>
      <c r="M19" s="1442">
        <v>44743</v>
      </c>
      <c r="N19" s="1584" t="s">
        <v>1318</v>
      </c>
      <c r="O19" s="1303"/>
      <c r="P19" s="1303"/>
      <c r="Q19" s="1303"/>
      <c r="R19" s="602"/>
      <c r="S19" s="1340"/>
      <c r="T19" s="1172"/>
      <c r="U19" s="1397"/>
      <c r="V19" s="1397"/>
      <c r="W19" s="1406"/>
      <c r="X19" s="1397"/>
      <c r="Y19" s="1414"/>
      <c r="Z19" s="1397"/>
      <c r="AA19" s="1397"/>
      <c r="AB19" s="1397"/>
      <c r="AC19" s="1397"/>
      <c r="AD19" s="1397"/>
      <c r="AE19" s="1397"/>
      <c r="AF19" s="1397"/>
      <c r="AG19" s="1397"/>
      <c r="AH19" s="1397"/>
      <c r="AI19" s="1397"/>
      <c r="AJ19" s="1218"/>
      <c r="AK19" s="1182"/>
      <c r="AL19" s="1397"/>
    </row>
    <row r="20" s="1363" customFormat="1" ht="33.75" customHeight="1" spans="1:38">
      <c r="A20" s="1502"/>
      <c r="B20" s="1247"/>
      <c r="C20" s="655"/>
      <c r="D20" s="244" t="s">
        <v>1232</v>
      </c>
      <c r="E20" s="1155" t="s">
        <v>1319</v>
      </c>
      <c r="F20" s="722" t="s">
        <v>1320</v>
      </c>
      <c r="G20" s="603">
        <v>930491.29</v>
      </c>
      <c r="H20" s="603">
        <v>930491.29</v>
      </c>
      <c r="I20" s="603"/>
      <c r="J20" s="819">
        <v>6.6863</v>
      </c>
      <c r="K20" s="1355" t="s">
        <v>1218</v>
      </c>
      <c r="L20" s="645">
        <v>44771</v>
      </c>
      <c r="M20" s="1657">
        <v>44775</v>
      </c>
      <c r="N20" s="568"/>
      <c r="O20" s="1303"/>
      <c r="P20" s="1303"/>
      <c r="Q20" s="1303"/>
      <c r="R20" s="602"/>
      <c r="S20" s="1340"/>
      <c r="T20" s="1172"/>
      <c r="U20" s="1397"/>
      <c r="V20" s="1397"/>
      <c r="W20" s="1406"/>
      <c r="X20" s="1397"/>
      <c r="Y20" s="1414"/>
      <c r="Z20" s="1397"/>
      <c r="AA20" s="1397"/>
      <c r="AB20" s="1397"/>
      <c r="AC20" s="1397"/>
      <c r="AD20" s="1397"/>
      <c r="AE20" s="1397"/>
      <c r="AF20" s="1397"/>
      <c r="AG20" s="1397"/>
      <c r="AH20" s="1397"/>
      <c r="AI20" s="1397"/>
      <c r="AJ20" s="1218"/>
      <c r="AK20" s="1182"/>
      <c r="AL20" s="1397"/>
    </row>
    <row r="21" s="1363" customFormat="1" ht="18.75" customHeight="1" spans="1:38">
      <c r="A21" s="1502"/>
      <c r="B21" s="1519" t="s">
        <v>1120</v>
      </c>
      <c r="C21" s="1554"/>
      <c r="D21" s="1450" t="s">
        <v>1121</v>
      </c>
      <c r="E21" s="1155" t="s">
        <v>1122</v>
      </c>
      <c r="F21" s="1650">
        <v>22908</v>
      </c>
      <c r="G21" s="1651">
        <f>F21*J21</f>
        <v>153169.7604</v>
      </c>
      <c r="H21" s="1605">
        <v>153169.76</v>
      </c>
      <c r="I21" s="1651">
        <f>H21</f>
        <v>153169.76</v>
      </c>
      <c r="J21" s="819">
        <v>6.6863</v>
      </c>
      <c r="K21" s="1355" t="s">
        <v>1294</v>
      </c>
      <c r="L21" s="1513">
        <v>44744</v>
      </c>
      <c r="M21" s="1513">
        <v>44750</v>
      </c>
      <c r="N21" s="1584"/>
      <c r="O21" s="1388"/>
      <c r="P21" s="1386"/>
      <c r="Q21" s="1399"/>
      <c r="R21" s="766"/>
      <c r="S21" s="1173"/>
      <c r="T21" s="1174"/>
      <c r="U21" s="1398"/>
      <c r="V21" s="1398"/>
      <c r="W21" s="1407"/>
      <c r="X21" s="1397"/>
      <c r="Y21" s="1414"/>
      <c r="Z21" s="1397"/>
      <c r="AA21" s="1397"/>
      <c r="AB21" s="1397"/>
      <c r="AC21" s="1397"/>
      <c r="AD21" s="1397"/>
      <c r="AE21" s="1397"/>
      <c r="AF21" s="1397"/>
      <c r="AG21" s="1397"/>
      <c r="AH21" s="1397"/>
      <c r="AI21" s="1397"/>
      <c r="AJ21" s="1218"/>
      <c r="AK21" s="1182"/>
      <c r="AL21" s="1397"/>
    </row>
    <row r="22" s="1363" customFormat="1" ht="18.75" customHeight="1" spans="1:38">
      <c r="A22" s="1502"/>
      <c r="B22" s="1520"/>
      <c r="C22" s="1554">
        <v>90</v>
      </c>
      <c r="D22" s="1601" t="s">
        <v>593</v>
      </c>
      <c r="E22" s="1591" t="s">
        <v>1321</v>
      </c>
      <c r="F22" s="1652">
        <v>53000</v>
      </c>
      <c r="G22" s="603">
        <v>357083</v>
      </c>
      <c r="H22" s="603">
        <v>357083</v>
      </c>
      <c r="I22" s="1651">
        <f>H22</f>
        <v>357083</v>
      </c>
      <c r="J22" s="819">
        <v>6.6863</v>
      </c>
      <c r="K22" s="598" t="s">
        <v>1218</v>
      </c>
      <c r="L22" s="1513">
        <v>44764</v>
      </c>
      <c r="M22" s="1513">
        <v>44767</v>
      </c>
      <c r="N22" s="1584"/>
      <c r="O22" s="1388"/>
      <c r="P22" s="1386"/>
      <c r="Q22" s="1399"/>
      <c r="R22" s="766"/>
      <c r="S22" s="1173"/>
      <c r="T22" s="1174"/>
      <c r="U22" s="1398"/>
      <c r="V22" s="1398"/>
      <c r="W22" s="1407"/>
      <c r="X22" s="1397"/>
      <c r="Y22" s="1414"/>
      <c r="Z22" s="1397"/>
      <c r="AA22" s="1397"/>
      <c r="AB22" s="1397"/>
      <c r="AC22" s="1397"/>
      <c r="AD22" s="1397"/>
      <c r="AE22" s="1397"/>
      <c r="AF22" s="1397"/>
      <c r="AG22" s="1397"/>
      <c r="AH22" s="1397"/>
      <c r="AI22" s="1397"/>
      <c r="AJ22" s="1218"/>
      <c r="AK22" s="1182"/>
      <c r="AL22" s="1397"/>
    </row>
    <row r="23" s="1363" customFormat="1" ht="24.4" customHeight="1" spans="1:38">
      <c r="A23" s="1502"/>
      <c r="B23" s="1244" t="s">
        <v>1124</v>
      </c>
      <c r="C23" s="1149">
        <f>SUM(C3:C22)</f>
        <v>519</v>
      </c>
      <c r="D23" s="1198"/>
      <c r="E23" s="1198"/>
      <c r="F23" s="1159" t="s">
        <v>1235</v>
      </c>
      <c r="G23" s="1158">
        <f>SUM(G3:G22)</f>
        <v>3706540.4932</v>
      </c>
      <c r="H23" s="1158">
        <f>SUM(H3:H22)</f>
        <v>3706541.4085</v>
      </c>
      <c r="I23" s="1158">
        <f>SUM(I3:I22)</f>
        <v>2387346.053</v>
      </c>
      <c r="J23" s="819"/>
      <c r="K23" s="610"/>
      <c r="L23" s="645"/>
      <c r="M23" s="645"/>
      <c r="N23" s="568"/>
      <c r="O23" s="1388"/>
      <c r="P23" s="1386"/>
      <c r="Q23" s="1399"/>
      <c r="R23" s="766"/>
      <c r="S23" s="1173"/>
      <c r="T23" s="1174"/>
      <c r="U23" s="1398"/>
      <c r="V23" s="1398"/>
      <c r="W23" s="1407"/>
      <c r="X23" s="1397"/>
      <c r="Y23" s="1414"/>
      <c r="Z23" s="1397"/>
      <c r="AA23" s="1397"/>
      <c r="AB23" s="1397"/>
      <c r="AC23" s="1397"/>
      <c r="AD23" s="1397"/>
      <c r="AE23" s="1397"/>
      <c r="AF23" s="1397"/>
      <c r="AG23" s="1397"/>
      <c r="AH23" s="1397"/>
      <c r="AI23" s="1397"/>
      <c r="AJ23" s="1218"/>
      <c r="AK23" s="1182"/>
      <c r="AL23" s="1397"/>
    </row>
    <row r="24" s="889" customFormat="1" ht="27.2" customHeight="1" spans="1:38">
      <c r="A24" s="1505"/>
      <c r="B24" s="1244"/>
      <c r="C24" s="1149"/>
      <c r="D24" s="1144" t="s">
        <v>1125</v>
      </c>
      <c r="E24" s="1144"/>
      <c r="F24" s="1159" t="s">
        <v>1236</v>
      </c>
      <c r="G24" s="1160">
        <f>G23/5190000</f>
        <v>0.714169651868979</v>
      </c>
      <c r="H24" s="1160">
        <f>H23/5190000</f>
        <v>0.71416982822736</v>
      </c>
      <c r="I24" s="1160">
        <f>I23/4710000</f>
        <v>0.506867527176221</v>
      </c>
      <c r="J24" s="819"/>
      <c r="K24" s="858"/>
      <c r="L24" s="821"/>
      <c r="M24" s="821"/>
      <c r="N24" s="620"/>
      <c r="O24" s="804"/>
      <c r="P24" s="652"/>
      <c r="Q24" s="653"/>
      <c r="R24" s="807"/>
      <c r="S24" s="807">
        <v>0</v>
      </c>
      <c r="T24" s="807">
        <v>0</v>
      </c>
      <c r="U24" s="1408"/>
      <c r="V24" s="1408"/>
      <c r="W24" s="1409"/>
      <c r="X24" s="727"/>
      <c r="Y24" s="727"/>
      <c r="Z24" s="727"/>
      <c r="AA24" s="727"/>
      <c r="AB24" s="727"/>
      <c r="AC24" s="727"/>
      <c r="AD24" s="727"/>
      <c r="AE24" s="727"/>
      <c r="AF24" s="727"/>
      <c r="AG24" s="727"/>
      <c r="AH24" s="727"/>
      <c r="AI24" s="727"/>
      <c r="AJ24" s="727"/>
      <c r="AK24" s="727" t="s">
        <v>285</v>
      </c>
      <c r="AL24" s="727"/>
    </row>
    <row r="25" s="1363" customFormat="1" ht="23.45" customHeight="1" spans="1:38">
      <c r="A25" s="1646" t="s">
        <v>580</v>
      </c>
      <c r="B25" s="1269" t="s">
        <v>331</v>
      </c>
      <c r="C25" s="759">
        <v>152</v>
      </c>
      <c r="D25" s="1580" t="s">
        <v>167</v>
      </c>
      <c r="E25" s="1522" t="s">
        <v>1322</v>
      </c>
      <c r="F25" s="1433">
        <v>5752</v>
      </c>
      <c r="G25" s="1606"/>
      <c r="H25" s="1606"/>
      <c r="I25" s="1434">
        <v>38459.59</v>
      </c>
      <c r="J25" s="819">
        <v>6.6651</v>
      </c>
      <c r="K25" s="1556" t="s">
        <v>203</v>
      </c>
      <c r="L25" s="1442">
        <v>44739</v>
      </c>
      <c r="M25" s="1658" t="s">
        <v>1323</v>
      </c>
      <c r="N25" s="1214" t="s">
        <v>1324</v>
      </c>
      <c r="O25" s="664"/>
      <c r="P25" s="655"/>
      <c r="Q25" s="656"/>
      <c r="R25" s="1400"/>
      <c r="S25" s="1401"/>
      <c r="T25" s="1401"/>
      <c r="U25" s="1410"/>
      <c r="V25" s="1410"/>
      <c r="W25" s="1183"/>
      <c r="X25" s="1411"/>
      <c r="Y25" s="715"/>
      <c r="Z25" s="546"/>
      <c r="AA25" s="546"/>
      <c r="AB25" s="546"/>
      <c r="AC25" s="546"/>
      <c r="AD25" s="546"/>
      <c r="AE25" s="546"/>
      <c r="AF25" s="546"/>
      <c r="AG25" s="546"/>
      <c r="AH25" s="546"/>
      <c r="AI25" s="546"/>
      <c r="AJ25" s="715"/>
      <c r="AK25" s="715"/>
      <c r="AL25" s="715"/>
    </row>
    <row r="26" s="1363" customFormat="1" ht="23.45" customHeight="1" spans="1:38">
      <c r="A26" s="1371"/>
      <c r="B26" s="671"/>
      <c r="C26" s="557"/>
      <c r="D26" s="1580" t="s">
        <v>1325</v>
      </c>
      <c r="E26" s="1522"/>
      <c r="F26" s="1433"/>
      <c r="G26" s="1606"/>
      <c r="H26" s="1604"/>
      <c r="I26" s="1605">
        <v>93451.33</v>
      </c>
      <c r="J26" s="819"/>
      <c r="K26" s="1556"/>
      <c r="L26" s="1583"/>
      <c r="M26" s="1659"/>
      <c r="N26" s="1214"/>
      <c r="O26" s="664"/>
      <c r="P26" s="655"/>
      <c r="Q26" s="656"/>
      <c r="R26" s="1400"/>
      <c r="S26" s="1401"/>
      <c r="T26" s="1401"/>
      <c r="U26" s="1410"/>
      <c r="V26" s="1410"/>
      <c r="W26" s="1183"/>
      <c r="X26" s="1411"/>
      <c r="Y26" s="715"/>
      <c r="Z26" s="546"/>
      <c r="AA26" s="546"/>
      <c r="AB26" s="546"/>
      <c r="AC26" s="546"/>
      <c r="AD26" s="546"/>
      <c r="AE26" s="546"/>
      <c r="AF26" s="546"/>
      <c r="AG26" s="546"/>
      <c r="AH26" s="546"/>
      <c r="AI26" s="546"/>
      <c r="AJ26" s="715"/>
      <c r="AK26" s="715"/>
      <c r="AL26" s="715"/>
    </row>
    <row r="27" s="1363" customFormat="1" ht="23.45" customHeight="1" spans="1:38">
      <c r="A27" s="1371"/>
      <c r="B27" s="671"/>
      <c r="C27" s="557"/>
      <c r="D27" s="664" t="s">
        <v>1129</v>
      </c>
      <c r="E27" s="1522" t="s">
        <v>1175</v>
      </c>
      <c r="F27" s="722">
        <v>52342</v>
      </c>
      <c r="G27" s="1434"/>
      <c r="H27" s="735"/>
      <c r="I27" s="735">
        <v>349974.31</v>
      </c>
      <c r="J27" s="819">
        <v>6.6651</v>
      </c>
      <c r="K27" s="1556" t="s">
        <v>203</v>
      </c>
      <c r="L27" s="1583">
        <v>44734</v>
      </c>
      <c r="M27" s="1659" t="s">
        <v>1326</v>
      </c>
      <c r="N27" s="1214" t="s">
        <v>1327</v>
      </c>
      <c r="O27" s="664"/>
      <c r="P27" s="655"/>
      <c r="Q27" s="656"/>
      <c r="R27" s="1400"/>
      <c r="S27" s="1401"/>
      <c r="T27" s="1401"/>
      <c r="U27" s="1410"/>
      <c r="V27" s="1410"/>
      <c r="W27" s="1183"/>
      <c r="X27" s="1411"/>
      <c r="Y27" s="715"/>
      <c r="Z27" s="546"/>
      <c r="AA27" s="546"/>
      <c r="AB27" s="546"/>
      <c r="AC27" s="546"/>
      <c r="AD27" s="546"/>
      <c r="AE27" s="546"/>
      <c r="AF27" s="546"/>
      <c r="AG27" s="546"/>
      <c r="AH27" s="546"/>
      <c r="AI27" s="546"/>
      <c r="AJ27" s="715"/>
      <c r="AK27" s="715"/>
      <c r="AL27" s="715"/>
    </row>
    <row r="28" s="1363" customFormat="1" ht="16.9" customHeight="1" spans="1:38">
      <c r="A28" s="1371"/>
      <c r="B28" s="671"/>
      <c r="C28" s="557"/>
      <c r="D28" s="1647" t="s">
        <v>1169</v>
      </c>
      <c r="E28" s="1629" t="s">
        <v>1328</v>
      </c>
      <c r="F28" s="1373">
        <v>33225</v>
      </c>
      <c r="G28" s="1606">
        <f t="shared" ref="G28:G38" si="0">F28*J28</f>
        <v>222152.3175</v>
      </c>
      <c r="H28" s="1606">
        <v>222152.3175</v>
      </c>
      <c r="I28" s="1606">
        <v>221817.98</v>
      </c>
      <c r="J28" s="819">
        <v>6.6863</v>
      </c>
      <c r="K28" s="1556" t="s">
        <v>203</v>
      </c>
      <c r="L28" s="1583">
        <v>44756</v>
      </c>
      <c r="M28" s="1659" t="s">
        <v>1329</v>
      </c>
      <c r="N28" s="1214" t="s">
        <v>1330</v>
      </c>
      <c r="O28" s="664"/>
      <c r="P28" s="655"/>
      <c r="Q28" s="656"/>
      <c r="R28" s="1400"/>
      <c r="S28" s="1401"/>
      <c r="T28" s="1401"/>
      <c r="U28" s="1410"/>
      <c r="V28" s="1410"/>
      <c r="W28" s="1183"/>
      <c r="X28" s="1411"/>
      <c r="Y28" s="715"/>
      <c r="Z28" s="546"/>
      <c r="AA28" s="546"/>
      <c r="AB28" s="546"/>
      <c r="AC28" s="546"/>
      <c r="AD28" s="546"/>
      <c r="AE28" s="546"/>
      <c r="AF28" s="546"/>
      <c r="AG28" s="546"/>
      <c r="AH28" s="546"/>
      <c r="AI28" s="546"/>
      <c r="AJ28" s="715"/>
      <c r="AK28" s="715"/>
      <c r="AL28" s="715"/>
    </row>
    <row r="29" s="1363" customFormat="1" ht="20.85" customHeight="1" spans="1:38">
      <c r="A29" s="1371"/>
      <c r="B29" s="671"/>
      <c r="C29" s="557"/>
      <c r="D29" s="1648"/>
      <c r="E29" s="1629" t="s">
        <v>1331</v>
      </c>
      <c r="F29" s="1433">
        <v>41473</v>
      </c>
      <c r="G29" s="1606">
        <f t="shared" si="0"/>
        <v>277300.9199</v>
      </c>
      <c r="H29" s="1606">
        <v>277300.9199</v>
      </c>
      <c r="I29" s="1606"/>
      <c r="J29" s="819">
        <v>6.6863</v>
      </c>
      <c r="K29" s="1556" t="s">
        <v>203</v>
      </c>
      <c r="L29" s="1583">
        <v>44772</v>
      </c>
      <c r="M29" s="1214" t="s">
        <v>1332</v>
      </c>
      <c r="N29" s="1214" t="s">
        <v>1332</v>
      </c>
      <c r="O29" s="664"/>
      <c r="P29" s="655"/>
      <c r="Q29" s="656"/>
      <c r="R29" s="1400"/>
      <c r="S29" s="1401"/>
      <c r="T29" s="1401"/>
      <c r="U29" s="1410"/>
      <c r="V29" s="1410"/>
      <c r="W29" s="1183"/>
      <c r="X29" s="1411"/>
      <c r="Y29" s="715"/>
      <c r="Z29" s="546"/>
      <c r="AA29" s="546"/>
      <c r="AB29" s="546"/>
      <c r="AC29" s="546"/>
      <c r="AD29" s="546"/>
      <c r="AE29" s="546"/>
      <c r="AF29" s="546"/>
      <c r="AG29" s="546"/>
      <c r="AH29" s="546"/>
      <c r="AI29" s="546"/>
      <c r="AJ29" s="715"/>
      <c r="AK29" s="715"/>
      <c r="AL29" s="715"/>
    </row>
    <row r="30" s="1363" customFormat="1" ht="23.75" customHeight="1" spans="1:38">
      <c r="A30" s="1371"/>
      <c r="B30" s="671"/>
      <c r="C30" s="557"/>
      <c r="D30" s="1580" t="s">
        <v>174</v>
      </c>
      <c r="E30" s="1522" t="s">
        <v>1333</v>
      </c>
      <c r="F30" s="1433">
        <v>55578</v>
      </c>
      <c r="G30" s="1434">
        <f t="shared" si="0"/>
        <v>371611.1814</v>
      </c>
      <c r="H30" s="1434">
        <v>371611.1814</v>
      </c>
      <c r="I30" s="1434">
        <v>371611.1814</v>
      </c>
      <c r="J30" s="819">
        <v>6.6863</v>
      </c>
      <c r="K30" s="1556" t="s">
        <v>1334</v>
      </c>
      <c r="L30" s="1583">
        <v>44763</v>
      </c>
      <c r="M30" s="1659" t="s">
        <v>1335</v>
      </c>
      <c r="N30" s="1214" t="s">
        <v>1336</v>
      </c>
      <c r="O30" s="664"/>
      <c r="P30" s="655"/>
      <c r="Q30" s="656"/>
      <c r="R30" s="1400"/>
      <c r="S30" s="1401"/>
      <c r="T30" s="1401"/>
      <c r="U30" s="1410"/>
      <c r="V30" s="1410"/>
      <c r="W30" s="1183"/>
      <c r="X30" s="1411"/>
      <c r="Y30" s="715"/>
      <c r="Z30" s="546"/>
      <c r="AA30" s="546"/>
      <c r="AB30" s="546"/>
      <c r="AC30" s="546"/>
      <c r="AD30" s="546"/>
      <c r="AE30" s="546"/>
      <c r="AF30" s="546"/>
      <c r="AG30" s="546"/>
      <c r="AH30" s="546"/>
      <c r="AI30" s="546"/>
      <c r="AJ30" s="715"/>
      <c r="AK30" s="715"/>
      <c r="AL30" s="715"/>
    </row>
    <row r="31" s="1363" customFormat="1" ht="28.15" customHeight="1" spans="1:38">
      <c r="A31" s="1371"/>
      <c r="B31" s="671"/>
      <c r="C31" s="557"/>
      <c r="D31" s="1580" t="s">
        <v>243</v>
      </c>
      <c r="E31" s="1653" t="s">
        <v>1337</v>
      </c>
      <c r="F31" s="1433">
        <v>11454</v>
      </c>
      <c r="G31" s="1434">
        <f t="shared" si="0"/>
        <v>76584.8802</v>
      </c>
      <c r="H31" s="1434">
        <v>76584.8802</v>
      </c>
      <c r="I31" s="1434">
        <v>76584.8802</v>
      </c>
      <c r="J31" s="819">
        <v>6.6863</v>
      </c>
      <c r="K31" s="1556" t="s">
        <v>1251</v>
      </c>
      <c r="L31" s="1583">
        <v>44768</v>
      </c>
      <c r="M31" s="1659" t="s">
        <v>1338</v>
      </c>
      <c r="N31" s="1214" t="s">
        <v>1339</v>
      </c>
      <c r="O31" s="664"/>
      <c r="P31" s="655"/>
      <c r="Q31" s="656"/>
      <c r="R31" s="1400"/>
      <c r="S31" s="1401"/>
      <c r="T31" s="1401"/>
      <c r="U31" s="1410"/>
      <c r="V31" s="1410"/>
      <c r="W31" s="1183"/>
      <c r="X31" s="1411"/>
      <c r="Y31" s="715"/>
      <c r="Z31" s="546"/>
      <c r="AA31" s="546"/>
      <c r="AB31" s="546"/>
      <c r="AC31" s="546"/>
      <c r="AD31" s="546"/>
      <c r="AE31" s="546"/>
      <c r="AF31" s="546"/>
      <c r="AG31" s="546"/>
      <c r="AH31" s="546"/>
      <c r="AI31" s="546"/>
      <c r="AJ31" s="715"/>
      <c r="AK31" s="715"/>
      <c r="AL31" s="715"/>
    </row>
    <row r="32" s="1363" customFormat="1" ht="84.75" customHeight="1" spans="1:38">
      <c r="A32" s="1371"/>
      <c r="B32" s="671"/>
      <c r="C32" s="557"/>
      <c r="D32" s="666" t="s">
        <v>1340</v>
      </c>
      <c r="E32" s="1163" t="s">
        <v>1341</v>
      </c>
      <c r="F32" s="722">
        <v>78169</v>
      </c>
      <c r="G32" s="735">
        <f t="shared" si="0"/>
        <v>522661.3847</v>
      </c>
      <c r="H32" s="735">
        <v>522661.3847</v>
      </c>
      <c r="I32" s="735"/>
      <c r="J32" s="819">
        <v>6.6863</v>
      </c>
      <c r="K32" s="1556" t="s">
        <v>1251</v>
      </c>
      <c r="L32" s="1583">
        <v>44769</v>
      </c>
      <c r="M32" s="1214" t="s">
        <v>1342</v>
      </c>
      <c r="N32" s="1214" t="s">
        <v>1343</v>
      </c>
      <c r="O32" s="664"/>
      <c r="P32" s="655"/>
      <c r="Q32" s="656"/>
      <c r="R32" s="1400"/>
      <c r="S32" s="1401"/>
      <c r="T32" s="1401"/>
      <c r="U32" s="1410"/>
      <c r="V32" s="1410"/>
      <c r="W32" s="1183"/>
      <c r="X32" s="1411"/>
      <c r="Y32" s="715"/>
      <c r="Z32" s="546"/>
      <c r="AA32" s="546"/>
      <c r="AB32" s="546"/>
      <c r="AC32" s="546"/>
      <c r="AD32" s="546"/>
      <c r="AE32" s="546"/>
      <c r="AF32" s="546"/>
      <c r="AG32" s="546"/>
      <c r="AH32" s="546"/>
      <c r="AI32" s="546"/>
      <c r="AJ32" s="715"/>
      <c r="AK32" s="715"/>
      <c r="AL32" s="715"/>
    </row>
    <row r="33" s="1363" customFormat="1" ht="48" customHeight="1" spans="1:38">
      <c r="A33" s="1371"/>
      <c r="B33" s="671"/>
      <c r="C33" s="557"/>
      <c r="D33" s="670"/>
      <c r="E33" s="1163" t="s">
        <v>1344</v>
      </c>
      <c r="F33" s="722">
        <v>403.5</v>
      </c>
      <c r="G33" s="735">
        <f t="shared" si="0"/>
        <v>2697.92205</v>
      </c>
      <c r="H33" s="735">
        <v>2697.92205</v>
      </c>
      <c r="I33" s="735"/>
      <c r="J33" s="819">
        <v>6.6863</v>
      </c>
      <c r="K33" s="1556" t="s">
        <v>203</v>
      </c>
      <c r="L33" s="1583">
        <v>44769</v>
      </c>
      <c r="M33" s="1214" t="s">
        <v>1342</v>
      </c>
      <c r="N33" s="1214" t="s">
        <v>1345</v>
      </c>
      <c r="O33" s="664"/>
      <c r="P33" s="655"/>
      <c r="Q33" s="656"/>
      <c r="R33" s="1400"/>
      <c r="S33" s="1401"/>
      <c r="T33" s="1401"/>
      <c r="U33" s="1410"/>
      <c r="V33" s="1410"/>
      <c r="W33" s="1183"/>
      <c r="X33" s="1411"/>
      <c r="Y33" s="715"/>
      <c r="Z33" s="546"/>
      <c r="AA33" s="546"/>
      <c r="AB33" s="546"/>
      <c r="AC33" s="546"/>
      <c r="AD33" s="546"/>
      <c r="AE33" s="546"/>
      <c r="AF33" s="546"/>
      <c r="AG33" s="546"/>
      <c r="AH33" s="546"/>
      <c r="AI33" s="546"/>
      <c r="AJ33" s="715"/>
      <c r="AK33" s="715"/>
      <c r="AL33" s="715"/>
    </row>
    <row r="34" s="1363" customFormat="1" ht="24.15" customHeight="1" spans="1:38">
      <c r="A34" s="1660"/>
      <c r="B34" s="671"/>
      <c r="C34" s="557"/>
      <c r="D34" s="664" t="s">
        <v>175</v>
      </c>
      <c r="E34" s="1163" t="s">
        <v>1346</v>
      </c>
      <c r="F34" s="722">
        <v>32475</v>
      </c>
      <c r="G34" s="735">
        <f t="shared" si="0"/>
        <v>217137.5925</v>
      </c>
      <c r="H34" s="735">
        <v>217137.5925</v>
      </c>
      <c r="I34" s="735"/>
      <c r="J34" s="819">
        <v>6.6863</v>
      </c>
      <c r="K34" s="1556" t="s">
        <v>203</v>
      </c>
      <c r="L34" s="1583">
        <v>44772</v>
      </c>
      <c r="M34" s="1214" t="s">
        <v>1332</v>
      </c>
      <c r="N34" s="1214" t="s">
        <v>1332</v>
      </c>
      <c r="O34" s="664"/>
      <c r="P34" s="655"/>
      <c r="Q34" s="656"/>
      <c r="R34" s="1400"/>
      <c r="S34" s="1401"/>
      <c r="T34" s="1401"/>
      <c r="U34" s="1410"/>
      <c r="V34" s="1410"/>
      <c r="W34" s="1183"/>
      <c r="X34" s="1411"/>
      <c r="Y34" s="715"/>
      <c r="Z34" s="546"/>
      <c r="AA34" s="546"/>
      <c r="AB34" s="546"/>
      <c r="AC34" s="546"/>
      <c r="AD34" s="546"/>
      <c r="AE34" s="546"/>
      <c r="AF34" s="546"/>
      <c r="AG34" s="546"/>
      <c r="AH34" s="546"/>
      <c r="AI34" s="546"/>
      <c r="AJ34" s="715"/>
      <c r="AK34" s="715"/>
      <c r="AL34" s="715"/>
    </row>
    <row r="35" s="536" customFormat="1" ht="23.75" customHeight="1" spans="1:38">
      <c r="A35" s="1661"/>
      <c r="B35" s="664" t="s">
        <v>224</v>
      </c>
      <c r="C35" s="655">
        <v>102</v>
      </c>
      <c r="D35" s="664" t="s">
        <v>400</v>
      </c>
      <c r="E35" s="1310" t="s">
        <v>1347</v>
      </c>
      <c r="F35" s="722">
        <v>50022</v>
      </c>
      <c r="G35" s="577">
        <f t="shared" si="0"/>
        <v>334462.0986</v>
      </c>
      <c r="H35" s="577">
        <f>G35</f>
        <v>334462.0986</v>
      </c>
      <c r="I35" s="577">
        <f>G35</f>
        <v>334462.0986</v>
      </c>
      <c r="J35" s="819">
        <v>6.6863</v>
      </c>
      <c r="K35" s="1556" t="s">
        <v>1251</v>
      </c>
      <c r="L35" s="633">
        <v>44757</v>
      </c>
      <c r="M35" s="633" t="s">
        <v>1348</v>
      </c>
      <c r="N35" s="1214" t="s">
        <v>1257</v>
      </c>
      <c r="O35" s="1443"/>
      <c r="P35" s="945"/>
      <c r="Q35" s="945"/>
      <c r="R35" s="754"/>
      <c r="S35" s="754"/>
      <c r="T35" s="992"/>
      <c r="U35" s="1465"/>
      <c r="V35" s="1209"/>
      <c r="W35" s="1210"/>
      <c r="X35" s="715"/>
      <c r="Y35" s="1106"/>
      <c r="Z35" s="1473"/>
      <c r="AA35" s="715"/>
      <c r="AB35" s="715"/>
      <c r="AC35" s="715"/>
      <c r="AD35" s="715"/>
      <c r="AE35" s="715"/>
      <c r="AF35" s="715"/>
      <c r="AG35" s="715"/>
      <c r="AH35" s="715"/>
      <c r="AI35" s="715"/>
      <c r="AJ35" s="715"/>
      <c r="AK35" s="992"/>
      <c r="AL35" s="715"/>
    </row>
    <row r="36" s="536" customFormat="1" ht="23.75" customHeight="1" spans="1:38">
      <c r="A36" s="1661"/>
      <c r="B36" s="664"/>
      <c r="C36" s="655"/>
      <c r="D36" s="664" t="s">
        <v>1349</v>
      </c>
      <c r="E36" s="1163" t="s">
        <v>1350</v>
      </c>
      <c r="F36" s="722">
        <v>18462</v>
      </c>
      <c r="G36" s="735">
        <f t="shared" si="0"/>
        <v>123442.4706</v>
      </c>
      <c r="H36" s="735">
        <v>123442</v>
      </c>
      <c r="I36" s="735">
        <v>123442</v>
      </c>
      <c r="J36" s="819">
        <v>6.6863</v>
      </c>
      <c r="K36" s="1556" t="s">
        <v>1251</v>
      </c>
      <c r="L36" s="633">
        <v>44754</v>
      </c>
      <c r="M36" s="633" t="s">
        <v>1351</v>
      </c>
      <c r="N36" s="1214" t="s">
        <v>1352</v>
      </c>
      <c r="O36" s="1443"/>
      <c r="P36" s="945"/>
      <c r="Q36" s="945"/>
      <c r="R36" s="1401"/>
      <c r="S36" s="754"/>
      <c r="T36" s="992"/>
      <c r="U36" s="1465"/>
      <c r="V36" s="1209"/>
      <c r="W36" s="1210"/>
      <c r="X36" s="715"/>
      <c r="Y36" s="1474"/>
      <c r="Z36" s="1473"/>
      <c r="AA36" s="715"/>
      <c r="AB36" s="715"/>
      <c r="AC36" s="715"/>
      <c r="AD36" s="715"/>
      <c r="AE36" s="715"/>
      <c r="AF36" s="715"/>
      <c r="AG36" s="715"/>
      <c r="AH36" s="715"/>
      <c r="AI36" s="715"/>
      <c r="AJ36" s="715"/>
      <c r="AK36" s="992"/>
      <c r="AL36" s="715"/>
    </row>
    <row r="37" s="536" customFormat="1" ht="23.75" customHeight="1" spans="1:38">
      <c r="A37" s="1661"/>
      <c r="B37" s="664"/>
      <c r="C37" s="655"/>
      <c r="D37" s="1580" t="s">
        <v>869</v>
      </c>
      <c r="E37" s="1629" t="s">
        <v>1255</v>
      </c>
      <c r="F37" s="1433">
        <v>6890</v>
      </c>
      <c r="G37" s="1434"/>
      <c r="H37" s="1434"/>
      <c r="I37" s="1434">
        <f>F37*J37</f>
        <v>46068.607</v>
      </c>
      <c r="J37" s="819">
        <v>6.6863</v>
      </c>
      <c r="K37" s="1355" t="s">
        <v>1251</v>
      </c>
      <c r="L37" s="1442">
        <v>44728</v>
      </c>
      <c r="M37" s="1442">
        <v>44745</v>
      </c>
      <c r="N37" s="1444" t="s">
        <v>1253</v>
      </c>
      <c r="O37" s="1443"/>
      <c r="P37" s="1043"/>
      <c r="Q37" s="1043"/>
      <c r="R37" s="1401"/>
      <c r="S37" s="754"/>
      <c r="T37" s="992"/>
      <c r="U37" s="1465"/>
      <c r="V37" s="1209"/>
      <c r="W37" s="1210"/>
      <c r="X37" s="715"/>
      <c r="Y37" s="1474"/>
      <c r="Z37" s="1473"/>
      <c r="AA37" s="715"/>
      <c r="AB37" s="715"/>
      <c r="AC37" s="715"/>
      <c r="AD37" s="715"/>
      <c r="AE37" s="715"/>
      <c r="AF37" s="715"/>
      <c r="AG37" s="715"/>
      <c r="AH37" s="715"/>
      <c r="AI37" s="715"/>
      <c r="AJ37" s="715"/>
      <c r="AK37" s="992"/>
      <c r="AL37" s="715"/>
    </row>
    <row r="38" s="536" customFormat="1" ht="23.75" customHeight="1" spans="1:38">
      <c r="A38" s="1661"/>
      <c r="B38" s="664"/>
      <c r="C38" s="655"/>
      <c r="D38" s="1580" t="s">
        <v>408</v>
      </c>
      <c r="E38" s="1629" t="s">
        <v>1256</v>
      </c>
      <c r="F38" s="1433">
        <v>40975</v>
      </c>
      <c r="G38" s="1434"/>
      <c r="H38" s="1434"/>
      <c r="I38" s="1434">
        <v>273971.15</v>
      </c>
      <c r="J38" s="819">
        <v>6.6863</v>
      </c>
      <c r="K38" s="1355" t="s">
        <v>1251</v>
      </c>
      <c r="L38" s="1442">
        <v>44728</v>
      </c>
      <c r="M38" s="1442">
        <v>44744</v>
      </c>
      <c r="N38" s="1444" t="s">
        <v>1257</v>
      </c>
      <c r="O38" s="1443"/>
      <c r="P38" s="1043"/>
      <c r="Q38" s="1043"/>
      <c r="R38" s="1401"/>
      <c r="S38" s="754"/>
      <c r="T38" s="992"/>
      <c r="U38" s="1465"/>
      <c r="V38" s="1209"/>
      <c r="W38" s="1210"/>
      <c r="X38" s="715"/>
      <c r="Y38" s="1474"/>
      <c r="Z38" s="1473"/>
      <c r="AA38" s="715"/>
      <c r="AB38" s="715"/>
      <c r="AC38" s="715"/>
      <c r="AD38" s="715"/>
      <c r="AE38" s="715"/>
      <c r="AF38" s="715"/>
      <c r="AG38" s="715"/>
      <c r="AH38" s="715"/>
      <c r="AI38" s="715"/>
      <c r="AJ38" s="715"/>
      <c r="AK38" s="992"/>
      <c r="AL38" s="715"/>
    </row>
    <row r="39" s="536" customFormat="1" ht="23.75" customHeight="1" spans="1:38">
      <c r="A39" s="1661"/>
      <c r="B39" s="666" t="s">
        <v>1248</v>
      </c>
      <c r="C39" s="759">
        <v>68</v>
      </c>
      <c r="D39" s="1580" t="s">
        <v>1353</v>
      </c>
      <c r="E39" s="1629" t="s">
        <v>1354</v>
      </c>
      <c r="F39" s="1668">
        <v>41.5</v>
      </c>
      <c r="G39" s="1434">
        <f>F39*J39</f>
        <v>277.48145</v>
      </c>
      <c r="H39" s="1434">
        <f>F39*J39</f>
        <v>277.48145</v>
      </c>
      <c r="I39" s="1434">
        <v>277.48145</v>
      </c>
      <c r="J39" s="819">
        <v>6.6863</v>
      </c>
      <c r="K39" s="1355" t="s">
        <v>1251</v>
      </c>
      <c r="L39" s="633">
        <v>44752</v>
      </c>
      <c r="M39" s="633">
        <v>44752</v>
      </c>
      <c r="N39" s="1214" t="s">
        <v>1355</v>
      </c>
      <c r="O39" s="1443"/>
      <c r="P39" s="1043"/>
      <c r="Q39" s="1043"/>
      <c r="R39" s="1401"/>
      <c r="S39" s="754"/>
      <c r="T39" s="992"/>
      <c r="U39" s="1465"/>
      <c r="V39" s="1209"/>
      <c r="W39" s="1210"/>
      <c r="X39" s="715"/>
      <c r="Y39" s="1474"/>
      <c r="Z39" s="1473"/>
      <c r="AA39" s="715"/>
      <c r="AB39" s="715"/>
      <c r="AC39" s="715"/>
      <c r="AD39" s="715"/>
      <c r="AE39" s="715"/>
      <c r="AF39" s="715"/>
      <c r="AG39" s="715"/>
      <c r="AH39" s="715"/>
      <c r="AI39" s="715"/>
      <c r="AJ39" s="715"/>
      <c r="AK39" s="992"/>
      <c r="AL39" s="715"/>
    </row>
    <row r="40" s="536" customFormat="1" ht="23.75" customHeight="1" spans="1:38">
      <c r="A40" s="1661"/>
      <c r="B40" s="556"/>
      <c r="C40" s="557"/>
      <c r="D40" s="664" t="s">
        <v>167</v>
      </c>
      <c r="E40" s="1522" t="s">
        <v>1356</v>
      </c>
      <c r="F40" s="786">
        <v>1047</v>
      </c>
      <c r="G40" s="735">
        <f>F40*J40</f>
        <v>7000.5561</v>
      </c>
      <c r="H40" s="735">
        <v>7000.5561</v>
      </c>
      <c r="I40" s="735"/>
      <c r="J40" s="819">
        <v>6.6863</v>
      </c>
      <c r="K40" s="1556" t="s">
        <v>203</v>
      </c>
      <c r="L40" s="633">
        <v>44768</v>
      </c>
      <c r="M40" s="633">
        <v>44768</v>
      </c>
      <c r="N40" s="1214" t="s">
        <v>1357</v>
      </c>
      <c r="O40" s="1443"/>
      <c r="P40" s="1043"/>
      <c r="Q40" s="1043"/>
      <c r="R40" s="1401"/>
      <c r="S40" s="754"/>
      <c r="T40" s="992"/>
      <c r="U40" s="1465"/>
      <c r="V40" s="1209"/>
      <c r="W40" s="1210"/>
      <c r="X40" s="715"/>
      <c r="Y40" s="1474"/>
      <c r="Z40" s="1473"/>
      <c r="AA40" s="715"/>
      <c r="AB40" s="715"/>
      <c r="AC40" s="715"/>
      <c r="AD40" s="715"/>
      <c r="AE40" s="715"/>
      <c r="AF40" s="715"/>
      <c r="AG40" s="715"/>
      <c r="AH40" s="715"/>
      <c r="AI40" s="715"/>
      <c r="AJ40" s="715"/>
      <c r="AK40" s="992"/>
      <c r="AL40" s="715"/>
    </row>
    <row r="41" s="536" customFormat="1" ht="23.75" customHeight="1" spans="1:38">
      <c r="A41" s="1661"/>
      <c r="B41" s="670"/>
      <c r="C41" s="968"/>
      <c r="D41" s="664" t="s">
        <v>1358</v>
      </c>
      <c r="E41" s="1163" t="s">
        <v>1359</v>
      </c>
      <c r="F41" s="786">
        <v>2162</v>
      </c>
      <c r="G41" s="735">
        <f>F41*J41</f>
        <v>14455.7806</v>
      </c>
      <c r="H41" s="735">
        <v>14455.78</v>
      </c>
      <c r="I41" s="735">
        <v>14455.7806</v>
      </c>
      <c r="J41" s="819">
        <v>6.6863</v>
      </c>
      <c r="K41" s="1556" t="s">
        <v>203</v>
      </c>
      <c r="L41" s="644">
        <v>44756</v>
      </c>
      <c r="M41" s="644">
        <v>44760</v>
      </c>
      <c r="N41" s="1214" t="s">
        <v>1360</v>
      </c>
      <c r="O41" s="1443"/>
      <c r="P41" s="1043"/>
      <c r="Q41" s="1043"/>
      <c r="R41" s="1401"/>
      <c r="S41" s="754"/>
      <c r="T41" s="992"/>
      <c r="U41" s="1465"/>
      <c r="V41" s="1209"/>
      <c r="W41" s="1210"/>
      <c r="X41" s="715"/>
      <c r="Y41" s="1474"/>
      <c r="Z41" s="1473"/>
      <c r="AA41" s="715"/>
      <c r="AB41" s="715"/>
      <c r="AC41" s="715"/>
      <c r="AD41" s="715"/>
      <c r="AE41" s="715"/>
      <c r="AF41" s="715"/>
      <c r="AG41" s="715"/>
      <c r="AH41" s="715"/>
      <c r="AI41" s="715"/>
      <c r="AJ41" s="715"/>
      <c r="AK41" s="992"/>
      <c r="AL41" s="715"/>
    </row>
    <row r="42" s="536" customFormat="1" ht="23.75" customHeight="1" spans="1:38">
      <c r="A42" s="1660"/>
      <c r="B42" s="1190" t="s">
        <v>1124</v>
      </c>
      <c r="C42" s="1191">
        <f>SUM(C25:C36)</f>
        <v>254</v>
      </c>
      <c r="D42" s="1420"/>
      <c r="E42" s="1198"/>
      <c r="F42" s="1157" t="s">
        <v>1235</v>
      </c>
      <c r="G42" s="1158">
        <f>SUM(G25:G41)</f>
        <v>2169784.5856</v>
      </c>
      <c r="H42" s="1158">
        <f>SUM(H25:H41)</f>
        <v>2169784.1144</v>
      </c>
      <c r="I42" s="1158">
        <f>SUM(I25:I41)</f>
        <v>1944576.38925</v>
      </c>
      <c r="J42" s="819"/>
      <c r="K42" s="610"/>
      <c r="L42" s="644"/>
      <c r="M42" s="644"/>
      <c r="N42" s="1214"/>
      <c r="O42" s="1390"/>
      <c r="P42" s="968"/>
      <c r="Q42" s="919"/>
      <c r="R42" s="1401"/>
      <c r="S42" s="754"/>
      <c r="T42" s="992"/>
      <c r="U42" s="1465"/>
      <c r="V42" s="1209"/>
      <c r="W42" s="1210"/>
      <c r="X42" s="715"/>
      <c r="Y42" s="1474"/>
      <c r="Z42" s="1473"/>
      <c r="AA42" s="715"/>
      <c r="AB42" s="715"/>
      <c r="AC42" s="715"/>
      <c r="AD42" s="715"/>
      <c r="AE42" s="715"/>
      <c r="AF42" s="715"/>
      <c r="AG42" s="715"/>
      <c r="AH42" s="715"/>
      <c r="AI42" s="715"/>
      <c r="AJ42" s="715"/>
      <c r="AK42" s="992"/>
      <c r="AL42" s="715"/>
    </row>
    <row r="43" s="1364" customFormat="1" ht="27.5" customHeight="1" spans="1:38">
      <c r="A43" s="1662"/>
      <c r="B43" s="1192"/>
      <c r="C43" s="1150"/>
      <c r="D43" s="1420"/>
      <c r="E43" s="1198"/>
      <c r="F43" s="1157" t="s">
        <v>1236</v>
      </c>
      <c r="G43" s="1199">
        <f>G42/2540000</f>
        <v>0.85424589984252</v>
      </c>
      <c r="H43" s="1199">
        <f>H42/2540000</f>
        <v>0.854245714330709</v>
      </c>
      <c r="I43" s="1199">
        <f>I42/4130000</f>
        <v>0.470841740738499</v>
      </c>
      <c r="J43" s="819"/>
      <c r="K43" s="858"/>
      <c r="L43" s="1135"/>
      <c r="M43" s="1135"/>
      <c r="N43" s="620"/>
      <c r="O43" s="727"/>
      <c r="P43" s="746"/>
      <c r="Q43" s="747"/>
      <c r="R43" s="747"/>
      <c r="S43" s="653"/>
      <c r="T43" s="653"/>
      <c r="U43" s="1184"/>
      <c r="V43" s="1184"/>
      <c r="W43" s="1185"/>
      <c r="X43" s="727"/>
      <c r="Y43" s="777"/>
      <c r="Z43" s="727"/>
      <c r="AA43" s="727"/>
      <c r="AB43" s="727"/>
      <c r="AC43" s="727"/>
      <c r="AD43" s="727"/>
      <c r="AE43" s="727"/>
      <c r="AF43" s="727"/>
      <c r="AG43" s="727"/>
      <c r="AH43" s="727"/>
      <c r="AI43" s="727"/>
      <c r="AJ43" s="727"/>
      <c r="AK43" s="727" t="s">
        <v>293</v>
      </c>
      <c r="AL43" s="727"/>
    </row>
    <row r="44" s="1363" customFormat="1" ht="18.75" customHeight="1" spans="1:38">
      <c r="A44" s="250" t="s">
        <v>1137</v>
      </c>
      <c r="B44" s="671" t="s">
        <v>344</v>
      </c>
      <c r="C44" s="557">
        <v>143</v>
      </c>
      <c r="D44" s="724" t="s">
        <v>299</v>
      </c>
      <c r="E44" s="1161" t="s">
        <v>1361</v>
      </c>
      <c r="F44" s="969">
        <f>P44*Q44</f>
        <v>35399</v>
      </c>
      <c r="G44" s="577">
        <f t="shared" ref="G44:G47" si="1">F44*J44</f>
        <v>236688.3337</v>
      </c>
      <c r="H44" s="577">
        <v>236688.3337</v>
      </c>
      <c r="I44" s="577">
        <v>236688.3337</v>
      </c>
      <c r="J44" s="819">
        <v>6.6863</v>
      </c>
      <c r="K44" s="1261" t="s">
        <v>1251</v>
      </c>
      <c r="L44" s="633">
        <v>44748</v>
      </c>
      <c r="M44" s="633" t="s">
        <v>735</v>
      </c>
      <c r="N44" s="1672">
        <f>SUM(I44:I48)</f>
        <v>947863.2606</v>
      </c>
      <c r="O44" s="597" t="s">
        <v>348</v>
      </c>
      <c r="P44" s="751">
        <v>91</v>
      </c>
      <c r="Q44" s="752">
        <v>389</v>
      </c>
      <c r="R44" s="1410"/>
      <c r="S44" s="1451"/>
      <c r="T44" s="1452"/>
      <c r="U44" s="1344"/>
      <c r="V44" s="1466"/>
      <c r="W44" s="1467"/>
      <c r="X44" s="1397"/>
      <c r="Y44" s="1475"/>
      <c r="Z44" s="1397"/>
      <c r="AA44" s="1397"/>
      <c r="AB44" s="1397"/>
      <c r="AC44" s="1397"/>
      <c r="AD44" s="1397"/>
      <c r="AE44" s="1397"/>
      <c r="AF44" s="1397"/>
      <c r="AG44" s="1397"/>
      <c r="AH44" s="1397"/>
      <c r="AI44" s="1397"/>
      <c r="AJ44" s="1477"/>
      <c r="AK44" s="1478"/>
      <c r="AL44" s="1398"/>
    </row>
    <row r="45" s="1363" customFormat="1" ht="18.75" customHeight="1" spans="1:38">
      <c r="A45" s="250"/>
      <c r="B45" s="671"/>
      <c r="C45" s="557"/>
      <c r="D45" s="724" t="s">
        <v>299</v>
      </c>
      <c r="E45" s="1161" t="s">
        <v>1362</v>
      </c>
      <c r="F45" s="969">
        <f>P45*Q45</f>
        <v>35399</v>
      </c>
      <c r="G45" s="577">
        <f t="shared" si="1"/>
        <v>236688.3337</v>
      </c>
      <c r="H45" s="577">
        <v>236688.3337</v>
      </c>
      <c r="I45" s="577">
        <v>236688.3337</v>
      </c>
      <c r="J45" s="819">
        <v>6.6863</v>
      </c>
      <c r="K45" s="1261" t="s">
        <v>1251</v>
      </c>
      <c r="L45" s="633">
        <v>44748</v>
      </c>
      <c r="M45" s="633" t="s">
        <v>735</v>
      </c>
      <c r="N45" s="1672">
        <f>SUM(I49:I56)</f>
        <v>1854164.5328</v>
      </c>
      <c r="O45" s="597" t="s">
        <v>348</v>
      </c>
      <c r="P45" s="751">
        <v>91</v>
      </c>
      <c r="Q45" s="752">
        <v>389</v>
      </c>
      <c r="R45" s="1410"/>
      <c r="S45" s="1451"/>
      <c r="T45" s="1452"/>
      <c r="U45" s="1344"/>
      <c r="V45" s="1466"/>
      <c r="W45" s="1467"/>
      <c r="X45" s="1397"/>
      <c r="Y45" s="1475"/>
      <c r="Z45" s="1397"/>
      <c r="AA45" s="1397"/>
      <c r="AB45" s="1397"/>
      <c r="AC45" s="1397"/>
      <c r="AD45" s="1397"/>
      <c r="AE45" s="1397"/>
      <c r="AF45" s="1397"/>
      <c r="AG45" s="1397"/>
      <c r="AH45" s="1397"/>
      <c r="AI45" s="1397"/>
      <c r="AJ45" s="1477"/>
      <c r="AK45" s="1478"/>
      <c r="AL45" s="1398"/>
    </row>
    <row r="46" s="1363" customFormat="1" ht="18.75" customHeight="1" spans="1:38">
      <c r="A46" s="250"/>
      <c r="B46" s="671"/>
      <c r="C46" s="557"/>
      <c r="D46" s="724" t="s">
        <v>299</v>
      </c>
      <c r="E46" s="1161" t="s">
        <v>1363</v>
      </c>
      <c r="F46" s="969">
        <v>35565</v>
      </c>
      <c r="G46" s="577">
        <f t="shared" si="1"/>
        <v>237798.2595</v>
      </c>
      <c r="H46" s="577">
        <f>F46*J46</f>
        <v>237798.2595</v>
      </c>
      <c r="I46" s="577">
        <f>F46*J46</f>
        <v>237798.2595</v>
      </c>
      <c r="J46" s="819">
        <v>6.6863</v>
      </c>
      <c r="K46" s="1261" t="s">
        <v>1251</v>
      </c>
      <c r="L46" s="633">
        <v>44757</v>
      </c>
      <c r="M46" s="633" t="s">
        <v>1364</v>
      </c>
      <c r="N46" s="1672">
        <f>SUM(I57:I58)</f>
        <v>441202.1918</v>
      </c>
      <c r="O46" s="597" t="s">
        <v>348</v>
      </c>
      <c r="P46" s="751">
        <v>91</v>
      </c>
      <c r="Q46" s="752">
        <v>389</v>
      </c>
      <c r="R46" s="1410" t="s">
        <v>1365</v>
      </c>
      <c r="S46" s="1451"/>
      <c r="T46" s="1452"/>
      <c r="U46" s="1344"/>
      <c r="V46" s="1466"/>
      <c r="W46" s="1467"/>
      <c r="X46" s="1397"/>
      <c r="Y46" s="1475"/>
      <c r="Z46" s="1397"/>
      <c r="AA46" s="1397"/>
      <c r="AB46" s="1397"/>
      <c r="AC46" s="1397"/>
      <c r="AD46" s="1397"/>
      <c r="AE46" s="1397"/>
      <c r="AF46" s="1397"/>
      <c r="AG46" s="1397"/>
      <c r="AH46" s="1397"/>
      <c r="AI46" s="1397"/>
      <c r="AJ46" s="1477"/>
      <c r="AK46" s="1478"/>
      <c r="AL46" s="1398"/>
    </row>
    <row r="47" s="1363" customFormat="1" ht="18.75" customHeight="1" spans="1:38">
      <c r="A47" s="250"/>
      <c r="B47" s="671"/>
      <c r="C47" s="557"/>
      <c r="D47" s="724" t="s">
        <v>299</v>
      </c>
      <c r="E47" s="1161" t="s">
        <v>1366</v>
      </c>
      <c r="F47" s="969">
        <v>35399</v>
      </c>
      <c r="G47" s="577">
        <f t="shared" si="1"/>
        <v>236688.3337</v>
      </c>
      <c r="H47" s="577">
        <v>236688.3337</v>
      </c>
      <c r="I47" s="577">
        <v>236688.3337</v>
      </c>
      <c r="J47" s="819">
        <v>6.6863</v>
      </c>
      <c r="K47" s="1261" t="s">
        <v>1251</v>
      </c>
      <c r="L47" s="633">
        <v>44757</v>
      </c>
      <c r="M47" s="633" t="s">
        <v>1364</v>
      </c>
      <c r="N47" s="1672"/>
      <c r="O47" s="597" t="s">
        <v>348</v>
      </c>
      <c r="P47" s="751">
        <v>91</v>
      </c>
      <c r="Q47" s="752">
        <v>389</v>
      </c>
      <c r="R47" s="1410"/>
      <c r="S47" s="1451"/>
      <c r="T47" s="1452"/>
      <c r="U47" s="1344"/>
      <c r="V47" s="1466"/>
      <c r="W47" s="1467"/>
      <c r="X47" s="1397"/>
      <c r="Y47" s="1475"/>
      <c r="Z47" s="1397"/>
      <c r="AA47" s="1397"/>
      <c r="AB47" s="1397"/>
      <c r="AC47" s="1397"/>
      <c r="AD47" s="1397"/>
      <c r="AE47" s="1397"/>
      <c r="AF47" s="1397"/>
      <c r="AG47" s="1397"/>
      <c r="AH47" s="1397"/>
      <c r="AI47" s="1397"/>
      <c r="AJ47" s="1477"/>
      <c r="AK47" s="1478"/>
      <c r="AL47" s="1398"/>
    </row>
    <row r="48" s="1363" customFormat="1" ht="18.75" customHeight="1" spans="1:38">
      <c r="A48" s="250"/>
      <c r="B48" s="671"/>
      <c r="C48" s="557"/>
      <c r="D48" s="724"/>
      <c r="E48" s="572"/>
      <c r="F48" s="969"/>
      <c r="G48" s="577"/>
      <c r="H48" s="577"/>
      <c r="I48" s="600"/>
      <c r="J48" s="819"/>
      <c r="K48" s="1261"/>
      <c r="L48" s="1261"/>
      <c r="M48" s="1261"/>
      <c r="N48" s="1634"/>
      <c r="O48" s="597"/>
      <c r="P48" s="751"/>
      <c r="Q48" s="752"/>
      <c r="R48" s="1410"/>
      <c r="S48" s="1451"/>
      <c r="T48" s="1452"/>
      <c r="U48" s="1344"/>
      <c r="V48" s="1466"/>
      <c r="W48" s="1467"/>
      <c r="X48" s="1397"/>
      <c r="Y48" s="1475"/>
      <c r="Z48" s="1397"/>
      <c r="AA48" s="1397"/>
      <c r="AB48" s="1397"/>
      <c r="AC48" s="1397"/>
      <c r="AD48" s="1397"/>
      <c r="AE48" s="1397"/>
      <c r="AF48" s="1397"/>
      <c r="AG48" s="1397"/>
      <c r="AH48" s="1397"/>
      <c r="AI48" s="1397"/>
      <c r="AJ48" s="1477"/>
      <c r="AK48" s="1478"/>
      <c r="AL48" s="1398"/>
    </row>
    <row r="49" s="1363" customFormat="1" ht="21.55" customHeight="1" spans="1:38">
      <c r="A49" s="250"/>
      <c r="B49" s="1188" t="s">
        <v>1145</v>
      </c>
      <c r="C49" s="655">
        <v>123</v>
      </c>
      <c r="D49" s="1663" t="s">
        <v>258</v>
      </c>
      <c r="E49" s="1526" t="s">
        <v>1186</v>
      </c>
      <c r="F49" s="1523">
        <v>40650</v>
      </c>
      <c r="G49" s="1434"/>
      <c r="H49" s="1434"/>
      <c r="I49" s="1434">
        <v>271798.1</v>
      </c>
      <c r="J49" s="1670">
        <v>6.6651</v>
      </c>
      <c r="K49" s="1587" t="s">
        <v>1251</v>
      </c>
      <c r="L49" s="1532">
        <v>44735</v>
      </c>
      <c r="M49" s="1532" t="s">
        <v>1367</v>
      </c>
      <c r="N49" s="1673"/>
      <c r="O49" s="597"/>
      <c r="P49" s="568"/>
      <c r="Q49" s="1240"/>
      <c r="R49" s="1453"/>
      <c r="S49" s="1461"/>
      <c r="T49" s="1462"/>
      <c r="U49" s="1397"/>
      <c r="V49" s="1466"/>
      <c r="W49" s="1467"/>
      <c r="X49" s="1397"/>
      <c r="Y49" s="1475"/>
      <c r="Z49" s="1397"/>
      <c r="AA49" s="1397"/>
      <c r="AB49" s="1397"/>
      <c r="AC49" s="1397"/>
      <c r="AD49" s="1397"/>
      <c r="AE49" s="1397"/>
      <c r="AF49" s="1397"/>
      <c r="AG49" s="1397"/>
      <c r="AH49" s="1397"/>
      <c r="AI49" s="1397"/>
      <c r="AJ49" s="715"/>
      <c r="AK49" s="561"/>
      <c r="AL49" s="1397"/>
    </row>
    <row r="50" s="1363" customFormat="1" ht="21.55" customHeight="1" spans="1:38">
      <c r="A50" s="250"/>
      <c r="B50" s="1188"/>
      <c r="C50" s="655"/>
      <c r="D50" s="1664" t="s">
        <v>663</v>
      </c>
      <c r="E50" s="1526" t="s">
        <v>1265</v>
      </c>
      <c r="F50" s="1523">
        <v>36960</v>
      </c>
      <c r="G50" s="1434"/>
      <c r="H50" s="1434"/>
      <c r="I50" s="1434">
        <v>247125.65</v>
      </c>
      <c r="J50" s="1670">
        <v>6.6651</v>
      </c>
      <c r="K50" s="1587" t="s">
        <v>1251</v>
      </c>
      <c r="L50" s="1532">
        <v>44741</v>
      </c>
      <c r="M50" s="1532" t="s">
        <v>1367</v>
      </c>
      <c r="N50" s="1673"/>
      <c r="O50" s="597"/>
      <c r="P50" s="568"/>
      <c r="Q50" s="1240"/>
      <c r="R50" s="1453"/>
      <c r="S50" s="1461"/>
      <c r="T50" s="1462"/>
      <c r="U50" s="1397"/>
      <c r="V50" s="1466"/>
      <c r="W50" s="1467"/>
      <c r="X50" s="1397"/>
      <c r="Y50" s="1475"/>
      <c r="Z50" s="1397"/>
      <c r="AA50" s="1397"/>
      <c r="AB50" s="1397"/>
      <c r="AC50" s="1397"/>
      <c r="AD50" s="1397"/>
      <c r="AE50" s="1397"/>
      <c r="AF50" s="1397"/>
      <c r="AG50" s="1397"/>
      <c r="AH50" s="1397"/>
      <c r="AI50" s="1397"/>
      <c r="AJ50" s="715"/>
      <c r="AK50" s="561"/>
      <c r="AL50" s="1397"/>
    </row>
    <row r="51" s="1363" customFormat="1" ht="21.55" customHeight="1" spans="1:38">
      <c r="A51" s="250"/>
      <c r="B51" s="1188"/>
      <c r="C51" s="655"/>
      <c r="D51" s="1664" t="s">
        <v>882</v>
      </c>
      <c r="E51" s="1526" t="s">
        <v>1193</v>
      </c>
      <c r="F51" s="1523">
        <v>37950</v>
      </c>
      <c r="G51" s="1434"/>
      <c r="H51" s="1434"/>
      <c r="I51" s="1434">
        <v>253745.09</v>
      </c>
      <c r="J51" s="1670">
        <v>6.6651</v>
      </c>
      <c r="K51" s="1587" t="s">
        <v>1251</v>
      </c>
      <c r="L51" s="1532">
        <v>44733</v>
      </c>
      <c r="M51" s="1532" t="s">
        <v>1368</v>
      </c>
      <c r="N51" s="1673"/>
      <c r="O51" s="597"/>
      <c r="P51" s="568"/>
      <c r="Q51" s="1240"/>
      <c r="R51" s="1453"/>
      <c r="S51" s="1461"/>
      <c r="T51" s="1462"/>
      <c r="U51" s="1397"/>
      <c r="V51" s="1466"/>
      <c r="W51" s="1467"/>
      <c r="X51" s="1397"/>
      <c r="Y51" s="1475"/>
      <c r="Z51" s="1397"/>
      <c r="AA51" s="1397"/>
      <c r="AB51" s="1397"/>
      <c r="AC51" s="1397"/>
      <c r="AD51" s="1397"/>
      <c r="AE51" s="1397"/>
      <c r="AF51" s="1397"/>
      <c r="AG51" s="1397"/>
      <c r="AH51" s="1397"/>
      <c r="AI51" s="1397"/>
      <c r="AJ51" s="715"/>
      <c r="AK51" s="561"/>
      <c r="AL51" s="1397"/>
    </row>
    <row r="52" s="1363" customFormat="1" ht="21.55" customHeight="1" spans="1:38">
      <c r="A52" s="250"/>
      <c r="B52" s="1188"/>
      <c r="C52" s="655"/>
      <c r="D52" s="1665" t="s">
        <v>267</v>
      </c>
      <c r="E52" s="1526" t="s">
        <v>1272</v>
      </c>
      <c r="F52" s="1523">
        <v>41938</v>
      </c>
      <c r="G52" s="1434"/>
      <c r="H52" s="1434"/>
      <c r="I52" s="1434">
        <v>280410.07</v>
      </c>
      <c r="J52" s="1670">
        <v>6.6651</v>
      </c>
      <c r="K52" s="1587" t="s">
        <v>1251</v>
      </c>
      <c r="L52" s="1532">
        <v>44739</v>
      </c>
      <c r="M52" s="1532" t="s">
        <v>1367</v>
      </c>
      <c r="N52" s="1673"/>
      <c r="O52" s="597"/>
      <c r="P52" s="568"/>
      <c r="Q52" s="1240"/>
      <c r="R52" s="1453"/>
      <c r="S52" s="1461"/>
      <c r="T52" s="1462"/>
      <c r="U52" s="1397"/>
      <c r="V52" s="1466"/>
      <c r="W52" s="1467"/>
      <c r="X52" s="1397"/>
      <c r="Y52" s="1475"/>
      <c r="Z52" s="1397"/>
      <c r="AA52" s="1397"/>
      <c r="AB52" s="1397"/>
      <c r="AC52" s="1397"/>
      <c r="AD52" s="1397"/>
      <c r="AE52" s="1397"/>
      <c r="AF52" s="1397"/>
      <c r="AG52" s="1397"/>
      <c r="AH52" s="1397"/>
      <c r="AI52" s="1397"/>
      <c r="AJ52" s="715"/>
      <c r="AK52" s="561"/>
      <c r="AL52" s="1397"/>
    </row>
    <row r="53" s="1363" customFormat="1" ht="21.55" customHeight="1" spans="1:38">
      <c r="A53" s="250"/>
      <c r="B53" s="1188"/>
      <c r="C53" s="655"/>
      <c r="D53" s="1666" t="s">
        <v>1274</v>
      </c>
      <c r="E53" s="1526" t="s">
        <v>1275</v>
      </c>
      <c r="F53" s="1523">
        <v>42754</v>
      </c>
      <c r="G53" s="1434"/>
      <c r="H53" s="1434"/>
      <c r="I53" s="1434">
        <v>285866.09</v>
      </c>
      <c r="J53" s="1670">
        <v>6.6651</v>
      </c>
      <c r="K53" s="1587" t="s">
        <v>1251</v>
      </c>
      <c r="L53" s="1532">
        <v>44735</v>
      </c>
      <c r="M53" s="1532" t="s">
        <v>1367</v>
      </c>
      <c r="N53" s="1673"/>
      <c r="O53" s="597"/>
      <c r="P53" s="568"/>
      <c r="Q53" s="1240"/>
      <c r="R53" s="1453"/>
      <c r="S53" s="1461"/>
      <c r="T53" s="1462"/>
      <c r="U53" s="1397"/>
      <c r="V53" s="1466"/>
      <c r="W53" s="1467"/>
      <c r="X53" s="1397"/>
      <c r="Y53" s="1475"/>
      <c r="Z53" s="1397"/>
      <c r="AA53" s="1397"/>
      <c r="AB53" s="1397"/>
      <c r="AC53" s="1397"/>
      <c r="AD53" s="1397"/>
      <c r="AE53" s="1397"/>
      <c r="AF53" s="1397"/>
      <c r="AG53" s="1397"/>
      <c r="AH53" s="1397"/>
      <c r="AI53" s="1397"/>
      <c r="AJ53" s="715"/>
      <c r="AK53" s="561"/>
      <c r="AL53" s="1397"/>
    </row>
    <row r="54" s="1363" customFormat="1" ht="21.55" customHeight="1" spans="1:38">
      <c r="A54" s="250"/>
      <c r="B54" s="1188"/>
      <c r="C54" s="655"/>
      <c r="D54" s="1426" t="s">
        <v>660</v>
      </c>
      <c r="E54" s="1526" t="s">
        <v>1369</v>
      </c>
      <c r="F54" s="969">
        <v>7140</v>
      </c>
      <c r="G54" s="577">
        <f>F54*J54</f>
        <v>47740.182</v>
      </c>
      <c r="H54" s="577">
        <f>F54*J54</f>
        <v>47740.182</v>
      </c>
      <c r="I54" s="577">
        <f>F54*J54</f>
        <v>47740.182</v>
      </c>
      <c r="J54" s="819">
        <v>6.6863</v>
      </c>
      <c r="K54" s="1453" t="s">
        <v>1370</v>
      </c>
      <c r="L54" s="1261">
        <v>44764</v>
      </c>
      <c r="M54" s="1261" t="s">
        <v>1371</v>
      </c>
      <c r="N54" s="1214" t="s">
        <v>1372</v>
      </c>
      <c r="O54" s="597"/>
      <c r="P54" s="568"/>
      <c r="Q54" s="1240"/>
      <c r="R54" s="1464"/>
      <c r="S54" s="1461"/>
      <c r="T54" s="1462"/>
      <c r="U54" s="1397"/>
      <c r="V54" s="1466"/>
      <c r="W54" s="1467"/>
      <c r="X54" s="1397"/>
      <c r="Y54" s="1475"/>
      <c r="Z54" s="1397"/>
      <c r="AA54" s="1397"/>
      <c r="AB54" s="1397"/>
      <c r="AC54" s="1397"/>
      <c r="AD54" s="1397"/>
      <c r="AE54" s="1397"/>
      <c r="AF54" s="1397"/>
      <c r="AG54" s="1397"/>
      <c r="AH54" s="1397"/>
      <c r="AI54" s="1397"/>
      <c r="AJ54" s="715"/>
      <c r="AK54" s="561"/>
      <c r="AL54" s="1397"/>
    </row>
    <row r="55" s="1363" customFormat="1" ht="21.55" customHeight="1" spans="1:38">
      <c r="A55" s="250"/>
      <c r="B55" s="1188"/>
      <c r="C55" s="655"/>
      <c r="D55" s="1426" t="s">
        <v>660</v>
      </c>
      <c r="E55" s="1526" t="s">
        <v>1373</v>
      </c>
      <c r="F55" s="969">
        <v>69916</v>
      </c>
      <c r="G55" s="577">
        <f>F55*J55</f>
        <v>467479.3508</v>
      </c>
      <c r="H55" s="577">
        <f>F55*J55</f>
        <v>467479.3508</v>
      </c>
      <c r="I55" s="577">
        <f>F55*J55</f>
        <v>467479.3508</v>
      </c>
      <c r="J55" s="819">
        <v>6.6863</v>
      </c>
      <c r="K55" s="1453" t="s">
        <v>1374</v>
      </c>
      <c r="L55" s="1261">
        <v>44764</v>
      </c>
      <c r="M55" s="1261" t="s">
        <v>1371</v>
      </c>
      <c r="N55" s="1214" t="s">
        <v>1372</v>
      </c>
      <c r="O55" s="597"/>
      <c r="P55" s="568"/>
      <c r="Q55" s="1240"/>
      <c r="R55" s="1464"/>
      <c r="S55" s="1461"/>
      <c r="T55" s="1462"/>
      <c r="U55" s="1397"/>
      <c r="V55" s="1466"/>
      <c r="W55" s="1467"/>
      <c r="X55" s="1397"/>
      <c r="Y55" s="1475"/>
      <c r="Z55" s="1397"/>
      <c r="AA55" s="1397"/>
      <c r="AB55" s="1397"/>
      <c r="AC55" s="1397"/>
      <c r="AD55" s="1397"/>
      <c r="AE55" s="1397"/>
      <c r="AF55" s="1397"/>
      <c r="AG55" s="1397"/>
      <c r="AH55" s="1397"/>
      <c r="AI55" s="1397"/>
      <c r="AJ55" s="715"/>
      <c r="AK55" s="561"/>
      <c r="AL55" s="1397"/>
    </row>
    <row r="56" s="1363" customFormat="1" ht="21.55" customHeight="1" spans="1:38">
      <c r="A56" s="250"/>
      <c r="B56" s="1188"/>
      <c r="C56" s="655"/>
      <c r="D56" s="1426"/>
      <c r="E56" s="724"/>
      <c r="F56" s="969"/>
      <c r="G56" s="577"/>
      <c r="H56" s="577"/>
      <c r="I56" s="577"/>
      <c r="J56" s="819"/>
      <c r="K56" s="1568"/>
      <c r="L56" s="1261"/>
      <c r="M56" s="1261"/>
      <c r="N56" s="1634"/>
      <c r="O56" s="597"/>
      <c r="P56" s="568"/>
      <c r="Q56" s="1240"/>
      <c r="R56" s="1464"/>
      <c r="S56" s="1461"/>
      <c r="T56" s="1462"/>
      <c r="U56" s="1397"/>
      <c r="V56" s="1466"/>
      <c r="W56" s="1467"/>
      <c r="X56" s="1397"/>
      <c r="Y56" s="1475"/>
      <c r="Z56" s="1397"/>
      <c r="AA56" s="1397"/>
      <c r="AB56" s="1397"/>
      <c r="AC56" s="1397"/>
      <c r="AD56" s="1397"/>
      <c r="AE56" s="1397"/>
      <c r="AF56" s="1397"/>
      <c r="AG56" s="1397"/>
      <c r="AH56" s="1397"/>
      <c r="AI56" s="1397"/>
      <c r="AJ56" s="715"/>
      <c r="AK56" s="561"/>
      <c r="AL56" s="1397"/>
    </row>
    <row r="57" s="536" customFormat="1" ht="21.55" customHeight="1" spans="1:38">
      <c r="A57" s="250"/>
      <c r="B57" s="664" t="s">
        <v>509</v>
      </c>
      <c r="C57" s="655">
        <v>91</v>
      </c>
      <c r="D57" s="1346" t="s">
        <v>324</v>
      </c>
      <c r="E57" s="1526" t="s">
        <v>1282</v>
      </c>
      <c r="F57" s="969">
        <f>P57*Q57</f>
        <v>31416</v>
      </c>
      <c r="G57" s="602"/>
      <c r="H57" s="577"/>
      <c r="I57" s="577">
        <f>F57*J57</f>
        <v>210056.8008</v>
      </c>
      <c r="J57" s="819">
        <v>6.6863</v>
      </c>
      <c r="K57" s="1587" t="s">
        <v>1251</v>
      </c>
      <c r="L57" s="1261">
        <v>44734</v>
      </c>
      <c r="M57" s="1261" t="s">
        <v>1375</v>
      </c>
      <c r="N57" s="1673"/>
      <c r="O57" s="1450" t="s">
        <v>507</v>
      </c>
      <c r="P57" s="568">
        <v>66</v>
      </c>
      <c r="Q57" s="1240">
        <v>476</v>
      </c>
      <c r="R57" s="819"/>
      <c r="S57" s="1677"/>
      <c r="T57" s="1457"/>
      <c r="U57" s="542"/>
      <c r="V57" s="1468"/>
      <c r="W57" s="1469"/>
      <c r="X57" s="715"/>
      <c r="Y57" s="744"/>
      <c r="Z57" s="715"/>
      <c r="AA57" s="715"/>
      <c r="AB57" s="715"/>
      <c r="AC57" s="715"/>
      <c r="AD57" s="715"/>
      <c r="AE57" s="715"/>
      <c r="AF57" s="715"/>
      <c r="AG57" s="715"/>
      <c r="AH57" s="715"/>
      <c r="AI57" s="715"/>
      <c r="AJ57" s="715"/>
      <c r="AK57" s="568"/>
      <c r="AL57" s="715"/>
    </row>
    <row r="58" s="536" customFormat="1" ht="18.75" customHeight="1" spans="1:38">
      <c r="A58" s="250"/>
      <c r="B58" s="664"/>
      <c r="C58" s="655"/>
      <c r="D58" s="1346" t="s">
        <v>133</v>
      </c>
      <c r="E58" s="1526" t="s">
        <v>1209</v>
      </c>
      <c r="F58" s="969">
        <v>34570</v>
      </c>
      <c r="G58" s="602"/>
      <c r="H58" s="577"/>
      <c r="I58" s="577">
        <f>F58*J58</f>
        <v>231145.391</v>
      </c>
      <c r="J58" s="819">
        <v>6.6863</v>
      </c>
      <c r="K58" s="1587" t="s">
        <v>1251</v>
      </c>
      <c r="L58" s="1261">
        <v>44733</v>
      </c>
      <c r="M58" s="1261" t="s">
        <v>1326</v>
      </c>
      <c r="N58" s="1673"/>
      <c r="O58" s="1450" t="s">
        <v>399</v>
      </c>
      <c r="P58" s="568">
        <v>90</v>
      </c>
      <c r="Q58" s="1240">
        <v>385</v>
      </c>
      <c r="R58" s="819"/>
      <c r="S58" s="1677"/>
      <c r="T58" s="1457"/>
      <c r="U58" s="542"/>
      <c r="V58" s="1468"/>
      <c r="W58" s="1469"/>
      <c r="X58" s="1218"/>
      <c r="Y58" s="1572"/>
      <c r="Z58" s="715"/>
      <c r="AA58" s="715"/>
      <c r="AB58" s="715"/>
      <c r="AC58" s="715"/>
      <c r="AD58" s="715"/>
      <c r="AE58" s="715"/>
      <c r="AF58" s="715"/>
      <c r="AG58" s="715"/>
      <c r="AH58" s="715"/>
      <c r="AI58" s="715"/>
      <c r="AJ58" s="1496"/>
      <c r="AK58" s="1575"/>
      <c r="AL58" s="1500"/>
    </row>
    <row r="59" s="536" customFormat="1" ht="18.75" customHeight="1" spans="1:38">
      <c r="A59" s="250"/>
      <c r="B59" s="664"/>
      <c r="C59" s="655"/>
      <c r="D59" s="1667" t="s">
        <v>274</v>
      </c>
      <c r="E59" s="1526" t="s">
        <v>1281</v>
      </c>
      <c r="F59" s="1669">
        <v>12186</v>
      </c>
      <c r="G59" s="1434"/>
      <c r="H59" s="1434"/>
      <c r="I59" s="1434">
        <f>F59*J59</f>
        <v>81479.2518</v>
      </c>
      <c r="J59" s="819">
        <v>6.6863</v>
      </c>
      <c r="K59" s="1671">
        <v>44727</v>
      </c>
      <c r="L59" s="1532">
        <v>44728</v>
      </c>
      <c r="M59" s="1532" t="s">
        <v>1376</v>
      </c>
      <c r="N59" s="1674"/>
      <c r="O59" s="1450"/>
      <c r="P59" s="568"/>
      <c r="Q59" s="1240"/>
      <c r="R59" s="819"/>
      <c r="S59" s="1677"/>
      <c r="T59" s="1457"/>
      <c r="U59" s="542"/>
      <c r="V59" s="1468"/>
      <c r="W59" s="1469"/>
      <c r="X59" s="1218"/>
      <c r="Y59" s="1572"/>
      <c r="Z59" s="715"/>
      <c r="AA59" s="715"/>
      <c r="AB59" s="715"/>
      <c r="AC59" s="715"/>
      <c r="AD59" s="715"/>
      <c r="AE59" s="715"/>
      <c r="AF59" s="715"/>
      <c r="AG59" s="715"/>
      <c r="AH59" s="715"/>
      <c r="AI59" s="715"/>
      <c r="AJ59" s="1496"/>
      <c r="AK59" s="1575"/>
      <c r="AL59" s="1500"/>
    </row>
    <row r="60" s="536" customFormat="1" ht="18.75" customHeight="1" spans="1:38">
      <c r="A60" s="250"/>
      <c r="B60" s="671"/>
      <c r="C60" s="1554"/>
      <c r="D60" s="1667"/>
      <c r="E60" s="1330"/>
      <c r="F60" s="1669"/>
      <c r="G60" s="1434"/>
      <c r="H60" s="1434"/>
      <c r="I60" s="1434"/>
      <c r="J60" s="819"/>
      <c r="K60" s="1671"/>
      <c r="L60" s="1532"/>
      <c r="M60" s="1675"/>
      <c r="N60" s="1676"/>
      <c r="O60" s="1450"/>
      <c r="P60" s="568"/>
      <c r="Q60" s="1240"/>
      <c r="R60" s="819"/>
      <c r="S60" s="1677"/>
      <c r="T60" s="1457"/>
      <c r="U60" s="542"/>
      <c r="V60" s="1468"/>
      <c r="W60" s="1469"/>
      <c r="X60" s="1218"/>
      <c r="Y60" s="1572"/>
      <c r="Z60" s="715"/>
      <c r="AA60" s="715"/>
      <c r="AB60" s="715"/>
      <c r="AC60" s="715"/>
      <c r="AD60" s="715"/>
      <c r="AE60" s="715"/>
      <c r="AF60" s="715"/>
      <c r="AG60" s="715"/>
      <c r="AH60" s="715"/>
      <c r="AI60" s="715"/>
      <c r="AJ60" s="1496"/>
      <c r="AK60" s="1575"/>
      <c r="AL60" s="1500"/>
    </row>
    <row r="61" s="1364" customFormat="1" ht="32.5" customHeight="1" spans="1:38">
      <c r="A61" s="250"/>
      <c r="B61" s="1190" t="s">
        <v>1124</v>
      </c>
      <c r="C61" s="1219">
        <f>SUM(C44:C58)</f>
        <v>357</v>
      </c>
      <c r="D61" s="1144"/>
      <c r="E61" s="1144"/>
      <c r="F61" s="1159" t="s">
        <v>1235</v>
      </c>
      <c r="G61" s="1230">
        <f>SUM(G44:G58)</f>
        <v>1463082.7934</v>
      </c>
      <c r="H61" s="1230">
        <f>SUM(H44:H58)</f>
        <v>1463082.7934</v>
      </c>
      <c r="I61" s="1230">
        <f>SUM(I44:I59)</f>
        <v>3324709.237</v>
      </c>
      <c r="J61" s="808"/>
      <c r="K61" s="809"/>
      <c r="L61" s="821"/>
      <c r="M61" s="996"/>
      <c r="N61" s="1641"/>
      <c r="O61" s="727"/>
      <c r="P61" s="652"/>
      <c r="Q61" s="653"/>
      <c r="R61" s="809"/>
      <c r="S61" s="809">
        <v>0</v>
      </c>
      <c r="T61" s="809">
        <v>0</v>
      </c>
      <c r="U61" s="1184"/>
      <c r="V61" s="1184"/>
      <c r="W61" s="1185"/>
      <c r="X61" s="1490"/>
      <c r="Y61" s="1495"/>
      <c r="Z61" s="727"/>
      <c r="AA61" s="727"/>
      <c r="AB61" s="727"/>
      <c r="AC61" s="727"/>
      <c r="AD61" s="727"/>
      <c r="AE61" s="727"/>
      <c r="AF61" s="727"/>
      <c r="AG61" s="727"/>
      <c r="AH61" s="727"/>
      <c r="AI61" s="727"/>
      <c r="AJ61" s="1497"/>
      <c r="AK61" s="1501" t="s">
        <v>325</v>
      </c>
      <c r="AL61" s="1501"/>
    </row>
    <row r="62" s="1364" customFormat="1" ht="32.5" customHeight="1" spans="1:38">
      <c r="A62" s="250"/>
      <c r="B62" s="1192"/>
      <c r="C62" s="1150"/>
      <c r="D62" s="1144"/>
      <c r="E62" s="1144"/>
      <c r="F62" s="1159" t="s">
        <v>1236</v>
      </c>
      <c r="G62" s="1160">
        <f>G61/3570000</f>
        <v>0.409827112997199</v>
      </c>
      <c r="H62" s="1160">
        <f>H61/3570000</f>
        <v>0.409827112997199</v>
      </c>
      <c r="I62" s="1160">
        <f>I61/4260000</f>
        <v>0.78044817769953</v>
      </c>
      <c r="J62" s="808"/>
      <c r="K62" s="809"/>
      <c r="L62" s="821"/>
      <c r="M62" s="996"/>
      <c r="N62" s="1641"/>
      <c r="O62" s="727"/>
      <c r="P62" s="652"/>
      <c r="Q62" s="653"/>
      <c r="R62" s="809"/>
      <c r="S62" s="809"/>
      <c r="T62" s="809"/>
      <c r="U62" s="1184"/>
      <c r="V62" s="1184"/>
      <c r="W62" s="1185"/>
      <c r="X62" s="1094"/>
      <c r="Y62" s="1094"/>
      <c r="Z62" s="1094"/>
      <c r="AA62" s="1094"/>
      <c r="AB62" s="1094"/>
      <c r="AC62" s="1094"/>
      <c r="AD62" s="1094"/>
      <c r="AE62" s="1094"/>
      <c r="AF62" s="1094"/>
      <c r="AG62" s="1094"/>
      <c r="AH62" s="1094"/>
      <c r="AI62" s="1094"/>
      <c r="AJ62" s="1094"/>
      <c r="AK62" s="1094"/>
      <c r="AL62" s="1094"/>
    </row>
    <row r="63" s="1365" customFormat="1" ht="30" customHeight="1" spans="1:38">
      <c r="A63" s="1367" t="s">
        <v>1163</v>
      </c>
      <c r="B63" s="1367"/>
      <c r="C63" s="1380">
        <f t="shared" ref="C63:I63" si="2">C23+C42+C61</f>
        <v>1130</v>
      </c>
      <c r="D63" s="1378"/>
      <c r="E63" s="1378"/>
      <c r="F63" s="1378" t="s">
        <v>14</v>
      </c>
      <c r="G63" s="1481">
        <f t="shared" si="2"/>
        <v>7339407.8722</v>
      </c>
      <c r="H63" s="1481">
        <f t="shared" si="2"/>
        <v>7339408.3163</v>
      </c>
      <c r="I63" s="1481">
        <f t="shared" si="2"/>
        <v>7656631.67925</v>
      </c>
      <c r="J63" s="1378"/>
      <c r="K63" s="1378"/>
      <c r="L63" s="1483"/>
      <c r="M63" s="1483"/>
      <c r="N63" s="1608"/>
      <c r="O63" s="1378"/>
      <c r="P63" s="1380"/>
      <c r="Q63" s="1378"/>
      <c r="R63" s="1378"/>
      <c r="S63" s="1378"/>
      <c r="T63" s="1378"/>
      <c r="U63" s="1378"/>
      <c r="V63" s="1378"/>
      <c r="W63" s="1491"/>
      <c r="X63" s="1492"/>
      <c r="Y63" s="1492"/>
      <c r="Z63" s="1492"/>
      <c r="AA63" s="1492"/>
      <c r="AB63" s="1492"/>
      <c r="AC63" s="1492"/>
      <c r="AD63" s="1492"/>
      <c r="AE63" s="1492"/>
      <c r="AF63" s="1492"/>
      <c r="AG63" s="1492"/>
      <c r="AH63" s="1492"/>
      <c r="AI63" s="1492"/>
      <c r="AJ63" s="1492"/>
      <c r="AK63" s="1492"/>
      <c r="AL63" s="1492"/>
    </row>
    <row r="64" s="1365" customFormat="1" ht="30" customHeight="1" spans="1:38">
      <c r="A64" s="1367"/>
      <c r="B64" s="1367"/>
      <c r="C64" s="1380"/>
      <c r="D64" s="1378"/>
      <c r="E64" s="1378"/>
      <c r="F64" s="1378" t="s">
        <v>1236</v>
      </c>
      <c r="G64" s="1482">
        <f t="shared" ref="G64:I64" si="3">G63/11300000</f>
        <v>0.649505121433628</v>
      </c>
      <c r="H64" s="1482">
        <f t="shared" si="3"/>
        <v>0.649505160734513</v>
      </c>
      <c r="I64" s="1482">
        <f t="shared" si="3"/>
        <v>0.677578024712389</v>
      </c>
      <c r="J64" s="1378"/>
      <c r="K64" s="1378"/>
      <c r="L64" s="1483"/>
      <c r="M64" s="1483"/>
      <c r="N64" s="1608"/>
      <c r="O64" s="1378"/>
      <c r="P64" s="1378"/>
      <c r="Q64" s="1378"/>
      <c r="R64" s="1378"/>
      <c r="S64" s="1378"/>
      <c r="T64" s="1378"/>
      <c r="U64" s="1378"/>
      <c r="V64" s="1378"/>
      <c r="W64" s="1378"/>
      <c r="X64" s="1492"/>
      <c r="Y64" s="1492"/>
      <c r="Z64" s="1492"/>
      <c r="AA64" s="1492"/>
      <c r="AB64" s="1492"/>
      <c r="AC64" s="1492"/>
      <c r="AD64" s="1492"/>
      <c r="AE64" s="1492"/>
      <c r="AF64" s="1492"/>
      <c r="AG64" s="1492"/>
      <c r="AH64" s="1492"/>
      <c r="AI64" s="1492"/>
      <c r="AJ64" s="1492"/>
      <c r="AK64" s="1492"/>
      <c r="AL64" s="1492"/>
    </row>
    <row r="65" s="417" customFormat="1" spans="2:38">
      <c r="B65" s="1090"/>
      <c r="C65" s="878"/>
      <c r="D65" s="1090"/>
      <c r="E65" s="1090"/>
      <c r="F65" s="1090"/>
      <c r="G65" s="850"/>
      <c r="H65" s="850"/>
      <c r="I65" s="850"/>
      <c r="J65" s="1090"/>
      <c r="K65" s="1090"/>
      <c r="L65" s="896"/>
      <c r="M65" s="896"/>
      <c r="N65" s="1607"/>
      <c r="O65" s="1090"/>
      <c r="P65" s="878"/>
      <c r="Q65" s="1090"/>
      <c r="R65" s="1090"/>
      <c r="S65" s="1090"/>
      <c r="T65" s="1090"/>
      <c r="U65" s="1090"/>
      <c r="V65" s="1090"/>
      <c r="W65" s="1242"/>
      <c r="X65" s="1090"/>
      <c r="Y65" s="1090"/>
      <c r="Z65" s="1090"/>
      <c r="AA65" s="1090"/>
      <c r="AB65" s="1090"/>
      <c r="AC65" s="1090"/>
      <c r="AD65" s="1090"/>
      <c r="AE65" s="1090"/>
      <c r="AF65" s="1090"/>
      <c r="AG65" s="1090"/>
      <c r="AH65" s="1090"/>
      <c r="AI65" s="1090"/>
      <c r="AJ65" s="1090"/>
      <c r="AK65" s="1090"/>
      <c r="AL65" s="1090"/>
    </row>
    <row r="66" s="417" customFormat="1" spans="2:38">
      <c r="B66" s="1090"/>
      <c r="C66" s="878"/>
      <c r="D66" s="1090"/>
      <c r="E66" s="1090" t="s">
        <v>139</v>
      </c>
      <c r="F66" s="1090"/>
      <c r="G66" s="880"/>
      <c r="H66" s="880"/>
      <c r="I66" s="880"/>
      <c r="J66" s="1090"/>
      <c r="K66" s="1090"/>
      <c r="L66" s="896"/>
      <c r="M66" s="896"/>
      <c r="N66" s="1607"/>
      <c r="O66" s="1090" t="s">
        <v>140</v>
      </c>
      <c r="P66" s="878"/>
      <c r="Q66" s="1090"/>
      <c r="R66" s="1090"/>
      <c r="S66" s="1488"/>
      <c r="T66" s="1090"/>
      <c r="U66" s="1488"/>
      <c r="V66" s="1090"/>
      <c r="W66" s="1242"/>
      <c r="X66" s="1090"/>
      <c r="Y66" s="1090"/>
      <c r="Z66" s="1090"/>
      <c r="AA66" s="1090"/>
      <c r="AB66" s="1090"/>
      <c r="AC66" s="1090"/>
      <c r="AD66" s="1090"/>
      <c r="AE66" s="1090"/>
      <c r="AF66" s="1090"/>
      <c r="AG66" s="1090"/>
      <c r="AH66" s="1090"/>
      <c r="AI66" s="1090"/>
      <c r="AJ66" s="1090"/>
      <c r="AK66" s="1090"/>
      <c r="AL66" s="1090"/>
    </row>
    <row r="67" s="417" customFormat="1" spans="1:38">
      <c r="A67" s="875" t="s">
        <v>1284</v>
      </c>
      <c r="B67" s="875"/>
      <c r="C67" s="875"/>
      <c r="D67" s="875"/>
      <c r="E67" s="875"/>
      <c r="F67" s="1090"/>
      <c r="G67" s="850"/>
      <c r="H67" s="850"/>
      <c r="I67" s="850"/>
      <c r="J67" s="1090"/>
      <c r="K67" s="1090"/>
      <c r="L67" s="896"/>
      <c r="M67" s="896"/>
      <c r="N67" s="1607"/>
      <c r="O67" s="876"/>
      <c r="P67" s="878"/>
      <c r="Q67" s="1090"/>
      <c r="R67" s="1090"/>
      <c r="S67" s="1488"/>
      <c r="T67" s="1090"/>
      <c r="U67" s="1488"/>
      <c r="V67" s="1090"/>
      <c r="W67" s="1242"/>
      <c r="X67" s="1090"/>
      <c r="Y67" s="1090"/>
      <c r="Z67" s="1090"/>
      <c r="AA67" s="1090"/>
      <c r="AB67" s="1090"/>
      <c r="AC67" s="1090"/>
      <c r="AD67" s="1090"/>
      <c r="AE67" s="1090"/>
      <c r="AF67" s="1090"/>
      <c r="AG67" s="1090"/>
      <c r="AH67" s="1090"/>
      <c r="AI67" s="1090"/>
      <c r="AJ67" s="1090"/>
      <c r="AK67" s="1090"/>
      <c r="AL67" s="1090"/>
    </row>
    <row r="68" s="417" customFormat="1" spans="1:38">
      <c r="A68" s="875" t="s">
        <v>1285</v>
      </c>
      <c r="B68" s="875"/>
      <c r="C68" s="875"/>
      <c r="D68" s="875"/>
      <c r="E68" s="875"/>
      <c r="F68" s="1090"/>
      <c r="G68" s="850"/>
      <c r="H68" s="850"/>
      <c r="I68" s="850"/>
      <c r="J68" s="1090"/>
      <c r="K68" s="1090"/>
      <c r="L68" s="896"/>
      <c r="M68" s="896"/>
      <c r="N68" s="1607"/>
      <c r="O68" s="876"/>
      <c r="P68" s="878"/>
      <c r="Q68" s="1090"/>
      <c r="R68" s="1090"/>
      <c r="S68" s="1488"/>
      <c r="T68" s="1090"/>
      <c r="U68" s="1488"/>
      <c r="V68" s="1090"/>
      <c r="W68" s="1242"/>
      <c r="X68" s="1090"/>
      <c r="Y68" s="1090"/>
      <c r="Z68" s="1090"/>
      <c r="AA68" s="1090"/>
      <c r="AB68" s="1090"/>
      <c r="AC68" s="1090"/>
      <c r="AD68" s="1090"/>
      <c r="AE68" s="1090"/>
      <c r="AF68" s="1090"/>
      <c r="AG68" s="1090"/>
      <c r="AH68" s="1090"/>
      <c r="AI68" s="1090"/>
      <c r="AJ68" s="1090"/>
      <c r="AK68" s="1090"/>
      <c r="AL68" s="1090"/>
    </row>
    <row r="69" s="417" customFormat="1" spans="1:38">
      <c r="A69" s="875" t="s">
        <v>1286</v>
      </c>
      <c r="B69" s="875"/>
      <c r="C69" s="875"/>
      <c r="D69" s="875"/>
      <c r="E69" s="875"/>
      <c r="F69" s="1090"/>
      <c r="G69" s="850"/>
      <c r="H69" s="850"/>
      <c r="I69" s="850"/>
      <c r="J69" s="1484"/>
      <c r="K69" s="1090"/>
      <c r="L69" s="896"/>
      <c r="M69" s="896"/>
      <c r="N69" s="1607"/>
      <c r="O69" s="876"/>
      <c r="P69" s="878"/>
      <c r="Q69" s="1090"/>
      <c r="R69" s="1090"/>
      <c r="S69" s="1488"/>
      <c r="T69" s="1090"/>
      <c r="U69" s="1488"/>
      <c r="V69" s="1090"/>
      <c r="W69" s="1242"/>
      <c r="X69" s="1090"/>
      <c r="Y69" s="1090"/>
      <c r="Z69" s="1090"/>
      <c r="AA69" s="1090"/>
      <c r="AB69" s="1090"/>
      <c r="AC69" s="1090"/>
      <c r="AD69" s="1090"/>
      <c r="AE69" s="1090"/>
      <c r="AF69" s="1090"/>
      <c r="AG69" s="1090"/>
      <c r="AH69" s="1090"/>
      <c r="AI69" s="1090"/>
      <c r="AJ69" s="1090"/>
      <c r="AK69" s="1090"/>
      <c r="AL69" s="1090"/>
    </row>
    <row r="70" s="417" customFormat="1" spans="1:38">
      <c r="A70" s="875" t="s">
        <v>1287</v>
      </c>
      <c r="B70" s="876"/>
      <c r="C70" s="876"/>
      <c r="D70" s="876"/>
      <c r="E70" s="876"/>
      <c r="F70" s="1090"/>
      <c r="G70" s="850"/>
      <c r="H70" s="850"/>
      <c r="I70" s="850"/>
      <c r="J70" s="1090"/>
      <c r="K70" s="1090"/>
      <c r="L70" s="896"/>
      <c r="M70" s="896"/>
      <c r="N70" s="1607"/>
      <c r="O70" s="876"/>
      <c r="P70" s="878"/>
      <c r="Q70" s="1090"/>
      <c r="R70" s="1090"/>
      <c r="S70" s="1488"/>
      <c r="T70" s="1090"/>
      <c r="U70" s="1488"/>
      <c r="V70" s="1090"/>
      <c r="W70" s="1242"/>
      <c r="X70" s="1090"/>
      <c r="Y70" s="1090"/>
      <c r="Z70" s="1090"/>
      <c r="AA70" s="1090"/>
      <c r="AB70" s="1090"/>
      <c r="AC70" s="1090"/>
      <c r="AD70" s="1090"/>
      <c r="AE70" s="1090"/>
      <c r="AF70" s="1090"/>
      <c r="AG70" s="1090"/>
      <c r="AH70" s="1090"/>
      <c r="AI70" s="1090"/>
      <c r="AJ70" s="1090"/>
      <c r="AK70" s="1090"/>
      <c r="AL70" s="1090"/>
    </row>
    <row r="71" s="417" customFormat="1" spans="1:38">
      <c r="A71" s="875"/>
      <c r="B71" s="876"/>
      <c r="C71" s="876"/>
      <c r="D71" s="876"/>
      <c r="E71" s="876"/>
      <c r="F71" s="877"/>
      <c r="G71" s="850"/>
      <c r="H71" s="850"/>
      <c r="I71" s="850"/>
      <c r="J71" s="877"/>
      <c r="K71" s="877"/>
      <c r="L71" s="896"/>
      <c r="M71" s="896"/>
      <c r="N71" s="1357"/>
      <c r="O71" s="876"/>
      <c r="P71" s="878"/>
      <c r="Q71" s="877"/>
      <c r="R71" s="877"/>
      <c r="S71" s="877"/>
      <c r="T71" s="877"/>
      <c r="U71" s="1488"/>
      <c r="V71" s="877"/>
      <c r="W71" s="1242"/>
      <c r="X71" s="877"/>
      <c r="Y71" s="877"/>
      <c r="Z71" s="877"/>
      <c r="AA71" s="877"/>
      <c r="AB71" s="877"/>
      <c r="AC71" s="877"/>
      <c r="AD71" s="877"/>
      <c r="AE71" s="877"/>
      <c r="AF71" s="877"/>
      <c r="AG71" s="877"/>
      <c r="AH71" s="877"/>
      <c r="AI71" s="877"/>
      <c r="AJ71" s="877"/>
      <c r="AK71" s="877"/>
      <c r="AL71" s="877"/>
    </row>
    <row r="72" s="417" customFormat="1" spans="1:38">
      <c r="A72" s="876"/>
      <c r="B72" s="876"/>
      <c r="C72" s="876"/>
      <c r="D72" s="876"/>
      <c r="E72" s="876"/>
      <c r="F72" s="877"/>
      <c r="G72" s="850"/>
      <c r="H72" s="850"/>
      <c r="I72" s="850"/>
      <c r="J72" s="877"/>
      <c r="K72" s="877"/>
      <c r="L72" s="896"/>
      <c r="M72" s="896"/>
      <c r="N72" s="1357"/>
      <c r="O72" s="876"/>
      <c r="P72" s="878"/>
      <c r="Q72" s="877"/>
      <c r="R72" s="877"/>
      <c r="S72" s="877"/>
      <c r="T72" s="877"/>
      <c r="U72" s="877"/>
      <c r="V72" s="877"/>
      <c r="W72" s="1242"/>
      <c r="X72" s="877"/>
      <c r="Y72" s="877"/>
      <c r="Z72" s="877"/>
      <c r="AA72" s="877"/>
      <c r="AB72" s="877"/>
      <c r="AC72" s="877"/>
      <c r="AD72" s="877"/>
      <c r="AE72" s="877"/>
      <c r="AF72" s="877"/>
      <c r="AG72" s="877"/>
      <c r="AH72" s="877"/>
      <c r="AI72" s="877"/>
      <c r="AJ72" s="877"/>
      <c r="AK72" s="877"/>
      <c r="AL72" s="877"/>
    </row>
    <row r="73" s="417" customFormat="1" spans="2:38">
      <c r="B73" s="877"/>
      <c r="C73" s="878"/>
      <c r="D73" s="877"/>
      <c r="E73" s="877"/>
      <c r="F73" s="877"/>
      <c r="G73" s="850"/>
      <c r="H73" s="850"/>
      <c r="I73" s="850"/>
      <c r="J73" s="877"/>
      <c r="K73" s="877"/>
      <c r="L73" s="896"/>
      <c r="M73" s="896"/>
      <c r="N73" s="1357"/>
      <c r="O73" s="877"/>
      <c r="P73" s="878"/>
      <c r="Q73" s="877"/>
      <c r="R73" s="877"/>
      <c r="S73" s="877"/>
      <c r="T73" s="877"/>
      <c r="U73" s="877"/>
      <c r="V73" s="877"/>
      <c r="W73" s="1242"/>
      <c r="X73" s="877"/>
      <c r="Y73" s="877"/>
      <c r="Z73" s="877"/>
      <c r="AA73" s="877"/>
      <c r="AB73" s="877"/>
      <c r="AC73" s="877"/>
      <c r="AD73" s="877"/>
      <c r="AE73" s="877"/>
      <c r="AF73" s="877"/>
      <c r="AG73" s="877"/>
      <c r="AH73" s="877"/>
      <c r="AI73" s="877"/>
      <c r="AJ73" s="877"/>
      <c r="AK73" s="877"/>
      <c r="AL73" s="877"/>
    </row>
  </sheetData>
  <sheetProtection formatCells="0" insertHyperlinks="0" autoFilter="0"/>
  <mergeCells count="31">
    <mergeCell ref="A1:Q1"/>
    <mergeCell ref="A3:A24"/>
    <mergeCell ref="A25:A43"/>
    <mergeCell ref="A44:A62"/>
    <mergeCell ref="B3:B11"/>
    <mergeCell ref="B14:B20"/>
    <mergeCell ref="B21:B22"/>
    <mergeCell ref="B23:B24"/>
    <mergeCell ref="B25:B34"/>
    <mergeCell ref="B35:B38"/>
    <mergeCell ref="B39:B41"/>
    <mergeCell ref="B42:B43"/>
    <mergeCell ref="B44:B48"/>
    <mergeCell ref="B49:B56"/>
    <mergeCell ref="B57:B59"/>
    <mergeCell ref="B61:B62"/>
    <mergeCell ref="C3:C11"/>
    <mergeCell ref="C14:C20"/>
    <mergeCell ref="C23:C24"/>
    <mergeCell ref="C25:C34"/>
    <mergeCell ref="C35:C38"/>
    <mergeCell ref="C39:C41"/>
    <mergeCell ref="C42:C43"/>
    <mergeCell ref="C44:C48"/>
    <mergeCell ref="C49:C56"/>
    <mergeCell ref="C57:C59"/>
    <mergeCell ref="C61:C62"/>
    <mergeCell ref="C63:C64"/>
    <mergeCell ref="D28:D29"/>
    <mergeCell ref="D32:D33"/>
    <mergeCell ref="A63:B64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/>
  <dimension ref="A1:AL78"/>
  <sheetViews>
    <sheetView workbookViewId="0">
      <pane ySplit="2" topLeftCell="A28" activePane="bottomLeft" state="frozen"/>
      <selection/>
      <selection pane="bottomLeft" activeCell="G23" sqref="G23"/>
    </sheetView>
  </sheetViews>
  <sheetFormatPr defaultColWidth="9" defaultRowHeight="16.5"/>
  <cols>
    <col min="1" max="1" width="12.9666666666667" style="417" customWidth="1"/>
    <col min="2" max="2" width="11.2583333333333" style="417" customWidth="1"/>
    <col min="3" max="3" width="8.95833333333333" style="879" customWidth="1"/>
    <col min="4" max="5" width="16.0333333333333" style="417" customWidth="1"/>
    <col min="6" max="6" width="10.375" style="417" customWidth="1"/>
    <col min="7" max="7" width="17.1083333333333" style="880" customWidth="1"/>
    <col min="8" max="8" width="17.775" style="880" customWidth="1"/>
    <col min="9" max="9" width="16.1416666666667" style="880" customWidth="1"/>
    <col min="10" max="10" width="10.1583333333333" style="417" customWidth="1"/>
    <col min="11" max="11" width="9.625" style="417" customWidth="1"/>
    <col min="12" max="12" width="7.625" style="898" customWidth="1"/>
    <col min="13" max="13" width="11.125" style="898" customWidth="1"/>
    <col min="14" max="14" width="28.575" style="1358" customWidth="1"/>
    <col min="15" max="15" width="15.575" style="417" customWidth="1"/>
    <col min="16" max="16" width="12.5" style="879" customWidth="1"/>
    <col min="17" max="17" width="14.3083333333333" style="417" customWidth="1"/>
    <col min="18" max="18" width="17.5" style="417" customWidth="1"/>
    <col min="19" max="19" width="17.3583333333333" style="417" customWidth="1"/>
    <col min="20" max="20" width="14.875" style="417"/>
    <col min="21" max="21" width="14.025" style="417" customWidth="1"/>
    <col min="22" max="22" width="18.1916666666667" style="417" customWidth="1"/>
    <col min="23" max="23" width="43.7583333333333" style="1243" customWidth="1"/>
    <col min="24" max="24" width="9" style="417" hidden="1" customWidth="1"/>
    <col min="25" max="25" width="17.1916666666667" style="417" hidden="1" customWidth="1"/>
    <col min="26" max="35" width="9" style="417" hidden="1" customWidth="1"/>
    <col min="36" max="36" width="10.5333333333333" style="417" hidden="1" customWidth="1"/>
    <col min="37" max="37" width="15" style="417" hidden="1" customWidth="1"/>
    <col min="38" max="38" width="8" style="417" hidden="1" customWidth="1"/>
    <col min="39" max="16384" width="9" style="417"/>
  </cols>
  <sheetData>
    <row r="1" s="417" customFormat="1" ht="24.75" customHeight="1" spans="1:38">
      <c r="A1" s="1366" t="s">
        <v>1377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74"/>
      <c r="M1" s="1374"/>
      <c r="N1" s="1607"/>
      <c r="O1" s="1366"/>
      <c r="P1" s="1366"/>
      <c r="Q1" s="1366"/>
      <c r="R1" s="1391"/>
      <c r="S1" s="1391"/>
      <c r="T1" s="1391"/>
      <c r="U1" s="1391"/>
      <c r="V1" s="1090"/>
      <c r="W1" s="1242"/>
      <c r="X1" s="1090"/>
      <c r="Y1" s="1391"/>
      <c r="Z1" s="1090"/>
      <c r="AA1" s="1090"/>
      <c r="AB1" s="1090"/>
      <c r="AC1" s="1090"/>
      <c r="AD1" s="1090"/>
      <c r="AE1" s="1090"/>
      <c r="AF1" s="1090"/>
      <c r="AG1" s="1090"/>
      <c r="AH1" s="1090"/>
      <c r="AI1" s="1090"/>
      <c r="AJ1" s="1391"/>
      <c r="AK1" s="1391"/>
      <c r="AL1" s="1391"/>
    </row>
    <row r="2" s="1362" customFormat="1" ht="36.85" customHeight="1" spans="1:38">
      <c r="A2" s="1367" t="s">
        <v>1092</v>
      </c>
      <c r="B2" s="1368" t="s">
        <v>1093</v>
      </c>
      <c r="C2" s="1369" t="s">
        <v>1094</v>
      </c>
      <c r="D2" s="1368" t="s">
        <v>361</v>
      </c>
      <c r="E2" s="1372" t="s">
        <v>1095</v>
      </c>
      <c r="F2" s="1153" t="s">
        <v>362</v>
      </c>
      <c r="G2" s="1154" t="s">
        <v>1211</v>
      </c>
      <c r="H2" s="1154" t="s">
        <v>1378</v>
      </c>
      <c r="I2" s="1154" t="s">
        <v>1379</v>
      </c>
      <c r="J2" s="1375" t="s">
        <v>1096</v>
      </c>
      <c r="K2" s="1376" t="s">
        <v>1098</v>
      </c>
      <c r="L2" s="1377" t="s">
        <v>1097</v>
      </c>
      <c r="M2" s="1377" t="s">
        <v>1214</v>
      </c>
      <c r="N2" s="1608" t="s">
        <v>1215</v>
      </c>
      <c r="O2" s="1379" t="s">
        <v>7</v>
      </c>
      <c r="P2" s="1380" t="s">
        <v>8</v>
      </c>
      <c r="Q2" s="1392" t="s">
        <v>9</v>
      </c>
      <c r="R2" s="1393" t="s">
        <v>1291</v>
      </c>
      <c r="S2" s="1393" t="s">
        <v>13</v>
      </c>
      <c r="T2" s="1394" t="s">
        <v>14</v>
      </c>
      <c r="U2" s="1402" t="s">
        <v>15</v>
      </c>
      <c r="V2" s="1403" t="s">
        <v>1100</v>
      </c>
      <c r="W2" s="1404" t="s">
        <v>1101</v>
      </c>
      <c r="X2" s="1403" t="s">
        <v>1102</v>
      </c>
      <c r="Y2" s="1412" t="s">
        <v>363</v>
      </c>
      <c r="Z2" s="1413" t="s">
        <v>1103</v>
      </c>
      <c r="AA2" s="1403" t="s">
        <v>1104</v>
      </c>
      <c r="AB2" s="1403" t="s">
        <v>1105</v>
      </c>
      <c r="AC2" s="1403" t="s">
        <v>1106</v>
      </c>
      <c r="AD2" s="1403" t="s">
        <v>1107</v>
      </c>
      <c r="AE2" s="1403" t="s">
        <v>1108</v>
      </c>
      <c r="AF2" s="1403" t="s">
        <v>1109</v>
      </c>
      <c r="AG2" s="1403" t="s">
        <v>1110</v>
      </c>
      <c r="AH2" s="1415" t="s">
        <v>1108</v>
      </c>
      <c r="AI2" s="1416" t="s">
        <v>1109</v>
      </c>
      <c r="AJ2" s="1417" t="s">
        <v>1111</v>
      </c>
      <c r="AK2" s="1402" t="s">
        <v>4</v>
      </c>
      <c r="AL2" s="1417" t="s">
        <v>1112</v>
      </c>
    </row>
    <row r="3" s="1363" customFormat="1" ht="18.75" customHeight="1" spans="1:38">
      <c r="A3" s="1421"/>
      <c r="B3" s="1146" t="s">
        <v>38</v>
      </c>
      <c r="C3" s="545">
        <v>264</v>
      </c>
      <c r="D3" s="1163" t="s">
        <v>157</v>
      </c>
      <c r="E3" s="250" t="s">
        <v>1380</v>
      </c>
      <c r="F3" s="562">
        <v>58445</v>
      </c>
      <c r="G3" s="596">
        <f t="shared" ref="G3:G8" si="0">F3*J3</f>
        <v>394310.8815</v>
      </c>
      <c r="H3" s="596">
        <v>394311</v>
      </c>
      <c r="I3" s="597"/>
      <c r="J3" s="733">
        <v>6.7467</v>
      </c>
      <c r="K3" s="610">
        <v>44800</v>
      </c>
      <c r="L3" s="855"/>
      <c r="M3" s="855">
        <v>44806</v>
      </c>
      <c r="N3" s="250" t="s">
        <v>228</v>
      </c>
      <c r="O3" s="1385"/>
      <c r="P3" s="1384"/>
      <c r="Q3" s="1398"/>
      <c r="R3" s="602"/>
      <c r="S3" s="1396"/>
      <c r="T3" s="1172"/>
      <c r="U3" s="1397"/>
      <c r="V3" s="1397"/>
      <c r="W3" s="1405"/>
      <c r="X3" s="1397"/>
      <c r="Y3" s="1397"/>
      <c r="Z3" s="1397"/>
      <c r="AA3" s="1397"/>
      <c r="AB3" s="1397"/>
      <c r="AC3" s="1397"/>
      <c r="AD3" s="1397"/>
      <c r="AE3" s="1397"/>
      <c r="AF3" s="1397"/>
      <c r="AG3" s="1397"/>
      <c r="AH3" s="1397"/>
      <c r="AI3" s="1397"/>
      <c r="AJ3" s="1218"/>
      <c r="AK3" s="1182"/>
      <c r="AL3" s="1397"/>
    </row>
    <row r="4" s="1363" customFormat="1" ht="18.75" customHeight="1" spans="1:38">
      <c r="A4" s="1421"/>
      <c r="B4" s="671"/>
      <c r="C4" s="557"/>
      <c r="D4" s="1591" t="s">
        <v>1381</v>
      </c>
      <c r="E4" s="244" t="s">
        <v>1382</v>
      </c>
      <c r="F4" s="1002">
        <v>109500</v>
      </c>
      <c r="G4" s="603">
        <f t="shared" si="0"/>
        <v>738763.65</v>
      </c>
      <c r="H4" s="603">
        <v>738763.65</v>
      </c>
      <c r="I4" s="819"/>
      <c r="J4" s="733">
        <v>6.7467</v>
      </c>
      <c r="K4" s="610">
        <v>44800</v>
      </c>
      <c r="L4" s="644"/>
      <c r="M4" s="644">
        <v>44811</v>
      </c>
      <c r="N4" s="250" t="s">
        <v>228</v>
      </c>
      <c r="O4" s="1381"/>
      <c r="P4" s="1558"/>
      <c r="Q4" s="1395"/>
      <c r="R4" s="602"/>
      <c r="S4" s="1396"/>
      <c r="T4" s="1172"/>
      <c r="U4" s="1397"/>
      <c r="V4" s="1397"/>
      <c r="W4" s="1405"/>
      <c r="X4" s="1397"/>
      <c r="Y4" s="1397"/>
      <c r="Z4" s="1397"/>
      <c r="AA4" s="1397"/>
      <c r="AB4" s="1397"/>
      <c r="AC4" s="1397"/>
      <c r="AD4" s="1397"/>
      <c r="AE4" s="1397"/>
      <c r="AF4" s="1397"/>
      <c r="AG4" s="1397"/>
      <c r="AH4" s="1397"/>
      <c r="AI4" s="1397"/>
      <c r="AJ4" s="1218"/>
      <c r="AK4" s="1182"/>
      <c r="AL4" s="1397"/>
    </row>
    <row r="5" s="1363" customFormat="1" ht="18.75" customHeight="1" spans="1:38">
      <c r="A5" s="1421"/>
      <c r="B5" s="671"/>
      <c r="C5" s="557"/>
      <c r="D5" s="1591" t="s">
        <v>453</v>
      </c>
      <c r="E5" s="244" t="s">
        <v>1383</v>
      </c>
      <c r="F5" s="1002">
        <v>105230</v>
      </c>
      <c r="G5" s="596">
        <f t="shared" si="0"/>
        <v>709955.241</v>
      </c>
      <c r="H5" s="596">
        <v>709955.241</v>
      </c>
      <c r="I5" s="819"/>
      <c r="J5" s="733">
        <v>6.7467</v>
      </c>
      <c r="K5" s="610">
        <v>44800</v>
      </c>
      <c r="L5" s="644"/>
      <c r="M5" s="644">
        <v>44806</v>
      </c>
      <c r="N5" s="250" t="s">
        <v>228</v>
      </c>
      <c r="O5" s="1381"/>
      <c r="P5" s="1386"/>
      <c r="Q5" s="1395"/>
      <c r="R5" s="602"/>
      <c r="S5" s="1396"/>
      <c r="T5" s="1172"/>
      <c r="U5" s="1397"/>
      <c r="V5" s="1397"/>
      <c r="W5" s="1405"/>
      <c r="X5" s="1397"/>
      <c r="Y5" s="1397"/>
      <c r="Z5" s="1397"/>
      <c r="AA5" s="1397"/>
      <c r="AB5" s="1397"/>
      <c r="AC5" s="1397"/>
      <c r="AD5" s="1397"/>
      <c r="AE5" s="1397"/>
      <c r="AF5" s="1397"/>
      <c r="AG5" s="1397"/>
      <c r="AH5" s="1397"/>
      <c r="AI5" s="1397"/>
      <c r="AJ5" s="1218"/>
      <c r="AK5" s="1182"/>
      <c r="AL5" s="1397"/>
    </row>
    <row r="6" s="1590" customFormat="1" ht="29.15" customHeight="1" spans="1:38">
      <c r="A6" s="1592"/>
      <c r="B6" s="1593"/>
      <c r="C6" s="1594"/>
      <c r="D6" s="1591" t="s">
        <v>368</v>
      </c>
      <c r="E6" s="1601" t="s">
        <v>369</v>
      </c>
      <c r="F6" s="1602">
        <v>28000</v>
      </c>
      <c r="G6" s="603">
        <f t="shared" si="0"/>
        <v>188907.6</v>
      </c>
      <c r="H6" s="603">
        <v>188908</v>
      </c>
      <c r="I6" s="1605">
        <v>188908</v>
      </c>
      <c r="J6" s="733">
        <v>6.7467</v>
      </c>
      <c r="K6" s="1355" t="s">
        <v>1218</v>
      </c>
      <c r="L6" s="1442"/>
      <c r="M6" s="1442">
        <v>44796</v>
      </c>
      <c r="N6" s="250" t="s">
        <v>228</v>
      </c>
      <c r="O6" s="1609"/>
      <c r="P6" s="1610"/>
      <c r="Q6" s="1613"/>
      <c r="R6" s="1606"/>
      <c r="S6" s="1614"/>
      <c r="T6" s="1615"/>
      <c r="U6" s="1617"/>
      <c r="V6" s="1617"/>
      <c r="W6" s="1618"/>
      <c r="X6" s="1617"/>
      <c r="Y6" s="1617"/>
      <c r="Z6" s="1617"/>
      <c r="AA6" s="1617"/>
      <c r="AB6" s="1617"/>
      <c r="AC6" s="1617"/>
      <c r="AD6" s="1617"/>
      <c r="AE6" s="1617"/>
      <c r="AF6" s="1617"/>
      <c r="AG6" s="1617"/>
      <c r="AH6" s="1617"/>
      <c r="AI6" s="1617"/>
      <c r="AJ6" s="1619"/>
      <c r="AK6" s="1620"/>
      <c r="AL6" s="1617"/>
    </row>
    <row r="7" s="1363" customFormat="1" ht="18.75" customHeight="1" spans="1:38">
      <c r="A7" s="1421"/>
      <c r="B7" s="671"/>
      <c r="C7" s="557"/>
      <c r="D7" s="1163" t="s">
        <v>53</v>
      </c>
      <c r="E7" s="572" t="s">
        <v>1384</v>
      </c>
      <c r="F7" s="1002">
        <v>25475</v>
      </c>
      <c r="G7" s="603">
        <f t="shared" si="0"/>
        <v>171872.1825</v>
      </c>
      <c r="H7" s="603">
        <f>G7</f>
        <v>171872.1825</v>
      </c>
      <c r="I7" s="603">
        <v>171872</v>
      </c>
      <c r="J7" s="733">
        <v>6.7467</v>
      </c>
      <c r="K7" s="610" t="s">
        <v>1218</v>
      </c>
      <c r="L7" s="644"/>
      <c r="M7" s="644">
        <v>44790</v>
      </c>
      <c r="N7" s="250" t="s">
        <v>228</v>
      </c>
      <c r="O7" s="1381"/>
      <c r="P7" s="1386"/>
      <c r="Q7" s="1395"/>
      <c r="R7" s="602"/>
      <c r="S7" s="1396"/>
      <c r="T7" s="1172"/>
      <c r="U7" s="1397"/>
      <c r="V7" s="1397"/>
      <c r="W7" s="1405"/>
      <c r="X7" s="1397"/>
      <c r="Y7" s="1397"/>
      <c r="Z7" s="1397"/>
      <c r="AA7" s="1397"/>
      <c r="AB7" s="1397"/>
      <c r="AC7" s="1397"/>
      <c r="AD7" s="1397"/>
      <c r="AE7" s="1397"/>
      <c r="AF7" s="1397"/>
      <c r="AG7" s="1397"/>
      <c r="AH7" s="1397"/>
      <c r="AI7" s="1397"/>
      <c r="AJ7" s="1218"/>
      <c r="AK7" s="1182"/>
      <c r="AL7" s="1397"/>
    </row>
    <row r="8" s="1363" customFormat="1" ht="18.75" customHeight="1" spans="1:38">
      <c r="A8" s="1421"/>
      <c r="B8" s="671"/>
      <c r="C8" s="557"/>
      <c r="D8" s="1163" t="s">
        <v>143</v>
      </c>
      <c r="E8" s="572" t="s">
        <v>1385</v>
      </c>
      <c r="F8" s="1002">
        <v>34045</v>
      </c>
      <c r="G8" s="603">
        <f t="shared" si="0"/>
        <v>229691.4015</v>
      </c>
      <c r="H8" s="603">
        <v>229691</v>
      </c>
      <c r="I8" s="819"/>
      <c r="J8" s="733">
        <v>6.7467</v>
      </c>
      <c r="K8" s="610" t="s">
        <v>1218</v>
      </c>
      <c r="L8" s="644"/>
      <c r="M8" s="644">
        <v>44807</v>
      </c>
      <c r="N8" s="250" t="s">
        <v>228</v>
      </c>
      <c r="O8" s="1381"/>
      <c r="P8" s="1386"/>
      <c r="Q8" s="1395"/>
      <c r="R8" s="602"/>
      <c r="S8" s="1396"/>
      <c r="T8" s="1172"/>
      <c r="U8" s="1397"/>
      <c r="V8" s="1397"/>
      <c r="W8" s="1405"/>
      <c r="X8" s="1397"/>
      <c r="Y8" s="1397"/>
      <c r="Z8" s="1397"/>
      <c r="AA8" s="1397"/>
      <c r="AB8" s="1397"/>
      <c r="AC8" s="1397"/>
      <c r="AD8" s="1397"/>
      <c r="AE8" s="1397"/>
      <c r="AF8" s="1397"/>
      <c r="AG8" s="1397"/>
      <c r="AH8" s="1397"/>
      <c r="AI8" s="1397"/>
      <c r="AJ8" s="1218"/>
      <c r="AK8" s="1182"/>
      <c r="AL8" s="1397"/>
    </row>
    <row r="9" s="1363" customFormat="1" ht="18.75" customHeight="1" spans="1:38">
      <c r="A9" s="1421"/>
      <c r="B9" s="671"/>
      <c r="C9" s="557"/>
      <c r="D9" s="244"/>
      <c r="E9" s="244"/>
      <c r="F9" s="1002"/>
      <c r="G9" s="603"/>
      <c r="H9" s="603"/>
      <c r="I9" s="819"/>
      <c r="J9" s="733"/>
      <c r="K9" s="610"/>
      <c r="L9" s="644"/>
      <c r="M9" s="644"/>
      <c r="N9" s="568"/>
      <c r="O9" s="1381"/>
      <c r="P9" s="1386"/>
      <c r="Q9" s="1395"/>
      <c r="R9" s="602"/>
      <c r="S9" s="1396"/>
      <c r="T9" s="1172"/>
      <c r="U9" s="1397"/>
      <c r="V9" s="1397"/>
      <c r="W9" s="1405"/>
      <c r="X9" s="1397"/>
      <c r="Y9" s="1397"/>
      <c r="Z9" s="1397"/>
      <c r="AA9" s="1397"/>
      <c r="AB9" s="1397"/>
      <c r="AC9" s="1397"/>
      <c r="AD9" s="1397"/>
      <c r="AE9" s="1397"/>
      <c r="AF9" s="1397"/>
      <c r="AG9" s="1397"/>
      <c r="AH9" s="1397"/>
      <c r="AI9" s="1397"/>
      <c r="AJ9" s="1218"/>
      <c r="AK9" s="1182"/>
      <c r="AL9" s="1397"/>
    </row>
    <row r="10" s="1363" customFormat="1" ht="18.75" customHeight="1" spans="1:38">
      <c r="A10" s="1421"/>
      <c r="B10" s="671"/>
      <c r="C10" s="557"/>
      <c r="D10" s="244" t="s">
        <v>201</v>
      </c>
      <c r="E10" s="250" t="s">
        <v>1293</v>
      </c>
      <c r="F10" s="1002">
        <v>52800</v>
      </c>
      <c r="G10" s="603"/>
      <c r="H10" s="603"/>
      <c r="I10" s="603">
        <v>353037</v>
      </c>
      <c r="J10" s="733">
        <v>6.7467</v>
      </c>
      <c r="K10" s="610" t="s">
        <v>1251</v>
      </c>
      <c r="L10" s="644">
        <v>44768</v>
      </c>
      <c r="M10" s="644">
        <v>44776</v>
      </c>
      <c r="N10" s="568"/>
      <c r="O10" s="1381"/>
      <c r="P10" s="1386"/>
      <c r="Q10" s="1395"/>
      <c r="R10" s="602"/>
      <c r="S10" s="1396"/>
      <c r="T10" s="1172"/>
      <c r="U10" s="1397"/>
      <c r="V10" s="1397"/>
      <c r="W10" s="1405"/>
      <c r="X10" s="1397"/>
      <c r="Y10" s="1397"/>
      <c r="Z10" s="1397"/>
      <c r="AA10" s="1397"/>
      <c r="AB10" s="1397"/>
      <c r="AC10" s="1397"/>
      <c r="AD10" s="1397"/>
      <c r="AE10" s="1397"/>
      <c r="AF10" s="1397"/>
      <c r="AG10" s="1397"/>
      <c r="AH10" s="1397"/>
      <c r="AI10" s="1397"/>
      <c r="AJ10" s="1218"/>
      <c r="AK10" s="1182"/>
      <c r="AL10" s="1397"/>
    </row>
    <row r="11" s="1590" customFormat="1" ht="18.75" customHeight="1" spans="1:38">
      <c r="A11" s="1595"/>
      <c r="B11" s="1593"/>
      <c r="C11" s="1594"/>
      <c r="D11" s="1596" t="s">
        <v>840</v>
      </c>
      <c r="E11" s="1603" t="s">
        <v>1295</v>
      </c>
      <c r="F11" s="1581">
        <v>8203</v>
      </c>
      <c r="G11" s="603"/>
      <c r="H11" s="680"/>
      <c r="I11" s="1605">
        <v>54848</v>
      </c>
      <c r="J11" s="733">
        <v>6.7467</v>
      </c>
      <c r="K11" s="610" t="s">
        <v>1251</v>
      </c>
      <c r="L11" s="1583">
        <v>44763</v>
      </c>
      <c r="M11" s="1583">
        <v>44776</v>
      </c>
      <c r="N11" s="1584"/>
      <c r="O11" s="1611"/>
      <c r="P11" s="1612"/>
      <c r="Q11" s="1616"/>
      <c r="R11" s="1606"/>
      <c r="S11" s="1614"/>
      <c r="T11" s="1615"/>
      <c r="U11" s="1617"/>
      <c r="V11" s="1617"/>
      <c r="W11" s="1618"/>
      <c r="X11" s="1617"/>
      <c r="Y11" s="1617"/>
      <c r="Z11" s="1617"/>
      <c r="AA11" s="1617"/>
      <c r="AB11" s="1617"/>
      <c r="AC11" s="1617"/>
      <c r="AD11" s="1617"/>
      <c r="AE11" s="1617"/>
      <c r="AF11" s="1617"/>
      <c r="AG11" s="1617"/>
      <c r="AH11" s="1617"/>
      <c r="AI11" s="1617"/>
      <c r="AJ11" s="1619"/>
      <c r="AK11" s="1620"/>
      <c r="AL11" s="1617"/>
    </row>
    <row r="12" s="1590" customFormat="1" ht="18.75" customHeight="1" spans="1:38">
      <c r="A12" s="1595"/>
      <c r="B12" s="1593"/>
      <c r="C12" s="1594"/>
      <c r="D12" s="1597" t="s">
        <v>1057</v>
      </c>
      <c r="E12" s="1450" t="s">
        <v>1305</v>
      </c>
      <c r="F12" s="1373">
        <v>14818</v>
      </c>
      <c r="G12" s="596"/>
      <c r="H12" s="1604"/>
      <c r="I12" s="1604">
        <v>99078</v>
      </c>
      <c r="J12" s="733">
        <v>6.7467</v>
      </c>
      <c r="K12" s="610" t="s">
        <v>1251</v>
      </c>
      <c r="L12" s="1513">
        <v>44763</v>
      </c>
      <c r="M12" s="1355">
        <v>44778</v>
      </c>
      <c r="N12" s="1584"/>
      <c r="O12" s="1611"/>
      <c r="P12" s="1612"/>
      <c r="Q12" s="1616"/>
      <c r="R12" s="1606"/>
      <c r="S12" s="1614"/>
      <c r="T12" s="1615"/>
      <c r="U12" s="1617"/>
      <c r="V12" s="1617"/>
      <c r="W12" s="1618"/>
      <c r="X12" s="1617"/>
      <c r="Y12" s="1617"/>
      <c r="Z12" s="1617"/>
      <c r="AA12" s="1617"/>
      <c r="AB12" s="1617"/>
      <c r="AC12" s="1617"/>
      <c r="AD12" s="1617"/>
      <c r="AE12" s="1617"/>
      <c r="AF12" s="1617"/>
      <c r="AG12" s="1617"/>
      <c r="AH12" s="1617"/>
      <c r="AI12" s="1617"/>
      <c r="AJ12" s="1619"/>
      <c r="AK12" s="1620"/>
      <c r="AL12" s="1617"/>
    </row>
    <row r="13" s="1363" customFormat="1" ht="18.75" customHeight="1" spans="1:38">
      <c r="A13" s="1421"/>
      <c r="B13" s="671"/>
      <c r="C13" s="557"/>
      <c r="D13" s="244" t="s">
        <v>145</v>
      </c>
      <c r="E13" s="1603" t="s">
        <v>1300</v>
      </c>
      <c r="F13" s="1002">
        <v>19500</v>
      </c>
      <c r="G13" s="603"/>
      <c r="H13" s="603"/>
      <c r="I13" s="603">
        <v>13083</v>
      </c>
      <c r="J13" s="733">
        <v>6.7467</v>
      </c>
      <c r="K13" s="610" t="s">
        <v>1251</v>
      </c>
      <c r="L13" s="644">
        <v>44772</v>
      </c>
      <c r="M13" s="644">
        <v>44783</v>
      </c>
      <c r="N13" s="568"/>
      <c r="O13" s="1381"/>
      <c r="P13" s="1386"/>
      <c r="Q13" s="1395"/>
      <c r="R13" s="602"/>
      <c r="S13" s="1396"/>
      <c r="T13" s="1172"/>
      <c r="U13" s="1397"/>
      <c r="V13" s="1397"/>
      <c r="W13" s="1405"/>
      <c r="X13" s="1397"/>
      <c r="Y13" s="1397"/>
      <c r="Z13" s="1397"/>
      <c r="AA13" s="1397"/>
      <c r="AB13" s="1397"/>
      <c r="AC13" s="1397"/>
      <c r="AD13" s="1397"/>
      <c r="AE13" s="1397"/>
      <c r="AF13" s="1397"/>
      <c r="AG13" s="1397"/>
      <c r="AH13" s="1397"/>
      <c r="AI13" s="1397"/>
      <c r="AJ13" s="1218"/>
      <c r="AK13" s="1182"/>
      <c r="AL13" s="1397"/>
    </row>
    <row r="14" s="1363" customFormat="1" ht="18.75" customHeight="1" spans="1:38">
      <c r="A14" s="1502"/>
      <c r="B14" s="666" t="s">
        <v>209</v>
      </c>
      <c r="C14" s="759">
        <v>195</v>
      </c>
      <c r="D14" s="1598" t="s">
        <v>146</v>
      </c>
      <c r="E14" s="561" t="s">
        <v>1312</v>
      </c>
      <c r="F14" s="725">
        <v>23140</v>
      </c>
      <c r="G14" s="735"/>
      <c r="H14" s="735"/>
      <c r="I14" s="735">
        <v>154720.98</v>
      </c>
      <c r="J14" s="733">
        <v>6.7467</v>
      </c>
      <c r="K14" s="610" t="s">
        <v>1251</v>
      </c>
      <c r="L14" s="645">
        <v>44762</v>
      </c>
      <c r="M14" s="625" t="s">
        <v>1386</v>
      </c>
      <c r="N14" s="568" t="s">
        <v>1387</v>
      </c>
      <c r="O14" s="1303"/>
      <c r="P14" s="1303"/>
      <c r="Q14" s="1303"/>
      <c r="R14" s="602"/>
      <c r="S14" s="1340"/>
      <c r="T14" s="1172"/>
      <c r="U14" s="1397"/>
      <c r="V14" s="1397"/>
      <c r="W14" s="1406"/>
      <c r="X14" s="1397"/>
      <c r="Y14" s="1414"/>
      <c r="Z14" s="1397"/>
      <c r="AA14" s="1397"/>
      <c r="AB14" s="1397"/>
      <c r="AC14" s="1397"/>
      <c r="AD14" s="1397"/>
      <c r="AE14" s="1397"/>
      <c r="AF14" s="1397"/>
      <c r="AG14" s="1397"/>
      <c r="AH14" s="1397"/>
      <c r="AI14" s="1397"/>
      <c r="AJ14" s="1218"/>
      <c r="AK14" s="1182"/>
      <c r="AL14" s="1397"/>
    </row>
    <row r="15" s="1363" customFormat="1" ht="18.75" customHeight="1" spans="1:38">
      <c r="A15" s="1502"/>
      <c r="B15" s="556"/>
      <c r="C15" s="557"/>
      <c r="D15" s="1599" t="s">
        <v>1313</v>
      </c>
      <c r="E15" s="561" t="s">
        <v>1315</v>
      </c>
      <c r="F15" s="1373">
        <v>16951</v>
      </c>
      <c r="G15" s="766"/>
      <c r="H15" s="1604"/>
      <c r="I15" s="1604">
        <v>113339.4713</v>
      </c>
      <c r="J15" s="733">
        <v>6.7467</v>
      </c>
      <c r="K15" s="610" t="s">
        <v>1251</v>
      </c>
      <c r="L15" s="1513">
        <v>44763</v>
      </c>
      <c r="M15" s="625" t="s">
        <v>1386</v>
      </c>
      <c r="N15" s="568" t="s">
        <v>1387</v>
      </c>
      <c r="O15" s="764"/>
      <c r="P15" s="764"/>
      <c r="Q15" s="764"/>
      <c r="R15" s="602"/>
      <c r="S15" s="1340"/>
      <c r="T15" s="1172"/>
      <c r="U15" s="1397"/>
      <c r="V15" s="1397"/>
      <c r="W15" s="1406"/>
      <c r="X15" s="1397"/>
      <c r="Y15" s="1414"/>
      <c r="Z15" s="1397"/>
      <c r="AA15" s="1397"/>
      <c r="AB15" s="1397"/>
      <c r="AC15" s="1397"/>
      <c r="AD15" s="1397"/>
      <c r="AE15" s="1397"/>
      <c r="AF15" s="1397"/>
      <c r="AG15" s="1397"/>
      <c r="AH15" s="1397"/>
      <c r="AI15" s="1397"/>
      <c r="AJ15" s="1218"/>
      <c r="AK15" s="1182"/>
      <c r="AL15" s="1397"/>
    </row>
    <row r="16" s="1363" customFormat="1" ht="24.4" customHeight="1" spans="1:38">
      <c r="A16" s="1502"/>
      <c r="B16" s="556"/>
      <c r="C16" s="557"/>
      <c r="D16" s="250" t="s">
        <v>1232</v>
      </c>
      <c r="E16" s="561" t="s">
        <v>1319</v>
      </c>
      <c r="F16" s="722" t="s">
        <v>1320</v>
      </c>
      <c r="G16" s="603"/>
      <c r="H16" s="603"/>
      <c r="I16" s="603">
        <v>930491.29</v>
      </c>
      <c r="J16" s="733">
        <v>6.7467</v>
      </c>
      <c r="K16" s="610" t="s">
        <v>1251</v>
      </c>
      <c r="L16" s="645">
        <v>44771</v>
      </c>
      <c r="M16" s="625">
        <v>44788</v>
      </c>
      <c r="N16" s="568"/>
      <c r="O16" s="1303"/>
      <c r="P16" s="1303"/>
      <c r="Q16" s="1303"/>
      <c r="R16" s="602"/>
      <c r="S16" s="1340"/>
      <c r="T16" s="1172"/>
      <c r="U16" s="1397"/>
      <c r="V16" s="1397"/>
      <c r="W16" s="1406"/>
      <c r="X16" s="1397"/>
      <c r="Y16" s="1414"/>
      <c r="Z16" s="1397"/>
      <c r="AA16" s="1397"/>
      <c r="AB16" s="1397"/>
      <c r="AC16" s="1397"/>
      <c r="AD16" s="1397"/>
      <c r="AE16" s="1397"/>
      <c r="AF16" s="1397"/>
      <c r="AG16" s="1397"/>
      <c r="AH16" s="1397"/>
      <c r="AI16" s="1397"/>
      <c r="AJ16" s="1218"/>
      <c r="AK16" s="1182"/>
      <c r="AL16" s="1397"/>
    </row>
    <row r="17" s="1363" customFormat="1" ht="18.75" customHeight="1" spans="1:38">
      <c r="A17" s="1502"/>
      <c r="B17" s="556"/>
      <c r="C17" s="557"/>
      <c r="D17" s="1163" t="s">
        <v>149</v>
      </c>
      <c r="E17" s="819"/>
      <c r="F17" s="1002">
        <v>38539</v>
      </c>
      <c r="G17" s="603">
        <f>F17*J17</f>
        <v>260011.0713</v>
      </c>
      <c r="H17" s="603">
        <v>260011</v>
      </c>
      <c r="I17" s="819">
        <v>260011</v>
      </c>
      <c r="J17" s="733">
        <v>6.7467</v>
      </c>
      <c r="K17" s="598" t="s">
        <v>1294</v>
      </c>
      <c r="L17" s="645">
        <v>44796</v>
      </c>
      <c r="M17" s="645">
        <v>44799</v>
      </c>
      <c r="N17" s="568"/>
      <c r="O17" s="1303"/>
      <c r="P17" s="1303"/>
      <c r="Q17" s="1303"/>
      <c r="R17" s="602"/>
      <c r="S17" s="1340"/>
      <c r="T17" s="1172"/>
      <c r="U17" s="1397"/>
      <c r="V17" s="1397"/>
      <c r="W17" s="1406"/>
      <c r="X17" s="1397"/>
      <c r="Y17" s="1414"/>
      <c r="Z17" s="1397"/>
      <c r="AA17" s="1397"/>
      <c r="AB17" s="1397"/>
      <c r="AC17" s="1397"/>
      <c r="AD17" s="1397"/>
      <c r="AE17" s="1397"/>
      <c r="AF17" s="1397"/>
      <c r="AG17" s="1397"/>
      <c r="AH17" s="1397"/>
      <c r="AI17" s="1397"/>
      <c r="AJ17" s="1218"/>
      <c r="AK17" s="1182"/>
      <c r="AL17" s="1397"/>
    </row>
    <row r="18" s="1363" customFormat="1" ht="18.75" customHeight="1" spans="1:38">
      <c r="A18" s="1502"/>
      <c r="B18" s="556"/>
      <c r="C18" s="557"/>
      <c r="D18" s="1163" t="s">
        <v>1221</v>
      </c>
      <c r="E18" s="244" t="s">
        <v>1388</v>
      </c>
      <c r="F18" s="1002">
        <v>60000</v>
      </c>
      <c r="G18" s="603">
        <f>F18*J18</f>
        <v>404802</v>
      </c>
      <c r="H18" s="603">
        <v>404802</v>
      </c>
      <c r="I18" s="603">
        <v>404802</v>
      </c>
      <c r="J18" s="733">
        <v>6.7467</v>
      </c>
      <c r="K18" s="598" t="s">
        <v>1218</v>
      </c>
      <c r="L18" s="625" t="s">
        <v>1125</v>
      </c>
      <c r="M18" s="645">
        <v>44798</v>
      </c>
      <c r="N18" s="568"/>
      <c r="O18" s="1303"/>
      <c r="P18" s="1303"/>
      <c r="Q18" s="1303"/>
      <c r="R18" s="602"/>
      <c r="S18" s="1340"/>
      <c r="T18" s="1172"/>
      <c r="U18" s="1397"/>
      <c r="V18" s="1397"/>
      <c r="W18" s="1406"/>
      <c r="X18" s="1397"/>
      <c r="Y18" s="1414"/>
      <c r="Z18" s="1397"/>
      <c r="AA18" s="1397"/>
      <c r="AB18" s="1397"/>
      <c r="AC18" s="1397"/>
      <c r="AD18" s="1397"/>
      <c r="AE18" s="1397"/>
      <c r="AF18" s="1397"/>
      <c r="AG18" s="1397"/>
      <c r="AH18" s="1397"/>
      <c r="AI18" s="1397"/>
      <c r="AJ18" s="1218"/>
      <c r="AK18" s="1182"/>
      <c r="AL18" s="1397"/>
    </row>
    <row r="19" s="1363" customFormat="1" ht="47.25" customHeight="1" spans="1:38">
      <c r="A19" s="1502"/>
      <c r="B19" s="556"/>
      <c r="C19" s="557"/>
      <c r="D19" s="1163" t="s">
        <v>1389</v>
      </c>
      <c r="E19" s="250"/>
      <c r="F19" s="562"/>
      <c r="G19" s="603">
        <v>170000</v>
      </c>
      <c r="H19" s="603">
        <v>170000</v>
      </c>
      <c r="I19" s="597"/>
      <c r="J19" s="733">
        <v>6.7467</v>
      </c>
      <c r="K19" s="598" t="s">
        <v>1218</v>
      </c>
      <c r="L19" s="856">
        <v>44802</v>
      </c>
      <c r="M19" s="856"/>
      <c r="N19" s="568" t="s">
        <v>1390</v>
      </c>
      <c r="O19" s="764"/>
      <c r="P19" s="764"/>
      <c r="Q19" s="764"/>
      <c r="R19" s="602"/>
      <c r="S19" s="1340"/>
      <c r="T19" s="1172"/>
      <c r="U19" s="1397"/>
      <c r="V19" s="1397"/>
      <c r="W19" s="1406"/>
      <c r="X19" s="1397"/>
      <c r="Y19" s="1414"/>
      <c r="Z19" s="1397"/>
      <c r="AA19" s="1397"/>
      <c r="AB19" s="1397"/>
      <c r="AC19" s="1397"/>
      <c r="AD19" s="1397"/>
      <c r="AE19" s="1397"/>
      <c r="AF19" s="1397"/>
      <c r="AG19" s="1397"/>
      <c r="AH19" s="1397"/>
      <c r="AI19" s="1397"/>
      <c r="AJ19" s="1218"/>
      <c r="AK19" s="1182"/>
      <c r="AL19" s="1397"/>
    </row>
    <row r="20" s="1363" customFormat="1" ht="18.75" customHeight="1" spans="1:38">
      <c r="A20" s="1502"/>
      <c r="B20" s="670"/>
      <c r="C20" s="968"/>
      <c r="D20" s="1163" t="s">
        <v>1391</v>
      </c>
      <c r="E20" s="819"/>
      <c r="F20" s="1002"/>
      <c r="G20" s="603">
        <v>343946</v>
      </c>
      <c r="H20" s="603">
        <v>343946</v>
      </c>
      <c r="I20" s="819"/>
      <c r="J20" s="733">
        <v>6.7467</v>
      </c>
      <c r="K20" s="598"/>
      <c r="L20" s="645"/>
      <c r="M20" s="645">
        <v>44825</v>
      </c>
      <c r="N20" s="568" t="s">
        <v>1392</v>
      </c>
      <c r="O20" s="1303"/>
      <c r="P20" s="1303"/>
      <c r="Q20" s="1303"/>
      <c r="R20" s="766"/>
      <c r="S20" s="1173"/>
      <c r="T20" s="1174"/>
      <c r="U20" s="1398"/>
      <c r="V20" s="1398"/>
      <c r="W20" s="1406"/>
      <c r="X20" s="1397"/>
      <c r="Y20" s="1414"/>
      <c r="Z20" s="1397"/>
      <c r="AA20" s="1397"/>
      <c r="AB20" s="1397"/>
      <c r="AC20" s="1397"/>
      <c r="AD20" s="1397"/>
      <c r="AE20" s="1397"/>
      <c r="AF20" s="1397"/>
      <c r="AG20" s="1397"/>
      <c r="AH20" s="1397"/>
      <c r="AI20" s="1397"/>
      <c r="AJ20" s="1218"/>
      <c r="AK20" s="1182"/>
      <c r="AL20" s="1397"/>
    </row>
    <row r="21" s="1363" customFormat="1" ht="18.75" customHeight="1" spans="1:38">
      <c r="A21" s="1502"/>
      <c r="B21" s="664" t="s">
        <v>1393</v>
      </c>
      <c r="C21" s="655">
        <v>20</v>
      </c>
      <c r="D21" s="1163" t="s">
        <v>162</v>
      </c>
      <c r="E21" s="244" t="s">
        <v>1394</v>
      </c>
      <c r="F21" s="1002">
        <v>10731</v>
      </c>
      <c r="G21" s="603">
        <f>F21*J21</f>
        <v>72398.8377</v>
      </c>
      <c r="H21" s="603">
        <f>G21</f>
        <v>72398.8377</v>
      </c>
      <c r="I21" s="819">
        <v>72399</v>
      </c>
      <c r="J21" s="733">
        <v>6.7467</v>
      </c>
      <c r="K21" s="598" t="s">
        <v>1218</v>
      </c>
      <c r="L21" s="645">
        <v>44793</v>
      </c>
      <c r="M21" s="645"/>
      <c r="N21" s="568" t="s">
        <v>1395</v>
      </c>
      <c r="O21" s="1388"/>
      <c r="P21" s="1386"/>
      <c r="Q21" s="1399"/>
      <c r="R21" s="766"/>
      <c r="S21" s="1173"/>
      <c r="T21" s="1174"/>
      <c r="U21" s="1398"/>
      <c r="V21" s="1398"/>
      <c r="W21" s="1406"/>
      <c r="X21" s="1397"/>
      <c r="Y21" s="1414"/>
      <c r="Z21" s="1397"/>
      <c r="AA21" s="1397"/>
      <c r="AB21" s="1397"/>
      <c r="AC21" s="1397"/>
      <c r="AD21" s="1397"/>
      <c r="AE21" s="1397"/>
      <c r="AF21" s="1397"/>
      <c r="AG21" s="1397"/>
      <c r="AH21" s="1397"/>
      <c r="AI21" s="1397"/>
      <c r="AJ21" s="1218"/>
      <c r="AK21" s="1182"/>
      <c r="AL21" s="1397"/>
    </row>
    <row r="22" s="1363" customFormat="1" ht="18.75" customHeight="1" spans="1:38">
      <c r="A22" s="1502"/>
      <c r="B22" s="664"/>
      <c r="C22" s="655"/>
      <c r="D22" s="607"/>
      <c r="E22" s="244"/>
      <c r="F22" s="1002"/>
      <c r="G22" s="603"/>
      <c r="H22" s="603"/>
      <c r="I22" s="819"/>
      <c r="J22" s="733">
        <v>6.7467</v>
      </c>
      <c r="K22" s="598"/>
      <c r="L22" s="645"/>
      <c r="M22" s="645"/>
      <c r="N22" s="568"/>
      <c r="O22" s="1388"/>
      <c r="P22" s="1386"/>
      <c r="Q22" s="1399"/>
      <c r="R22" s="766"/>
      <c r="S22" s="1173"/>
      <c r="T22" s="1174"/>
      <c r="U22" s="1398"/>
      <c r="V22" s="1398"/>
      <c r="W22" s="1407"/>
      <c r="X22" s="1397"/>
      <c r="Y22" s="1414"/>
      <c r="Z22" s="1397"/>
      <c r="AA22" s="1397"/>
      <c r="AB22" s="1397"/>
      <c r="AC22" s="1397"/>
      <c r="AD22" s="1397"/>
      <c r="AE22" s="1397"/>
      <c r="AF22" s="1397"/>
      <c r="AG22" s="1397"/>
      <c r="AH22" s="1397"/>
      <c r="AI22" s="1397"/>
      <c r="AJ22" s="1218"/>
      <c r="AK22" s="1182"/>
      <c r="AL22" s="1397"/>
    </row>
    <row r="23" s="1363" customFormat="1" ht="24.4" customHeight="1" spans="1:38">
      <c r="A23" s="1502"/>
      <c r="B23" s="1148" t="s">
        <v>1124</v>
      </c>
      <c r="C23" s="1149">
        <f>SUM(C3:C21)</f>
        <v>479</v>
      </c>
      <c r="D23" s="1198"/>
      <c r="E23" s="1198"/>
      <c r="F23" s="1159" t="s">
        <v>1235</v>
      </c>
      <c r="G23" s="1158">
        <f>SUM(G3:G21)</f>
        <v>3684658.8655</v>
      </c>
      <c r="H23" s="1158">
        <f>SUM(H3:H22)</f>
        <v>3684658.9112</v>
      </c>
      <c r="I23" s="1158">
        <f>SUM(I3:I22)</f>
        <v>2816589.7413</v>
      </c>
      <c r="J23" s="1168"/>
      <c r="K23" s="610"/>
      <c r="L23" s="645"/>
      <c r="M23" s="645"/>
      <c r="N23" s="568"/>
      <c r="O23" s="1388"/>
      <c r="P23" s="1386"/>
      <c r="Q23" s="1399"/>
      <c r="R23" s="766"/>
      <c r="S23" s="1173"/>
      <c r="T23" s="1174"/>
      <c r="U23" s="1398"/>
      <c r="V23" s="1398"/>
      <c r="W23" s="1407"/>
      <c r="X23" s="1397"/>
      <c r="Y23" s="1414"/>
      <c r="Z23" s="1397"/>
      <c r="AA23" s="1397"/>
      <c r="AB23" s="1397"/>
      <c r="AC23" s="1397"/>
      <c r="AD23" s="1397"/>
      <c r="AE23" s="1397"/>
      <c r="AF23" s="1397"/>
      <c r="AG23" s="1397"/>
      <c r="AH23" s="1397"/>
      <c r="AI23" s="1397"/>
      <c r="AJ23" s="1218"/>
      <c r="AK23" s="1182"/>
      <c r="AL23" s="1397"/>
    </row>
    <row r="24" s="889" customFormat="1" ht="27.2" customHeight="1" spans="1:38">
      <c r="A24" s="1505"/>
      <c r="B24" s="1148"/>
      <c r="C24" s="1149"/>
      <c r="D24" s="1144" t="s">
        <v>1125</v>
      </c>
      <c r="E24" s="1144"/>
      <c r="F24" s="1159" t="s">
        <v>1236</v>
      </c>
      <c r="G24" s="1160">
        <f>G23/4710000</f>
        <v>0.782305491613588</v>
      </c>
      <c r="H24" s="1160">
        <f>H23/4790000</f>
        <v>0.769239856200418</v>
      </c>
      <c r="I24" s="1160">
        <f>I23/4710000</f>
        <v>0.59800206821656</v>
      </c>
      <c r="J24" s="1168"/>
      <c r="K24" s="858"/>
      <c r="L24" s="821"/>
      <c r="M24" s="821"/>
      <c r="N24" s="620"/>
      <c r="O24" s="804"/>
      <c r="P24" s="652"/>
      <c r="Q24" s="653"/>
      <c r="R24" s="807"/>
      <c r="S24" s="807"/>
      <c r="T24" s="807"/>
      <c r="U24" s="1408"/>
      <c r="V24" s="1408"/>
      <c r="W24" s="1409"/>
      <c r="X24" s="727"/>
      <c r="Y24" s="727"/>
      <c r="Z24" s="727"/>
      <c r="AA24" s="727"/>
      <c r="AB24" s="727"/>
      <c r="AC24" s="727"/>
      <c r="AD24" s="727"/>
      <c r="AE24" s="727"/>
      <c r="AF24" s="727"/>
      <c r="AG24" s="727"/>
      <c r="AH24" s="727"/>
      <c r="AI24" s="727"/>
      <c r="AJ24" s="727"/>
      <c r="AK24" s="727" t="s">
        <v>285</v>
      </c>
      <c r="AL24" s="727"/>
    </row>
    <row r="25" s="1363" customFormat="1" ht="23.45" customHeight="1" spans="1:38">
      <c r="A25" s="1371" t="s">
        <v>1396</v>
      </c>
      <c r="B25" s="1269" t="s">
        <v>1248</v>
      </c>
      <c r="C25" s="759">
        <v>75</v>
      </c>
      <c r="D25" s="664" t="s">
        <v>1340</v>
      </c>
      <c r="E25" s="572" t="s">
        <v>1341</v>
      </c>
      <c r="F25" s="722">
        <v>78169</v>
      </c>
      <c r="G25" s="735"/>
      <c r="H25" s="735"/>
      <c r="I25" s="735">
        <v>522661.3847</v>
      </c>
      <c r="J25" s="819">
        <v>6.6863</v>
      </c>
      <c r="K25" s="1556" t="s">
        <v>1251</v>
      </c>
      <c r="L25" s="644"/>
      <c r="M25" s="1261" t="s">
        <v>1397</v>
      </c>
      <c r="N25" s="1214" t="s">
        <v>1398</v>
      </c>
      <c r="O25" s="664"/>
      <c r="P25" s="655"/>
      <c r="Q25" s="656"/>
      <c r="R25" s="1400"/>
      <c r="S25" s="1401"/>
      <c r="T25" s="1401"/>
      <c r="U25" s="1410"/>
      <c r="V25" s="1410"/>
      <c r="W25" s="1183"/>
      <c r="X25" s="1411"/>
      <c r="Y25" s="715"/>
      <c r="Z25" s="546"/>
      <c r="AA25" s="546"/>
      <c r="AB25" s="546"/>
      <c r="AC25" s="546"/>
      <c r="AD25" s="546"/>
      <c r="AE25" s="546"/>
      <c r="AF25" s="546"/>
      <c r="AG25" s="546"/>
      <c r="AH25" s="546"/>
      <c r="AI25" s="546"/>
      <c r="AJ25" s="715"/>
      <c r="AK25" s="715"/>
      <c r="AL25" s="715"/>
    </row>
    <row r="26" s="1363" customFormat="1" ht="23.45" customHeight="1" spans="1:38">
      <c r="A26" s="1371"/>
      <c r="B26" s="671"/>
      <c r="C26" s="557"/>
      <c r="D26" s="664" t="s">
        <v>1340</v>
      </c>
      <c r="E26" s="572" t="s">
        <v>1344</v>
      </c>
      <c r="F26" s="722">
        <v>403.5</v>
      </c>
      <c r="G26" s="735"/>
      <c r="H26" s="735"/>
      <c r="I26" s="735">
        <v>2697.92205</v>
      </c>
      <c r="J26" s="819">
        <v>6.6863</v>
      </c>
      <c r="K26" s="1556" t="s">
        <v>1251</v>
      </c>
      <c r="L26" s="644"/>
      <c r="M26" s="1261" t="s">
        <v>1397</v>
      </c>
      <c r="N26" s="1214" t="s">
        <v>1398</v>
      </c>
      <c r="O26" s="664"/>
      <c r="P26" s="655"/>
      <c r="Q26" s="656"/>
      <c r="R26" s="1400"/>
      <c r="S26" s="1401"/>
      <c r="T26" s="1401"/>
      <c r="U26" s="1410"/>
      <c r="V26" s="1410"/>
      <c r="W26" s="1183"/>
      <c r="X26" s="1411"/>
      <c r="Y26" s="715"/>
      <c r="Z26" s="546"/>
      <c r="AA26" s="546"/>
      <c r="AB26" s="546"/>
      <c r="AC26" s="546"/>
      <c r="AD26" s="546"/>
      <c r="AE26" s="546"/>
      <c r="AF26" s="546"/>
      <c r="AG26" s="546"/>
      <c r="AH26" s="546"/>
      <c r="AI26" s="546"/>
      <c r="AJ26" s="715"/>
      <c r="AK26" s="715"/>
      <c r="AL26" s="715"/>
    </row>
    <row r="27" s="1363" customFormat="1" ht="23.45" customHeight="1" spans="1:38">
      <c r="A27" s="1371"/>
      <c r="B27" s="671"/>
      <c r="C27" s="557"/>
      <c r="D27" s="664" t="s">
        <v>1169</v>
      </c>
      <c r="E27" s="572" t="s">
        <v>1331</v>
      </c>
      <c r="F27" s="1433">
        <v>41473</v>
      </c>
      <c r="G27" s="735"/>
      <c r="H27" s="735"/>
      <c r="I27" s="1606">
        <v>277300.9199</v>
      </c>
      <c r="J27" s="819">
        <v>6.6863</v>
      </c>
      <c r="K27" s="598" t="s">
        <v>1218</v>
      </c>
      <c r="L27" s="644"/>
      <c r="M27" s="1261" t="s">
        <v>1399</v>
      </c>
      <c r="N27" s="1214" t="s">
        <v>1400</v>
      </c>
      <c r="O27" s="664"/>
      <c r="P27" s="655"/>
      <c r="Q27" s="656"/>
      <c r="R27" s="1400"/>
      <c r="S27" s="1401"/>
      <c r="T27" s="1401"/>
      <c r="U27" s="1410"/>
      <c r="V27" s="1410"/>
      <c r="W27" s="1183"/>
      <c r="X27" s="1411"/>
      <c r="Y27" s="715"/>
      <c r="Z27" s="546"/>
      <c r="AA27" s="546"/>
      <c r="AB27" s="546"/>
      <c r="AC27" s="546"/>
      <c r="AD27" s="546"/>
      <c r="AE27" s="546"/>
      <c r="AF27" s="546"/>
      <c r="AG27" s="546"/>
      <c r="AH27" s="546"/>
      <c r="AI27" s="546"/>
      <c r="AJ27" s="715"/>
      <c r="AK27" s="715"/>
      <c r="AL27" s="715"/>
    </row>
    <row r="28" s="1363" customFormat="1" ht="23.45" customHeight="1" spans="1:38">
      <c r="A28" s="1371"/>
      <c r="B28" s="671"/>
      <c r="C28" s="557"/>
      <c r="D28" s="664" t="s">
        <v>175</v>
      </c>
      <c r="E28" s="572" t="s">
        <v>1401</v>
      </c>
      <c r="F28" s="735">
        <v>217137.5925</v>
      </c>
      <c r="G28" s="735"/>
      <c r="H28" s="735"/>
      <c r="I28" s="735">
        <v>217137.5925</v>
      </c>
      <c r="J28" s="819">
        <v>6.6863</v>
      </c>
      <c r="K28" s="598" t="s">
        <v>1218</v>
      </c>
      <c r="L28" s="644"/>
      <c r="M28" s="1261" t="s">
        <v>1399</v>
      </c>
      <c r="N28" s="1214" t="s">
        <v>1400</v>
      </c>
      <c r="O28" s="664"/>
      <c r="P28" s="655"/>
      <c r="Q28" s="656"/>
      <c r="R28" s="1400"/>
      <c r="S28" s="1401"/>
      <c r="T28" s="1401"/>
      <c r="U28" s="1410"/>
      <c r="V28" s="1410"/>
      <c r="W28" s="1183"/>
      <c r="X28" s="1411"/>
      <c r="Y28" s="715"/>
      <c r="Z28" s="546"/>
      <c r="AA28" s="546"/>
      <c r="AB28" s="546"/>
      <c r="AC28" s="546"/>
      <c r="AD28" s="546"/>
      <c r="AE28" s="546"/>
      <c r="AF28" s="546"/>
      <c r="AG28" s="546"/>
      <c r="AH28" s="546"/>
      <c r="AI28" s="546"/>
      <c r="AJ28" s="715"/>
      <c r="AK28" s="715"/>
      <c r="AL28" s="715"/>
    </row>
    <row r="29" s="1363" customFormat="1" ht="33" spans="1:38">
      <c r="A29" s="1371"/>
      <c r="B29" s="671"/>
      <c r="C29" s="557"/>
      <c r="D29" s="1600" t="s">
        <v>1340</v>
      </c>
      <c r="E29" s="1163" t="s">
        <v>1402</v>
      </c>
      <c r="F29" s="786">
        <v>135583</v>
      </c>
      <c r="G29" s="735">
        <f>F29*J29</f>
        <v>914737.8261</v>
      </c>
      <c r="H29" s="735">
        <v>914737.8261</v>
      </c>
      <c r="I29" s="735">
        <v>914737.8261</v>
      </c>
      <c r="J29" s="733">
        <v>6.7467</v>
      </c>
      <c r="K29" s="1556" t="s">
        <v>1251</v>
      </c>
      <c r="L29" s="708">
        <v>44781</v>
      </c>
      <c r="M29" s="1261" t="s">
        <v>1403</v>
      </c>
      <c r="N29" s="1214" t="s">
        <v>1404</v>
      </c>
      <c r="O29" s="664"/>
      <c r="P29" s="655"/>
      <c r="Q29" s="656"/>
      <c r="R29" s="1400"/>
      <c r="S29" s="1401"/>
      <c r="T29" s="1401"/>
      <c r="U29" s="1410"/>
      <c r="V29" s="1410"/>
      <c r="W29" s="1183"/>
      <c r="X29" s="1411"/>
      <c r="Y29" s="715"/>
      <c r="Z29" s="546"/>
      <c r="AA29" s="546"/>
      <c r="AB29" s="546"/>
      <c r="AC29" s="546"/>
      <c r="AD29" s="546"/>
      <c r="AE29" s="546"/>
      <c r="AF29" s="546"/>
      <c r="AG29" s="546"/>
      <c r="AH29" s="546"/>
      <c r="AI29" s="546"/>
      <c r="AJ29" s="715"/>
      <c r="AK29" s="715"/>
      <c r="AL29" s="715"/>
    </row>
    <row r="30" s="1363" customFormat="1" ht="33" spans="1:38">
      <c r="A30" s="1371"/>
      <c r="B30" s="671"/>
      <c r="C30" s="557"/>
      <c r="D30" s="1600" t="s">
        <v>1405</v>
      </c>
      <c r="E30" s="1163" t="s">
        <v>1406</v>
      </c>
      <c r="F30" s="786">
        <v>5214</v>
      </c>
      <c r="G30" s="735">
        <f>F30*J30</f>
        <v>35177.2938</v>
      </c>
      <c r="H30" s="735">
        <v>35177.2938</v>
      </c>
      <c r="I30" s="735">
        <v>35177.2938</v>
      </c>
      <c r="J30" s="733">
        <v>6.7467</v>
      </c>
      <c r="K30" s="1556" t="s">
        <v>1251</v>
      </c>
      <c r="L30" s="708">
        <v>44784</v>
      </c>
      <c r="M30" s="708">
        <v>44784</v>
      </c>
      <c r="N30" s="1038" t="s">
        <v>1407</v>
      </c>
      <c r="O30" s="664"/>
      <c r="P30" s="655"/>
      <c r="Q30" s="656"/>
      <c r="R30" s="1400"/>
      <c r="S30" s="1401"/>
      <c r="T30" s="1401"/>
      <c r="U30" s="1410"/>
      <c r="V30" s="1410"/>
      <c r="W30" s="1183"/>
      <c r="X30" s="1411"/>
      <c r="Y30" s="715"/>
      <c r="Z30" s="546"/>
      <c r="AA30" s="546"/>
      <c r="AB30" s="546"/>
      <c r="AC30" s="546"/>
      <c r="AD30" s="546"/>
      <c r="AE30" s="546"/>
      <c r="AF30" s="546"/>
      <c r="AG30" s="546"/>
      <c r="AH30" s="546"/>
      <c r="AI30" s="546"/>
      <c r="AJ30" s="715"/>
      <c r="AK30" s="715"/>
      <c r="AL30" s="715"/>
    </row>
    <row r="31" s="1363" customFormat="1" ht="23.45" customHeight="1" spans="1:38">
      <c r="A31" s="1371"/>
      <c r="B31" s="671"/>
      <c r="C31" s="557"/>
      <c r="D31" s="1600" t="s">
        <v>1408</v>
      </c>
      <c r="E31" s="1163" t="s">
        <v>1409</v>
      </c>
      <c r="F31" s="722">
        <v>19160</v>
      </c>
      <c r="G31" s="735">
        <f>F31*J31</f>
        <v>129266.772</v>
      </c>
      <c r="H31" s="735">
        <v>129266.772</v>
      </c>
      <c r="I31" s="735"/>
      <c r="J31" s="733">
        <v>6.7467</v>
      </c>
      <c r="K31" s="598" t="s">
        <v>1218</v>
      </c>
      <c r="L31" s="1442">
        <v>44788</v>
      </c>
      <c r="M31" s="625" t="s">
        <v>1410</v>
      </c>
      <c r="N31" s="1038" t="s">
        <v>1411</v>
      </c>
      <c r="O31" s="664"/>
      <c r="P31" s="1516"/>
      <c r="Q31" s="1516"/>
      <c r="R31" s="1400"/>
      <c r="S31" s="1401"/>
      <c r="T31" s="1401"/>
      <c r="U31" s="1410"/>
      <c r="V31" s="1410"/>
      <c r="W31" s="1183"/>
      <c r="X31" s="1411"/>
      <c r="Y31" s="715"/>
      <c r="Z31" s="546"/>
      <c r="AA31" s="546"/>
      <c r="AB31" s="546"/>
      <c r="AC31" s="546"/>
      <c r="AD31" s="546"/>
      <c r="AE31" s="546"/>
      <c r="AF31" s="546"/>
      <c r="AG31" s="546"/>
      <c r="AH31" s="546"/>
      <c r="AI31" s="546"/>
      <c r="AJ31" s="715"/>
      <c r="AK31" s="715"/>
      <c r="AL31" s="715"/>
    </row>
    <row r="32" s="1363" customFormat="1" ht="23.45" customHeight="1" spans="1:38">
      <c r="A32" s="1371"/>
      <c r="B32" s="671"/>
      <c r="C32" s="557"/>
      <c r="D32" s="1600" t="s">
        <v>1412</v>
      </c>
      <c r="E32" s="1163" t="s">
        <v>1413</v>
      </c>
      <c r="F32" s="722">
        <v>8451</v>
      </c>
      <c r="G32" s="735">
        <f>F32*J32</f>
        <v>57016.3617</v>
      </c>
      <c r="H32" s="735">
        <v>57016.3617</v>
      </c>
      <c r="I32" s="735">
        <v>57016.3617</v>
      </c>
      <c r="J32" s="733">
        <v>6.7467</v>
      </c>
      <c r="K32" s="598" t="s">
        <v>1218</v>
      </c>
      <c r="L32" s="1442">
        <v>44778</v>
      </c>
      <c r="M32" s="625" t="s">
        <v>1403</v>
      </c>
      <c r="N32" s="1214" t="s">
        <v>1414</v>
      </c>
      <c r="O32" s="664"/>
      <c r="P32" s="655"/>
      <c r="Q32" s="656"/>
      <c r="R32" s="1400"/>
      <c r="S32" s="1401"/>
      <c r="T32" s="1401"/>
      <c r="U32" s="1410"/>
      <c r="V32" s="1410"/>
      <c r="W32" s="1183"/>
      <c r="X32" s="1411"/>
      <c r="Y32" s="715"/>
      <c r="Z32" s="546"/>
      <c r="AA32" s="546"/>
      <c r="AB32" s="546"/>
      <c r="AC32" s="546"/>
      <c r="AD32" s="546"/>
      <c r="AE32" s="546"/>
      <c r="AF32" s="546"/>
      <c r="AG32" s="546"/>
      <c r="AH32" s="546"/>
      <c r="AI32" s="546"/>
      <c r="AJ32" s="715"/>
      <c r="AK32" s="715"/>
      <c r="AL32" s="715"/>
    </row>
    <row r="33" s="1363" customFormat="1" ht="23.45" customHeight="1" spans="1:38">
      <c r="A33" s="1371"/>
      <c r="B33" s="671"/>
      <c r="C33" s="557"/>
      <c r="D33" s="715" t="s">
        <v>1415</v>
      </c>
      <c r="E33" s="250" t="s">
        <v>1416</v>
      </c>
      <c r="F33" s="722">
        <v>42000</v>
      </c>
      <c r="G33" s="735"/>
      <c r="H33" s="735"/>
      <c r="I33" s="735"/>
      <c r="J33" s="733"/>
      <c r="K33" s="598"/>
      <c r="L33" s="1583"/>
      <c r="M33" s="625"/>
      <c r="N33" s="1038" t="s">
        <v>1417</v>
      </c>
      <c r="O33" s="664"/>
      <c r="P33" s="655"/>
      <c r="Q33" s="656"/>
      <c r="R33" s="1400"/>
      <c r="S33" s="1401"/>
      <c r="T33" s="1401"/>
      <c r="U33" s="1410"/>
      <c r="V33" s="1410"/>
      <c r="W33" s="1183"/>
      <c r="X33" s="1411"/>
      <c r="Y33" s="715"/>
      <c r="Z33" s="546"/>
      <c r="AA33" s="546"/>
      <c r="AB33" s="546"/>
      <c r="AC33" s="546"/>
      <c r="AD33" s="546"/>
      <c r="AE33" s="546"/>
      <c r="AF33" s="546"/>
      <c r="AG33" s="546"/>
      <c r="AH33" s="546"/>
      <c r="AI33" s="546"/>
      <c r="AJ33" s="715"/>
      <c r="AK33" s="715"/>
      <c r="AL33" s="715"/>
    </row>
    <row r="34" s="1363" customFormat="1" ht="23.45" customHeight="1" spans="1:38">
      <c r="A34" s="1371"/>
      <c r="B34" s="671"/>
      <c r="C34" s="557"/>
      <c r="D34" s="1600" t="s">
        <v>1418</v>
      </c>
      <c r="E34" s="1163" t="s">
        <v>1419</v>
      </c>
      <c r="F34" s="722">
        <v>25253</v>
      </c>
      <c r="G34" s="735">
        <f t="shared" ref="G34:G42" si="1">F34*J34</f>
        <v>170374.4151</v>
      </c>
      <c r="H34" s="735">
        <v>170374.4151</v>
      </c>
      <c r="I34" s="735">
        <v>170374.4151</v>
      </c>
      <c r="J34" s="733">
        <v>6.7467</v>
      </c>
      <c r="K34" s="598" t="s">
        <v>1218</v>
      </c>
      <c r="L34" s="644">
        <v>44796</v>
      </c>
      <c r="M34" s="625" t="s">
        <v>1420</v>
      </c>
      <c r="N34" s="1038" t="s">
        <v>1421</v>
      </c>
      <c r="O34" s="1390"/>
      <c r="P34" s="655"/>
      <c r="Q34" s="656"/>
      <c r="R34" s="1400"/>
      <c r="S34" s="1401"/>
      <c r="T34" s="1401"/>
      <c r="U34" s="1410"/>
      <c r="V34" s="1410"/>
      <c r="W34" s="1183"/>
      <c r="X34" s="1411"/>
      <c r="Y34" s="715"/>
      <c r="Z34" s="546"/>
      <c r="AA34" s="546"/>
      <c r="AB34" s="546"/>
      <c r="AC34" s="546"/>
      <c r="AD34" s="546"/>
      <c r="AE34" s="546"/>
      <c r="AF34" s="546"/>
      <c r="AG34" s="546"/>
      <c r="AH34" s="546"/>
      <c r="AI34" s="546"/>
      <c r="AJ34" s="715"/>
      <c r="AK34" s="715"/>
      <c r="AL34" s="715"/>
    </row>
    <row r="35" s="1363" customFormat="1" ht="23.45" customHeight="1" spans="1:38">
      <c r="A35" s="1371"/>
      <c r="B35" s="671"/>
      <c r="C35" s="557"/>
      <c r="D35" s="1621" t="s">
        <v>166</v>
      </c>
      <c r="E35" s="1163" t="s">
        <v>1422</v>
      </c>
      <c r="F35" s="722">
        <v>21910</v>
      </c>
      <c r="G35" s="735">
        <f t="shared" si="1"/>
        <v>147820.197</v>
      </c>
      <c r="H35" s="735">
        <v>147820.197</v>
      </c>
      <c r="I35" s="735"/>
      <c r="J35" s="733">
        <v>6.7467</v>
      </c>
      <c r="K35" s="598" t="s">
        <v>1218</v>
      </c>
      <c r="L35" s="644">
        <v>44802</v>
      </c>
      <c r="M35" s="625" t="s">
        <v>1410</v>
      </c>
      <c r="N35" s="1038" t="s">
        <v>1423</v>
      </c>
      <c r="O35" s="1390"/>
      <c r="P35" s="655"/>
      <c r="Q35" s="656"/>
      <c r="R35" s="1400"/>
      <c r="S35" s="1401"/>
      <c r="T35" s="1401"/>
      <c r="U35" s="1410"/>
      <c r="V35" s="1410"/>
      <c r="W35" s="1183"/>
      <c r="X35" s="1411"/>
      <c r="Y35" s="715"/>
      <c r="Z35" s="546"/>
      <c r="AA35" s="546"/>
      <c r="AB35" s="546"/>
      <c r="AC35" s="546"/>
      <c r="AD35" s="546"/>
      <c r="AE35" s="546"/>
      <c r="AF35" s="546"/>
      <c r="AG35" s="546"/>
      <c r="AH35" s="546"/>
      <c r="AI35" s="546"/>
      <c r="AJ35" s="715"/>
      <c r="AK35" s="715"/>
      <c r="AL35" s="715"/>
    </row>
    <row r="36" s="1363" customFormat="1" ht="23.45" customHeight="1" spans="1:38">
      <c r="A36" s="1371"/>
      <c r="B36" s="671"/>
      <c r="C36" s="557"/>
      <c r="D36" s="1621" t="s">
        <v>247</v>
      </c>
      <c r="E36" s="1163" t="s">
        <v>1424</v>
      </c>
      <c r="F36" s="722">
        <v>35792</v>
      </c>
      <c r="G36" s="735">
        <f t="shared" si="1"/>
        <v>241477.8864</v>
      </c>
      <c r="H36" s="735">
        <v>241477.8864</v>
      </c>
      <c r="I36" s="735"/>
      <c r="J36" s="733">
        <v>6.7467</v>
      </c>
      <c r="K36" s="598" t="s">
        <v>1218</v>
      </c>
      <c r="L36" s="644">
        <v>44804</v>
      </c>
      <c r="M36" s="625" t="s">
        <v>1410</v>
      </c>
      <c r="N36" s="1038" t="s">
        <v>1425</v>
      </c>
      <c r="O36" s="1390"/>
      <c r="P36" s="655"/>
      <c r="Q36" s="656"/>
      <c r="R36" s="1400"/>
      <c r="S36" s="1401"/>
      <c r="T36" s="1401"/>
      <c r="U36" s="1410"/>
      <c r="V36" s="1410"/>
      <c r="W36" s="1183"/>
      <c r="X36" s="1411"/>
      <c r="Y36" s="715"/>
      <c r="Z36" s="546"/>
      <c r="AA36" s="546"/>
      <c r="AB36" s="546"/>
      <c r="AC36" s="546"/>
      <c r="AD36" s="546"/>
      <c r="AE36" s="546"/>
      <c r="AF36" s="546"/>
      <c r="AG36" s="546"/>
      <c r="AH36" s="546"/>
      <c r="AI36" s="546"/>
      <c r="AJ36" s="715"/>
      <c r="AK36" s="715"/>
      <c r="AL36" s="715"/>
    </row>
    <row r="37" s="1363" customFormat="1" ht="23.45" customHeight="1" spans="1:38">
      <c r="A37" s="1371"/>
      <c r="B37" s="671"/>
      <c r="C37" s="557"/>
      <c r="D37" s="1621" t="s">
        <v>849</v>
      </c>
      <c r="E37" s="1163" t="s">
        <v>1426</v>
      </c>
      <c r="F37" s="722">
        <v>1260</v>
      </c>
      <c r="G37" s="735">
        <f t="shared" si="1"/>
        <v>8500.842</v>
      </c>
      <c r="H37" s="735">
        <v>8500.842</v>
      </c>
      <c r="I37" s="735">
        <v>8500.842</v>
      </c>
      <c r="J37" s="733">
        <v>6.7467</v>
      </c>
      <c r="K37" s="598" t="s">
        <v>1218</v>
      </c>
      <c r="L37" s="644">
        <v>44802</v>
      </c>
      <c r="M37" s="633" t="s">
        <v>1427</v>
      </c>
      <c r="N37" s="1038" t="s">
        <v>1428</v>
      </c>
      <c r="O37" s="1390"/>
      <c r="P37" s="655"/>
      <c r="Q37" s="656"/>
      <c r="R37" s="1400"/>
      <c r="S37" s="1401"/>
      <c r="T37" s="1401"/>
      <c r="U37" s="1410"/>
      <c r="V37" s="1410"/>
      <c r="W37" s="1183"/>
      <c r="X37" s="1411"/>
      <c r="Y37" s="715"/>
      <c r="Z37" s="546"/>
      <c r="AA37" s="546"/>
      <c r="AB37" s="546"/>
      <c r="AC37" s="546"/>
      <c r="AD37" s="546"/>
      <c r="AE37" s="546"/>
      <c r="AF37" s="546"/>
      <c r="AG37" s="546"/>
      <c r="AH37" s="546"/>
      <c r="AI37" s="546"/>
      <c r="AJ37" s="715"/>
      <c r="AK37" s="715"/>
      <c r="AL37" s="715"/>
    </row>
    <row r="38" s="1363" customFormat="1" ht="23.45" customHeight="1" spans="1:38">
      <c r="A38" s="1371"/>
      <c r="B38" s="671"/>
      <c r="C38" s="557"/>
      <c r="D38" s="1621" t="s">
        <v>167</v>
      </c>
      <c r="E38" s="1163" t="s">
        <v>1429</v>
      </c>
      <c r="F38" s="722">
        <v>6532</v>
      </c>
      <c r="G38" s="735">
        <f t="shared" si="1"/>
        <v>44069.4444</v>
      </c>
      <c r="H38" s="735">
        <v>44069.4444</v>
      </c>
      <c r="I38" s="735">
        <v>44069.4444</v>
      </c>
      <c r="J38" s="733">
        <v>6.7467</v>
      </c>
      <c r="K38" s="598" t="s">
        <v>1218</v>
      </c>
      <c r="L38" s="1442">
        <v>44795</v>
      </c>
      <c r="M38" s="633" t="s">
        <v>1427</v>
      </c>
      <c r="N38" s="1038" t="s">
        <v>1430</v>
      </c>
      <c r="O38" s="1390"/>
      <c r="P38" s="655"/>
      <c r="Q38" s="656"/>
      <c r="R38" s="1400"/>
      <c r="S38" s="1401"/>
      <c r="T38" s="1401"/>
      <c r="U38" s="1410"/>
      <c r="V38" s="1410"/>
      <c r="W38" s="1183"/>
      <c r="X38" s="1411"/>
      <c r="Y38" s="715"/>
      <c r="Z38" s="546"/>
      <c r="AA38" s="546"/>
      <c r="AB38" s="546"/>
      <c r="AC38" s="546"/>
      <c r="AD38" s="546"/>
      <c r="AE38" s="546"/>
      <c r="AF38" s="546"/>
      <c r="AG38" s="546"/>
      <c r="AH38" s="546"/>
      <c r="AI38" s="546"/>
      <c r="AJ38" s="715"/>
      <c r="AK38" s="715"/>
      <c r="AL38" s="715"/>
    </row>
    <row r="39" s="1363" customFormat="1" ht="23.45" customHeight="1" spans="1:38">
      <c r="A39" s="1371"/>
      <c r="B39" s="671"/>
      <c r="C39" s="557"/>
      <c r="D39" s="1622"/>
      <c r="E39" s="1163" t="s">
        <v>1431</v>
      </c>
      <c r="F39" s="722">
        <v>3618</v>
      </c>
      <c r="G39" s="735">
        <f t="shared" si="1"/>
        <v>24409.5606</v>
      </c>
      <c r="H39" s="735">
        <v>24409.5606</v>
      </c>
      <c r="I39" s="735"/>
      <c r="J39" s="733">
        <v>6.7467</v>
      </c>
      <c r="K39" s="598" t="s">
        <v>1218</v>
      </c>
      <c r="L39" s="1442">
        <v>44803</v>
      </c>
      <c r="M39" s="633"/>
      <c r="N39" s="1038" t="s">
        <v>1432</v>
      </c>
      <c r="O39" s="1390"/>
      <c r="P39" s="655"/>
      <c r="Q39" s="656"/>
      <c r="R39" s="1400"/>
      <c r="S39" s="1401"/>
      <c r="T39" s="1401"/>
      <c r="U39" s="1410"/>
      <c r="V39" s="1410"/>
      <c r="W39" s="1183"/>
      <c r="X39" s="1411"/>
      <c r="Y39" s="715"/>
      <c r="Z39" s="546"/>
      <c r="AA39" s="546"/>
      <c r="AB39" s="546"/>
      <c r="AC39" s="546"/>
      <c r="AD39" s="546"/>
      <c r="AE39" s="546"/>
      <c r="AF39" s="546"/>
      <c r="AG39" s="546"/>
      <c r="AH39" s="546"/>
      <c r="AI39" s="546"/>
      <c r="AJ39" s="715"/>
      <c r="AK39" s="715"/>
      <c r="AL39" s="715"/>
    </row>
    <row r="40" s="1363" customFormat="1" ht="23.45" customHeight="1" spans="1:38">
      <c r="A40" s="1371"/>
      <c r="B40" s="671"/>
      <c r="C40" s="557"/>
      <c r="D40" s="1623" t="s">
        <v>287</v>
      </c>
      <c r="E40" s="1629" t="s">
        <v>1433</v>
      </c>
      <c r="F40" s="1433">
        <v>1519</v>
      </c>
      <c r="G40" s="735">
        <f t="shared" si="1"/>
        <v>10248.2373</v>
      </c>
      <c r="H40" s="735">
        <v>10248.2373</v>
      </c>
      <c r="I40" s="735">
        <v>10248.2373</v>
      </c>
      <c r="J40" s="733">
        <v>6.7467</v>
      </c>
      <c r="K40" s="1556" t="s">
        <v>1251</v>
      </c>
      <c r="L40" s="1442">
        <v>44777</v>
      </c>
      <c r="M40" s="633" t="s">
        <v>1427</v>
      </c>
      <c r="N40" s="1214" t="s">
        <v>1434</v>
      </c>
      <c r="O40" s="1390"/>
      <c r="P40" s="655"/>
      <c r="Q40" s="656"/>
      <c r="R40" s="1400"/>
      <c r="S40" s="1401"/>
      <c r="T40" s="1401"/>
      <c r="U40" s="1410"/>
      <c r="V40" s="1410"/>
      <c r="W40" s="1183"/>
      <c r="X40" s="1411"/>
      <c r="Y40" s="715"/>
      <c r="Z40" s="546"/>
      <c r="AA40" s="546"/>
      <c r="AB40" s="546"/>
      <c r="AC40" s="546"/>
      <c r="AD40" s="546"/>
      <c r="AE40" s="546"/>
      <c r="AF40" s="546"/>
      <c r="AG40" s="546"/>
      <c r="AH40" s="546"/>
      <c r="AI40" s="546"/>
      <c r="AJ40" s="715"/>
      <c r="AK40" s="715"/>
      <c r="AL40" s="715"/>
    </row>
    <row r="41" s="1363" customFormat="1" ht="23.45" customHeight="1" spans="1:38">
      <c r="A41" s="1371"/>
      <c r="B41" s="671"/>
      <c r="C41" s="557"/>
      <c r="D41" s="1624"/>
      <c r="E41" s="1629" t="s">
        <v>1435</v>
      </c>
      <c r="F41" s="1433">
        <v>3141</v>
      </c>
      <c r="G41" s="735">
        <f t="shared" si="1"/>
        <v>21191.3847</v>
      </c>
      <c r="H41" s="735">
        <v>21191.3847</v>
      </c>
      <c r="I41" s="735">
        <v>21191.3847</v>
      </c>
      <c r="J41" s="733">
        <v>6.7467</v>
      </c>
      <c r="K41" s="1556" t="s">
        <v>1251</v>
      </c>
      <c r="L41" s="1442">
        <v>44792</v>
      </c>
      <c r="M41" s="633" t="s">
        <v>1427</v>
      </c>
      <c r="N41" s="1214" t="s">
        <v>1434</v>
      </c>
      <c r="O41" s="1443"/>
      <c r="P41" s="945"/>
      <c r="Q41" s="945"/>
      <c r="R41" s="1400"/>
      <c r="S41" s="1401"/>
      <c r="T41" s="1401"/>
      <c r="U41" s="1410"/>
      <c r="V41" s="1410"/>
      <c r="W41" s="1183"/>
      <c r="X41" s="1411"/>
      <c r="Y41" s="715"/>
      <c r="Z41" s="546"/>
      <c r="AA41" s="546"/>
      <c r="AB41" s="546"/>
      <c r="AC41" s="546"/>
      <c r="AD41" s="546"/>
      <c r="AE41" s="546"/>
      <c r="AF41" s="546"/>
      <c r="AG41" s="546"/>
      <c r="AH41" s="546"/>
      <c r="AI41" s="546"/>
      <c r="AJ41" s="715"/>
      <c r="AK41" s="715"/>
      <c r="AL41" s="715"/>
    </row>
    <row r="42" s="536" customFormat="1" ht="34.5" customHeight="1" spans="1:38">
      <c r="A42" s="1371"/>
      <c r="B42" s="664" t="s">
        <v>224</v>
      </c>
      <c r="C42" s="655">
        <v>110</v>
      </c>
      <c r="D42" s="1621" t="s">
        <v>867</v>
      </c>
      <c r="E42" s="1163" t="s">
        <v>1436</v>
      </c>
      <c r="F42" s="722">
        <v>2310</v>
      </c>
      <c r="G42" s="735">
        <f t="shared" si="1"/>
        <v>15584.877</v>
      </c>
      <c r="H42" s="735">
        <v>15585</v>
      </c>
      <c r="I42" s="735">
        <v>15585</v>
      </c>
      <c r="J42" s="733">
        <v>6.7467</v>
      </c>
      <c r="K42" s="1556" t="s">
        <v>1251</v>
      </c>
      <c r="L42" s="1442">
        <v>44798</v>
      </c>
      <c r="M42" s="633" t="s">
        <v>1427</v>
      </c>
      <c r="N42" s="1214" t="s">
        <v>1434</v>
      </c>
      <c r="O42" s="1443"/>
      <c r="P42" s="945"/>
      <c r="Q42" s="945"/>
      <c r="R42" s="1401"/>
      <c r="S42" s="754"/>
      <c r="T42" s="992"/>
      <c r="U42" s="1465"/>
      <c r="V42" s="1209"/>
      <c r="W42" s="1210"/>
      <c r="X42" s="715"/>
      <c r="Y42" s="1474"/>
      <c r="Z42" s="1473"/>
      <c r="AA42" s="715"/>
      <c r="AB42" s="715"/>
      <c r="AC42" s="715"/>
      <c r="AD42" s="715"/>
      <c r="AE42" s="715"/>
      <c r="AF42" s="715"/>
      <c r="AG42" s="715"/>
      <c r="AH42" s="715"/>
      <c r="AI42" s="715"/>
      <c r="AJ42" s="715"/>
      <c r="AK42" s="992"/>
      <c r="AL42" s="715"/>
    </row>
    <row r="43" s="1363" customFormat="1" ht="23.45" customHeight="1" spans="1:38">
      <c r="A43" s="1371"/>
      <c r="B43" s="1625" t="s">
        <v>1437</v>
      </c>
      <c r="C43" s="557">
        <v>31</v>
      </c>
      <c r="D43" s="1626" t="s">
        <v>165</v>
      </c>
      <c r="E43" s="1629" t="s">
        <v>1438</v>
      </c>
      <c r="F43" s="1433">
        <v>30844</v>
      </c>
      <c r="G43" s="735">
        <f t="shared" ref="G43:G45" si="2">F43*J43</f>
        <v>208095.2148</v>
      </c>
      <c r="H43" s="1434">
        <v>208095.2148</v>
      </c>
      <c r="I43" s="1434">
        <v>208095.2148</v>
      </c>
      <c r="J43" s="733">
        <v>6.7467</v>
      </c>
      <c r="K43" s="598" t="s">
        <v>1218</v>
      </c>
      <c r="L43" s="1442">
        <v>44777</v>
      </c>
      <c r="M43" s="1261" t="s">
        <v>1439</v>
      </c>
      <c r="N43" s="1214" t="s">
        <v>1440</v>
      </c>
      <c r="O43" s="664"/>
      <c r="P43" s="655"/>
      <c r="Q43" s="656"/>
      <c r="R43" s="1400"/>
      <c r="S43" s="1401"/>
      <c r="T43" s="1401"/>
      <c r="U43" s="1410"/>
      <c r="V43" s="1410"/>
      <c r="W43" s="1183"/>
      <c r="X43" s="1411"/>
      <c r="Y43" s="715"/>
      <c r="Z43" s="546"/>
      <c r="AA43" s="546"/>
      <c r="AB43" s="546"/>
      <c r="AC43" s="546"/>
      <c r="AD43" s="546"/>
      <c r="AE43" s="546"/>
      <c r="AF43" s="546"/>
      <c r="AG43" s="546"/>
      <c r="AH43" s="546"/>
      <c r="AI43" s="546"/>
      <c r="AJ43" s="715"/>
      <c r="AK43" s="715"/>
      <c r="AL43" s="715"/>
    </row>
    <row r="44" s="1363" customFormat="1" ht="23.45" customHeight="1" spans="1:38">
      <c r="A44" s="1371"/>
      <c r="B44" s="1625"/>
      <c r="C44" s="557"/>
      <c r="D44" s="1626" t="s">
        <v>165</v>
      </c>
      <c r="E44" s="1629" t="s">
        <v>1441</v>
      </c>
      <c r="F44" s="1433">
        <v>15842</v>
      </c>
      <c r="G44" s="735">
        <f t="shared" si="2"/>
        <v>106881.2214</v>
      </c>
      <c r="H44" s="1605">
        <v>106881.2214</v>
      </c>
      <c r="I44" s="1605">
        <v>106881.2214</v>
      </c>
      <c r="J44" s="733">
        <v>6.7467</v>
      </c>
      <c r="K44" s="598" t="s">
        <v>1218</v>
      </c>
      <c r="L44" s="1442">
        <v>44791</v>
      </c>
      <c r="M44" s="1261" t="s">
        <v>1442</v>
      </c>
      <c r="N44" s="1038" t="s">
        <v>1443</v>
      </c>
      <c r="O44" s="664"/>
      <c r="P44" s="655"/>
      <c r="Q44" s="656"/>
      <c r="R44" s="1400"/>
      <c r="S44" s="1401"/>
      <c r="T44" s="1401"/>
      <c r="U44" s="1410"/>
      <c r="V44" s="1410"/>
      <c r="W44" s="1183"/>
      <c r="X44" s="1411"/>
      <c r="Y44" s="715"/>
      <c r="Z44" s="546"/>
      <c r="AA44" s="546"/>
      <c r="AB44" s="546"/>
      <c r="AC44" s="546"/>
      <c r="AD44" s="546"/>
      <c r="AE44" s="546"/>
      <c r="AF44" s="546"/>
      <c r="AG44" s="546"/>
      <c r="AH44" s="546"/>
      <c r="AI44" s="546"/>
      <c r="AJ44" s="715"/>
      <c r="AK44" s="715"/>
      <c r="AL44" s="715"/>
    </row>
    <row r="45" s="536" customFormat="1" ht="23.75" customHeight="1" spans="1:38">
      <c r="A45" s="1371"/>
      <c r="B45" s="1188" t="s">
        <v>1444</v>
      </c>
      <c r="C45" s="655">
        <v>60</v>
      </c>
      <c r="D45" s="1624" t="s">
        <v>256</v>
      </c>
      <c r="E45" s="1630" t="s">
        <v>1445</v>
      </c>
      <c r="F45" s="1433">
        <v>16712</v>
      </c>
      <c r="G45" s="577">
        <f t="shared" si="2"/>
        <v>112750.8504</v>
      </c>
      <c r="H45" s="1434">
        <v>112751</v>
      </c>
      <c r="I45" s="1434">
        <v>112751</v>
      </c>
      <c r="J45" s="733">
        <v>6.7467</v>
      </c>
      <c r="K45" s="1355" t="s">
        <v>1251</v>
      </c>
      <c r="L45" s="1442">
        <v>44777</v>
      </c>
      <c r="M45" s="1261" t="s">
        <v>1446</v>
      </c>
      <c r="N45" s="1444" t="s">
        <v>1447</v>
      </c>
      <c r="O45" s="1447"/>
      <c r="P45" s="968"/>
      <c r="Q45" s="919"/>
      <c r="R45" s="1401"/>
      <c r="S45" s="754"/>
      <c r="T45" s="992"/>
      <c r="U45" s="1465"/>
      <c r="V45" s="1209"/>
      <c r="W45" s="1210"/>
      <c r="X45" s="715"/>
      <c r="Y45" s="1474"/>
      <c r="Z45" s="1473"/>
      <c r="AA45" s="715"/>
      <c r="AB45" s="715"/>
      <c r="AC45" s="715"/>
      <c r="AD45" s="715"/>
      <c r="AE45" s="715"/>
      <c r="AF45" s="715"/>
      <c r="AG45" s="715"/>
      <c r="AH45" s="715"/>
      <c r="AI45" s="715"/>
      <c r="AJ45" s="715"/>
      <c r="AK45" s="992"/>
      <c r="AL45" s="715"/>
    </row>
    <row r="46" s="536" customFormat="1" ht="23.75" customHeight="1" spans="1:38">
      <c r="A46" s="1371"/>
      <c r="B46" s="1190" t="s">
        <v>1124</v>
      </c>
      <c r="C46" s="1191">
        <f>SUM(C25:C45)</f>
        <v>276</v>
      </c>
      <c r="D46" s="1420"/>
      <c r="E46" s="1198"/>
      <c r="F46" s="1157" t="s">
        <v>1235</v>
      </c>
      <c r="G46" s="1158">
        <f>SUM(G25:G45)</f>
        <v>2247602.3847</v>
      </c>
      <c r="H46" s="1158">
        <f>SUM(H25:H45)</f>
        <v>2247602.6573</v>
      </c>
      <c r="I46" s="1158">
        <f>SUM(I25:I45)</f>
        <v>2724426.06045</v>
      </c>
      <c r="J46" s="1168"/>
      <c r="K46" s="610"/>
      <c r="L46" s="644"/>
      <c r="M46" s="644"/>
      <c r="N46" s="1214"/>
      <c r="O46" s="1447"/>
      <c r="P46" s="968"/>
      <c r="Q46" s="919"/>
      <c r="R46" s="1401"/>
      <c r="S46" s="754"/>
      <c r="T46" s="992"/>
      <c r="U46" s="1465"/>
      <c r="V46" s="1209"/>
      <c r="W46" s="1210"/>
      <c r="X46" s="715"/>
      <c r="Y46" s="1474"/>
      <c r="Z46" s="1473"/>
      <c r="AA46" s="715"/>
      <c r="AB46" s="715"/>
      <c r="AC46" s="715"/>
      <c r="AD46" s="715"/>
      <c r="AE46" s="715"/>
      <c r="AF46" s="715"/>
      <c r="AG46" s="715"/>
      <c r="AH46" s="715"/>
      <c r="AI46" s="715"/>
      <c r="AJ46" s="715"/>
      <c r="AK46" s="992"/>
      <c r="AL46" s="715"/>
    </row>
    <row r="47" s="1364" customFormat="1" ht="27.5" customHeight="1" spans="1:38">
      <c r="A47" s="1419"/>
      <c r="B47" s="1192"/>
      <c r="C47" s="1150"/>
      <c r="D47" s="1420"/>
      <c r="E47" s="1198"/>
      <c r="F47" s="1157" t="s">
        <v>1236</v>
      </c>
      <c r="G47" s="1199">
        <f>G46/2760000</f>
        <v>0.814348690108695</v>
      </c>
      <c r="H47" s="1199">
        <f>H46/2760000</f>
        <v>0.814348788876812</v>
      </c>
      <c r="I47" s="1199">
        <f>I46/2760000</f>
        <v>0.987110891467392</v>
      </c>
      <c r="J47" s="747"/>
      <c r="K47" s="858"/>
      <c r="L47" s="1135"/>
      <c r="M47" s="1135"/>
      <c r="N47" s="620"/>
      <c r="O47" s="727"/>
      <c r="P47" s="746"/>
      <c r="Q47" s="747"/>
      <c r="R47" s="747"/>
      <c r="S47" s="653"/>
      <c r="T47" s="653"/>
      <c r="U47" s="1184"/>
      <c r="V47" s="1184"/>
      <c r="W47" s="1185"/>
      <c r="X47" s="727"/>
      <c r="Y47" s="777"/>
      <c r="Z47" s="727"/>
      <c r="AA47" s="727"/>
      <c r="AB47" s="727"/>
      <c r="AC47" s="727"/>
      <c r="AD47" s="727"/>
      <c r="AE47" s="727"/>
      <c r="AF47" s="727"/>
      <c r="AG47" s="727"/>
      <c r="AH47" s="727"/>
      <c r="AI47" s="727"/>
      <c r="AJ47" s="727"/>
      <c r="AK47" s="727" t="s">
        <v>293</v>
      </c>
      <c r="AL47" s="727"/>
    </row>
    <row r="48" s="1363" customFormat="1" ht="18.75" customHeight="1" spans="1:38">
      <c r="A48" s="1517" t="s">
        <v>1137</v>
      </c>
      <c r="B48" s="664" t="s">
        <v>344</v>
      </c>
      <c r="C48" s="655">
        <v>121</v>
      </c>
      <c r="D48" s="724" t="s">
        <v>299</v>
      </c>
      <c r="E48" s="1161" t="s">
        <v>1448</v>
      </c>
      <c r="F48" s="969">
        <f t="shared" ref="F48:F52" si="3">P48*Q48</f>
        <v>35399</v>
      </c>
      <c r="G48" s="577">
        <f t="shared" ref="G48:G52" si="4">F48*J48</f>
        <v>238826.4333</v>
      </c>
      <c r="H48" s="577">
        <f>F48*J48</f>
        <v>238826.4333</v>
      </c>
      <c r="I48" s="577">
        <f>F48*J48</f>
        <v>238826.4333</v>
      </c>
      <c r="J48" s="733">
        <v>6.7467</v>
      </c>
      <c r="K48" s="708">
        <v>44782</v>
      </c>
      <c r="L48" s="625">
        <v>44785</v>
      </c>
      <c r="M48" s="625" t="s">
        <v>1449</v>
      </c>
      <c r="N48" s="1633">
        <f>SUM(I48:I53)</f>
        <v>1194131.2999</v>
      </c>
      <c r="O48" s="597" t="s">
        <v>348</v>
      </c>
      <c r="P48" s="751">
        <v>91</v>
      </c>
      <c r="Q48" s="752">
        <v>389</v>
      </c>
      <c r="R48" s="992" t="s">
        <v>1450</v>
      </c>
      <c r="S48" s="1638"/>
      <c r="T48" s="1452"/>
      <c r="U48" s="1344"/>
      <c r="V48" s="1466"/>
      <c r="W48" s="1467"/>
      <c r="X48" s="1397"/>
      <c r="Y48" s="1475"/>
      <c r="Z48" s="1397"/>
      <c r="AA48" s="1397"/>
      <c r="AB48" s="1397"/>
      <c r="AC48" s="1397"/>
      <c r="AD48" s="1397"/>
      <c r="AE48" s="1397"/>
      <c r="AF48" s="1397"/>
      <c r="AG48" s="1397"/>
      <c r="AH48" s="1397"/>
      <c r="AI48" s="1397"/>
      <c r="AJ48" s="1477"/>
      <c r="AK48" s="1478"/>
      <c r="AL48" s="1398"/>
    </row>
    <row r="49" s="1363" customFormat="1" ht="18.75" customHeight="1" spans="1:38">
      <c r="A49" s="1421"/>
      <c r="B49" s="664"/>
      <c r="C49" s="655"/>
      <c r="D49" s="724" t="s">
        <v>299</v>
      </c>
      <c r="E49" s="1161" t="s">
        <v>1451</v>
      </c>
      <c r="F49" s="969">
        <f t="shared" si="3"/>
        <v>35399</v>
      </c>
      <c r="G49" s="577">
        <f t="shared" si="4"/>
        <v>238826.4333</v>
      </c>
      <c r="H49" s="577">
        <f>F49*J49</f>
        <v>238826.4333</v>
      </c>
      <c r="I49" s="577">
        <f>F49*J49</f>
        <v>238826.4333</v>
      </c>
      <c r="J49" s="733">
        <v>6.7467</v>
      </c>
      <c r="K49" s="708">
        <v>44782</v>
      </c>
      <c r="L49" s="625">
        <v>44785</v>
      </c>
      <c r="M49" s="625" t="s">
        <v>1449</v>
      </c>
      <c r="N49" s="1633">
        <f>SUM(I59:I63)</f>
        <v>511379.6199</v>
      </c>
      <c r="O49" s="597" t="s">
        <v>348</v>
      </c>
      <c r="P49" s="751">
        <v>91</v>
      </c>
      <c r="Q49" s="752">
        <v>389</v>
      </c>
      <c r="R49" s="992"/>
      <c r="S49" s="1638"/>
      <c r="T49" s="1452"/>
      <c r="U49" s="1344"/>
      <c r="V49" s="1466"/>
      <c r="W49" s="1467"/>
      <c r="X49" s="1397"/>
      <c r="Y49" s="1475"/>
      <c r="Z49" s="1397"/>
      <c r="AA49" s="1397"/>
      <c r="AB49" s="1397"/>
      <c r="AC49" s="1397"/>
      <c r="AD49" s="1397"/>
      <c r="AE49" s="1397"/>
      <c r="AF49" s="1397"/>
      <c r="AG49" s="1397"/>
      <c r="AH49" s="1397"/>
      <c r="AI49" s="1397"/>
      <c r="AJ49" s="1477"/>
      <c r="AK49" s="1478"/>
      <c r="AL49" s="1398"/>
    </row>
    <row r="50" s="1363" customFormat="1" ht="18.75" customHeight="1" spans="1:38">
      <c r="A50" s="1421"/>
      <c r="B50" s="664"/>
      <c r="C50" s="655"/>
      <c r="D50" s="724" t="s">
        <v>299</v>
      </c>
      <c r="E50" s="1161" t="s">
        <v>1452</v>
      </c>
      <c r="F50" s="969">
        <f t="shared" si="3"/>
        <v>35399</v>
      </c>
      <c r="G50" s="577">
        <f t="shared" si="4"/>
        <v>238826.4333</v>
      </c>
      <c r="H50" s="577">
        <f>F50*J50</f>
        <v>238826.4333</v>
      </c>
      <c r="I50" s="577">
        <f>F50*J50</f>
        <v>238826.4333</v>
      </c>
      <c r="J50" s="733">
        <v>6.7467</v>
      </c>
      <c r="K50" s="708">
        <v>44782</v>
      </c>
      <c r="L50" s="625">
        <v>44792</v>
      </c>
      <c r="M50" s="625" t="s">
        <v>1453</v>
      </c>
      <c r="N50" s="1633">
        <f>SUM(I54:I58)</f>
        <v>431464.9584</v>
      </c>
      <c r="O50" s="597" t="s">
        <v>348</v>
      </c>
      <c r="P50" s="751">
        <v>91</v>
      </c>
      <c r="Q50" s="752">
        <v>389</v>
      </c>
      <c r="R50" s="992"/>
      <c r="S50" s="1638"/>
      <c r="T50" s="1452"/>
      <c r="U50" s="1344"/>
      <c r="V50" s="1466"/>
      <c r="W50" s="1467"/>
      <c r="X50" s="1397"/>
      <c r="Y50" s="1475"/>
      <c r="Z50" s="1397"/>
      <c r="AA50" s="1397"/>
      <c r="AB50" s="1397"/>
      <c r="AC50" s="1397"/>
      <c r="AD50" s="1397"/>
      <c r="AE50" s="1397"/>
      <c r="AF50" s="1397"/>
      <c r="AG50" s="1397"/>
      <c r="AH50" s="1397"/>
      <c r="AI50" s="1397"/>
      <c r="AJ50" s="1477"/>
      <c r="AK50" s="1478"/>
      <c r="AL50" s="1398"/>
    </row>
    <row r="51" s="1363" customFormat="1" ht="18.75" customHeight="1" spans="1:38">
      <c r="A51" s="1421"/>
      <c r="B51" s="664"/>
      <c r="C51" s="655"/>
      <c r="D51" s="724" t="s">
        <v>299</v>
      </c>
      <c r="E51" s="1161" t="s">
        <v>1454</v>
      </c>
      <c r="F51" s="969">
        <f t="shared" si="3"/>
        <v>35399</v>
      </c>
      <c r="G51" s="577">
        <f t="shared" si="4"/>
        <v>238826.4333</v>
      </c>
      <c r="H51" s="577">
        <f>F51*J51</f>
        <v>238826.4333</v>
      </c>
      <c r="I51" s="577">
        <v>238826</v>
      </c>
      <c r="J51" s="733">
        <v>6.7467</v>
      </c>
      <c r="K51" s="1261" t="s">
        <v>1251</v>
      </c>
      <c r="L51" s="633">
        <v>44797</v>
      </c>
      <c r="M51" s="633" t="s">
        <v>1455</v>
      </c>
      <c r="N51" s="1588"/>
      <c r="O51" s="597" t="s">
        <v>348</v>
      </c>
      <c r="P51" s="751">
        <v>91</v>
      </c>
      <c r="Q51" s="752">
        <v>389</v>
      </c>
      <c r="R51" s="992"/>
      <c r="S51" s="1638"/>
      <c r="T51" s="1452"/>
      <c r="U51" s="1344"/>
      <c r="V51" s="1466"/>
      <c r="W51" s="1467"/>
      <c r="X51" s="1397"/>
      <c r="Y51" s="1475"/>
      <c r="Z51" s="1397"/>
      <c r="AA51" s="1397"/>
      <c r="AB51" s="1397"/>
      <c r="AC51" s="1397"/>
      <c r="AD51" s="1397"/>
      <c r="AE51" s="1397"/>
      <c r="AF51" s="1397"/>
      <c r="AG51" s="1397"/>
      <c r="AH51" s="1397"/>
      <c r="AI51" s="1397"/>
      <c r="AJ51" s="1477"/>
      <c r="AK51" s="1478"/>
      <c r="AL51" s="1398"/>
    </row>
    <row r="52" s="1363" customFormat="1" ht="18.75" customHeight="1" spans="1:38">
      <c r="A52" s="1421"/>
      <c r="B52" s="664"/>
      <c r="C52" s="655"/>
      <c r="D52" s="724" t="s">
        <v>299</v>
      </c>
      <c r="E52" s="1161" t="s">
        <v>1456</v>
      </c>
      <c r="F52" s="969">
        <f t="shared" si="3"/>
        <v>35399</v>
      </c>
      <c r="G52" s="577">
        <f t="shared" si="4"/>
        <v>238826.4333</v>
      </c>
      <c r="H52" s="577">
        <f>F52*J52</f>
        <v>238826.4333</v>
      </c>
      <c r="I52" s="577">
        <v>238826</v>
      </c>
      <c r="J52" s="733">
        <v>6.7467</v>
      </c>
      <c r="K52" s="1261" t="s">
        <v>1251</v>
      </c>
      <c r="L52" s="633">
        <v>44797</v>
      </c>
      <c r="M52" s="633" t="s">
        <v>1455</v>
      </c>
      <c r="N52" s="1448"/>
      <c r="O52" s="597" t="s">
        <v>348</v>
      </c>
      <c r="P52" s="751">
        <v>91</v>
      </c>
      <c r="Q52" s="752">
        <v>389</v>
      </c>
      <c r="R52" s="992"/>
      <c r="S52" s="1638"/>
      <c r="T52" s="1452"/>
      <c r="U52" s="1344"/>
      <c r="V52" s="1466"/>
      <c r="W52" s="1467"/>
      <c r="X52" s="1397"/>
      <c r="Y52" s="1475"/>
      <c r="Z52" s="1397"/>
      <c r="AA52" s="1397"/>
      <c r="AB52" s="1397"/>
      <c r="AC52" s="1397"/>
      <c r="AD52" s="1397"/>
      <c r="AE52" s="1397"/>
      <c r="AF52" s="1397"/>
      <c r="AG52" s="1397"/>
      <c r="AH52" s="1397"/>
      <c r="AI52" s="1397"/>
      <c r="AJ52" s="1477"/>
      <c r="AK52" s="1478"/>
      <c r="AL52" s="1398"/>
    </row>
    <row r="53" s="1363" customFormat="1" ht="18.75" customHeight="1" spans="1:38">
      <c r="A53" s="1421"/>
      <c r="B53" s="664"/>
      <c r="C53" s="655"/>
      <c r="D53" s="561"/>
      <c r="E53" s="1303"/>
      <c r="F53" s="969"/>
      <c r="G53" s="577"/>
      <c r="H53" s="577"/>
      <c r="I53" s="577"/>
      <c r="J53" s="733"/>
      <c r="K53" s="598"/>
      <c r="L53" s="625"/>
      <c r="M53" s="625"/>
      <c r="N53" s="1634"/>
      <c r="O53" s="597"/>
      <c r="P53" s="751"/>
      <c r="Q53" s="752"/>
      <c r="R53" s="992"/>
      <c r="S53" s="1638"/>
      <c r="T53" s="1452"/>
      <c r="U53" s="1344"/>
      <c r="V53" s="1466"/>
      <c r="W53" s="1467"/>
      <c r="X53" s="1397"/>
      <c r="Y53" s="1475"/>
      <c r="Z53" s="1397"/>
      <c r="AA53" s="1397"/>
      <c r="AB53" s="1397"/>
      <c r="AC53" s="1397"/>
      <c r="AD53" s="1397"/>
      <c r="AE53" s="1397"/>
      <c r="AF53" s="1397"/>
      <c r="AG53" s="1397"/>
      <c r="AH53" s="1397"/>
      <c r="AI53" s="1397"/>
      <c r="AJ53" s="1477"/>
      <c r="AK53" s="1478"/>
      <c r="AL53" s="1398"/>
    </row>
    <row r="54" s="536" customFormat="1" ht="21.55" customHeight="1" spans="1:38">
      <c r="A54" s="1421"/>
      <c r="B54" s="1188" t="s">
        <v>1145</v>
      </c>
      <c r="C54" s="655">
        <v>160</v>
      </c>
      <c r="D54" s="571" t="s">
        <v>295</v>
      </c>
      <c r="E54" s="1155" t="s">
        <v>1457</v>
      </c>
      <c r="F54" s="969">
        <v>114646</v>
      </c>
      <c r="G54" s="577">
        <f>F54*J54</f>
        <v>773482.1682</v>
      </c>
      <c r="H54" s="577">
        <f>G54</f>
        <v>773482.1682</v>
      </c>
      <c r="I54" s="577"/>
      <c r="J54" s="733">
        <v>6.7467</v>
      </c>
      <c r="K54" s="598">
        <v>44793</v>
      </c>
      <c r="L54" s="708">
        <v>44797</v>
      </c>
      <c r="M54" s="708" t="s">
        <v>1458</v>
      </c>
      <c r="N54" s="1542" t="s">
        <v>1459</v>
      </c>
      <c r="O54" s="597"/>
      <c r="P54" s="568"/>
      <c r="Q54" s="1240"/>
      <c r="R54" s="1542" t="s">
        <v>1460</v>
      </c>
      <c r="S54" s="1639"/>
      <c r="T54" s="1204"/>
      <c r="U54" s="715"/>
      <c r="V54" s="1211"/>
      <c r="W54" s="1182"/>
      <c r="X54" s="715"/>
      <c r="Y54" s="764"/>
      <c r="Z54" s="715"/>
      <c r="AA54" s="715"/>
      <c r="AB54" s="715"/>
      <c r="AC54" s="715"/>
      <c r="AD54" s="715"/>
      <c r="AE54" s="715"/>
      <c r="AF54" s="715"/>
      <c r="AG54" s="715"/>
      <c r="AH54" s="715"/>
      <c r="AI54" s="715"/>
      <c r="AJ54" s="715"/>
      <c r="AK54" s="1294"/>
      <c r="AL54" s="715"/>
    </row>
    <row r="55" s="536" customFormat="1" ht="21.55" customHeight="1" spans="1:38">
      <c r="A55" s="1421"/>
      <c r="B55" s="1188"/>
      <c r="C55" s="655"/>
      <c r="D55" s="1346" t="s">
        <v>267</v>
      </c>
      <c r="E55" s="1526" t="s">
        <v>1197</v>
      </c>
      <c r="F55" s="969">
        <v>47152</v>
      </c>
      <c r="G55" s="577">
        <f>F55*J55</f>
        <v>318120.3984</v>
      </c>
      <c r="H55" s="577">
        <f>G55</f>
        <v>318120.3984</v>
      </c>
      <c r="I55" s="577">
        <f>G55</f>
        <v>318120.3984</v>
      </c>
      <c r="J55" s="733">
        <v>6.7467</v>
      </c>
      <c r="K55" s="598" t="s">
        <v>1251</v>
      </c>
      <c r="L55" s="1261">
        <v>44789</v>
      </c>
      <c r="M55" s="1261">
        <v>44791</v>
      </c>
      <c r="N55" s="1214" t="s">
        <v>851</v>
      </c>
      <c r="O55" s="597"/>
      <c r="P55" s="568"/>
      <c r="Q55" s="1240"/>
      <c r="R55" s="756"/>
      <c r="S55" s="1640"/>
      <c r="T55" s="1204"/>
      <c r="U55" s="715"/>
      <c r="V55" s="1211"/>
      <c r="W55" s="1182"/>
      <c r="X55" s="715"/>
      <c r="Y55" s="764"/>
      <c r="Z55" s="715"/>
      <c r="AA55" s="715"/>
      <c r="AB55" s="715"/>
      <c r="AC55" s="715"/>
      <c r="AD55" s="715"/>
      <c r="AE55" s="715"/>
      <c r="AF55" s="715"/>
      <c r="AG55" s="715"/>
      <c r="AH55" s="715"/>
      <c r="AI55" s="715"/>
      <c r="AJ55" s="715"/>
      <c r="AK55" s="1294"/>
      <c r="AL55" s="715"/>
    </row>
    <row r="56" s="536" customFormat="1" ht="21.55" customHeight="1" spans="1:38">
      <c r="A56" s="1421"/>
      <c r="B56" s="1188"/>
      <c r="C56" s="655"/>
      <c r="D56" s="571"/>
      <c r="E56" s="724"/>
      <c r="F56" s="969"/>
      <c r="G56" s="577"/>
      <c r="H56" s="577"/>
      <c r="I56" s="577"/>
      <c r="J56" s="733">
        <v>6.7467</v>
      </c>
      <c r="K56" s="598"/>
      <c r="L56" s="708"/>
      <c r="M56" s="708"/>
      <c r="N56" s="1634"/>
      <c r="O56" s="597"/>
      <c r="P56" s="568"/>
      <c r="Q56" s="1240"/>
      <c r="R56" s="756"/>
      <c r="S56" s="1456"/>
      <c r="T56" s="1457"/>
      <c r="U56" s="542"/>
      <c r="V56" s="1468"/>
      <c r="W56" s="1469"/>
      <c r="X56" s="715"/>
      <c r="Y56" s="744"/>
      <c r="Z56" s="715"/>
      <c r="AA56" s="715"/>
      <c r="AB56" s="715"/>
      <c r="AC56" s="715"/>
      <c r="AD56" s="715"/>
      <c r="AE56" s="715"/>
      <c r="AF56" s="715"/>
      <c r="AG56" s="715"/>
      <c r="AH56" s="715"/>
      <c r="AI56" s="715"/>
      <c r="AJ56" s="715"/>
      <c r="AK56" s="568"/>
      <c r="AL56" s="715"/>
    </row>
    <row r="57" s="536" customFormat="1" ht="21.55" customHeight="1" spans="1:38">
      <c r="A57" s="1421"/>
      <c r="B57" s="1188"/>
      <c r="C57" s="655"/>
      <c r="D57" s="568" t="s">
        <v>660</v>
      </c>
      <c r="E57" s="1155" t="s">
        <v>1461</v>
      </c>
      <c r="F57" s="969">
        <v>9360</v>
      </c>
      <c r="G57" s="577">
        <f t="shared" ref="G57:G62" si="5">F57*J57</f>
        <v>63149.112</v>
      </c>
      <c r="H57" s="577">
        <f>F57*J57</f>
        <v>63149.112</v>
      </c>
      <c r="I57" s="577">
        <f>F57*J57</f>
        <v>63149.112</v>
      </c>
      <c r="J57" s="733">
        <v>6.7467</v>
      </c>
      <c r="K57" s="598">
        <v>44781</v>
      </c>
      <c r="L57" s="708">
        <v>44795</v>
      </c>
      <c r="M57" s="708">
        <v>44798</v>
      </c>
      <c r="N57" s="1214" t="s">
        <v>1372</v>
      </c>
      <c r="O57" s="597"/>
      <c r="P57" s="568"/>
      <c r="Q57" s="1240"/>
      <c r="R57" s="756" t="s">
        <v>1462</v>
      </c>
      <c r="S57" s="1456"/>
      <c r="T57" s="1457"/>
      <c r="U57" s="542"/>
      <c r="V57" s="1468"/>
      <c r="W57" s="1469"/>
      <c r="X57" s="1218"/>
      <c r="Y57" s="1572"/>
      <c r="Z57" s="715"/>
      <c r="AA57" s="715"/>
      <c r="AB57" s="715"/>
      <c r="AC57" s="715"/>
      <c r="AD57" s="715"/>
      <c r="AE57" s="715"/>
      <c r="AF57" s="715"/>
      <c r="AG57" s="715"/>
      <c r="AH57" s="715"/>
      <c r="AI57" s="715"/>
      <c r="AJ57" s="1496"/>
      <c r="AK57" s="1575"/>
      <c r="AL57" s="1500"/>
    </row>
    <row r="58" s="536" customFormat="1" ht="18.75" customHeight="1" spans="1:38">
      <c r="A58" s="1421"/>
      <c r="B58" s="1188"/>
      <c r="C58" s="655"/>
      <c r="D58" s="568" t="s">
        <v>660</v>
      </c>
      <c r="E58" s="1155" t="s">
        <v>1463</v>
      </c>
      <c r="F58" s="969">
        <v>7440</v>
      </c>
      <c r="G58" s="577">
        <f t="shared" si="5"/>
        <v>50195.448</v>
      </c>
      <c r="H58" s="577">
        <f>F58*J58</f>
        <v>50195.448</v>
      </c>
      <c r="I58" s="577">
        <f>F58*J58</f>
        <v>50195.448</v>
      </c>
      <c r="J58" s="733">
        <v>6.7467</v>
      </c>
      <c r="K58" s="598">
        <v>44785</v>
      </c>
      <c r="L58" s="708">
        <v>44795</v>
      </c>
      <c r="M58" s="708">
        <v>44798</v>
      </c>
      <c r="N58" s="1214" t="s">
        <v>1372</v>
      </c>
      <c r="O58" s="250" t="s">
        <v>1464</v>
      </c>
      <c r="P58" s="568">
        <v>20</v>
      </c>
      <c r="Q58" s="1240">
        <v>372</v>
      </c>
      <c r="R58" s="756" t="s">
        <v>1462</v>
      </c>
      <c r="S58" s="1456"/>
      <c r="T58" s="1457"/>
      <c r="U58" s="542"/>
      <c r="V58" s="1468"/>
      <c r="W58" s="1469"/>
      <c r="X58" s="1218"/>
      <c r="Y58" s="1572"/>
      <c r="Z58" s="715"/>
      <c r="AA58" s="715"/>
      <c r="AB58" s="715"/>
      <c r="AC58" s="715"/>
      <c r="AD58" s="715"/>
      <c r="AE58" s="715"/>
      <c r="AF58" s="715"/>
      <c r="AG58" s="715"/>
      <c r="AH58" s="715"/>
      <c r="AI58" s="715"/>
      <c r="AJ58" s="1496"/>
      <c r="AK58" s="1575"/>
      <c r="AL58" s="1500"/>
    </row>
    <row r="59" s="1363" customFormat="1" ht="21.55" customHeight="1" spans="1:38">
      <c r="A59" s="1421"/>
      <c r="B59" s="664" t="s">
        <v>509</v>
      </c>
      <c r="C59" s="655">
        <v>70</v>
      </c>
      <c r="D59" s="1627" t="s">
        <v>274</v>
      </c>
      <c r="E59" s="1155" t="s">
        <v>1465</v>
      </c>
      <c r="F59" s="576">
        <v>56995</v>
      </c>
      <c r="G59" s="577">
        <f t="shared" si="5"/>
        <v>384528.1665</v>
      </c>
      <c r="H59" s="577">
        <f>G59</f>
        <v>384528.1665</v>
      </c>
      <c r="I59" s="577">
        <f>H59</f>
        <v>384528.1665</v>
      </c>
      <c r="J59" s="733">
        <v>6.7467</v>
      </c>
      <c r="K59" s="1568" t="s">
        <v>1251</v>
      </c>
      <c r="L59" s="1261">
        <v>44774</v>
      </c>
      <c r="M59" s="1261">
        <v>44778</v>
      </c>
      <c r="N59" s="1214" t="s">
        <v>851</v>
      </c>
      <c r="O59" s="597"/>
      <c r="P59" s="568"/>
      <c r="Q59" s="1240"/>
      <c r="R59" s="1343" t="s">
        <v>1466</v>
      </c>
      <c r="S59" s="1461"/>
      <c r="T59" s="1462"/>
      <c r="U59" s="1397"/>
      <c r="V59" s="1466"/>
      <c r="W59" s="1467"/>
      <c r="X59" s="1397"/>
      <c r="Y59" s="1475"/>
      <c r="Z59" s="1397"/>
      <c r="AA59" s="1397"/>
      <c r="AB59" s="1397"/>
      <c r="AC59" s="1397"/>
      <c r="AD59" s="1397"/>
      <c r="AE59" s="1397"/>
      <c r="AF59" s="1397"/>
      <c r="AG59" s="1397"/>
      <c r="AH59" s="1397"/>
      <c r="AI59" s="1397"/>
      <c r="AJ59" s="715"/>
      <c r="AK59" s="561"/>
      <c r="AL59" s="1397"/>
    </row>
    <row r="60" s="1363" customFormat="1" ht="21.55" customHeight="1" spans="1:38">
      <c r="A60" s="1421"/>
      <c r="B60" s="664"/>
      <c r="C60" s="655"/>
      <c r="D60" s="1627" t="s">
        <v>1205</v>
      </c>
      <c r="E60" s="1155" t="s">
        <v>1206</v>
      </c>
      <c r="F60" s="1631">
        <v>17778</v>
      </c>
      <c r="G60" s="602">
        <f t="shared" si="5"/>
        <v>119942.8326</v>
      </c>
      <c r="H60" s="577">
        <f>G60</f>
        <v>119942.8326</v>
      </c>
      <c r="I60" s="577">
        <f>H60</f>
        <v>119942.8326</v>
      </c>
      <c r="J60" s="733">
        <v>6.7467</v>
      </c>
      <c r="K60" s="1568" t="s">
        <v>1251</v>
      </c>
      <c r="L60" s="1261">
        <v>44786</v>
      </c>
      <c r="M60" s="1261">
        <v>44796</v>
      </c>
      <c r="N60" s="1214" t="s">
        <v>851</v>
      </c>
      <c r="O60" s="597"/>
      <c r="P60" s="568"/>
      <c r="Q60" s="1240"/>
      <c r="R60" s="1343"/>
      <c r="S60" s="1461"/>
      <c r="T60" s="1462"/>
      <c r="U60" s="1397"/>
      <c r="V60" s="1466"/>
      <c r="W60" s="1467"/>
      <c r="X60" s="1397"/>
      <c r="Y60" s="1475"/>
      <c r="Z60" s="1397"/>
      <c r="AA60" s="1397"/>
      <c r="AB60" s="1397"/>
      <c r="AC60" s="1397"/>
      <c r="AD60" s="1397"/>
      <c r="AE60" s="1397"/>
      <c r="AF60" s="1397"/>
      <c r="AG60" s="1397"/>
      <c r="AH60" s="1397"/>
      <c r="AI60" s="1397"/>
      <c r="AJ60" s="715"/>
      <c r="AK60" s="561"/>
      <c r="AL60" s="1397"/>
    </row>
    <row r="61" s="1363" customFormat="1" ht="21.55" customHeight="1" spans="1:38">
      <c r="A61" s="1421"/>
      <c r="B61" s="664"/>
      <c r="C61" s="655"/>
      <c r="D61" s="571" t="s">
        <v>1467</v>
      </c>
      <c r="E61" s="1155" t="s">
        <v>1468</v>
      </c>
      <c r="F61" s="969">
        <v>830</v>
      </c>
      <c r="G61" s="602">
        <f t="shared" si="5"/>
        <v>5599.761</v>
      </c>
      <c r="H61" s="577">
        <f>G61</f>
        <v>5599.761</v>
      </c>
      <c r="I61" s="577">
        <f>H61</f>
        <v>5599.761</v>
      </c>
      <c r="J61" s="733">
        <v>6.7467</v>
      </c>
      <c r="K61" s="1568" t="s">
        <v>1251</v>
      </c>
      <c r="L61" s="708">
        <v>44796</v>
      </c>
      <c r="M61" s="708" t="s">
        <v>555</v>
      </c>
      <c r="N61" s="1635"/>
      <c r="O61" s="597"/>
      <c r="P61" s="568"/>
      <c r="Q61" s="1240"/>
      <c r="R61" s="1343"/>
      <c r="S61" s="1461"/>
      <c r="T61" s="1462"/>
      <c r="U61" s="1397"/>
      <c r="V61" s="1466"/>
      <c r="W61" s="1467"/>
      <c r="X61" s="1397"/>
      <c r="Y61" s="1475"/>
      <c r="Z61" s="1397"/>
      <c r="AA61" s="1397"/>
      <c r="AB61" s="1397"/>
      <c r="AC61" s="1397"/>
      <c r="AD61" s="1397"/>
      <c r="AE61" s="1397"/>
      <c r="AF61" s="1397"/>
      <c r="AG61" s="1397"/>
      <c r="AH61" s="1397"/>
      <c r="AI61" s="1397"/>
      <c r="AJ61" s="715"/>
      <c r="AK61" s="561"/>
      <c r="AL61" s="1397"/>
    </row>
    <row r="62" s="1363" customFormat="1" ht="21.55" customHeight="1" spans="1:38">
      <c r="A62" s="1421"/>
      <c r="B62" s="664"/>
      <c r="C62" s="655"/>
      <c r="D62" s="571" t="s">
        <v>1467</v>
      </c>
      <c r="E62" s="1155" t="s">
        <v>1469</v>
      </c>
      <c r="F62" s="969">
        <v>194</v>
      </c>
      <c r="G62" s="602">
        <f t="shared" si="5"/>
        <v>1308.8598</v>
      </c>
      <c r="H62" s="577">
        <f>G62</f>
        <v>1308.8598</v>
      </c>
      <c r="I62" s="577">
        <f>H62</f>
        <v>1308.8598</v>
      </c>
      <c r="J62" s="733">
        <v>6.7467</v>
      </c>
      <c r="K62" s="1568" t="s">
        <v>1251</v>
      </c>
      <c r="L62" s="708">
        <v>44803</v>
      </c>
      <c r="M62" s="708" t="s">
        <v>555</v>
      </c>
      <c r="N62" s="1635"/>
      <c r="O62" s="597"/>
      <c r="P62" s="568"/>
      <c r="Q62" s="1240"/>
      <c r="R62" s="1343"/>
      <c r="S62" s="1461"/>
      <c r="T62" s="1462"/>
      <c r="U62" s="1397"/>
      <c r="V62" s="1466"/>
      <c r="W62" s="1467"/>
      <c r="X62" s="1397"/>
      <c r="Y62" s="1475"/>
      <c r="Z62" s="1397"/>
      <c r="AA62" s="1397"/>
      <c r="AB62" s="1397"/>
      <c r="AC62" s="1397"/>
      <c r="AD62" s="1397"/>
      <c r="AE62" s="1397"/>
      <c r="AF62" s="1397"/>
      <c r="AG62" s="1397"/>
      <c r="AH62" s="1397"/>
      <c r="AI62" s="1397"/>
      <c r="AJ62" s="715"/>
      <c r="AK62" s="561"/>
      <c r="AL62" s="1397"/>
    </row>
    <row r="63" s="1363" customFormat="1" ht="21.55" customHeight="1" spans="1:38">
      <c r="A63" s="1421"/>
      <c r="B63" s="664"/>
      <c r="C63" s="655"/>
      <c r="D63" s="571"/>
      <c r="E63" s="724"/>
      <c r="F63" s="969"/>
      <c r="G63" s="577"/>
      <c r="H63" s="577"/>
      <c r="I63" s="577"/>
      <c r="J63" s="733"/>
      <c r="K63" s="598"/>
      <c r="L63" s="708"/>
      <c r="M63" s="708"/>
      <c r="N63" s="1634"/>
      <c r="O63" s="597"/>
      <c r="P63" s="568"/>
      <c r="Q63" s="1240"/>
      <c r="R63" s="1343"/>
      <c r="S63" s="1461"/>
      <c r="T63" s="1462"/>
      <c r="U63" s="1397"/>
      <c r="V63" s="1466"/>
      <c r="W63" s="1467"/>
      <c r="X63" s="1397"/>
      <c r="Y63" s="1475"/>
      <c r="Z63" s="1397"/>
      <c r="AA63" s="1397"/>
      <c r="AB63" s="1397"/>
      <c r="AC63" s="1397"/>
      <c r="AD63" s="1397"/>
      <c r="AE63" s="1397"/>
      <c r="AF63" s="1397"/>
      <c r="AG63" s="1397"/>
      <c r="AH63" s="1397"/>
      <c r="AI63" s="1397"/>
      <c r="AJ63" s="715"/>
      <c r="AK63" s="561"/>
      <c r="AL63" s="1397"/>
    </row>
    <row r="64" s="1364" customFormat="1" ht="32.5" customHeight="1" spans="1:38">
      <c r="A64" s="1421"/>
      <c r="B64" s="1190" t="s">
        <v>1124</v>
      </c>
      <c r="C64" s="1191">
        <f>SUM(C48:C63)</f>
        <v>351</v>
      </c>
      <c r="D64" s="1628"/>
      <c r="E64" s="1628"/>
      <c r="F64" s="1157" t="s">
        <v>1235</v>
      </c>
      <c r="G64" s="1507">
        <f>SUM(G48:G63)</f>
        <v>2910458.913</v>
      </c>
      <c r="H64" s="1507">
        <f>SUM(H48:H63)</f>
        <v>2910458.913</v>
      </c>
      <c r="I64" s="1507">
        <f>SUM(I48:I63)</f>
        <v>2136975.8782</v>
      </c>
      <c r="J64" s="1632"/>
      <c r="K64" s="807"/>
      <c r="L64" s="1135"/>
      <c r="M64" s="1636"/>
      <c r="N64" s="1637"/>
      <c r="O64" s="719"/>
      <c r="P64" s="746"/>
      <c r="Q64" s="747"/>
      <c r="R64" s="807"/>
      <c r="S64" s="809">
        <v>0</v>
      </c>
      <c r="T64" s="809">
        <v>0</v>
      </c>
      <c r="U64" s="1184"/>
      <c r="V64" s="1184"/>
      <c r="W64" s="1185"/>
      <c r="X64" s="1490"/>
      <c r="Y64" s="1495"/>
      <c r="Z64" s="727"/>
      <c r="AA64" s="727"/>
      <c r="AB64" s="727"/>
      <c r="AC64" s="727"/>
      <c r="AD64" s="727"/>
      <c r="AE64" s="727"/>
      <c r="AF64" s="727"/>
      <c r="AG64" s="727"/>
      <c r="AH64" s="727"/>
      <c r="AI64" s="727"/>
      <c r="AJ64" s="1497"/>
      <c r="AK64" s="1501" t="s">
        <v>325</v>
      </c>
      <c r="AL64" s="1501"/>
    </row>
    <row r="65" s="1364" customFormat="1" ht="32.5" customHeight="1" spans="1:38">
      <c r="A65" s="1480"/>
      <c r="B65" s="1192"/>
      <c r="C65" s="1150"/>
      <c r="D65" s="1144"/>
      <c r="E65" s="1144"/>
      <c r="F65" s="1159" t="s">
        <v>1236</v>
      </c>
      <c r="G65" s="1160">
        <f>G64/3510000</f>
        <v>0.829190573504273</v>
      </c>
      <c r="H65" s="1160">
        <f>H64/3510000</f>
        <v>0.829190573504273</v>
      </c>
      <c r="I65" s="1160">
        <f>I64/4260000</f>
        <v>0.501637530093897</v>
      </c>
      <c r="J65" s="808"/>
      <c r="K65" s="809"/>
      <c r="L65" s="821"/>
      <c r="M65" s="996"/>
      <c r="N65" s="1641"/>
      <c r="O65" s="727"/>
      <c r="P65" s="652"/>
      <c r="Q65" s="653"/>
      <c r="R65" s="809"/>
      <c r="S65" s="809"/>
      <c r="T65" s="809"/>
      <c r="U65" s="1184"/>
      <c r="V65" s="1184"/>
      <c r="W65" s="1185"/>
      <c r="X65" s="1094"/>
      <c r="Y65" s="1094"/>
      <c r="Z65" s="1094"/>
      <c r="AA65" s="1094"/>
      <c r="AB65" s="1094"/>
      <c r="AC65" s="1094"/>
      <c r="AD65" s="1094"/>
      <c r="AE65" s="1094"/>
      <c r="AF65" s="1094"/>
      <c r="AG65" s="1094"/>
      <c r="AH65" s="1094"/>
      <c r="AI65" s="1094"/>
      <c r="AJ65" s="1094"/>
      <c r="AK65" s="1094"/>
      <c r="AL65" s="1094"/>
    </row>
    <row r="66" s="1365" customFormat="1" ht="30" customHeight="1" spans="1:38">
      <c r="A66" s="1367" t="s">
        <v>1163</v>
      </c>
      <c r="B66" s="1367"/>
      <c r="C66" s="1380">
        <f>C23+C46+C64</f>
        <v>1106</v>
      </c>
      <c r="D66" s="1378"/>
      <c r="E66" s="1378"/>
      <c r="F66" s="1378" t="s">
        <v>14</v>
      </c>
      <c r="G66" s="1481">
        <f>G23+G46+G64</f>
        <v>8842720.1632</v>
      </c>
      <c r="H66" s="1481">
        <f>H23+H46+H64</f>
        <v>8842720.4815</v>
      </c>
      <c r="I66" s="1481">
        <f>I23+I46+I64</f>
        <v>7677991.67995</v>
      </c>
      <c r="J66" s="1378"/>
      <c r="K66" s="1378"/>
      <c r="L66" s="1483"/>
      <c r="M66" s="1483"/>
      <c r="N66" s="1608"/>
      <c r="O66" s="1378"/>
      <c r="P66" s="1380"/>
      <c r="Q66" s="1378"/>
      <c r="R66" s="1378"/>
      <c r="S66" s="1378"/>
      <c r="T66" s="1378"/>
      <c r="U66" s="1378"/>
      <c r="V66" s="1378"/>
      <c r="W66" s="1491"/>
      <c r="X66" s="1492"/>
      <c r="Y66" s="1492"/>
      <c r="Z66" s="1492"/>
      <c r="AA66" s="1492"/>
      <c r="AB66" s="1492"/>
      <c r="AC66" s="1492"/>
      <c r="AD66" s="1492"/>
      <c r="AE66" s="1492"/>
      <c r="AF66" s="1492"/>
      <c r="AG66" s="1492"/>
      <c r="AH66" s="1492"/>
      <c r="AI66" s="1492"/>
      <c r="AJ66" s="1492"/>
      <c r="AK66" s="1492"/>
      <c r="AL66" s="1492"/>
    </row>
    <row r="67" s="1365" customFormat="1" ht="30" customHeight="1" spans="1:38">
      <c r="A67" s="1367"/>
      <c r="B67" s="1367"/>
      <c r="C67" s="1380"/>
      <c r="D67" s="1378"/>
      <c r="E67" s="1378"/>
      <c r="F67" s="1378" t="s">
        <v>1236</v>
      </c>
      <c r="G67" s="1482">
        <f>G66/11060000</f>
        <v>0.799522618734177</v>
      </c>
      <c r="H67" s="1482">
        <f>H66/11060000</f>
        <v>0.799522647513562</v>
      </c>
      <c r="I67" s="1482">
        <f>I66/11060000</f>
        <v>0.694212629290235</v>
      </c>
      <c r="J67" s="1378"/>
      <c r="K67" s="1378"/>
      <c r="L67" s="1483"/>
      <c r="M67" s="1483"/>
      <c r="N67" s="1608"/>
      <c r="O67" s="1378"/>
      <c r="P67" s="1378"/>
      <c r="Q67" s="1378"/>
      <c r="R67" s="1378"/>
      <c r="S67" s="1378"/>
      <c r="T67" s="1378"/>
      <c r="U67" s="1378"/>
      <c r="V67" s="1378"/>
      <c r="W67" s="1378"/>
      <c r="X67" s="1492"/>
      <c r="Y67" s="1492"/>
      <c r="Z67" s="1492"/>
      <c r="AA67" s="1492"/>
      <c r="AB67" s="1492"/>
      <c r="AC67" s="1492"/>
      <c r="AD67" s="1492"/>
      <c r="AE67" s="1492"/>
      <c r="AF67" s="1492"/>
      <c r="AG67" s="1492"/>
      <c r="AH67" s="1492"/>
      <c r="AI67" s="1492"/>
      <c r="AJ67" s="1492"/>
      <c r="AK67" s="1492"/>
      <c r="AL67" s="1492"/>
    </row>
    <row r="68" s="417" customFormat="1" spans="2:38">
      <c r="B68" s="1090"/>
      <c r="C68" s="878"/>
      <c r="D68" s="1090"/>
      <c r="E68" s="1090"/>
      <c r="F68" s="1090"/>
      <c r="G68" s="850"/>
      <c r="H68" s="850"/>
      <c r="I68" s="850"/>
      <c r="J68" s="1090"/>
      <c r="K68" s="1090"/>
      <c r="L68" s="896"/>
      <c r="M68" s="896"/>
      <c r="N68" s="1607"/>
      <c r="O68" s="1090"/>
      <c r="P68" s="878"/>
      <c r="Q68" s="1090"/>
      <c r="R68" s="1090"/>
      <c r="S68" s="1090"/>
      <c r="T68" s="1090"/>
      <c r="U68" s="1090"/>
      <c r="V68" s="1090"/>
      <c r="W68" s="1242"/>
      <c r="X68" s="1090"/>
      <c r="Y68" s="1090"/>
      <c r="Z68" s="1090"/>
      <c r="AA68" s="1090"/>
      <c r="AB68" s="1090"/>
      <c r="AC68" s="1090"/>
      <c r="AD68" s="1090"/>
      <c r="AE68" s="1090"/>
      <c r="AF68" s="1090"/>
      <c r="AG68" s="1090"/>
      <c r="AH68" s="1090"/>
      <c r="AI68" s="1090"/>
      <c r="AJ68" s="1090"/>
      <c r="AK68" s="1090"/>
      <c r="AL68" s="1090"/>
    </row>
    <row r="69" s="417" customFormat="1" spans="2:38">
      <c r="B69" s="1090"/>
      <c r="C69" s="878"/>
      <c r="D69" s="1090"/>
      <c r="E69" s="1090" t="s">
        <v>139</v>
      </c>
      <c r="F69" s="1090"/>
      <c r="G69" s="880"/>
      <c r="H69" s="880"/>
      <c r="I69" s="880"/>
      <c r="J69" s="1090"/>
      <c r="K69" s="1090"/>
      <c r="L69" s="896"/>
      <c r="M69" s="896"/>
      <c r="N69" s="1607"/>
      <c r="O69" s="1090" t="s">
        <v>140</v>
      </c>
      <c r="P69" s="878"/>
      <c r="Q69" s="1090"/>
      <c r="R69" s="1090"/>
      <c r="S69" s="1488"/>
      <c r="T69" s="1090"/>
      <c r="U69" s="1488"/>
      <c r="V69" s="1090"/>
      <c r="W69" s="1242"/>
      <c r="X69" s="1090"/>
      <c r="Y69" s="1090"/>
      <c r="Z69" s="1090"/>
      <c r="AA69" s="1090"/>
      <c r="AB69" s="1090"/>
      <c r="AC69" s="1090"/>
      <c r="AD69" s="1090"/>
      <c r="AE69" s="1090"/>
      <c r="AF69" s="1090"/>
      <c r="AG69" s="1090"/>
      <c r="AH69" s="1090"/>
      <c r="AI69" s="1090"/>
      <c r="AJ69" s="1090"/>
      <c r="AK69" s="1090"/>
      <c r="AL69" s="1090"/>
    </row>
    <row r="70" s="417" customFormat="1" spans="1:38">
      <c r="A70" s="875" t="s">
        <v>1284</v>
      </c>
      <c r="B70" s="875"/>
      <c r="C70" s="875"/>
      <c r="D70" s="875"/>
      <c r="E70" s="875"/>
      <c r="F70" s="1090"/>
      <c r="G70" s="850"/>
      <c r="H70" s="850"/>
      <c r="I70" s="850"/>
      <c r="J70" s="1090"/>
      <c r="K70" s="1090"/>
      <c r="L70" s="896"/>
      <c r="M70" s="896"/>
      <c r="N70" s="1607"/>
      <c r="O70" s="876"/>
      <c r="P70" s="878"/>
      <c r="Q70" s="1090"/>
      <c r="R70" s="1090"/>
      <c r="S70" s="1488"/>
      <c r="T70" s="1090"/>
      <c r="U70" s="1488"/>
      <c r="V70" s="1090"/>
      <c r="W70" s="1242"/>
      <c r="X70" s="1090"/>
      <c r="Y70" s="1090"/>
      <c r="Z70" s="1090"/>
      <c r="AA70" s="1090"/>
      <c r="AB70" s="1090"/>
      <c r="AC70" s="1090"/>
      <c r="AD70" s="1090"/>
      <c r="AE70" s="1090"/>
      <c r="AF70" s="1090"/>
      <c r="AG70" s="1090"/>
      <c r="AH70" s="1090"/>
      <c r="AI70" s="1090"/>
      <c r="AJ70" s="1090"/>
      <c r="AK70" s="1090"/>
      <c r="AL70" s="1090"/>
    </row>
    <row r="71" s="417" customFormat="1" spans="1:38">
      <c r="A71" s="875" t="s">
        <v>1285</v>
      </c>
      <c r="B71" s="875"/>
      <c r="C71" s="875"/>
      <c r="D71" s="875"/>
      <c r="E71" s="875"/>
      <c r="F71" s="1090"/>
      <c r="G71" s="850"/>
      <c r="H71" s="850"/>
      <c r="I71" s="850"/>
      <c r="J71" s="1090"/>
      <c r="K71" s="1090"/>
      <c r="L71" s="896"/>
      <c r="M71" s="896"/>
      <c r="N71" s="1607"/>
      <c r="O71" s="876"/>
      <c r="P71" s="878"/>
      <c r="Q71" s="1090"/>
      <c r="R71" s="1090"/>
      <c r="S71" s="1488"/>
      <c r="T71" s="1090"/>
      <c r="U71" s="1488"/>
      <c r="V71" s="1090"/>
      <c r="W71" s="1242"/>
      <c r="X71" s="1090"/>
      <c r="Y71" s="1090"/>
      <c r="Z71" s="1090"/>
      <c r="AA71" s="1090"/>
      <c r="AB71" s="1090"/>
      <c r="AC71" s="1090"/>
      <c r="AD71" s="1090"/>
      <c r="AE71" s="1090"/>
      <c r="AF71" s="1090"/>
      <c r="AG71" s="1090"/>
      <c r="AH71" s="1090"/>
      <c r="AI71" s="1090"/>
      <c r="AJ71" s="1090"/>
      <c r="AK71" s="1090"/>
      <c r="AL71" s="1090"/>
    </row>
    <row r="72" s="417" customFormat="1" spans="1:38">
      <c r="A72" s="875" t="s">
        <v>1470</v>
      </c>
      <c r="B72" s="875"/>
      <c r="C72" s="875"/>
      <c r="D72" s="875"/>
      <c r="E72" s="875"/>
      <c r="F72" s="1090"/>
      <c r="G72" s="850"/>
      <c r="H72" s="850"/>
      <c r="I72" s="850"/>
      <c r="J72" s="1484"/>
      <c r="K72" s="1090"/>
      <c r="L72" s="896"/>
      <c r="M72" s="896"/>
      <c r="N72" s="1607"/>
      <c r="O72" s="876"/>
      <c r="P72" s="878"/>
      <c r="Q72" s="1090"/>
      <c r="R72" s="1090"/>
      <c r="S72" s="1488"/>
      <c r="T72" s="1090"/>
      <c r="U72" s="1488"/>
      <c r="V72" s="1090"/>
      <c r="W72" s="1242"/>
      <c r="X72" s="1090"/>
      <c r="Y72" s="1090"/>
      <c r="Z72" s="1090"/>
      <c r="AA72" s="1090"/>
      <c r="AB72" s="1090"/>
      <c r="AC72" s="1090"/>
      <c r="AD72" s="1090"/>
      <c r="AE72" s="1090"/>
      <c r="AF72" s="1090"/>
      <c r="AG72" s="1090"/>
      <c r="AH72" s="1090"/>
      <c r="AI72" s="1090"/>
      <c r="AJ72" s="1090"/>
      <c r="AK72" s="1090"/>
      <c r="AL72" s="1090"/>
    </row>
    <row r="73" s="417" customFormat="1" spans="1:38">
      <c r="A73" s="875" t="s">
        <v>1471</v>
      </c>
      <c r="B73" s="876"/>
      <c r="C73" s="876"/>
      <c r="D73" s="876"/>
      <c r="E73" s="876"/>
      <c r="F73" s="1090"/>
      <c r="G73" s="850"/>
      <c r="H73" s="850"/>
      <c r="I73" s="850"/>
      <c r="J73" s="1090"/>
      <c r="K73" s="1090"/>
      <c r="L73" s="896"/>
      <c r="M73" s="896"/>
      <c r="N73" s="1607"/>
      <c r="O73" s="876"/>
      <c r="P73" s="878"/>
      <c r="Q73" s="1090"/>
      <c r="R73" s="1090"/>
      <c r="S73" s="1488"/>
      <c r="T73" s="1090"/>
      <c r="U73" s="1488"/>
      <c r="V73" s="1090"/>
      <c r="W73" s="1242"/>
      <c r="X73" s="1090"/>
      <c r="Y73" s="1090"/>
      <c r="Z73" s="1090"/>
      <c r="AA73" s="1090"/>
      <c r="AB73" s="1090"/>
      <c r="AC73" s="1090"/>
      <c r="AD73" s="1090"/>
      <c r="AE73" s="1090"/>
      <c r="AF73" s="1090"/>
      <c r="AG73" s="1090"/>
      <c r="AH73" s="1090"/>
      <c r="AI73" s="1090"/>
      <c r="AJ73" s="1090"/>
      <c r="AK73" s="1090"/>
      <c r="AL73" s="1090"/>
    </row>
    <row r="74" s="417" customFormat="1" spans="1:38">
      <c r="A74" s="875" t="s">
        <v>1472</v>
      </c>
      <c r="B74" s="876"/>
      <c r="C74" s="876"/>
      <c r="D74" s="876"/>
      <c r="E74" s="876"/>
      <c r="F74" s="1090"/>
      <c r="G74" s="850"/>
      <c r="H74" s="850"/>
      <c r="I74" s="850"/>
      <c r="J74" s="1090"/>
      <c r="K74" s="1090"/>
      <c r="L74" s="896"/>
      <c r="M74" s="896"/>
      <c r="N74" s="1607"/>
      <c r="O74" s="876"/>
      <c r="P74" s="878"/>
      <c r="Q74" s="1090"/>
      <c r="R74" s="1090"/>
      <c r="S74" s="1488"/>
      <c r="T74" s="1090"/>
      <c r="U74" s="1488"/>
      <c r="V74" s="1090"/>
      <c r="W74" s="1242"/>
      <c r="X74" s="1090"/>
      <c r="Y74" s="1090"/>
      <c r="Z74" s="1090"/>
      <c r="AA74" s="1090"/>
      <c r="AB74" s="1090"/>
      <c r="AC74" s="1090"/>
      <c r="AD74" s="1090"/>
      <c r="AE74" s="1090"/>
      <c r="AF74" s="1090"/>
      <c r="AG74" s="1090"/>
      <c r="AH74" s="1090"/>
      <c r="AI74" s="1090"/>
      <c r="AJ74" s="1090"/>
      <c r="AK74" s="1090"/>
      <c r="AL74" s="1090"/>
    </row>
    <row r="75" s="417" customFormat="1" spans="1:38">
      <c r="A75" s="875"/>
      <c r="B75" s="876"/>
      <c r="C75" s="876"/>
      <c r="D75" s="876"/>
      <c r="E75" s="876"/>
      <c r="F75" s="1090"/>
      <c r="G75" s="850"/>
      <c r="H75" s="850"/>
      <c r="I75" s="850"/>
      <c r="J75" s="1090"/>
      <c r="K75" s="1090"/>
      <c r="L75" s="896"/>
      <c r="M75" s="896"/>
      <c r="N75" s="1607"/>
      <c r="O75" s="876"/>
      <c r="P75" s="878"/>
      <c r="Q75" s="1090"/>
      <c r="R75" s="1090"/>
      <c r="S75" s="1488"/>
      <c r="T75" s="1090"/>
      <c r="U75" s="1488"/>
      <c r="V75" s="1090"/>
      <c r="W75" s="1242"/>
      <c r="X75" s="1090"/>
      <c r="Y75" s="1090"/>
      <c r="Z75" s="1090"/>
      <c r="AA75" s="1090"/>
      <c r="AB75" s="1090"/>
      <c r="AC75" s="1090"/>
      <c r="AD75" s="1090"/>
      <c r="AE75" s="1090"/>
      <c r="AF75" s="1090"/>
      <c r="AG75" s="1090"/>
      <c r="AH75" s="1090"/>
      <c r="AI75" s="1090"/>
      <c r="AJ75" s="1090"/>
      <c r="AK75" s="1090"/>
      <c r="AL75" s="1090"/>
    </row>
    <row r="76" s="417" customFormat="1" spans="1:38">
      <c r="A76" s="875"/>
      <c r="B76" s="876"/>
      <c r="C76" s="876"/>
      <c r="D76" s="876"/>
      <c r="E76" s="876"/>
      <c r="F76" s="877"/>
      <c r="G76" s="850"/>
      <c r="H76" s="850"/>
      <c r="I76" s="850"/>
      <c r="J76" s="877"/>
      <c r="K76" s="877"/>
      <c r="L76" s="896"/>
      <c r="M76" s="896"/>
      <c r="N76" s="1357"/>
      <c r="O76" s="876"/>
      <c r="P76" s="878"/>
      <c r="Q76" s="877"/>
      <c r="R76" s="877"/>
      <c r="S76" s="877"/>
      <c r="T76" s="877"/>
      <c r="U76" s="1488"/>
      <c r="V76" s="877"/>
      <c r="W76" s="1242"/>
      <c r="X76" s="877"/>
      <c r="Y76" s="877"/>
      <c r="Z76" s="877"/>
      <c r="AA76" s="877"/>
      <c r="AB76" s="877"/>
      <c r="AC76" s="877"/>
      <c r="AD76" s="877"/>
      <c r="AE76" s="877"/>
      <c r="AF76" s="877"/>
      <c r="AG76" s="877"/>
      <c r="AH76" s="877"/>
      <c r="AI76" s="877"/>
      <c r="AJ76" s="877"/>
      <c r="AK76" s="877"/>
      <c r="AL76" s="877"/>
    </row>
    <row r="77" s="417" customFormat="1" spans="1:38">
      <c r="A77" s="876"/>
      <c r="B77" s="876"/>
      <c r="C77" s="876"/>
      <c r="D77" s="876"/>
      <c r="E77" s="876"/>
      <c r="F77" s="877"/>
      <c r="G77" s="850"/>
      <c r="H77" s="850"/>
      <c r="I77" s="850"/>
      <c r="J77" s="877"/>
      <c r="K77" s="877"/>
      <c r="L77" s="896"/>
      <c r="M77" s="896"/>
      <c r="N77" s="1357"/>
      <c r="O77" s="876"/>
      <c r="P77" s="878"/>
      <c r="Q77" s="877"/>
      <c r="R77" s="877"/>
      <c r="S77" s="877"/>
      <c r="T77" s="877"/>
      <c r="U77" s="877"/>
      <c r="V77" s="877"/>
      <c r="W77" s="1242"/>
      <c r="X77" s="877"/>
      <c r="Y77" s="877"/>
      <c r="Z77" s="877"/>
      <c r="AA77" s="877"/>
      <c r="AB77" s="877"/>
      <c r="AC77" s="877"/>
      <c r="AD77" s="877"/>
      <c r="AE77" s="877"/>
      <c r="AF77" s="877"/>
      <c r="AG77" s="877"/>
      <c r="AH77" s="877"/>
      <c r="AI77" s="877"/>
      <c r="AJ77" s="877"/>
      <c r="AK77" s="877"/>
      <c r="AL77" s="877"/>
    </row>
    <row r="78" s="417" customFormat="1" spans="2:38">
      <c r="B78" s="877"/>
      <c r="C78" s="878"/>
      <c r="D78" s="877"/>
      <c r="E78" s="877"/>
      <c r="F78" s="877"/>
      <c r="G78" s="850"/>
      <c r="H78" s="850"/>
      <c r="I78" s="850"/>
      <c r="J78" s="877"/>
      <c r="K78" s="877"/>
      <c r="L78" s="896"/>
      <c r="M78" s="896"/>
      <c r="N78" s="1357"/>
      <c r="O78" s="877"/>
      <c r="P78" s="878"/>
      <c r="Q78" s="877"/>
      <c r="R78" s="877"/>
      <c r="S78" s="877"/>
      <c r="T78" s="877"/>
      <c r="U78" s="877"/>
      <c r="V78" s="877"/>
      <c r="W78" s="1242"/>
      <c r="X78" s="877"/>
      <c r="Y78" s="877"/>
      <c r="Z78" s="877"/>
      <c r="AA78" s="877"/>
      <c r="AB78" s="877"/>
      <c r="AC78" s="877"/>
      <c r="AD78" s="877"/>
      <c r="AE78" s="877"/>
      <c r="AF78" s="877"/>
      <c r="AG78" s="877"/>
      <c r="AH78" s="877"/>
      <c r="AI78" s="877"/>
      <c r="AJ78" s="877"/>
      <c r="AK78" s="877"/>
      <c r="AL78" s="877"/>
    </row>
  </sheetData>
  <sheetProtection formatCells="0" insertHyperlinks="0" autoFilter="0"/>
  <mergeCells count="30">
    <mergeCell ref="A1:Q1"/>
    <mergeCell ref="A3:A24"/>
    <mergeCell ref="A25:A47"/>
    <mergeCell ref="A48:A65"/>
    <mergeCell ref="B3:B13"/>
    <mergeCell ref="B14:B20"/>
    <mergeCell ref="B21:B22"/>
    <mergeCell ref="B23:B24"/>
    <mergeCell ref="B25:B41"/>
    <mergeCell ref="B43:B44"/>
    <mergeCell ref="B46:B47"/>
    <mergeCell ref="B48:B53"/>
    <mergeCell ref="B54:B58"/>
    <mergeCell ref="B59:B63"/>
    <mergeCell ref="B64:B65"/>
    <mergeCell ref="C3:C13"/>
    <mergeCell ref="C14:C20"/>
    <mergeCell ref="C21:C22"/>
    <mergeCell ref="C23:C24"/>
    <mergeCell ref="C25:C41"/>
    <mergeCell ref="C43:C44"/>
    <mergeCell ref="C46:C47"/>
    <mergeCell ref="C48:C53"/>
    <mergeCell ref="C54:C58"/>
    <mergeCell ref="C59:C63"/>
    <mergeCell ref="C64:C65"/>
    <mergeCell ref="C66:C67"/>
    <mergeCell ref="D38:D39"/>
    <mergeCell ref="D40:D41"/>
    <mergeCell ref="A66:B67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4"/>
  <dimension ref="A1:AL63"/>
  <sheetViews>
    <sheetView zoomScale="80" zoomScaleNormal="80" workbookViewId="0">
      <pane ySplit="2" topLeftCell="A33" activePane="bottomLeft" state="frozen"/>
      <selection/>
      <selection pane="bottomLeft" activeCell="D22" sqref="D22"/>
    </sheetView>
  </sheetViews>
  <sheetFormatPr defaultColWidth="9" defaultRowHeight="16.5"/>
  <cols>
    <col min="1" max="1" width="12.9666666666667" style="417" customWidth="1"/>
    <col min="2" max="2" width="11.2583333333333" style="417" customWidth="1"/>
    <col min="3" max="3" width="11.2583333333333" style="879" customWidth="1"/>
    <col min="4" max="4" width="15.8333333333333" style="417" customWidth="1"/>
    <col min="5" max="5" width="15" style="417" customWidth="1"/>
    <col min="6" max="6" width="13.125" style="417" customWidth="1"/>
    <col min="7" max="7" width="17.9166666666667" style="880" customWidth="1"/>
    <col min="8" max="8" width="17.5" style="880" customWidth="1"/>
    <col min="9" max="9" width="17.0833333333333" style="880" customWidth="1"/>
    <col min="10" max="10" width="8.33333333333333" style="417" customWidth="1"/>
    <col min="11" max="11" width="13.0583333333333" style="417" customWidth="1"/>
    <col min="12" max="12" width="9.08333333333333" style="898" customWidth="1"/>
    <col min="13" max="13" width="10.8583333333333" style="898" customWidth="1"/>
    <col min="14" max="14" width="28.575" style="888" customWidth="1"/>
    <col min="15" max="15" width="15.575" style="417" customWidth="1"/>
    <col min="16" max="16" width="12.5" style="879" customWidth="1"/>
    <col min="17" max="17" width="14.3083333333333" style="417" customWidth="1"/>
    <col min="18" max="18" width="40" style="417" customWidth="1"/>
    <col min="19" max="19" width="17.3583333333333" style="417" customWidth="1"/>
    <col min="20" max="20" width="14.875" style="417"/>
    <col min="21" max="21" width="14.025" style="417" customWidth="1"/>
    <col min="22" max="22" width="18.1916666666667" style="417" customWidth="1"/>
    <col min="23" max="23" width="43.7583333333333" style="1243" customWidth="1"/>
    <col min="24" max="24" width="9" style="417" hidden="1" customWidth="1"/>
    <col min="25" max="25" width="17.1916666666667" style="417" hidden="1" customWidth="1"/>
    <col min="26" max="35" width="9" style="417" hidden="1" customWidth="1"/>
    <col min="36" max="36" width="10.5333333333333" style="417" hidden="1" customWidth="1"/>
    <col min="37" max="37" width="15" style="417" hidden="1" customWidth="1"/>
    <col min="38" max="38" width="8" style="417" hidden="1" customWidth="1"/>
    <col min="39" max="16384" width="9" style="417"/>
  </cols>
  <sheetData>
    <row r="1" s="417" customFormat="1" ht="24.75" customHeight="1" spans="1:38">
      <c r="A1" s="1366" t="s">
        <v>1473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74"/>
      <c r="M1" s="1374"/>
      <c r="N1" s="885"/>
      <c r="O1" s="1366"/>
      <c r="P1" s="1366"/>
      <c r="Q1" s="1366"/>
      <c r="R1" s="1391"/>
      <c r="S1" s="1391"/>
      <c r="T1" s="1391"/>
      <c r="U1" s="1391"/>
      <c r="V1" s="1090"/>
      <c r="W1" s="1242"/>
      <c r="X1" s="1090"/>
      <c r="Y1" s="1391"/>
      <c r="Z1" s="1090"/>
      <c r="AA1" s="1090"/>
      <c r="AB1" s="1090"/>
      <c r="AC1" s="1090"/>
      <c r="AD1" s="1090"/>
      <c r="AE1" s="1090"/>
      <c r="AF1" s="1090"/>
      <c r="AG1" s="1090"/>
      <c r="AH1" s="1090"/>
      <c r="AI1" s="1090"/>
      <c r="AJ1" s="1391"/>
      <c r="AK1" s="1391"/>
      <c r="AL1" s="1391"/>
    </row>
    <row r="2" s="1362" customFormat="1" ht="36.85" customHeight="1" spans="1:38">
      <c r="A2" s="1367" t="s">
        <v>1092</v>
      </c>
      <c r="B2" s="1368" t="s">
        <v>1093</v>
      </c>
      <c r="C2" s="1369" t="s">
        <v>1094</v>
      </c>
      <c r="D2" s="1368" t="s">
        <v>361</v>
      </c>
      <c r="E2" s="1372" t="s">
        <v>1095</v>
      </c>
      <c r="F2" s="1153" t="s">
        <v>362</v>
      </c>
      <c r="G2" s="1154" t="s">
        <v>1211</v>
      </c>
      <c r="H2" s="1154" t="s">
        <v>1378</v>
      </c>
      <c r="I2" s="1154" t="s">
        <v>1379</v>
      </c>
      <c r="J2" s="1375" t="s">
        <v>1096</v>
      </c>
      <c r="K2" s="1376" t="s">
        <v>1098</v>
      </c>
      <c r="L2" s="1377" t="s">
        <v>1097</v>
      </c>
      <c r="M2" s="1377" t="s">
        <v>1214</v>
      </c>
      <c r="N2" s="1378" t="s">
        <v>1215</v>
      </c>
      <c r="O2" s="1379" t="s">
        <v>7</v>
      </c>
      <c r="P2" s="1380" t="s">
        <v>8</v>
      </c>
      <c r="Q2" s="1392" t="s">
        <v>9</v>
      </c>
      <c r="R2" s="1393" t="s">
        <v>1291</v>
      </c>
      <c r="S2" s="1393" t="s">
        <v>13</v>
      </c>
      <c r="T2" s="1394" t="s">
        <v>14</v>
      </c>
      <c r="U2" s="1402" t="s">
        <v>15</v>
      </c>
      <c r="V2" s="1403" t="s">
        <v>1100</v>
      </c>
      <c r="W2" s="1404" t="s">
        <v>1101</v>
      </c>
      <c r="X2" s="1403" t="s">
        <v>1102</v>
      </c>
      <c r="Y2" s="1412" t="s">
        <v>363</v>
      </c>
      <c r="Z2" s="1413" t="s">
        <v>1103</v>
      </c>
      <c r="AA2" s="1403" t="s">
        <v>1104</v>
      </c>
      <c r="AB2" s="1403" t="s">
        <v>1105</v>
      </c>
      <c r="AC2" s="1403" t="s">
        <v>1106</v>
      </c>
      <c r="AD2" s="1403" t="s">
        <v>1107</v>
      </c>
      <c r="AE2" s="1403" t="s">
        <v>1108</v>
      </c>
      <c r="AF2" s="1403" t="s">
        <v>1109</v>
      </c>
      <c r="AG2" s="1403" t="s">
        <v>1110</v>
      </c>
      <c r="AH2" s="1415" t="s">
        <v>1108</v>
      </c>
      <c r="AI2" s="1416" t="s">
        <v>1109</v>
      </c>
      <c r="AJ2" s="1417" t="s">
        <v>1111</v>
      </c>
      <c r="AK2" s="1402" t="s">
        <v>4</v>
      </c>
      <c r="AL2" s="1417" t="s">
        <v>1112</v>
      </c>
    </row>
    <row r="3" s="1363" customFormat="1" ht="18.75" customHeight="1" spans="1:38">
      <c r="A3" s="1421"/>
      <c r="B3" s="1146" t="s">
        <v>38</v>
      </c>
      <c r="C3" s="545">
        <v>203</v>
      </c>
      <c r="D3" s="1248" t="s">
        <v>157</v>
      </c>
      <c r="E3" s="250" t="s">
        <v>1474</v>
      </c>
      <c r="F3" s="562">
        <v>56000</v>
      </c>
      <c r="G3" s="393">
        <f>F3*J3</f>
        <v>385397.6</v>
      </c>
      <c r="H3" s="393">
        <f>G3</f>
        <v>385397.6</v>
      </c>
      <c r="I3" s="393"/>
      <c r="J3" s="733">
        <v>6.8821</v>
      </c>
      <c r="K3" s="610">
        <v>44828</v>
      </c>
      <c r="L3" s="855">
        <v>44832</v>
      </c>
      <c r="M3" s="855">
        <v>44838</v>
      </c>
      <c r="N3" s="706"/>
      <c r="O3" s="1385"/>
      <c r="P3" s="878"/>
      <c r="Q3" s="1398"/>
      <c r="R3" s="602"/>
      <c r="S3" s="1396"/>
      <c r="T3" s="1172"/>
      <c r="U3" s="1397"/>
      <c r="V3" s="1397"/>
      <c r="W3" s="1467"/>
      <c r="X3" s="1397"/>
      <c r="Y3" s="1397"/>
      <c r="Z3" s="1397"/>
      <c r="AA3" s="1397"/>
      <c r="AB3" s="1397"/>
      <c r="AC3" s="1397"/>
      <c r="AD3" s="1397"/>
      <c r="AE3" s="1397"/>
      <c r="AF3" s="1397"/>
      <c r="AG3" s="1397"/>
      <c r="AH3" s="1397"/>
      <c r="AI3" s="1397"/>
      <c r="AJ3" s="1218"/>
      <c r="AK3" s="1182"/>
      <c r="AL3" s="1397"/>
    </row>
    <row r="4" s="1363" customFormat="1" ht="18.75" customHeight="1" spans="1:38">
      <c r="A4" s="1421"/>
      <c r="B4" s="671"/>
      <c r="C4" s="557"/>
      <c r="D4" s="1248" t="s">
        <v>143</v>
      </c>
      <c r="E4" s="244" t="s">
        <v>1475</v>
      </c>
      <c r="F4" s="1002">
        <v>35000</v>
      </c>
      <c r="G4" s="799">
        <f>F4*J4</f>
        <v>240873.5</v>
      </c>
      <c r="H4" s="799">
        <v>240874</v>
      </c>
      <c r="I4" s="799">
        <v>240874</v>
      </c>
      <c r="J4" s="733">
        <v>6.8821</v>
      </c>
      <c r="K4" s="610" t="s">
        <v>1218</v>
      </c>
      <c r="L4" s="644">
        <v>44809</v>
      </c>
      <c r="M4" s="644">
        <v>44814</v>
      </c>
      <c r="N4" s="706"/>
      <c r="O4" s="1381"/>
      <c r="P4" s="1386"/>
      <c r="Q4" s="1395"/>
      <c r="R4" s="602"/>
      <c r="S4" s="1396"/>
      <c r="T4" s="1172"/>
      <c r="U4" s="1397"/>
      <c r="V4" s="1397"/>
      <c r="W4" s="1467"/>
      <c r="X4" s="1397"/>
      <c r="Y4" s="1397"/>
      <c r="Z4" s="1397"/>
      <c r="AA4" s="1397"/>
      <c r="AB4" s="1397"/>
      <c r="AC4" s="1397"/>
      <c r="AD4" s="1397"/>
      <c r="AE4" s="1397"/>
      <c r="AF4" s="1397"/>
      <c r="AG4" s="1397"/>
      <c r="AH4" s="1397"/>
      <c r="AI4" s="1397"/>
      <c r="AJ4" s="1218"/>
      <c r="AK4" s="1182"/>
      <c r="AL4" s="1397"/>
    </row>
    <row r="5" s="1363" customFormat="1" ht="18.75" customHeight="1" spans="1:38">
      <c r="A5" s="1421"/>
      <c r="B5" s="671"/>
      <c r="C5" s="557"/>
      <c r="D5" s="1248" t="s">
        <v>143</v>
      </c>
      <c r="E5" s="244" t="s">
        <v>1476</v>
      </c>
      <c r="F5" s="1002">
        <v>28000</v>
      </c>
      <c r="G5" s="799">
        <f>F5*J5</f>
        <v>192698.8</v>
      </c>
      <c r="H5" s="799">
        <f>G5</f>
        <v>192698.8</v>
      </c>
      <c r="I5" s="799"/>
      <c r="J5" s="733">
        <v>6.8821</v>
      </c>
      <c r="K5" s="610" t="s">
        <v>1218</v>
      </c>
      <c r="L5" s="644">
        <v>44833</v>
      </c>
      <c r="M5" s="644">
        <v>44838</v>
      </c>
      <c r="N5" s="706"/>
      <c r="O5" s="1381"/>
      <c r="P5" s="1386"/>
      <c r="Q5" s="1395"/>
      <c r="R5" s="602"/>
      <c r="S5" s="1396"/>
      <c r="T5" s="1172"/>
      <c r="U5" s="1397"/>
      <c r="V5" s="1397"/>
      <c r="W5" s="1467"/>
      <c r="X5" s="1397"/>
      <c r="Y5" s="1397"/>
      <c r="Z5" s="1397"/>
      <c r="AA5" s="1397"/>
      <c r="AB5" s="1397"/>
      <c r="AC5" s="1397"/>
      <c r="AD5" s="1397"/>
      <c r="AE5" s="1397"/>
      <c r="AF5" s="1397"/>
      <c r="AG5" s="1397"/>
      <c r="AH5" s="1397"/>
      <c r="AI5" s="1397"/>
      <c r="AJ5" s="1218"/>
      <c r="AK5" s="1182"/>
      <c r="AL5" s="1397"/>
    </row>
    <row r="6" s="1363" customFormat="1" ht="18.75" customHeight="1" spans="1:38">
      <c r="A6" s="1421"/>
      <c r="B6" s="671"/>
      <c r="C6" s="557"/>
      <c r="D6" s="1248" t="s">
        <v>207</v>
      </c>
      <c r="E6" s="572" t="s">
        <v>1477</v>
      </c>
      <c r="F6" s="1002">
        <v>39960</v>
      </c>
      <c r="G6" s="799">
        <f>F6*J6</f>
        <v>275008.716</v>
      </c>
      <c r="H6" s="799">
        <v>275009</v>
      </c>
      <c r="I6" s="799">
        <v>275009</v>
      </c>
      <c r="J6" s="733">
        <v>6.8821</v>
      </c>
      <c r="K6" s="610">
        <v>44818</v>
      </c>
      <c r="L6" s="644">
        <v>44823</v>
      </c>
      <c r="M6" s="644">
        <v>44828</v>
      </c>
      <c r="N6" s="568" t="s">
        <v>1478</v>
      </c>
      <c r="O6" s="1381"/>
      <c r="P6" s="1558"/>
      <c r="Q6" s="1395"/>
      <c r="R6" s="602"/>
      <c r="S6" s="1396"/>
      <c r="T6" s="1172"/>
      <c r="U6" s="1397"/>
      <c r="V6" s="1397"/>
      <c r="W6" s="1467"/>
      <c r="X6" s="1397"/>
      <c r="Y6" s="1397"/>
      <c r="Z6" s="1397"/>
      <c r="AA6" s="1397"/>
      <c r="AB6" s="1397"/>
      <c r="AC6" s="1397"/>
      <c r="AD6" s="1397"/>
      <c r="AE6" s="1397"/>
      <c r="AF6" s="1397"/>
      <c r="AG6" s="1397"/>
      <c r="AH6" s="1397"/>
      <c r="AI6" s="1397"/>
      <c r="AJ6" s="1218"/>
      <c r="AK6" s="1182"/>
      <c r="AL6" s="1397"/>
    </row>
    <row r="7" s="1363" customFormat="1" ht="18.75" customHeight="1" spans="1:38">
      <c r="A7" s="1421"/>
      <c r="B7" s="671"/>
      <c r="C7" s="557"/>
      <c r="D7" s="1577" t="s">
        <v>840</v>
      </c>
      <c r="E7" s="1580" t="s">
        <v>1479</v>
      </c>
      <c r="F7" s="1581">
        <v>21267</v>
      </c>
      <c r="G7" s="799">
        <f>F7*J7</f>
        <v>146361.6207</v>
      </c>
      <c r="H7" s="799">
        <f>G7</f>
        <v>146361.6207</v>
      </c>
      <c r="I7" s="1582"/>
      <c r="J7" s="733">
        <v>6.8821</v>
      </c>
      <c r="K7" s="1556" t="s">
        <v>1218</v>
      </c>
      <c r="L7" s="1583">
        <v>44834</v>
      </c>
      <c r="M7" s="1583">
        <v>44842</v>
      </c>
      <c r="N7" s="1584"/>
      <c r="O7" s="1381"/>
      <c r="P7" s="1386"/>
      <c r="Q7" s="1395"/>
      <c r="R7" s="602"/>
      <c r="S7" s="1396"/>
      <c r="T7" s="1172"/>
      <c r="U7" s="1397"/>
      <c r="V7" s="1397"/>
      <c r="W7" s="1467"/>
      <c r="X7" s="1397"/>
      <c r="Y7" s="1397"/>
      <c r="Z7" s="1397"/>
      <c r="AA7" s="1397"/>
      <c r="AB7" s="1397"/>
      <c r="AC7" s="1397"/>
      <c r="AD7" s="1397"/>
      <c r="AE7" s="1397"/>
      <c r="AF7" s="1397"/>
      <c r="AG7" s="1397"/>
      <c r="AH7" s="1397"/>
      <c r="AI7" s="1397"/>
      <c r="AJ7" s="1218"/>
      <c r="AK7" s="1182"/>
      <c r="AL7" s="1397"/>
    </row>
    <row r="8" s="1363" customFormat="1" ht="18.75" customHeight="1" spans="1:38">
      <c r="A8" s="1421"/>
      <c r="B8" s="1146"/>
      <c r="C8" s="545"/>
      <c r="D8" s="250" t="s">
        <v>157</v>
      </c>
      <c r="E8" s="250" t="s">
        <v>1380</v>
      </c>
      <c r="F8" s="562"/>
      <c r="G8" s="393"/>
      <c r="H8" s="393"/>
      <c r="I8" s="393">
        <v>394311</v>
      </c>
      <c r="J8" s="733">
        <v>6.7467</v>
      </c>
      <c r="K8" s="610">
        <v>44800</v>
      </c>
      <c r="L8" s="855"/>
      <c r="M8" s="855">
        <v>44806</v>
      </c>
      <c r="N8" s="250" t="s">
        <v>228</v>
      </c>
      <c r="O8" s="1385"/>
      <c r="P8" s="1384"/>
      <c r="Q8" s="1398"/>
      <c r="R8" s="602"/>
      <c r="S8" s="1396"/>
      <c r="T8" s="1172"/>
      <c r="U8" s="1397"/>
      <c r="V8" s="1397"/>
      <c r="W8" s="1405"/>
      <c r="X8" s="1397"/>
      <c r="Y8" s="1397"/>
      <c r="Z8" s="1397"/>
      <c r="AA8" s="1397"/>
      <c r="AB8" s="1397"/>
      <c r="AC8" s="1397"/>
      <c r="AD8" s="1397"/>
      <c r="AE8" s="1397"/>
      <c r="AF8" s="1397"/>
      <c r="AG8" s="1397"/>
      <c r="AH8" s="1397"/>
      <c r="AI8" s="1397"/>
      <c r="AJ8" s="1218"/>
      <c r="AK8" s="1182"/>
      <c r="AL8" s="1397"/>
    </row>
    <row r="9" s="1363" customFormat="1" ht="18.75" customHeight="1" spans="1:38">
      <c r="A9" s="1421"/>
      <c r="B9" s="671"/>
      <c r="C9" s="557"/>
      <c r="D9" s="1578" t="s">
        <v>1381</v>
      </c>
      <c r="E9" s="244" t="s">
        <v>1382</v>
      </c>
      <c r="F9" s="1002"/>
      <c r="G9" s="799"/>
      <c r="H9" s="799"/>
      <c r="I9" s="799">
        <v>738763.65</v>
      </c>
      <c r="J9" s="733">
        <v>6.7467</v>
      </c>
      <c r="K9" s="610">
        <v>44800</v>
      </c>
      <c r="L9" s="644"/>
      <c r="M9" s="644">
        <v>44811</v>
      </c>
      <c r="N9" s="250" t="s">
        <v>228</v>
      </c>
      <c r="O9" s="1381"/>
      <c r="P9" s="1558"/>
      <c r="Q9" s="1395"/>
      <c r="R9" s="602"/>
      <c r="S9" s="1396"/>
      <c r="T9" s="1172"/>
      <c r="U9" s="1397"/>
      <c r="V9" s="1397"/>
      <c r="W9" s="1405"/>
      <c r="X9" s="1397"/>
      <c r="Y9" s="1397"/>
      <c r="Z9" s="1397"/>
      <c r="AA9" s="1397"/>
      <c r="AB9" s="1397"/>
      <c r="AC9" s="1397"/>
      <c r="AD9" s="1397"/>
      <c r="AE9" s="1397"/>
      <c r="AF9" s="1397"/>
      <c r="AG9" s="1397"/>
      <c r="AH9" s="1397"/>
      <c r="AI9" s="1397"/>
      <c r="AJ9" s="1218"/>
      <c r="AK9" s="1182"/>
      <c r="AL9" s="1397"/>
    </row>
    <row r="10" s="1363" customFormat="1" ht="18.75" customHeight="1" spans="1:38">
      <c r="A10" s="1421"/>
      <c r="B10" s="671"/>
      <c r="C10" s="557"/>
      <c r="D10" s="1578" t="s">
        <v>453</v>
      </c>
      <c r="E10" s="244" t="s">
        <v>1383</v>
      </c>
      <c r="F10" s="1002"/>
      <c r="G10" s="393"/>
      <c r="H10" s="393"/>
      <c r="I10" s="393">
        <v>709955.241</v>
      </c>
      <c r="J10" s="733">
        <v>6.7467</v>
      </c>
      <c r="K10" s="610">
        <v>44800</v>
      </c>
      <c r="L10" s="644"/>
      <c r="M10" s="644">
        <v>44806</v>
      </c>
      <c r="N10" s="250" t="s">
        <v>228</v>
      </c>
      <c r="O10" s="1381"/>
      <c r="P10" s="1386"/>
      <c r="Q10" s="1395"/>
      <c r="R10" s="602"/>
      <c r="S10" s="1396"/>
      <c r="T10" s="1172"/>
      <c r="U10" s="1397"/>
      <c r="V10" s="1397"/>
      <c r="W10" s="1405"/>
      <c r="X10" s="1397"/>
      <c r="Y10" s="1397"/>
      <c r="Z10" s="1397"/>
      <c r="AA10" s="1397"/>
      <c r="AB10" s="1397"/>
      <c r="AC10" s="1397"/>
      <c r="AD10" s="1397"/>
      <c r="AE10" s="1397"/>
      <c r="AF10" s="1397"/>
      <c r="AG10" s="1397"/>
      <c r="AH10" s="1397"/>
      <c r="AI10" s="1397"/>
      <c r="AJ10" s="1218"/>
      <c r="AK10" s="1182"/>
      <c r="AL10" s="1397"/>
    </row>
    <row r="11" s="1363" customFormat="1" ht="18.75" customHeight="1" spans="1:38">
      <c r="A11" s="1421"/>
      <c r="B11" s="1146"/>
      <c r="C11" s="545"/>
      <c r="D11" s="250" t="s">
        <v>143</v>
      </c>
      <c r="E11" s="250" t="s">
        <v>1385</v>
      </c>
      <c r="F11" s="562"/>
      <c r="G11" s="393"/>
      <c r="H11" s="393"/>
      <c r="I11" s="393">
        <v>229691</v>
      </c>
      <c r="J11" s="733">
        <v>6.7467</v>
      </c>
      <c r="K11" s="610" t="s">
        <v>1218</v>
      </c>
      <c r="L11" s="855"/>
      <c r="M11" s="855">
        <v>44807</v>
      </c>
      <c r="N11" s="250" t="s">
        <v>228</v>
      </c>
      <c r="O11" s="1385"/>
      <c r="P11" s="1384"/>
      <c r="Q11" s="1398"/>
      <c r="R11" s="602"/>
      <c r="S11" s="1396"/>
      <c r="T11" s="1172"/>
      <c r="U11" s="1397"/>
      <c r="V11" s="1397"/>
      <c r="W11" s="1405"/>
      <c r="X11" s="1397"/>
      <c r="Y11" s="1397"/>
      <c r="Z11" s="1397"/>
      <c r="AA11" s="1397"/>
      <c r="AB11" s="1397"/>
      <c r="AC11" s="1397"/>
      <c r="AD11" s="1397"/>
      <c r="AE11" s="1397"/>
      <c r="AF11" s="1397"/>
      <c r="AG11" s="1397"/>
      <c r="AH11" s="1397"/>
      <c r="AI11" s="1397"/>
      <c r="AJ11" s="1218"/>
      <c r="AK11" s="1182"/>
      <c r="AL11" s="1397"/>
    </row>
    <row r="12" s="1363" customFormat="1" ht="18.75" customHeight="1" spans="1:38">
      <c r="A12" s="1502"/>
      <c r="B12" s="664"/>
      <c r="C12" s="655"/>
      <c r="D12" s="250" t="s">
        <v>162</v>
      </c>
      <c r="E12" s="244" t="s">
        <v>1394</v>
      </c>
      <c r="F12" s="1002"/>
      <c r="G12" s="799"/>
      <c r="H12" s="799"/>
      <c r="I12" s="799">
        <v>72399</v>
      </c>
      <c r="J12" s="733">
        <v>6.7467</v>
      </c>
      <c r="K12" s="598" t="s">
        <v>1218</v>
      </c>
      <c r="L12" s="645"/>
      <c r="M12" s="645">
        <v>44829</v>
      </c>
      <c r="N12" s="568" t="s">
        <v>1395</v>
      </c>
      <c r="O12" s="1388"/>
      <c r="P12" s="1386"/>
      <c r="Q12" s="1399"/>
      <c r="R12" s="766"/>
      <c r="S12" s="1173"/>
      <c r="T12" s="1174"/>
      <c r="U12" s="1398"/>
      <c r="V12" s="1398"/>
      <c r="W12" s="1406"/>
      <c r="X12" s="1397"/>
      <c r="Y12" s="1414"/>
      <c r="Z12" s="1397"/>
      <c r="AA12" s="1397"/>
      <c r="AB12" s="1397"/>
      <c r="AC12" s="1397"/>
      <c r="AD12" s="1397"/>
      <c r="AE12" s="1397"/>
      <c r="AF12" s="1397"/>
      <c r="AG12" s="1397"/>
      <c r="AH12" s="1397"/>
      <c r="AI12" s="1397"/>
      <c r="AJ12" s="1218"/>
      <c r="AK12" s="1182"/>
      <c r="AL12" s="1397"/>
    </row>
    <row r="13" s="1363" customFormat="1" ht="25.3" customHeight="1" spans="1:38">
      <c r="A13" s="1502"/>
      <c r="B13" s="1579" t="s">
        <v>209</v>
      </c>
      <c r="C13" s="557">
        <v>149</v>
      </c>
      <c r="D13" s="1248" t="s">
        <v>1232</v>
      </c>
      <c r="E13" s="244" t="s">
        <v>1480</v>
      </c>
      <c r="F13" s="722" t="s">
        <v>1125</v>
      </c>
      <c r="G13" s="799">
        <v>774980.04</v>
      </c>
      <c r="H13" s="799">
        <f>G13</f>
        <v>774980.04</v>
      </c>
      <c r="I13" s="799"/>
      <c r="J13" s="733">
        <v>6.8821</v>
      </c>
      <c r="K13" s="598">
        <v>44833</v>
      </c>
      <c r="L13" s="645">
        <v>44833</v>
      </c>
      <c r="M13" s="625" t="s">
        <v>1481</v>
      </c>
      <c r="N13" s="706" t="s">
        <v>1482</v>
      </c>
      <c r="O13" s="1303"/>
      <c r="P13" s="1303"/>
      <c r="Q13" s="1303"/>
      <c r="R13" s="602"/>
      <c r="S13" s="1340"/>
      <c r="T13" s="1172"/>
      <c r="U13" s="1397"/>
      <c r="V13" s="1397"/>
      <c r="W13" s="1585"/>
      <c r="X13" s="1397"/>
      <c r="Y13" s="1414"/>
      <c r="Z13" s="1397"/>
      <c r="AA13" s="1397"/>
      <c r="AB13" s="1397"/>
      <c r="AC13" s="1397"/>
      <c r="AD13" s="1397"/>
      <c r="AE13" s="1397"/>
      <c r="AF13" s="1397"/>
      <c r="AG13" s="1397"/>
      <c r="AH13" s="1397"/>
      <c r="AI13" s="1397"/>
      <c r="AJ13" s="1218"/>
      <c r="AK13" s="1182"/>
      <c r="AL13" s="1397"/>
    </row>
    <row r="14" s="1363" customFormat="1" ht="24.7" customHeight="1" spans="1:38">
      <c r="A14" s="1502"/>
      <c r="B14" s="1579"/>
      <c r="C14" s="557"/>
      <c r="D14" s="1248" t="s">
        <v>1483</v>
      </c>
      <c r="E14" s="819" t="s">
        <v>1484</v>
      </c>
      <c r="F14" s="1002">
        <v>39828</v>
      </c>
      <c r="G14" s="799">
        <f>F14*J14</f>
        <v>274100.2788</v>
      </c>
      <c r="H14" s="799">
        <f>G14</f>
        <v>274100.2788</v>
      </c>
      <c r="I14" s="799"/>
      <c r="J14" s="733">
        <v>6.8821</v>
      </c>
      <c r="K14" s="1355" t="s">
        <v>1218</v>
      </c>
      <c r="L14" s="645">
        <v>44833</v>
      </c>
      <c r="M14" s="645">
        <v>44837</v>
      </c>
      <c r="N14" s="568"/>
      <c r="O14" s="1303"/>
      <c r="P14" s="1303"/>
      <c r="Q14" s="1303"/>
      <c r="R14" s="602"/>
      <c r="S14" s="1340"/>
      <c r="T14" s="1172"/>
      <c r="U14" s="1397"/>
      <c r="V14" s="1397"/>
      <c r="W14" s="1585"/>
      <c r="X14" s="1397"/>
      <c r="Y14" s="1414"/>
      <c r="Z14" s="1397"/>
      <c r="AA14" s="1397"/>
      <c r="AB14" s="1397"/>
      <c r="AC14" s="1397"/>
      <c r="AD14" s="1397"/>
      <c r="AE14" s="1397"/>
      <c r="AF14" s="1397"/>
      <c r="AG14" s="1397"/>
      <c r="AH14" s="1397"/>
      <c r="AI14" s="1397"/>
      <c r="AJ14" s="1218"/>
      <c r="AK14" s="1182"/>
      <c r="AL14" s="1397"/>
    </row>
    <row r="15" s="1363" customFormat="1" ht="24.05" customHeight="1" spans="1:38">
      <c r="A15" s="1502"/>
      <c r="B15" s="1579"/>
      <c r="C15" s="557"/>
      <c r="D15" s="1248" t="s">
        <v>151</v>
      </c>
      <c r="E15" s="250" t="s">
        <v>1485</v>
      </c>
      <c r="F15" s="725">
        <v>38403.9</v>
      </c>
      <c r="G15" s="799">
        <f>F15*J15</f>
        <v>264299.48019</v>
      </c>
      <c r="H15" s="799">
        <f>G15</f>
        <v>264299.48019</v>
      </c>
      <c r="I15" s="1508"/>
      <c r="J15" s="733">
        <v>6.8821</v>
      </c>
      <c r="K15" s="1355" t="s">
        <v>1218</v>
      </c>
      <c r="L15" s="645">
        <v>44832</v>
      </c>
      <c r="M15" s="625" t="s">
        <v>1481</v>
      </c>
      <c r="N15" s="568" t="s">
        <v>1482</v>
      </c>
      <c r="O15" s="1303"/>
      <c r="P15" s="1303"/>
      <c r="Q15" s="1303"/>
      <c r="R15" s="602"/>
      <c r="S15" s="1340"/>
      <c r="T15" s="1172"/>
      <c r="U15" s="1397"/>
      <c r="V15" s="1397"/>
      <c r="W15" s="1585"/>
      <c r="X15" s="1397"/>
      <c r="Y15" s="1414"/>
      <c r="Z15" s="1397"/>
      <c r="AA15" s="1397"/>
      <c r="AB15" s="1397"/>
      <c r="AC15" s="1397"/>
      <c r="AD15" s="1397"/>
      <c r="AE15" s="1397"/>
      <c r="AF15" s="1397"/>
      <c r="AG15" s="1397"/>
      <c r="AH15" s="1397"/>
      <c r="AI15" s="1397"/>
      <c r="AJ15" s="1218"/>
      <c r="AK15" s="1182"/>
      <c r="AL15" s="1397"/>
    </row>
    <row r="16" s="1363" customFormat="1" ht="28.15" customHeight="1" spans="1:38">
      <c r="A16" s="1502"/>
      <c r="B16" s="1579"/>
      <c r="C16" s="557"/>
      <c r="D16" s="1248" t="s">
        <v>151</v>
      </c>
      <c r="E16" s="250" t="s">
        <v>1486</v>
      </c>
      <c r="F16" s="725">
        <v>33894</v>
      </c>
      <c r="G16" s="799">
        <f>F16*J16</f>
        <v>233261.8974</v>
      </c>
      <c r="H16" s="799">
        <f>G16</f>
        <v>233261.8974</v>
      </c>
      <c r="I16" s="1508"/>
      <c r="J16" s="733">
        <v>6.8821</v>
      </c>
      <c r="K16" s="1355" t="s">
        <v>1218</v>
      </c>
      <c r="L16" s="645">
        <v>44832</v>
      </c>
      <c r="M16" s="625" t="s">
        <v>1481</v>
      </c>
      <c r="N16" s="568" t="s">
        <v>1482</v>
      </c>
      <c r="O16" s="1303"/>
      <c r="P16" s="1303"/>
      <c r="Q16" s="1303"/>
      <c r="R16" s="602"/>
      <c r="S16" s="1340"/>
      <c r="T16" s="1172"/>
      <c r="U16" s="1397"/>
      <c r="V16" s="1397"/>
      <c r="W16" s="1585"/>
      <c r="X16" s="1397"/>
      <c r="Y16" s="1414"/>
      <c r="Z16" s="1397"/>
      <c r="AA16" s="1397"/>
      <c r="AB16" s="1397"/>
      <c r="AC16" s="1397"/>
      <c r="AD16" s="1397"/>
      <c r="AE16" s="1397"/>
      <c r="AF16" s="1397"/>
      <c r="AG16" s="1397"/>
      <c r="AH16" s="1397"/>
      <c r="AI16" s="1397"/>
      <c r="AJ16" s="1218"/>
      <c r="AK16" s="1182"/>
      <c r="AL16" s="1397"/>
    </row>
    <row r="17" s="1363" customFormat="1" ht="18.75" customHeight="1" spans="1:38">
      <c r="A17" s="1502"/>
      <c r="B17" s="664" t="s">
        <v>1120</v>
      </c>
      <c r="C17" s="655">
        <v>65</v>
      </c>
      <c r="D17" s="250"/>
      <c r="E17" s="250"/>
      <c r="F17" s="562"/>
      <c r="G17" s="393"/>
      <c r="H17" s="393"/>
      <c r="I17" s="393"/>
      <c r="J17" s="1343"/>
      <c r="K17" s="598"/>
      <c r="L17" s="856"/>
      <c r="M17" s="856"/>
      <c r="N17" s="706"/>
      <c r="O17" s="1388"/>
      <c r="P17" s="1386"/>
      <c r="Q17" s="1399"/>
      <c r="R17" s="766"/>
      <c r="S17" s="1173"/>
      <c r="T17" s="1174"/>
      <c r="U17" s="1398"/>
      <c r="V17" s="1398"/>
      <c r="W17" s="1585"/>
      <c r="X17" s="1397"/>
      <c r="Y17" s="1414"/>
      <c r="Z17" s="1397"/>
      <c r="AA17" s="1397"/>
      <c r="AB17" s="1397"/>
      <c r="AC17" s="1397"/>
      <c r="AD17" s="1397"/>
      <c r="AE17" s="1397"/>
      <c r="AF17" s="1397"/>
      <c r="AG17" s="1397"/>
      <c r="AH17" s="1397"/>
      <c r="AI17" s="1397"/>
      <c r="AJ17" s="1218"/>
      <c r="AK17" s="1182"/>
      <c r="AL17" s="1397"/>
    </row>
    <row r="18" s="1363" customFormat="1" ht="18.75" customHeight="1" spans="1:38">
      <c r="A18" s="1502"/>
      <c r="B18" s="664" t="s">
        <v>1393</v>
      </c>
      <c r="C18" s="1554">
        <v>20</v>
      </c>
      <c r="D18" s="1248" t="s">
        <v>593</v>
      </c>
      <c r="E18" s="244" t="s">
        <v>1487</v>
      </c>
      <c r="F18" s="1002">
        <v>46048</v>
      </c>
      <c r="G18" s="799">
        <v>316906.9408</v>
      </c>
      <c r="H18" s="799">
        <f>F18*J18</f>
        <v>316906.9408</v>
      </c>
      <c r="I18" s="799"/>
      <c r="J18" s="733">
        <v>6.8821</v>
      </c>
      <c r="K18" s="598" t="s">
        <v>1218</v>
      </c>
      <c r="L18" s="645">
        <v>44831</v>
      </c>
      <c r="M18" s="645">
        <v>44838</v>
      </c>
      <c r="N18" s="706"/>
      <c r="O18" s="1388"/>
      <c r="P18" s="1386"/>
      <c r="Q18" s="1399"/>
      <c r="R18" s="766"/>
      <c r="S18" s="1173"/>
      <c r="T18" s="1174"/>
      <c r="U18" s="1398"/>
      <c r="V18" s="1398"/>
      <c r="W18" s="1467"/>
      <c r="X18" s="1397"/>
      <c r="Y18" s="1414"/>
      <c r="Z18" s="1397"/>
      <c r="AA18" s="1397"/>
      <c r="AB18" s="1397"/>
      <c r="AC18" s="1397"/>
      <c r="AD18" s="1397"/>
      <c r="AE18" s="1397"/>
      <c r="AF18" s="1397"/>
      <c r="AG18" s="1397"/>
      <c r="AH18" s="1397"/>
      <c r="AI18" s="1397"/>
      <c r="AJ18" s="1218"/>
      <c r="AK18" s="1182"/>
      <c r="AL18" s="1397"/>
    </row>
    <row r="19" s="1363" customFormat="1" ht="18.75" customHeight="1" spans="1:38">
      <c r="A19" s="1502"/>
      <c r="B19" s="715"/>
      <c r="C19" s="545"/>
      <c r="D19" s="1248" t="s">
        <v>1488</v>
      </c>
      <c r="E19" s="250" t="s">
        <v>1489</v>
      </c>
      <c r="F19" s="562">
        <v>13292</v>
      </c>
      <c r="G19" s="799">
        <f>F19*J19</f>
        <v>91476.8732</v>
      </c>
      <c r="H19" s="799">
        <v>91477</v>
      </c>
      <c r="I19" s="799">
        <v>91477</v>
      </c>
      <c r="J19" s="733">
        <v>6.8821</v>
      </c>
      <c r="K19" s="598" t="s">
        <v>1218</v>
      </c>
      <c r="L19" s="856">
        <v>44819</v>
      </c>
      <c r="M19" s="856">
        <v>44825</v>
      </c>
      <c r="N19" s="568"/>
      <c r="O19" s="1515"/>
      <c r="P19" s="1384"/>
      <c r="Q19" s="1397"/>
      <c r="R19" s="766"/>
      <c r="S19" s="1173"/>
      <c r="T19" s="1174"/>
      <c r="U19" s="1398"/>
      <c r="V19" s="1398"/>
      <c r="W19" s="1585"/>
      <c r="X19" s="1397"/>
      <c r="Y19" s="1414"/>
      <c r="Z19" s="1397"/>
      <c r="AA19" s="1397"/>
      <c r="AB19" s="1397"/>
      <c r="AC19" s="1397"/>
      <c r="AD19" s="1397"/>
      <c r="AE19" s="1397"/>
      <c r="AF19" s="1397"/>
      <c r="AG19" s="1397"/>
      <c r="AH19" s="1397"/>
      <c r="AI19" s="1397"/>
      <c r="AJ19" s="1218"/>
      <c r="AK19" s="1182"/>
      <c r="AL19" s="1397"/>
    </row>
    <row r="20" s="1363" customFormat="1" ht="24.4" customHeight="1" spans="1:38">
      <c r="A20" s="1502"/>
      <c r="B20" s="1244" t="s">
        <v>1124</v>
      </c>
      <c r="C20" s="1149">
        <f>SUM(C3:C19)</f>
        <v>437</v>
      </c>
      <c r="D20" s="1198"/>
      <c r="E20" s="1198"/>
      <c r="F20" s="1159" t="s">
        <v>1235</v>
      </c>
      <c r="G20" s="1507">
        <f>SUM(G3:G19)</f>
        <v>3195365.74709</v>
      </c>
      <c r="H20" s="1507">
        <f>SUM(H3:H19)</f>
        <v>3195366.65789</v>
      </c>
      <c r="I20" s="1507">
        <f>SUM(I3:I19)</f>
        <v>2752479.891</v>
      </c>
      <c r="J20" s="1168"/>
      <c r="K20" s="610"/>
      <c r="L20" s="645"/>
      <c r="M20" s="645"/>
      <c r="N20" s="706"/>
      <c r="O20" s="1388"/>
      <c r="P20" s="1386"/>
      <c r="Q20" s="1399"/>
      <c r="R20" s="766"/>
      <c r="S20" s="1173"/>
      <c r="T20" s="1174"/>
      <c r="U20" s="1398"/>
      <c r="V20" s="1398"/>
      <c r="W20" s="1467"/>
      <c r="X20" s="1397"/>
      <c r="Y20" s="1414"/>
      <c r="Z20" s="1397"/>
      <c r="AA20" s="1397"/>
      <c r="AB20" s="1397"/>
      <c r="AC20" s="1397"/>
      <c r="AD20" s="1397"/>
      <c r="AE20" s="1397"/>
      <c r="AF20" s="1397"/>
      <c r="AG20" s="1397"/>
      <c r="AH20" s="1397"/>
      <c r="AI20" s="1397"/>
      <c r="AJ20" s="1218"/>
      <c r="AK20" s="1182"/>
      <c r="AL20" s="1397"/>
    </row>
    <row r="21" s="889" customFormat="1" ht="27.2" customHeight="1" spans="1:38">
      <c r="A21" s="1505"/>
      <c r="B21" s="1244"/>
      <c r="C21" s="1149"/>
      <c r="D21" s="1144" t="s">
        <v>1125</v>
      </c>
      <c r="E21" s="1144"/>
      <c r="F21" s="1159" t="s">
        <v>1236</v>
      </c>
      <c r="G21" s="1160">
        <f>G20/4370000</f>
        <v>0.731204976450801</v>
      </c>
      <c r="H21" s="1160">
        <f>H20/4370000</f>
        <v>0.731205184871854</v>
      </c>
      <c r="I21" s="1160">
        <f>I20/4370000</f>
        <v>0.629858098627002</v>
      </c>
      <c r="J21" s="1168"/>
      <c r="K21" s="858"/>
      <c r="L21" s="821"/>
      <c r="M21" s="821"/>
      <c r="N21" s="1015"/>
      <c r="O21" s="804"/>
      <c r="P21" s="652"/>
      <c r="Q21" s="653"/>
      <c r="R21" s="807"/>
      <c r="S21" s="807">
        <v>0</v>
      </c>
      <c r="T21" s="807">
        <v>0</v>
      </c>
      <c r="U21" s="1408"/>
      <c r="V21" s="1408"/>
      <c r="W21" s="1185"/>
      <c r="X21" s="727"/>
      <c r="Y21" s="727"/>
      <c r="Z21" s="727"/>
      <c r="AA21" s="727"/>
      <c r="AB21" s="727"/>
      <c r="AC21" s="727"/>
      <c r="AD21" s="727"/>
      <c r="AE21" s="727"/>
      <c r="AF21" s="727"/>
      <c r="AG21" s="727"/>
      <c r="AH21" s="727"/>
      <c r="AI21" s="727"/>
      <c r="AJ21" s="727"/>
      <c r="AK21" s="727" t="s">
        <v>285</v>
      </c>
      <c r="AL21" s="727"/>
    </row>
    <row r="22" s="1363" customFormat="1" ht="23.45" customHeight="1" spans="1:38">
      <c r="A22" s="1371" t="s">
        <v>1396</v>
      </c>
      <c r="B22" s="1269" t="s">
        <v>1248</v>
      </c>
      <c r="C22" s="759">
        <v>94</v>
      </c>
      <c r="D22" s="715" t="s">
        <v>1408</v>
      </c>
      <c r="E22" s="250" t="s">
        <v>1409</v>
      </c>
      <c r="F22" s="722">
        <v>1785</v>
      </c>
      <c r="G22" s="1508">
        <f>F22*6.8821</f>
        <v>12284.5485</v>
      </c>
      <c r="H22" s="1508">
        <f>G22</f>
        <v>12284.5485</v>
      </c>
      <c r="I22" s="1508">
        <f>19160*J22</f>
        <v>129266.772</v>
      </c>
      <c r="J22" s="733">
        <v>6.7467</v>
      </c>
      <c r="K22" s="598" t="s">
        <v>1218</v>
      </c>
      <c r="L22" s="1442">
        <v>44788</v>
      </c>
      <c r="M22" s="625" t="s">
        <v>1490</v>
      </c>
      <c r="N22" s="1038" t="s">
        <v>1491</v>
      </c>
      <c r="O22" s="664"/>
      <c r="P22" s="655"/>
      <c r="Q22" s="656"/>
      <c r="R22" s="1400"/>
      <c r="S22" s="1401"/>
      <c r="T22" s="1401"/>
      <c r="U22" s="1410"/>
      <c r="V22" s="1410"/>
      <c r="W22" s="1183"/>
      <c r="X22" s="1411"/>
      <c r="Y22" s="715"/>
      <c r="Z22" s="546"/>
      <c r="AA22" s="546"/>
      <c r="AB22" s="546"/>
      <c r="AC22" s="546"/>
      <c r="AD22" s="546"/>
      <c r="AE22" s="546"/>
      <c r="AF22" s="546"/>
      <c r="AG22" s="546"/>
      <c r="AH22" s="546"/>
      <c r="AI22" s="546"/>
      <c r="AJ22" s="715"/>
      <c r="AK22" s="715"/>
      <c r="AL22" s="715"/>
    </row>
    <row r="23" s="1363" customFormat="1" ht="23.45" customHeight="1" spans="1:38">
      <c r="A23" s="1371"/>
      <c r="B23" s="671"/>
      <c r="C23" s="557"/>
      <c r="D23" s="542" t="s">
        <v>166</v>
      </c>
      <c r="E23" s="250" t="s">
        <v>1422</v>
      </c>
      <c r="F23" s="722">
        <v>21910</v>
      </c>
      <c r="G23" s="1508"/>
      <c r="H23" s="1508"/>
      <c r="I23" s="1508">
        <f>F23*J23</f>
        <v>147820.197</v>
      </c>
      <c r="J23" s="733">
        <v>6.7467</v>
      </c>
      <c r="K23" s="598" t="s">
        <v>1218</v>
      </c>
      <c r="L23" s="644">
        <v>44802</v>
      </c>
      <c r="M23" s="625" t="s">
        <v>1410</v>
      </c>
      <c r="N23" s="1038" t="s">
        <v>1492</v>
      </c>
      <c r="O23" s="664"/>
      <c r="P23" s="655"/>
      <c r="Q23" s="656"/>
      <c r="R23" s="1400"/>
      <c r="S23" s="1401"/>
      <c r="T23" s="1401"/>
      <c r="U23" s="1410"/>
      <c r="V23" s="1410"/>
      <c r="W23" s="1183"/>
      <c r="X23" s="1411"/>
      <c r="Y23" s="715"/>
      <c r="Z23" s="546"/>
      <c r="AA23" s="546"/>
      <c r="AB23" s="546"/>
      <c r="AC23" s="546"/>
      <c r="AD23" s="546"/>
      <c r="AE23" s="546"/>
      <c r="AF23" s="546"/>
      <c r="AG23" s="546"/>
      <c r="AH23" s="546"/>
      <c r="AI23" s="546"/>
      <c r="AJ23" s="715"/>
      <c r="AK23" s="715"/>
      <c r="AL23" s="715"/>
    </row>
    <row r="24" s="1363" customFormat="1" ht="23.45" customHeight="1" spans="1:38">
      <c r="A24" s="1371"/>
      <c r="B24" s="671"/>
      <c r="C24" s="557"/>
      <c r="D24" s="542" t="s">
        <v>247</v>
      </c>
      <c r="E24" s="250" t="s">
        <v>1424</v>
      </c>
      <c r="F24" s="722">
        <v>35792</v>
      </c>
      <c r="G24" s="1508"/>
      <c r="H24" s="1508"/>
      <c r="I24" s="1508">
        <f>F24*J24</f>
        <v>241477.8864</v>
      </c>
      <c r="J24" s="733">
        <v>6.7467</v>
      </c>
      <c r="K24" s="598" t="s">
        <v>1218</v>
      </c>
      <c r="L24" s="644">
        <v>44804</v>
      </c>
      <c r="M24" s="625" t="s">
        <v>1410</v>
      </c>
      <c r="N24" s="1038" t="s">
        <v>1493</v>
      </c>
      <c r="O24" s="664"/>
      <c r="P24" s="655"/>
      <c r="Q24" s="656"/>
      <c r="R24" s="1400"/>
      <c r="S24" s="1401"/>
      <c r="T24" s="1401"/>
      <c r="U24" s="1410"/>
      <c r="V24" s="1410"/>
      <c r="W24" s="1183"/>
      <c r="X24" s="1411"/>
      <c r="Y24" s="715"/>
      <c r="Z24" s="546"/>
      <c r="AA24" s="546"/>
      <c r="AB24" s="546"/>
      <c r="AC24" s="546"/>
      <c r="AD24" s="546"/>
      <c r="AE24" s="546"/>
      <c r="AF24" s="546"/>
      <c r="AG24" s="546"/>
      <c r="AH24" s="546"/>
      <c r="AI24" s="546"/>
      <c r="AJ24" s="715"/>
      <c r="AK24" s="715"/>
      <c r="AL24" s="715"/>
    </row>
    <row r="25" s="1363" customFormat="1" ht="23.45" customHeight="1" spans="1:38">
      <c r="A25" s="1371"/>
      <c r="B25" s="671"/>
      <c r="C25" s="557"/>
      <c r="D25" s="666" t="s">
        <v>167</v>
      </c>
      <c r="E25" s="250" t="s">
        <v>1431</v>
      </c>
      <c r="F25" s="722">
        <v>3618</v>
      </c>
      <c r="G25" s="1508"/>
      <c r="H25" s="1508"/>
      <c r="I25" s="1508">
        <f>F25*J25</f>
        <v>24409.5606</v>
      </c>
      <c r="J25" s="733">
        <v>6.7467</v>
      </c>
      <c r="K25" s="598" t="s">
        <v>1218</v>
      </c>
      <c r="L25" s="1442">
        <v>44803</v>
      </c>
      <c r="M25" s="625" t="s">
        <v>1494</v>
      </c>
      <c r="N25" s="1038" t="s">
        <v>1432</v>
      </c>
      <c r="O25" s="664"/>
      <c r="P25" s="655"/>
      <c r="Q25" s="656"/>
      <c r="R25" s="1400"/>
      <c r="S25" s="1401"/>
      <c r="T25" s="1401"/>
      <c r="U25" s="1410"/>
      <c r="V25" s="1410"/>
      <c r="W25" s="1183"/>
      <c r="X25" s="1411"/>
      <c r="Y25" s="715"/>
      <c r="Z25" s="546"/>
      <c r="AA25" s="546"/>
      <c r="AB25" s="546"/>
      <c r="AC25" s="546"/>
      <c r="AD25" s="546"/>
      <c r="AE25" s="546"/>
      <c r="AF25" s="546"/>
      <c r="AG25" s="546"/>
      <c r="AH25" s="546"/>
      <c r="AI25" s="546"/>
      <c r="AJ25" s="715"/>
      <c r="AK25" s="715"/>
      <c r="AL25" s="715"/>
    </row>
    <row r="26" s="1363" customFormat="1" ht="23.45" customHeight="1" spans="1:38">
      <c r="A26" s="1371"/>
      <c r="B26" s="671"/>
      <c r="C26" s="557"/>
      <c r="D26" s="715" t="s">
        <v>169</v>
      </c>
      <c r="E26" s="1248" t="s">
        <v>1495</v>
      </c>
      <c r="F26" s="786">
        <v>20833</v>
      </c>
      <c r="G26" s="393">
        <f>F26*J26</f>
        <v>143374.7893</v>
      </c>
      <c r="H26" s="1508">
        <f>G26</f>
        <v>143374.7893</v>
      </c>
      <c r="I26" s="1508">
        <v>143374.7893</v>
      </c>
      <c r="J26" s="733">
        <v>6.8821</v>
      </c>
      <c r="K26" s="598" t="s">
        <v>1218</v>
      </c>
      <c r="L26" s="1261">
        <v>44812</v>
      </c>
      <c r="M26" s="625" t="s">
        <v>1496</v>
      </c>
      <c r="N26" s="1038" t="s">
        <v>1497</v>
      </c>
      <c r="O26" s="664"/>
      <c r="P26" s="1516"/>
      <c r="Q26" s="1516"/>
      <c r="R26" s="1400"/>
      <c r="S26" s="1401"/>
      <c r="T26" s="1401"/>
      <c r="U26" s="1410"/>
      <c r="V26" s="1410"/>
      <c r="W26" s="1183"/>
      <c r="X26" s="1411"/>
      <c r="Y26" s="715"/>
      <c r="Z26" s="546"/>
      <c r="AA26" s="546"/>
      <c r="AB26" s="546"/>
      <c r="AC26" s="546"/>
      <c r="AD26" s="546"/>
      <c r="AE26" s="546"/>
      <c r="AF26" s="546"/>
      <c r="AG26" s="546"/>
      <c r="AH26" s="546"/>
      <c r="AI26" s="546"/>
      <c r="AJ26" s="715"/>
      <c r="AK26" s="715"/>
      <c r="AL26" s="715"/>
    </row>
    <row r="27" s="1363" customFormat="1" ht="23.45" customHeight="1" spans="1:38">
      <c r="A27" s="1371"/>
      <c r="B27" s="671"/>
      <c r="C27" s="557"/>
      <c r="D27" s="715" t="s">
        <v>1169</v>
      </c>
      <c r="E27" s="1248" t="s">
        <v>1498</v>
      </c>
      <c r="F27" s="1002">
        <v>40859</v>
      </c>
      <c r="G27" s="393">
        <f>F27*J27</f>
        <v>281195.7239</v>
      </c>
      <c r="H27" s="1508">
        <f>G27</f>
        <v>281195.7239</v>
      </c>
      <c r="I27" s="1508">
        <v>281195.7239</v>
      </c>
      <c r="J27" s="733">
        <v>6.8821</v>
      </c>
      <c r="K27" s="598" t="s">
        <v>1218</v>
      </c>
      <c r="L27" s="644">
        <v>44818</v>
      </c>
      <c r="M27" s="625" t="s">
        <v>1499</v>
      </c>
      <c r="N27" s="1038" t="s">
        <v>1500</v>
      </c>
      <c r="O27" s="664"/>
      <c r="P27" s="655"/>
      <c r="Q27" s="656"/>
      <c r="R27" s="1400"/>
      <c r="S27" s="1401"/>
      <c r="T27" s="1401"/>
      <c r="U27" s="1410"/>
      <c r="V27" s="1410"/>
      <c r="W27" s="1183"/>
      <c r="X27" s="1411"/>
      <c r="Y27" s="715"/>
      <c r="Z27" s="546"/>
      <c r="AA27" s="546"/>
      <c r="AB27" s="546"/>
      <c r="AC27" s="546"/>
      <c r="AD27" s="546"/>
      <c r="AE27" s="546"/>
      <c r="AF27" s="546"/>
      <c r="AG27" s="546"/>
      <c r="AH27" s="546"/>
      <c r="AI27" s="546"/>
      <c r="AJ27" s="715"/>
      <c r="AK27" s="715"/>
      <c r="AL27" s="715"/>
    </row>
    <row r="28" s="1363" customFormat="1" ht="23.45" customHeight="1" spans="1:38">
      <c r="A28" s="1371"/>
      <c r="B28" s="671"/>
      <c r="C28" s="557"/>
      <c r="D28" s="715" t="s">
        <v>1501</v>
      </c>
      <c r="E28" s="1248" t="s">
        <v>1502</v>
      </c>
      <c r="F28" s="722" t="s">
        <v>1125</v>
      </c>
      <c r="G28" s="393">
        <v>117062.83</v>
      </c>
      <c r="H28" s="1508">
        <f>G28</f>
        <v>117062.83</v>
      </c>
      <c r="I28" s="1508"/>
      <c r="J28" s="733">
        <v>6.8821</v>
      </c>
      <c r="K28" s="598" t="s">
        <v>1218</v>
      </c>
      <c r="L28" s="644">
        <v>44825</v>
      </c>
      <c r="M28" s="625" t="s">
        <v>555</v>
      </c>
      <c r="N28" s="1038" t="s">
        <v>1503</v>
      </c>
      <c r="O28" s="664"/>
      <c r="P28" s="655"/>
      <c r="Q28" s="656"/>
      <c r="R28" s="1400"/>
      <c r="S28" s="1401"/>
      <c r="T28" s="1401"/>
      <c r="U28" s="1410"/>
      <c r="V28" s="1410"/>
      <c r="W28" s="1183"/>
      <c r="X28" s="1411"/>
      <c r="Y28" s="715"/>
      <c r="Z28" s="546"/>
      <c r="AA28" s="546"/>
      <c r="AB28" s="546"/>
      <c r="AC28" s="546"/>
      <c r="AD28" s="546"/>
      <c r="AE28" s="546"/>
      <c r="AF28" s="546"/>
      <c r="AG28" s="546"/>
      <c r="AH28" s="546"/>
      <c r="AI28" s="546"/>
      <c r="AJ28" s="715"/>
      <c r="AK28" s="715"/>
      <c r="AL28" s="715"/>
    </row>
    <row r="29" s="1363" customFormat="1" ht="23.45" customHeight="1" spans="1:38">
      <c r="A29" s="1371"/>
      <c r="B29" s="671"/>
      <c r="C29" s="557"/>
      <c r="D29" s="715" t="s">
        <v>175</v>
      </c>
      <c r="E29" s="1248" t="s">
        <v>1504</v>
      </c>
      <c r="F29" s="722">
        <v>18410</v>
      </c>
      <c r="G29" s="393">
        <f>F29*J29</f>
        <v>126699.461</v>
      </c>
      <c r="H29" s="1508">
        <f>G29</f>
        <v>126699.461</v>
      </c>
      <c r="I29" s="1508"/>
      <c r="J29" s="733">
        <v>6.8821</v>
      </c>
      <c r="K29" s="598" t="s">
        <v>1218</v>
      </c>
      <c r="L29" s="644">
        <v>44833</v>
      </c>
      <c r="M29" s="625" t="s">
        <v>1505</v>
      </c>
      <c r="N29" s="1038" t="s">
        <v>1506</v>
      </c>
      <c r="O29" s="664"/>
      <c r="P29" s="655"/>
      <c r="Q29" s="656"/>
      <c r="R29" s="1400"/>
      <c r="S29" s="1401"/>
      <c r="T29" s="1401"/>
      <c r="U29" s="1410"/>
      <c r="V29" s="1410"/>
      <c r="W29" s="1183"/>
      <c r="X29" s="1411"/>
      <c r="Y29" s="715"/>
      <c r="Z29" s="546"/>
      <c r="AA29" s="546"/>
      <c r="AB29" s="546"/>
      <c r="AC29" s="546"/>
      <c r="AD29" s="546"/>
      <c r="AE29" s="546"/>
      <c r="AF29" s="546"/>
      <c r="AG29" s="546"/>
      <c r="AH29" s="546"/>
      <c r="AI29" s="546"/>
      <c r="AJ29" s="715"/>
      <c r="AK29" s="715"/>
      <c r="AL29" s="715"/>
    </row>
    <row r="30" s="536" customFormat="1" ht="23.75" customHeight="1" spans="1:38">
      <c r="A30" s="1371"/>
      <c r="B30" s="664" t="s">
        <v>224</v>
      </c>
      <c r="C30" s="759">
        <v>140</v>
      </c>
      <c r="D30" s="715" t="s">
        <v>1507</v>
      </c>
      <c r="E30" s="1310" t="s">
        <v>1508</v>
      </c>
      <c r="F30" s="722">
        <v>2902</v>
      </c>
      <c r="G30" s="1509">
        <f>F30*J30</f>
        <v>19971.8542</v>
      </c>
      <c r="H30" s="1509">
        <v>19971.8542</v>
      </c>
      <c r="I30" s="1509">
        <v>19971.85</v>
      </c>
      <c r="J30" s="733">
        <v>6.8821</v>
      </c>
      <c r="K30" s="598" t="s">
        <v>1218</v>
      </c>
      <c r="L30" s="644">
        <v>44819</v>
      </c>
      <c r="M30" s="644">
        <v>44831</v>
      </c>
      <c r="N30" s="1214" t="s">
        <v>1509</v>
      </c>
      <c r="O30" s="1443"/>
      <c r="P30" s="945"/>
      <c r="Q30" s="945"/>
      <c r="R30" s="754"/>
      <c r="S30" s="754"/>
      <c r="T30" s="992"/>
      <c r="U30" s="1465"/>
      <c r="V30" s="1209"/>
      <c r="W30" s="1210"/>
      <c r="X30" s="715"/>
      <c r="Y30" s="1106"/>
      <c r="Z30" s="1473"/>
      <c r="AA30" s="715"/>
      <c r="AB30" s="715"/>
      <c r="AC30" s="715"/>
      <c r="AD30" s="715"/>
      <c r="AE30" s="715"/>
      <c r="AF30" s="715"/>
      <c r="AG30" s="715"/>
      <c r="AH30" s="715"/>
      <c r="AI30" s="715"/>
      <c r="AJ30" s="715"/>
      <c r="AK30" s="992"/>
      <c r="AL30" s="715"/>
    </row>
    <row r="31" s="536" customFormat="1" ht="23.75" customHeight="1" spans="1:38">
      <c r="A31" s="1371"/>
      <c r="B31" s="666" t="s">
        <v>1437</v>
      </c>
      <c r="C31" s="759">
        <v>50</v>
      </c>
      <c r="D31" s="542" t="s">
        <v>165</v>
      </c>
      <c r="E31" s="1248" t="s">
        <v>1510</v>
      </c>
      <c r="F31" s="786">
        <v>37724.82</v>
      </c>
      <c r="G31" s="1509">
        <f>F31*J31</f>
        <v>259625.983722</v>
      </c>
      <c r="H31" s="1508">
        <f>G31</f>
        <v>259625.983722</v>
      </c>
      <c r="I31" s="1508">
        <v>261072.4635</v>
      </c>
      <c r="J31" s="733">
        <v>6.8821</v>
      </c>
      <c r="K31" s="598" t="s">
        <v>1218</v>
      </c>
      <c r="L31" s="1261">
        <v>44812</v>
      </c>
      <c r="M31" s="625" t="s">
        <v>1511</v>
      </c>
      <c r="N31" s="1038" t="s">
        <v>1512</v>
      </c>
      <c r="O31" s="1390"/>
      <c r="P31" s="968"/>
      <c r="Q31" s="919"/>
      <c r="R31" s="1401"/>
      <c r="S31" s="754"/>
      <c r="T31" s="992"/>
      <c r="U31" s="1465"/>
      <c r="V31" s="1209"/>
      <c r="W31" s="1210"/>
      <c r="X31" s="715"/>
      <c r="Y31" s="1474"/>
      <c r="Z31" s="1473"/>
      <c r="AA31" s="715"/>
      <c r="AB31" s="715"/>
      <c r="AC31" s="715"/>
      <c r="AD31" s="715"/>
      <c r="AE31" s="715"/>
      <c r="AF31" s="715"/>
      <c r="AG31" s="715"/>
      <c r="AH31" s="715"/>
      <c r="AI31" s="715"/>
      <c r="AJ31" s="715"/>
      <c r="AK31" s="992"/>
      <c r="AL31" s="715"/>
    </row>
    <row r="32" s="536" customFormat="1" ht="23.75" customHeight="1" spans="1:38">
      <c r="A32" s="1371"/>
      <c r="B32" s="670"/>
      <c r="C32" s="968"/>
      <c r="D32" s="542" t="s">
        <v>165</v>
      </c>
      <c r="E32" s="1248" t="s">
        <v>1513</v>
      </c>
      <c r="F32" s="786">
        <v>11505</v>
      </c>
      <c r="G32" s="1509">
        <f>F32*J32</f>
        <v>79178.5605</v>
      </c>
      <c r="H32" s="1508">
        <f>G32</f>
        <v>79178.5605</v>
      </c>
      <c r="I32" s="1508"/>
      <c r="J32" s="733">
        <v>6.8821</v>
      </c>
      <c r="K32" s="598" t="s">
        <v>1218</v>
      </c>
      <c r="L32" s="644">
        <v>44833</v>
      </c>
      <c r="M32" s="855">
        <v>44838</v>
      </c>
      <c r="N32" s="1038" t="s">
        <v>1514</v>
      </c>
      <c r="O32" s="1390"/>
      <c r="P32" s="968"/>
      <c r="Q32" s="919"/>
      <c r="R32" s="1401"/>
      <c r="S32" s="754"/>
      <c r="T32" s="992"/>
      <c r="U32" s="1465"/>
      <c r="V32" s="1209"/>
      <c r="W32" s="1210"/>
      <c r="X32" s="715"/>
      <c r="Y32" s="1474"/>
      <c r="Z32" s="1473"/>
      <c r="AA32" s="715"/>
      <c r="AB32" s="715"/>
      <c r="AC32" s="715"/>
      <c r="AD32" s="715"/>
      <c r="AE32" s="715"/>
      <c r="AF32" s="715"/>
      <c r="AG32" s="715"/>
      <c r="AH32" s="715"/>
      <c r="AI32" s="715"/>
      <c r="AJ32" s="715"/>
      <c r="AK32" s="992"/>
      <c r="AL32" s="715"/>
    </row>
    <row r="33" s="536" customFormat="1" ht="38.35" customHeight="1" spans="1:38">
      <c r="A33" s="1560"/>
      <c r="B33" s="664" t="s">
        <v>1444</v>
      </c>
      <c r="C33" s="759">
        <v>65</v>
      </c>
      <c r="D33" s="715" t="s">
        <v>256</v>
      </c>
      <c r="E33" s="1586" t="s">
        <v>1515</v>
      </c>
      <c r="F33" s="1433">
        <v>27384</v>
      </c>
      <c r="G33" s="1509">
        <f>F33*J33</f>
        <v>188459.4264</v>
      </c>
      <c r="H33" s="1509">
        <f>F33*J33</f>
        <v>188459.4264</v>
      </c>
      <c r="I33" s="1531">
        <v>188459.42</v>
      </c>
      <c r="J33" s="733">
        <v>6.8821</v>
      </c>
      <c r="K33" s="1355"/>
      <c r="L33" s="644">
        <v>44822</v>
      </c>
      <c r="M33" s="625" t="s">
        <v>1516</v>
      </c>
      <c r="N33" s="1214" t="s">
        <v>1517</v>
      </c>
      <c r="O33" s="1390"/>
      <c r="P33" s="968"/>
      <c r="Q33" s="919"/>
      <c r="R33" s="1401"/>
      <c r="S33" s="754"/>
      <c r="T33" s="992"/>
      <c r="U33" s="1465"/>
      <c r="V33" s="1209"/>
      <c r="W33" s="1210"/>
      <c r="X33" s="715"/>
      <c r="Y33" s="1474"/>
      <c r="Z33" s="1473"/>
      <c r="AA33" s="715"/>
      <c r="AB33" s="715"/>
      <c r="AC33" s="715"/>
      <c r="AD33" s="715"/>
      <c r="AE33" s="715"/>
      <c r="AF33" s="715"/>
      <c r="AG33" s="715"/>
      <c r="AH33" s="715"/>
      <c r="AI33" s="715"/>
      <c r="AJ33" s="715"/>
      <c r="AK33" s="992"/>
      <c r="AL33" s="715"/>
    </row>
    <row r="34" s="536" customFormat="1" ht="23.75" customHeight="1" spans="1:38">
      <c r="A34" s="1371"/>
      <c r="B34" s="1190" t="s">
        <v>1124</v>
      </c>
      <c r="C34" s="1191">
        <f>SUM(C22:C33)</f>
        <v>349</v>
      </c>
      <c r="D34" s="1420"/>
      <c r="E34" s="1198"/>
      <c r="F34" s="1157" t="s">
        <v>1235</v>
      </c>
      <c r="G34" s="1507">
        <f>SUM(G22:G33)</f>
        <v>1227853.177522</v>
      </c>
      <c r="H34" s="1507">
        <f>SUM(H22:H33)</f>
        <v>1227853.177522</v>
      </c>
      <c r="I34" s="1507">
        <f>SUM(I22:I33)</f>
        <v>1437048.6627</v>
      </c>
      <c r="J34" s="1168"/>
      <c r="K34" s="610"/>
      <c r="L34" s="644"/>
      <c r="M34" s="644"/>
      <c r="N34" s="1214"/>
      <c r="O34" s="1390"/>
      <c r="P34" s="968"/>
      <c r="Q34" s="919"/>
      <c r="R34" s="1401"/>
      <c r="S34" s="754"/>
      <c r="T34" s="992"/>
      <c r="U34" s="1465"/>
      <c r="V34" s="1209"/>
      <c r="W34" s="1210"/>
      <c r="X34" s="715"/>
      <c r="Y34" s="1474"/>
      <c r="Z34" s="1473"/>
      <c r="AA34" s="715"/>
      <c r="AB34" s="715"/>
      <c r="AC34" s="715"/>
      <c r="AD34" s="715"/>
      <c r="AE34" s="715"/>
      <c r="AF34" s="715"/>
      <c r="AG34" s="715"/>
      <c r="AH34" s="715"/>
      <c r="AI34" s="715"/>
      <c r="AJ34" s="715"/>
      <c r="AK34" s="992"/>
      <c r="AL34" s="715"/>
    </row>
    <row r="35" s="1364" customFormat="1" ht="27.5" customHeight="1" spans="1:38">
      <c r="A35" s="1419"/>
      <c r="B35" s="1192"/>
      <c r="C35" s="1150"/>
      <c r="D35" s="1420"/>
      <c r="E35" s="1198"/>
      <c r="F35" s="1157" t="s">
        <v>1236</v>
      </c>
      <c r="G35" s="1199">
        <f>G34/3490000</f>
        <v>0.351820394705444</v>
      </c>
      <c r="H35" s="1199">
        <f>H34/3490000</f>
        <v>0.351820394705444</v>
      </c>
      <c r="I35" s="1199">
        <f>I34/3490000</f>
        <v>0.411761794469914</v>
      </c>
      <c r="J35" s="747"/>
      <c r="K35" s="858"/>
      <c r="L35" s="1135"/>
      <c r="M35" s="1135"/>
      <c r="N35" s="620"/>
      <c r="O35" s="727"/>
      <c r="P35" s="746"/>
      <c r="Q35" s="747"/>
      <c r="R35" s="747"/>
      <c r="S35" s="653"/>
      <c r="T35" s="653"/>
      <c r="U35" s="1184"/>
      <c r="V35" s="1184"/>
      <c r="W35" s="1185"/>
      <c r="X35" s="727"/>
      <c r="Y35" s="777"/>
      <c r="Z35" s="727"/>
      <c r="AA35" s="727"/>
      <c r="AB35" s="727"/>
      <c r="AC35" s="727"/>
      <c r="AD35" s="727"/>
      <c r="AE35" s="727"/>
      <c r="AF35" s="727"/>
      <c r="AG35" s="727"/>
      <c r="AH35" s="727"/>
      <c r="AI35" s="727"/>
      <c r="AJ35" s="727"/>
      <c r="AK35" s="727" t="s">
        <v>293</v>
      </c>
      <c r="AL35" s="727"/>
    </row>
    <row r="36" s="1363" customFormat="1" ht="18.75" customHeight="1" spans="1:38">
      <c r="A36" s="1517" t="s">
        <v>1137</v>
      </c>
      <c r="B36" s="671" t="s">
        <v>344</v>
      </c>
      <c r="C36" s="557">
        <v>188</v>
      </c>
      <c r="D36" s="724" t="s">
        <v>299</v>
      </c>
      <c r="E36" s="1161" t="s">
        <v>1518</v>
      </c>
      <c r="F36" s="969">
        <v>35213</v>
      </c>
      <c r="G36" s="1509">
        <f t="shared" ref="G36:G39" si="0">F36*J36</f>
        <v>242339.3873</v>
      </c>
      <c r="H36" s="1509">
        <f>F36*J36</f>
        <v>242339.3873</v>
      </c>
      <c r="I36" s="1509">
        <f>F36*J36</f>
        <v>242339.3873</v>
      </c>
      <c r="J36" s="733">
        <v>6.8821</v>
      </c>
      <c r="K36" s="610">
        <v>44824</v>
      </c>
      <c r="L36" s="633">
        <v>44824</v>
      </c>
      <c r="M36" s="633">
        <v>44827</v>
      </c>
      <c r="N36" s="1448">
        <f>SUM(I36:I40)</f>
        <v>483453.7608</v>
      </c>
      <c r="O36" s="597" t="s">
        <v>348</v>
      </c>
      <c r="P36" s="751">
        <v>91</v>
      </c>
      <c r="Q36" s="752">
        <v>385</v>
      </c>
      <c r="R36" s="1410" t="s">
        <v>1519</v>
      </c>
      <c r="S36" s="1451"/>
      <c r="T36" s="1452"/>
      <c r="U36" s="1344"/>
      <c r="V36" s="1466"/>
      <c r="W36" s="1467"/>
      <c r="X36" s="1397"/>
      <c r="Y36" s="1475"/>
      <c r="Z36" s="1397"/>
      <c r="AA36" s="1397"/>
      <c r="AB36" s="1397"/>
      <c r="AC36" s="1397"/>
      <c r="AD36" s="1397"/>
      <c r="AE36" s="1397"/>
      <c r="AF36" s="1397"/>
      <c r="AG36" s="1397"/>
      <c r="AH36" s="1397"/>
      <c r="AI36" s="1397"/>
      <c r="AJ36" s="1477"/>
      <c r="AK36" s="1478"/>
      <c r="AL36" s="1398"/>
    </row>
    <row r="37" s="1363" customFormat="1" ht="18.75" customHeight="1" spans="1:38">
      <c r="A37" s="1421"/>
      <c r="B37" s="671"/>
      <c r="C37" s="557"/>
      <c r="D37" s="724" t="s">
        <v>299</v>
      </c>
      <c r="E37" s="1161" t="s">
        <v>1520</v>
      </c>
      <c r="F37" s="969">
        <f>P37*Q37</f>
        <v>35035</v>
      </c>
      <c r="G37" s="1509">
        <f t="shared" si="0"/>
        <v>241114.3735</v>
      </c>
      <c r="H37" s="1509">
        <f>F37*J37</f>
        <v>241114.3735</v>
      </c>
      <c r="I37" s="1509">
        <f>F37*J37</f>
        <v>241114.3735</v>
      </c>
      <c r="J37" s="733">
        <v>6.8821</v>
      </c>
      <c r="K37" s="610">
        <v>44824</v>
      </c>
      <c r="L37" s="633">
        <v>44824</v>
      </c>
      <c r="M37" s="633">
        <v>44827</v>
      </c>
      <c r="N37" s="1448">
        <f>SUM(I45:I49)</f>
        <v>307609.2237</v>
      </c>
      <c r="O37" s="597" t="s">
        <v>348</v>
      </c>
      <c r="P37" s="751">
        <v>91</v>
      </c>
      <c r="Q37" s="752">
        <v>385</v>
      </c>
      <c r="R37" s="1410"/>
      <c r="S37" s="1451"/>
      <c r="T37" s="1452"/>
      <c r="U37" s="1344"/>
      <c r="V37" s="1466"/>
      <c r="W37" s="1467"/>
      <c r="X37" s="1397"/>
      <c r="Y37" s="1475"/>
      <c r="Z37" s="1397"/>
      <c r="AA37" s="1397"/>
      <c r="AB37" s="1397"/>
      <c r="AC37" s="1397"/>
      <c r="AD37" s="1397"/>
      <c r="AE37" s="1397"/>
      <c r="AF37" s="1397"/>
      <c r="AG37" s="1397"/>
      <c r="AH37" s="1397"/>
      <c r="AI37" s="1397"/>
      <c r="AJ37" s="1477"/>
      <c r="AK37" s="1478"/>
      <c r="AL37" s="1398"/>
    </row>
    <row r="38" s="1363" customFormat="1" ht="18.75" customHeight="1" spans="1:38">
      <c r="A38" s="1421"/>
      <c r="B38" s="671"/>
      <c r="C38" s="557"/>
      <c r="D38" s="724" t="s">
        <v>299</v>
      </c>
      <c r="E38" s="1161" t="s">
        <v>1521</v>
      </c>
      <c r="F38" s="969">
        <f>P38*Q38</f>
        <v>35035</v>
      </c>
      <c r="G38" s="1509">
        <f t="shared" si="0"/>
        <v>241114.3735</v>
      </c>
      <c r="H38" s="1509">
        <f>F38*J38</f>
        <v>241114.3735</v>
      </c>
      <c r="I38" s="1509"/>
      <c r="J38" s="733">
        <v>6.8821</v>
      </c>
      <c r="K38" s="610">
        <v>44824</v>
      </c>
      <c r="L38" s="633">
        <v>44831</v>
      </c>
      <c r="M38" s="633" t="s">
        <v>880</v>
      </c>
      <c r="N38" s="1448">
        <f>SUM(I41:I42)</f>
        <v>1043367.6526</v>
      </c>
      <c r="O38" s="597" t="s">
        <v>348</v>
      </c>
      <c r="P38" s="751">
        <v>91</v>
      </c>
      <c r="Q38" s="752">
        <v>385</v>
      </c>
      <c r="R38" s="1410"/>
      <c r="S38" s="1451"/>
      <c r="T38" s="1452"/>
      <c r="U38" s="1344"/>
      <c r="V38" s="1466"/>
      <c r="W38" s="1467"/>
      <c r="X38" s="1397"/>
      <c r="Y38" s="1475"/>
      <c r="Z38" s="1397"/>
      <c r="AA38" s="1397"/>
      <c r="AB38" s="1397"/>
      <c r="AC38" s="1397"/>
      <c r="AD38" s="1397"/>
      <c r="AE38" s="1397"/>
      <c r="AF38" s="1397"/>
      <c r="AG38" s="1397"/>
      <c r="AH38" s="1397"/>
      <c r="AI38" s="1397"/>
      <c r="AJ38" s="1477"/>
      <c r="AK38" s="1478"/>
      <c r="AL38" s="1398"/>
    </row>
    <row r="39" s="1363" customFormat="1" ht="18.75" customHeight="1" spans="1:38">
      <c r="A39" s="1421"/>
      <c r="B39" s="671"/>
      <c r="C39" s="557"/>
      <c r="D39" s="724" t="s">
        <v>299</v>
      </c>
      <c r="E39" s="1161" t="s">
        <v>1522</v>
      </c>
      <c r="F39" s="969">
        <f>P39*Q39</f>
        <v>35035</v>
      </c>
      <c r="G39" s="1509">
        <f t="shared" si="0"/>
        <v>241114.3735</v>
      </c>
      <c r="H39" s="1509">
        <f>F39*J39</f>
        <v>241114.3735</v>
      </c>
      <c r="I39" s="1509"/>
      <c r="J39" s="733">
        <v>6.8821</v>
      </c>
      <c r="K39" s="610">
        <v>44824</v>
      </c>
      <c r="L39" s="633">
        <v>44831</v>
      </c>
      <c r="M39" s="633" t="s">
        <v>880</v>
      </c>
      <c r="N39" s="1448"/>
      <c r="O39" s="597" t="s">
        <v>348</v>
      </c>
      <c r="P39" s="751">
        <v>91</v>
      </c>
      <c r="Q39" s="752">
        <v>385</v>
      </c>
      <c r="R39" s="1410"/>
      <c r="S39" s="1451"/>
      <c r="T39" s="1452"/>
      <c r="U39" s="1344"/>
      <c r="V39" s="1466"/>
      <c r="W39" s="1467"/>
      <c r="X39" s="1397"/>
      <c r="Y39" s="1475"/>
      <c r="Z39" s="1397"/>
      <c r="AA39" s="1397"/>
      <c r="AB39" s="1397"/>
      <c r="AC39" s="1397"/>
      <c r="AD39" s="1397"/>
      <c r="AE39" s="1397"/>
      <c r="AF39" s="1397"/>
      <c r="AG39" s="1397"/>
      <c r="AH39" s="1397"/>
      <c r="AI39" s="1397"/>
      <c r="AJ39" s="1477"/>
      <c r="AK39" s="1478"/>
      <c r="AL39" s="1398"/>
    </row>
    <row r="40" s="1363" customFormat="1" ht="18.75" customHeight="1" spans="1:38">
      <c r="A40" s="1421"/>
      <c r="B40" s="671"/>
      <c r="C40" s="557"/>
      <c r="D40" s="561"/>
      <c r="E40" s="1303"/>
      <c r="F40" s="969"/>
      <c r="G40" s="1509"/>
      <c r="H40" s="1509"/>
      <c r="I40" s="1509"/>
      <c r="J40" s="733"/>
      <c r="K40" s="610"/>
      <c r="L40" s="633"/>
      <c r="M40" s="633"/>
      <c r="N40" s="1449"/>
      <c r="O40" s="597"/>
      <c r="P40" s="751"/>
      <c r="Q40" s="752"/>
      <c r="R40" s="1410"/>
      <c r="S40" s="1451"/>
      <c r="T40" s="1452"/>
      <c r="U40" s="1344"/>
      <c r="V40" s="1466"/>
      <c r="W40" s="1467"/>
      <c r="X40" s="1397"/>
      <c r="Y40" s="1475"/>
      <c r="Z40" s="1397"/>
      <c r="AA40" s="1397"/>
      <c r="AB40" s="1397"/>
      <c r="AC40" s="1397"/>
      <c r="AD40" s="1397"/>
      <c r="AE40" s="1397"/>
      <c r="AF40" s="1397"/>
      <c r="AG40" s="1397"/>
      <c r="AH40" s="1397"/>
      <c r="AI40" s="1397"/>
      <c r="AJ40" s="1477"/>
      <c r="AK40" s="1478"/>
      <c r="AL40" s="1398"/>
    </row>
    <row r="41" s="536" customFormat="1" ht="21.55" customHeight="1" spans="1:38">
      <c r="A41" s="1421"/>
      <c r="B41" s="1269" t="s">
        <v>1145</v>
      </c>
      <c r="C41" s="759">
        <v>211</v>
      </c>
      <c r="D41" s="571" t="s">
        <v>295</v>
      </c>
      <c r="E41" s="1155" t="s">
        <v>1457</v>
      </c>
      <c r="F41" s="969">
        <v>114646</v>
      </c>
      <c r="G41" s="1509"/>
      <c r="H41" s="1509"/>
      <c r="I41" s="1509">
        <f>F41*J41</f>
        <v>789005.2366</v>
      </c>
      <c r="J41" s="733">
        <v>6.8821</v>
      </c>
      <c r="K41" s="598" t="s">
        <v>1251</v>
      </c>
      <c r="L41" s="708">
        <v>44797</v>
      </c>
      <c r="M41" s="708" t="s">
        <v>1458</v>
      </c>
      <c r="N41" s="1588" t="s">
        <v>1523</v>
      </c>
      <c r="O41" s="597"/>
      <c r="P41" s="568"/>
      <c r="Q41" s="1240"/>
      <c r="R41" s="1453"/>
      <c r="S41" s="1342"/>
      <c r="T41" s="1204"/>
      <c r="U41" s="715"/>
      <c r="V41" s="1211"/>
      <c r="W41" s="1182"/>
      <c r="X41" s="715"/>
      <c r="Y41" s="764"/>
      <c r="Z41" s="715"/>
      <c r="AA41" s="715"/>
      <c r="AB41" s="715"/>
      <c r="AC41" s="715"/>
      <c r="AD41" s="715"/>
      <c r="AE41" s="715"/>
      <c r="AF41" s="715"/>
      <c r="AG41" s="715"/>
      <c r="AH41" s="715"/>
      <c r="AI41" s="715"/>
      <c r="AJ41" s="715"/>
      <c r="AK41" s="1294"/>
      <c r="AL41" s="715"/>
    </row>
    <row r="42" s="536" customFormat="1" ht="18.75" customHeight="1" spans="1:38">
      <c r="A42" s="1421"/>
      <c r="B42" s="671"/>
      <c r="C42" s="557"/>
      <c r="D42" s="705" t="s">
        <v>663</v>
      </c>
      <c r="E42" s="1526" t="s">
        <v>1524</v>
      </c>
      <c r="F42" s="969">
        <f>P42*Q42</f>
        <v>36960</v>
      </c>
      <c r="G42" s="1509">
        <f>F42*J42</f>
        <v>254362.416</v>
      </c>
      <c r="H42" s="1509">
        <f>G42</f>
        <v>254362.416</v>
      </c>
      <c r="I42" s="1509">
        <f>G42</f>
        <v>254362.416</v>
      </c>
      <c r="J42" s="733">
        <v>6.8821</v>
      </c>
      <c r="K42" s="1587" t="s">
        <v>1251</v>
      </c>
      <c r="L42" s="625">
        <v>44817</v>
      </c>
      <c r="M42" s="625" t="s">
        <v>1525</v>
      </c>
      <c r="N42" s="715" t="s">
        <v>1526</v>
      </c>
      <c r="O42" s="1450" t="s">
        <v>508</v>
      </c>
      <c r="P42" s="568">
        <v>44</v>
      </c>
      <c r="Q42" s="1240">
        <v>840</v>
      </c>
      <c r="R42" s="756"/>
      <c r="S42" s="1203"/>
      <c r="T42" s="1204"/>
      <c r="U42" s="542"/>
      <c r="V42" s="1468"/>
      <c r="W42" s="1469"/>
      <c r="X42" s="1218"/>
      <c r="Y42" s="1572"/>
      <c r="Z42" s="715"/>
      <c r="AA42" s="715"/>
      <c r="AB42" s="715"/>
      <c r="AC42" s="715"/>
      <c r="AD42" s="715"/>
      <c r="AE42" s="715"/>
      <c r="AF42" s="715"/>
      <c r="AG42" s="715"/>
      <c r="AH42" s="715"/>
      <c r="AI42" s="715"/>
      <c r="AJ42" s="1496"/>
      <c r="AK42" s="1575"/>
      <c r="AL42" s="1500"/>
    </row>
    <row r="43" s="1363" customFormat="1" ht="21.55" customHeight="1" spans="1:38">
      <c r="A43" s="1421"/>
      <c r="B43" s="671"/>
      <c r="C43" s="557"/>
      <c r="D43" s="971" t="s">
        <v>262</v>
      </c>
      <c r="E43" s="1155" t="s">
        <v>1199</v>
      </c>
      <c r="F43" s="969">
        <v>36833</v>
      </c>
      <c r="G43" s="1509">
        <f t="shared" ref="G43:G48" si="1">F43*J43</f>
        <v>253488.3893</v>
      </c>
      <c r="H43" s="1509">
        <f>G43</f>
        <v>253488.3893</v>
      </c>
      <c r="I43" s="1509"/>
      <c r="J43" s="733">
        <v>6.8821</v>
      </c>
      <c r="K43" s="756" t="s">
        <v>203</v>
      </c>
      <c r="L43" s="708">
        <v>44833</v>
      </c>
      <c r="M43" s="1261" t="s">
        <v>1527</v>
      </c>
      <c r="N43" s="1203" t="s">
        <v>1528</v>
      </c>
      <c r="O43" s="597"/>
      <c r="P43" s="568"/>
      <c r="Q43" s="1240"/>
      <c r="R43" s="756"/>
      <c r="S43" s="1203"/>
      <c r="T43" s="1204"/>
      <c r="U43" s="1470"/>
      <c r="V43" s="1471"/>
      <c r="W43" s="1472"/>
      <c r="X43" s="1489"/>
      <c r="Y43" s="1493"/>
      <c r="Z43" s="1397"/>
      <c r="AA43" s="1397"/>
      <c r="AB43" s="1397"/>
      <c r="AC43" s="1397"/>
      <c r="AD43" s="1397"/>
      <c r="AE43" s="1397"/>
      <c r="AF43" s="1397"/>
      <c r="AG43" s="1397"/>
      <c r="AH43" s="1397"/>
      <c r="AI43" s="1397"/>
      <c r="AJ43" s="1496"/>
      <c r="AK43" s="1498"/>
      <c r="AL43" s="1499"/>
    </row>
    <row r="44" s="1363" customFormat="1" ht="21.55" customHeight="1" spans="1:38">
      <c r="A44" s="1421"/>
      <c r="B44" s="1246"/>
      <c r="C44" s="968"/>
      <c r="D44" s="971"/>
      <c r="E44" s="561"/>
      <c r="F44" s="969"/>
      <c r="G44" s="1509"/>
      <c r="H44" s="1509"/>
      <c r="I44" s="1509"/>
      <c r="J44" s="733"/>
      <c r="K44" s="1568"/>
      <c r="L44" s="708"/>
      <c r="M44" s="708"/>
      <c r="N44" s="1203"/>
      <c r="O44" s="597"/>
      <c r="P44" s="568"/>
      <c r="Q44" s="1240"/>
      <c r="R44" s="756"/>
      <c r="S44" s="1203"/>
      <c r="T44" s="1204"/>
      <c r="U44" s="1470"/>
      <c r="V44" s="1471"/>
      <c r="W44" s="1472"/>
      <c r="X44" s="1489"/>
      <c r="Y44" s="1493"/>
      <c r="Z44" s="1397"/>
      <c r="AA44" s="1397"/>
      <c r="AB44" s="1397"/>
      <c r="AC44" s="1397"/>
      <c r="AD44" s="1397"/>
      <c r="AE44" s="1397"/>
      <c r="AF44" s="1397"/>
      <c r="AG44" s="1397"/>
      <c r="AH44" s="1397"/>
      <c r="AI44" s="1397"/>
      <c r="AJ44" s="1496"/>
      <c r="AK44" s="1498"/>
      <c r="AL44" s="1499"/>
    </row>
    <row r="45" s="1363" customFormat="1" ht="21.55" customHeight="1" spans="1:38">
      <c r="A45" s="1421"/>
      <c r="B45" s="1269" t="s">
        <v>509</v>
      </c>
      <c r="C45" s="655">
        <v>145</v>
      </c>
      <c r="D45" s="971" t="s">
        <v>274</v>
      </c>
      <c r="E45" s="1155" t="s">
        <v>1529</v>
      </c>
      <c r="F45" s="969">
        <v>21577</v>
      </c>
      <c r="G45" s="1509">
        <f t="shared" si="1"/>
        <v>148495.0717</v>
      </c>
      <c r="H45" s="1509">
        <f>G45</f>
        <v>148495.0717</v>
      </c>
      <c r="I45" s="1509">
        <f>G45</f>
        <v>148495.0717</v>
      </c>
      <c r="J45" s="733">
        <v>6.8821</v>
      </c>
      <c r="K45" s="1568" t="s">
        <v>1530</v>
      </c>
      <c r="L45" s="708">
        <v>44824</v>
      </c>
      <c r="M45" s="708">
        <v>44829</v>
      </c>
      <c r="N45" s="1588" t="s">
        <v>1531</v>
      </c>
      <c r="O45" s="597"/>
      <c r="P45" s="568"/>
      <c r="Q45" s="1240"/>
      <c r="R45" s="756"/>
      <c r="S45" s="1203"/>
      <c r="T45" s="1204"/>
      <c r="U45" s="1397"/>
      <c r="V45" s="1466"/>
      <c r="W45" s="1467"/>
      <c r="X45" s="1397"/>
      <c r="Y45" s="1475"/>
      <c r="Z45" s="1397"/>
      <c r="AA45" s="1397"/>
      <c r="AB45" s="1397"/>
      <c r="AC45" s="1397"/>
      <c r="AD45" s="1397"/>
      <c r="AE45" s="1397"/>
      <c r="AF45" s="1397"/>
      <c r="AG45" s="1397"/>
      <c r="AH45" s="1397"/>
      <c r="AI45" s="1397"/>
      <c r="AJ45" s="715"/>
      <c r="AK45" s="561"/>
      <c r="AL45" s="1397"/>
    </row>
    <row r="46" s="1363" customFormat="1" ht="21.55" customHeight="1" spans="1:38">
      <c r="A46" s="1421"/>
      <c r="B46" s="671"/>
      <c r="C46" s="655"/>
      <c r="D46" s="971" t="s">
        <v>274</v>
      </c>
      <c r="E46" s="1155" t="s">
        <v>1532</v>
      </c>
      <c r="F46" s="969">
        <v>23120</v>
      </c>
      <c r="G46" s="1509">
        <f t="shared" si="1"/>
        <v>159114.152</v>
      </c>
      <c r="H46" s="1509">
        <f>G46</f>
        <v>159114.152</v>
      </c>
      <c r="I46" s="1509">
        <f>G46</f>
        <v>159114.152</v>
      </c>
      <c r="J46" s="733">
        <v>6.8821</v>
      </c>
      <c r="K46" s="1568" t="s">
        <v>1530</v>
      </c>
      <c r="L46" s="1261">
        <v>44810</v>
      </c>
      <c r="M46" s="1261" t="s">
        <v>1533</v>
      </c>
      <c r="N46" s="1588" t="s">
        <v>1531</v>
      </c>
      <c r="O46" s="1450"/>
      <c r="P46" s="568"/>
      <c r="Q46" s="1240"/>
      <c r="R46" s="1588"/>
      <c r="S46" s="1461"/>
      <c r="T46" s="1462"/>
      <c r="U46" s="1397"/>
      <c r="V46" s="1466"/>
      <c r="W46" s="1467"/>
      <c r="X46" s="1397"/>
      <c r="Y46" s="1475"/>
      <c r="Z46" s="1397"/>
      <c r="AA46" s="1397"/>
      <c r="AB46" s="1397"/>
      <c r="AC46" s="1397"/>
      <c r="AD46" s="1397"/>
      <c r="AE46" s="1397"/>
      <c r="AF46" s="1397"/>
      <c r="AG46" s="1397"/>
      <c r="AH46" s="1397"/>
      <c r="AI46" s="1397"/>
      <c r="AJ46" s="715"/>
      <c r="AK46" s="561"/>
      <c r="AL46" s="1397"/>
    </row>
    <row r="47" s="1363" customFormat="1" ht="21.55" customHeight="1" spans="1:38">
      <c r="A47" s="1421"/>
      <c r="B47" s="671"/>
      <c r="C47" s="655"/>
      <c r="D47" s="971" t="s">
        <v>274</v>
      </c>
      <c r="E47" s="1155" t="s">
        <v>1534</v>
      </c>
      <c r="F47" s="969">
        <v>37534</v>
      </c>
      <c r="G47" s="1509">
        <f t="shared" si="1"/>
        <v>258312.7414</v>
      </c>
      <c r="H47" s="1509">
        <f>G47</f>
        <v>258312.7414</v>
      </c>
      <c r="I47" s="1509"/>
      <c r="J47" s="733">
        <v>6.8821</v>
      </c>
      <c r="K47" s="1568" t="s">
        <v>1530</v>
      </c>
      <c r="L47" s="1261">
        <v>44832</v>
      </c>
      <c r="M47" s="1261" t="s">
        <v>1535</v>
      </c>
      <c r="N47" s="715" t="s">
        <v>1536</v>
      </c>
      <c r="O47" s="1450"/>
      <c r="P47" s="568"/>
      <c r="Q47" s="1240"/>
      <c r="R47" s="1461"/>
      <c r="S47" s="1461"/>
      <c r="T47" s="1462"/>
      <c r="U47" s="1397"/>
      <c r="V47" s="1466"/>
      <c r="W47" s="1467"/>
      <c r="X47" s="1397"/>
      <c r="Y47" s="1475"/>
      <c r="Z47" s="1397"/>
      <c r="AA47" s="1397"/>
      <c r="AB47" s="1397"/>
      <c r="AC47" s="1397"/>
      <c r="AD47" s="1397"/>
      <c r="AE47" s="1397"/>
      <c r="AF47" s="1397"/>
      <c r="AG47" s="1397"/>
      <c r="AH47" s="1397"/>
      <c r="AI47" s="1397"/>
      <c r="AJ47" s="715"/>
      <c r="AK47" s="561"/>
      <c r="AL47" s="1397"/>
    </row>
    <row r="48" s="1363" customFormat="1" ht="21.55" customHeight="1" spans="1:38">
      <c r="A48" s="1421"/>
      <c r="B48" s="671"/>
      <c r="C48" s="655"/>
      <c r="D48" s="1426" t="s">
        <v>1467</v>
      </c>
      <c r="E48" s="1155" t="s">
        <v>1537</v>
      </c>
      <c r="F48" s="969">
        <v>388</v>
      </c>
      <c r="G48" s="1509">
        <f t="shared" si="1"/>
        <v>2670.2548</v>
      </c>
      <c r="H48" s="1509">
        <f>G48</f>
        <v>2670.2548</v>
      </c>
      <c r="I48" s="1509"/>
      <c r="J48" s="733">
        <v>6.8821</v>
      </c>
      <c r="K48" s="1461" t="s">
        <v>1251</v>
      </c>
      <c r="L48" s="1261">
        <v>44834</v>
      </c>
      <c r="M48" s="1261" t="s">
        <v>1538</v>
      </c>
      <c r="N48" s="715" t="s">
        <v>1539</v>
      </c>
      <c r="O48" s="597"/>
      <c r="P48" s="568"/>
      <c r="Q48" s="1240"/>
      <c r="R48" s="1464"/>
      <c r="S48" s="1461"/>
      <c r="T48" s="1462"/>
      <c r="U48" s="1397"/>
      <c r="V48" s="1466"/>
      <c r="W48" s="1467"/>
      <c r="X48" s="1397"/>
      <c r="Y48" s="1475"/>
      <c r="Z48" s="1397"/>
      <c r="AA48" s="1397"/>
      <c r="AB48" s="1397"/>
      <c r="AC48" s="1397"/>
      <c r="AD48" s="1397"/>
      <c r="AE48" s="1397"/>
      <c r="AF48" s="1397"/>
      <c r="AG48" s="1397"/>
      <c r="AH48" s="1397"/>
      <c r="AI48" s="1397"/>
      <c r="AJ48" s="715"/>
      <c r="AK48" s="561"/>
      <c r="AL48" s="1397"/>
    </row>
    <row r="49" s="1363" customFormat="1" ht="21.55" customHeight="1" spans="1:38">
      <c r="A49" s="1421"/>
      <c r="B49" s="664" t="s">
        <v>1540</v>
      </c>
      <c r="C49" s="655" t="s">
        <v>1125</v>
      </c>
      <c r="D49" s="1346"/>
      <c r="E49" s="969"/>
      <c r="F49" s="969"/>
      <c r="G49" s="1509"/>
      <c r="H49" s="1509"/>
      <c r="I49" s="1509"/>
      <c r="J49" s="733"/>
      <c r="K49" s="1568"/>
      <c r="L49" s="1261"/>
      <c r="M49" s="1261"/>
      <c r="N49" s="1013"/>
      <c r="O49" s="250"/>
      <c r="P49" s="568"/>
      <c r="Q49" s="1240"/>
      <c r="R49" s="1464"/>
      <c r="S49" s="1461"/>
      <c r="T49" s="1462"/>
      <c r="U49" s="1397"/>
      <c r="V49" s="1466"/>
      <c r="W49" s="1467"/>
      <c r="X49" s="1397"/>
      <c r="Y49" s="1475"/>
      <c r="Z49" s="1397"/>
      <c r="AA49" s="1397"/>
      <c r="AB49" s="1397"/>
      <c r="AC49" s="1397"/>
      <c r="AD49" s="1397"/>
      <c r="AE49" s="1397"/>
      <c r="AF49" s="1397"/>
      <c r="AG49" s="1397"/>
      <c r="AH49" s="1397"/>
      <c r="AI49" s="1397"/>
      <c r="AJ49" s="715"/>
      <c r="AK49" s="561"/>
      <c r="AL49" s="1397"/>
    </row>
    <row r="50" s="1363" customFormat="1" ht="21.55" customHeight="1" spans="1:38">
      <c r="A50" s="1421"/>
      <c r="B50" s="664"/>
      <c r="C50" s="655"/>
      <c r="D50" s="1346"/>
      <c r="E50" s="724"/>
      <c r="F50" s="969"/>
      <c r="G50" s="1509"/>
      <c r="H50" s="1509"/>
      <c r="I50" s="1509"/>
      <c r="J50" s="733"/>
      <c r="K50" s="1568"/>
      <c r="L50" s="1261"/>
      <c r="M50" s="1589"/>
      <c r="N50" s="1012"/>
      <c r="O50" s="250"/>
      <c r="P50" s="568"/>
      <c r="Q50" s="1240"/>
      <c r="R50" s="1464"/>
      <c r="S50" s="1461"/>
      <c r="T50" s="1462"/>
      <c r="U50" s="1397"/>
      <c r="V50" s="1466"/>
      <c r="W50" s="1467"/>
      <c r="X50" s="1489"/>
      <c r="Y50" s="1493"/>
      <c r="Z50" s="1397"/>
      <c r="AA50" s="1397"/>
      <c r="AB50" s="1397"/>
      <c r="AC50" s="1397"/>
      <c r="AD50" s="1397"/>
      <c r="AE50" s="1397"/>
      <c r="AF50" s="1397"/>
      <c r="AG50" s="1397"/>
      <c r="AH50" s="1397"/>
      <c r="AI50" s="1397"/>
      <c r="AJ50" s="1496"/>
      <c r="AK50" s="1498"/>
      <c r="AL50" s="1499"/>
    </row>
    <row r="51" s="1364" customFormat="1" ht="32.5" customHeight="1" spans="1:38">
      <c r="A51" s="1421"/>
      <c r="B51" s="1190" t="s">
        <v>1124</v>
      </c>
      <c r="C51" s="1219">
        <f>SUM(C36:C49)</f>
        <v>544</v>
      </c>
      <c r="D51" s="1144"/>
      <c r="E51" s="1144"/>
      <c r="F51" s="1159" t="s">
        <v>1235</v>
      </c>
      <c r="G51" s="1230">
        <f>SUM(G36:G49)</f>
        <v>2042125.533</v>
      </c>
      <c r="H51" s="1230">
        <f>SUM(H36:H49)</f>
        <v>2042125.533</v>
      </c>
      <c r="I51" s="1230">
        <f>SUM(I36:I50)</f>
        <v>1834430.6371</v>
      </c>
      <c r="J51" s="808"/>
      <c r="K51" s="809"/>
      <c r="L51" s="821"/>
      <c r="M51" s="996"/>
      <c r="N51" s="997"/>
      <c r="O51" s="727"/>
      <c r="P51" s="652"/>
      <c r="Q51" s="653"/>
      <c r="R51" s="809"/>
      <c r="S51" s="809">
        <v>0</v>
      </c>
      <c r="T51" s="809">
        <v>0</v>
      </c>
      <c r="U51" s="1184"/>
      <c r="V51" s="1184"/>
      <c r="W51" s="1185"/>
      <c r="X51" s="1490"/>
      <c r="Y51" s="1495"/>
      <c r="Z51" s="727"/>
      <c r="AA51" s="727"/>
      <c r="AB51" s="727"/>
      <c r="AC51" s="727"/>
      <c r="AD51" s="727"/>
      <c r="AE51" s="727"/>
      <c r="AF51" s="727"/>
      <c r="AG51" s="727"/>
      <c r="AH51" s="727"/>
      <c r="AI51" s="727"/>
      <c r="AJ51" s="1497"/>
      <c r="AK51" s="1501" t="s">
        <v>325</v>
      </c>
      <c r="AL51" s="1501"/>
    </row>
    <row r="52" s="1364" customFormat="1" ht="32.5" customHeight="1" spans="1:38">
      <c r="A52" s="1480"/>
      <c r="B52" s="1192"/>
      <c r="C52" s="1150"/>
      <c r="D52" s="1144"/>
      <c r="E52" s="1144"/>
      <c r="F52" s="1159" t="s">
        <v>1236</v>
      </c>
      <c r="G52" s="1160">
        <f>G51/5440000</f>
        <v>0.375390722977941</v>
      </c>
      <c r="H52" s="1160">
        <f>H51/5440000</f>
        <v>0.375390722977941</v>
      </c>
      <c r="I52" s="1160">
        <f>I51/5440000</f>
        <v>0.337211514172794</v>
      </c>
      <c r="J52" s="808"/>
      <c r="K52" s="809"/>
      <c r="L52" s="821"/>
      <c r="M52" s="996"/>
      <c r="N52" s="997"/>
      <c r="O52" s="727"/>
      <c r="P52" s="652"/>
      <c r="Q52" s="653"/>
      <c r="R52" s="809"/>
      <c r="S52" s="809"/>
      <c r="T52" s="809"/>
      <c r="U52" s="1184"/>
      <c r="V52" s="1184"/>
      <c r="W52" s="1185"/>
      <c r="X52" s="1094"/>
      <c r="Y52" s="1094"/>
      <c r="Z52" s="1094"/>
      <c r="AA52" s="1094"/>
      <c r="AB52" s="1094"/>
      <c r="AC52" s="1094"/>
      <c r="AD52" s="1094"/>
      <c r="AE52" s="1094"/>
      <c r="AF52" s="1094"/>
      <c r="AG52" s="1094"/>
      <c r="AH52" s="1094"/>
      <c r="AI52" s="1094"/>
      <c r="AJ52" s="1094"/>
      <c r="AK52" s="1094"/>
      <c r="AL52" s="1094"/>
    </row>
    <row r="53" s="1365" customFormat="1" ht="30" customHeight="1" spans="1:38">
      <c r="A53" s="1367" t="s">
        <v>1163</v>
      </c>
      <c r="B53" s="1367"/>
      <c r="C53" s="1380">
        <f t="shared" ref="C53:I53" si="2">C20+C34+C51</f>
        <v>1330</v>
      </c>
      <c r="D53" s="1378"/>
      <c r="E53" s="1378"/>
      <c r="F53" s="1378" t="s">
        <v>14</v>
      </c>
      <c r="G53" s="1481">
        <f t="shared" si="2"/>
        <v>6465344.457612</v>
      </c>
      <c r="H53" s="1481">
        <f t="shared" si="2"/>
        <v>6465345.368412</v>
      </c>
      <c r="I53" s="1481">
        <f t="shared" si="2"/>
        <v>6023959.1908</v>
      </c>
      <c r="J53" s="1378"/>
      <c r="K53" s="1378"/>
      <c r="L53" s="1483"/>
      <c r="M53" s="1483"/>
      <c r="N53" s="1485"/>
      <c r="O53" s="1378"/>
      <c r="P53" s="1380"/>
      <c r="Q53" s="1378"/>
      <c r="R53" s="1378"/>
      <c r="S53" s="1378"/>
      <c r="T53" s="1378"/>
      <c r="U53" s="1378"/>
      <c r="V53" s="1378"/>
      <c r="W53" s="1491"/>
      <c r="X53" s="1492"/>
      <c r="Y53" s="1492"/>
      <c r="Z53" s="1492"/>
      <c r="AA53" s="1492"/>
      <c r="AB53" s="1492"/>
      <c r="AC53" s="1492"/>
      <c r="AD53" s="1492"/>
      <c r="AE53" s="1492"/>
      <c r="AF53" s="1492"/>
      <c r="AG53" s="1492"/>
      <c r="AH53" s="1492"/>
      <c r="AI53" s="1492"/>
      <c r="AJ53" s="1492"/>
      <c r="AK53" s="1492"/>
      <c r="AL53" s="1492"/>
    </row>
    <row r="54" s="1365" customFormat="1" ht="30" customHeight="1" spans="1:38">
      <c r="A54" s="1367"/>
      <c r="B54" s="1367"/>
      <c r="C54" s="1380"/>
      <c r="D54" s="1378"/>
      <c r="E54" s="1378"/>
      <c r="F54" s="1378" t="s">
        <v>1236</v>
      </c>
      <c r="G54" s="1482">
        <f t="shared" ref="G54:I54" si="3">G53/13300000</f>
        <v>0.486116124632481</v>
      </c>
      <c r="H54" s="1482">
        <f t="shared" si="3"/>
        <v>0.486116193113684</v>
      </c>
      <c r="I54" s="1482">
        <f t="shared" si="3"/>
        <v>0.452929262466165</v>
      </c>
      <c r="J54" s="1378"/>
      <c r="K54" s="1378"/>
      <c r="L54" s="1483"/>
      <c r="M54" s="1483"/>
      <c r="N54" s="1485"/>
      <c r="O54" s="1378"/>
      <c r="P54" s="1378"/>
      <c r="Q54" s="1378"/>
      <c r="R54" s="1378"/>
      <c r="S54" s="1378"/>
      <c r="T54" s="1378"/>
      <c r="U54" s="1378"/>
      <c r="V54" s="1378"/>
      <c r="W54" s="1378"/>
      <c r="X54" s="1492"/>
      <c r="Y54" s="1492"/>
      <c r="Z54" s="1492"/>
      <c r="AA54" s="1492"/>
      <c r="AB54" s="1492"/>
      <c r="AC54" s="1492"/>
      <c r="AD54" s="1492"/>
      <c r="AE54" s="1492"/>
      <c r="AF54" s="1492"/>
      <c r="AG54" s="1492"/>
      <c r="AH54" s="1492"/>
      <c r="AI54" s="1492"/>
      <c r="AJ54" s="1492"/>
      <c r="AK54" s="1492"/>
      <c r="AL54" s="1492"/>
    </row>
    <row r="55" s="417" customFormat="1" spans="2:38">
      <c r="B55" s="1090"/>
      <c r="C55" s="878"/>
      <c r="D55" s="1090"/>
      <c r="E55" s="1090"/>
      <c r="F55" s="1090"/>
      <c r="G55" s="850"/>
      <c r="H55" s="850"/>
      <c r="I55" s="850"/>
      <c r="J55" s="1090"/>
      <c r="K55" s="1090"/>
      <c r="L55" s="896"/>
      <c r="M55" s="896"/>
      <c r="N55" s="885"/>
      <c r="O55" s="1090"/>
      <c r="P55" s="878"/>
      <c r="Q55" s="1090"/>
      <c r="R55" s="1090"/>
      <c r="S55" s="1090"/>
      <c r="T55" s="1090"/>
      <c r="U55" s="1090"/>
      <c r="V55" s="1090"/>
      <c r="W55" s="1242"/>
      <c r="X55" s="1090"/>
      <c r="Y55" s="1090"/>
      <c r="Z55" s="1090"/>
      <c r="AA55" s="1090"/>
      <c r="AB55" s="1090"/>
      <c r="AC55" s="1090"/>
      <c r="AD55" s="1090"/>
      <c r="AE55" s="1090"/>
      <c r="AF55" s="1090"/>
      <c r="AG55" s="1090"/>
      <c r="AH55" s="1090"/>
      <c r="AI55" s="1090"/>
      <c r="AJ55" s="1090"/>
      <c r="AK55" s="1090"/>
      <c r="AL55" s="1090"/>
    </row>
    <row r="56" s="417" customFormat="1" spans="2:38">
      <c r="B56" s="1090"/>
      <c r="C56" s="878"/>
      <c r="D56" s="1090"/>
      <c r="E56" s="1090" t="s">
        <v>139</v>
      </c>
      <c r="F56" s="1090"/>
      <c r="G56" s="880"/>
      <c r="H56" s="880"/>
      <c r="I56" s="880"/>
      <c r="J56" s="1090"/>
      <c r="K56" s="1090"/>
      <c r="L56" s="896"/>
      <c r="M56" s="896"/>
      <c r="N56" s="885"/>
      <c r="O56" s="1090" t="s">
        <v>140</v>
      </c>
      <c r="P56" s="878"/>
      <c r="Q56" s="1090"/>
      <c r="R56" s="1090"/>
      <c r="S56" s="1488"/>
      <c r="T56" s="1090"/>
      <c r="U56" s="1488"/>
      <c r="V56" s="1090"/>
      <c r="W56" s="1242"/>
      <c r="X56" s="1090"/>
      <c r="Y56" s="1090"/>
      <c r="Z56" s="1090"/>
      <c r="AA56" s="1090"/>
      <c r="AB56" s="1090"/>
      <c r="AC56" s="1090"/>
      <c r="AD56" s="1090"/>
      <c r="AE56" s="1090"/>
      <c r="AF56" s="1090"/>
      <c r="AG56" s="1090"/>
      <c r="AH56" s="1090"/>
      <c r="AI56" s="1090"/>
      <c r="AJ56" s="1090"/>
      <c r="AK56" s="1090"/>
      <c r="AL56" s="1090"/>
    </row>
    <row r="57" s="417" customFormat="1" spans="1:38">
      <c r="A57" s="875" t="s">
        <v>1284</v>
      </c>
      <c r="B57" s="875"/>
      <c r="C57" s="875"/>
      <c r="D57" s="875"/>
      <c r="E57" s="875"/>
      <c r="F57" s="1090"/>
      <c r="G57" s="850"/>
      <c r="H57" s="850"/>
      <c r="I57" s="850"/>
      <c r="J57" s="1090"/>
      <c r="K57" s="1090"/>
      <c r="L57" s="896"/>
      <c r="M57" s="896"/>
      <c r="N57" s="885"/>
      <c r="O57" s="876"/>
      <c r="P57" s="878"/>
      <c r="Q57" s="1090"/>
      <c r="R57" s="1090"/>
      <c r="S57" s="1488"/>
      <c r="T57" s="1090"/>
      <c r="U57" s="1488"/>
      <c r="V57" s="1090"/>
      <c r="W57" s="1242"/>
      <c r="X57" s="1090"/>
      <c r="Y57" s="1090"/>
      <c r="Z57" s="1090"/>
      <c r="AA57" s="1090"/>
      <c r="AB57" s="1090"/>
      <c r="AC57" s="1090"/>
      <c r="AD57" s="1090"/>
      <c r="AE57" s="1090"/>
      <c r="AF57" s="1090"/>
      <c r="AG57" s="1090"/>
      <c r="AH57" s="1090"/>
      <c r="AI57" s="1090"/>
      <c r="AJ57" s="1090"/>
      <c r="AK57" s="1090"/>
      <c r="AL57" s="1090"/>
    </row>
    <row r="58" s="417" customFormat="1" spans="1:38">
      <c r="A58" s="875" t="s">
        <v>1285</v>
      </c>
      <c r="B58" s="875"/>
      <c r="C58" s="875"/>
      <c r="D58" s="875"/>
      <c r="E58" s="875"/>
      <c r="F58" s="1090"/>
      <c r="G58" s="850"/>
      <c r="H58" s="850"/>
      <c r="I58" s="850"/>
      <c r="J58" s="1090"/>
      <c r="K58" s="1090"/>
      <c r="L58" s="896"/>
      <c r="M58" s="896"/>
      <c r="N58" s="885"/>
      <c r="O58" s="876"/>
      <c r="P58" s="878"/>
      <c r="Q58" s="1090"/>
      <c r="R58" s="1090"/>
      <c r="S58" s="1488"/>
      <c r="T58" s="1090"/>
      <c r="U58" s="1488"/>
      <c r="V58" s="1090"/>
      <c r="W58" s="1242"/>
      <c r="X58" s="1090"/>
      <c r="Y58" s="1090"/>
      <c r="Z58" s="1090"/>
      <c r="AA58" s="1090"/>
      <c r="AB58" s="1090"/>
      <c r="AC58" s="1090"/>
      <c r="AD58" s="1090"/>
      <c r="AE58" s="1090"/>
      <c r="AF58" s="1090"/>
      <c r="AG58" s="1090"/>
      <c r="AH58" s="1090"/>
      <c r="AI58" s="1090"/>
      <c r="AJ58" s="1090"/>
      <c r="AK58" s="1090"/>
      <c r="AL58" s="1090"/>
    </row>
    <row r="59" s="417" customFormat="1" spans="1:38">
      <c r="A59" s="875" t="s">
        <v>1470</v>
      </c>
      <c r="B59" s="875"/>
      <c r="C59" s="875"/>
      <c r="D59" s="875"/>
      <c r="E59" s="875"/>
      <c r="F59" s="1090"/>
      <c r="G59" s="850"/>
      <c r="H59" s="850"/>
      <c r="I59" s="850"/>
      <c r="J59" s="1484"/>
      <c r="K59" s="1090"/>
      <c r="L59" s="896"/>
      <c r="M59" s="896"/>
      <c r="N59" s="885"/>
      <c r="O59" s="876"/>
      <c r="P59" s="878"/>
      <c r="Q59" s="1090"/>
      <c r="R59" s="1090"/>
      <c r="S59" s="1488"/>
      <c r="T59" s="1090"/>
      <c r="U59" s="1488"/>
      <c r="V59" s="1090"/>
      <c r="W59" s="1242"/>
      <c r="X59" s="1090"/>
      <c r="Y59" s="1090"/>
      <c r="Z59" s="1090"/>
      <c r="AA59" s="1090"/>
      <c r="AB59" s="1090"/>
      <c r="AC59" s="1090"/>
      <c r="AD59" s="1090"/>
      <c r="AE59" s="1090"/>
      <c r="AF59" s="1090"/>
      <c r="AG59" s="1090"/>
      <c r="AH59" s="1090"/>
      <c r="AI59" s="1090"/>
      <c r="AJ59" s="1090"/>
      <c r="AK59" s="1090"/>
      <c r="AL59" s="1090"/>
    </row>
    <row r="60" s="417" customFormat="1" spans="1:38">
      <c r="A60" s="875" t="s">
        <v>1471</v>
      </c>
      <c r="B60" s="876"/>
      <c r="C60" s="876"/>
      <c r="D60" s="876"/>
      <c r="E60" s="876"/>
      <c r="F60" s="1090"/>
      <c r="G60" s="850"/>
      <c r="H60" s="850"/>
      <c r="I60" s="850"/>
      <c r="J60" s="1090"/>
      <c r="K60" s="1090"/>
      <c r="L60" s="896"/>
      <c r="M60" s="896"/>
      <c r="N60" s="885"/>
      <c r="O60" s="876"/>
      <c r="P60" s="878"/>
      <c r="Q60" s="1090"/>
      <c r="R60" s="1090"/>
      <c r="S60" s="1488"/>
      <c r="T60" s="1090"/>
      <c r="U60" s="1488"/>
      <c r="V60" s="1090"/>
      <c r="W60" s="1242"/>
      <c r="X60" s="1090"/>
      <c r="Y60" s="1090"/>
      <c r="Z60" s="1090"/>
      <c r="AA60" s="1090"/>
      <c r="AB60" s="1090"/>
      <c r="AC60" s="1090"/>
      <c r="AD60" s="1090"/>
      <c r="AE60" s="1090"/>
      <c r="AF60" s="1090"/>
      <c r="AG60" s="1090"/>
      <c r="AH60" s="1090"/>
      <c r="AI60" s="1090"/>
      <c r="AJ60" s="1090"/>
      <c r="AK60" s="1090"/>
      <c r="AL60" s="1090"/>
    </row>
    <row r="61" s="417" customFormat="1" spans="1:38">
      <c r="A61" s="875" t="s">
        <v>1472</v>
      </c>
      <c r="B61" s="876"/>
      <c r="C61" s="876"/>
      <c r="D61" s="876"/>
      <c r="E61" s="876"/>
      <c r="F61" s="1090"/>
      <c r="G61" s="850"/>
      <c r="H61" s="850"/>
      <c r="I61" s="850"/>
      <c r="J61" s="877"/>
      <c r="K61" s="877"/>
      <c r="L61" s="896"/>
      <c r="M61" s="896"/>
      <c r="N61" s="887"/>
      <c r="O61" s="876"/>
      <c r="P61" s="878"/>
      <c r="Q61" s="877"/>
      <c r="R61" s="877"/>
      <c r="S61" s="877"/>
      <c r="T61" s="877"/>
      <c r="U61" s="1488"/>
      <c r="V61" s="877"/>
      <c r="W61" s="1242"/>
      <c r="X61" s="877"/>
      <c r="Y61" s="877"/>
      <c r="Z61" s="877"/>
      <c r="AA61" s="877"/>
      <c r="AB61" s="877"/>
      <c r="AC61" s="877"/>
      <c r="AD61" s="877"/>
      <c r="AE61" s="877"/>
      <c r="AF61" s="877"/>
      <c r="AG61" s="877"/>
      <c r="AH61" s="877"/>
      <c r="AI61" s="877"/>
      <c r="AJ61" s="877"/>
      <c r="AK61" s="877"/>
      <c r="AL61" s="877"/>
    </row>
    <row r="62" s="417" customFormat="1" spans="1:38">
      <c r="A62" s="876"/>
      <c r="B62" s="876"/>
      <c r="C62" s="876"/>
      <c r="D62" s="876"/>
      <c r="E62" s="876"/>
      <c r="F62" s="877"/>
      <c r="G62" s="850"/>
      <c r="H62" s="850"/>
      <c r="I62" s="850"/>
      <c r="J62" s="877"/>
      <c r="K62" s="877"/>
      <c r="L62" s="896"/>
      <c r="M62" s="896"/>
      <c r="N62" s="887"/>
      <c r="O62" s="876"/>
      <c r="P62" s="878"/>
      <c r="Q62" s="877"/>
      <c r="R62" s="877"/>
      <c r="S62" s="877"/>
      <c r="T62" s="877"/>
      <c r="U62" s="877"/>
      <c r="V62" s="877"/>
      <c r="W62" s="1242"/>
      <c r="X62" s="877"/>
      <c r="Y62" s="877"/>
      <c r="Z62" s="877"/>
      <c r="AA62" s="877"/>
      <c r="AB62" s="877"/>
      <c r="AC62" s="877"/>
      <c r="AD62" s="877"/>
      <c r="AE62" s="877"/>
      <c r="AF62" s="877"/>
      <c r="AG62" s="877"/>
      <c r="AH62" s="877"/>
      <c r="AI62" s="877"/>
      <c r="AJ62" s="877"/>
      <c r="AK62" s="877"/>
      <c r="AL62" s="877"/>
    </row>
    <row r="63" s="417" customFormat="1" spans="2:38">
      <c r="B63" s="877"/>
      <c r="C63" s="878"/>
      <c r="D63" s="877"/>
      <c r="E63" s="877"/>
      <c r="F63" s="877"/>
      <c r="G63" s="850"/>
      <c r="H63" s="850"/>
      <c r="I63" s="850"/>
      <c r="J63" s="877"/>
      <c r="K63" s="877"/>
      <c r="L63" s="896"/>
      <c r="M63" s="896"/>
      <c r="N63" s="887"/>
      <c r="O63" s="877"/>
      <c r="P63" s="878"/>
      <c r="Q63" s="877"/>
      <c r="R63" s="877"/>
      <c r="S63" s="877"/>
      <c r="T63" s="877"/>
      <c r="U63" s="877"/>
      <c r="V63" s="877"/>
      <c r="W63" s="1242"/>
      <c r="X63" s="877"/>
      <c r="Y63" s="877"/>
      <c r="Z63" s="877"/>
      <c r="AA63" s="877"/>
      <c r="AB63" s="877"/>
      <c r="AC63" s="877"/>
      <c r="AD63" s="877"/>
      <c r="AE63" s="877"/>
      <c r="AF63" s="877"/>
      <c r="AG63" s="877"/>
      <c r="AH63" s="877"/>
      <c r="AI63" s="877"/>
      <c r="AJ63" s="877"/>
      <c r="AK63" s="877"/>
      <c r="AL63" s="877"/>
    </row>
  </sheetData>
  <sheetProtection formatCells="0" insertHyperlinks="0" autoFilter="0"/>
  <mergeCells count="30">
    <mergeCell ref="A1:Q1"/>
    <mergeCell ref="A3:A21"/>
    <mergeCell ref="A22:A35"/>
    <mergeCell ref="A36:A52"/>
    <mergeCell ref="B3:B12"/>
    <mergeCell ref="B13:B16"/>
    <mergeCell ref="B18:B19"/>
    <mergeCell ref="B20:B21"/>
    <mergeCell ref="B22:B29"/>
    <mergeCell ref="B31:B32"/>
    <mergeCell ref="B34:B35"/>
    <mergeCell ref="B36:B40"/>
    <mergeCell ref="B41:B44"/>
    <mergeCell ref="B45:B48"/>
    <mergeCell ref="B49:B50"/>
    <mergeCell ref="B51:B52"/>
    <mergeCell ref="C3:C12"/>
    <mergeCell ref="C13:C16"/>
    <mergeCell ref="C18:C19"/>
    <mergeCell ref="C20:C21"/>
    <mergeCell ref="C22:C29"/>
    <mergeCell ref="C31:C32"/>
    <mergeCell ref="C34:C35"/>
    <mergeCell ref="C36:C40"/>
    <mergeCell ref="C41:C44"/>
    <mergeCell ref="C45:C48"/>
    <mergeCell ref="C49:C50"/>
    <mergeCell ref="C51:C52"/>
    <mergeCell ref="C53:C54"/>
    <mergeCell ref="A53:B54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5"/>
  <dimension ref="A1:AL86"/>
  <sheetViews>
    <sheetView workbookViewId="0">
      <pane xSplit="1" ySplit="2" topLeftCell="E31" activePane="bottomRight" state="frozen"/>
      <selection/>
      <selection pane="topRight"/>
      <selection pane="bottomLeft"/>
      <selection pane="bottomRight" activeCell="D49" sqref="D49:N50"/>
    </sheetView>
  </sheetViews>
  <sheetFormatPr defaultColWidth="9" defaultRowHeight="16.5"/>
  <cols>
    <col min="1" max="1" width="12.9666666666667" style="417" customWidth="1"/>
    <col min="2" max="2" width="11.2583333333333" style="417" customWidth="1"/>
    <col min="3" max="3" width="11.2583333333333" style="879" customWidth="1"/>
    <col min="4" max="4" width="16.2583333333333" style="417" customWidth="1"/>
    <col min="5" max="5" width="23.375" style="417" customWidth="1"/>
    <col min="6" max="6" width="11.625" style="417" customWidth="1"/>
    <col min="7" max="7" width="18.5" style="880" customWidth="1"/>
    <col min="8" max="8" width="17.625" style="880" customWidth="1"/>
    <col min="9" max="9" width="16.7833333333333" style="880" customWidth="1"/>
    <col min="10" max="10" width="10.1583333333333" style="417" customWidth="1"/>
    <col min="11" max="11" width="12.3916666666667" style="417" customWidth="1"/>
    <col min="12" max="12" width="9.08333333333333" style="898" customWidth="1"/>
    <col min="13" max="13" width="11.2166666666667" style="898" customWidth="1"/>
    <col min="14" max="14" width="39.1083333333333" style="888" customWidth="1"/>
    <col min="15" max="15" width="15.575" style="417" customWidth="1"/>
    <col min="16" max="16" width="12.5" style="879" customWidth="1"/>
    <col min="17" max="17" width="14.3083333333333" style="417" customWidth="1"/>
    <col min="18" max="18" width="40" style="417" customWidth="1"/>
    <col min="19" max="19" width="17.3583333333333" style="417" customWidth="1"/>
    <col min="20" max="20" width="14.875" style="417"/>
    <col min="21" max="21" width="14.025" style="417" customWidth="1"/>
    <col min="22" max="22" width="18.1916666666667" style="417" customWidth="1"/>
    <col min="23" max="23" width="43.7583333333333" style="1243" customWidth="1"/>
    <col min="24" max="24" width="9" style="417" hidden="1" customWidth="1"/>
    <col min="25" max="25" width="17.1916666666667" style="417" hidden="1" customWidth="1"/>
    <col min="26" max="35" width="9" style="417" hidden="1" customWidth="1"/>
    <col min="36" max="36" width="10.5333333333333" style="417" hidden="1" customWidth="1"/>
    <col min="37" max="37" width="15" style="417" hidden="1" customWidth="1"/>
    <col min="38" max="38" width="8" style="417" hidden="1" customWidth="1"/>
    <col min="39" max="16384" width="9" style="417"/>
  </cols>
  <sheetData>
    <row r="1" s="417" customFormat="1" ht="24.75" customHeight="1" spans="1:38">
      <c r="A1" s="1366" t="s">
        <v>1541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74"/>
      <c r="M1" s="1374"/>
      <c r="N1" s="885"/>
      <c r="O1" s="1366"/>
      <c r="P1" s="1366"/>
      <c r="Q1" s="1366"/>
      <c r="R1" s="1391"/>
      <c r="S1" s="1391"/>
      <c r="T1" s="1391"/>
      <c r="U1" s="1391"/>
      <c r="V1" s="1090"/>
      <c r="W1" s="1242"/>
      <c r="X1" s="1090"/>
      <c r="Y1" s="1391"/>
      <c r="Z1" s="1090"/>
      <c r="AA1" s="1090"/>
      <c r="AB1" s="1090"/>
      <c r="AC1" s="1090"/>
      <c r="AD1" s="1090"/>
      <c r="AE1" s="1090"/>
      <c r="AF1" s="1090"/>
      <c r="AG1" s="1090"/>
      <c r="AH1" s="1090"/>
      <c r="AI1" s="1090"/>
      <c r="AJ1" s="1391"/>
      <c r="AK1" s="1391"/>
      <c r="AL1" s="1391"/>
    </row>
    <row r="2" s="1362" customFormat="1" ht="36.85" customHeight="1" spans="1:38">
      <c r="A2" s="1367" t="s">
        <v>1092</v>
      </c>
      <c r="B2" s="1368" t="s">
        <v>1093</v>
      </c>
      <c r="C2" s="1369" t="s">
        <v>1094</v>
      </c>
      <c r="D2" s="1368" t="s">
        <v>361</v>
      </c>
      <c r="E2" s="1372" t="s">
        <v>1095</v>
      </c>
      <c r="F2" s="1153" t="s">
        <v>362</v>
      </c>
      <c r="G2" s="1154" t="s">
        <v>1211</v>
      </c>
      <c r="H2" s="1154" t="s">
        <v>1378</v>
      </c>
      <c r="I2" s="1154" t="s">
        <v>1379</v>
      </c>
      <c r="J2" s="1375" t="s">
        <v>1096</v>
      </c>
      <c r="K2" s="1376" t="s">
        <v>1098</v>
      </c>
      <c r="L2" s="1377" t="s">
        <v>1097</v>
      </c>
      <c r="M2" s="1377" t="s">
        <v>1214</v>
      </c>
      <c r="N2" s="1378" t="s">
        <v>1215</v>
      </c>
      <c r="O2" s="1379" t="s">
        <v>7</v>
      </c>
      <c r="P2" s="1380" t="s">
        <v>8</v>
      </c>
      <c r="Q2" s="1392" t="s">
        <v>9</v>
      </c>
      <c r="R2" s="1393" t="s">
        <v>1291</v>
      </c>
      <c r="S2" s="1393" t="s">
        <v>13</v>
      </c>
      <c r="T2" s="1394" t="s">
        <v>14</v>
      </c>
      <c r="U2" s="1402" t="s">
        <v>15</v>
      </c>
      <c r="V2" s="1403" t="s">
        <v>1100</v>
      </c>
      <c r="W2" s="1404" t="s">
        <v>1101</v>
      </c>
      <c r="X2" s="1403" t="s">
        <v>1102</v>
      </c>
      <c r="Y2" s="1412" t="s">
        <v>363</v>
      </c>
      <c r="Z2" s="1413" t="s">
        <v>1103</v>
      </c>
      <c r="AA2" s="1403" t="s">
        <v>1104</v>
      </c>
      <c r="AB2" s="1403" t="s">
        <v>1105</v>
      </c>
      <c r="AC2" s="1403" t="s">
        <v>1106</v>
      </c>
      <c r="AD2" s="1403" t="s">
        <v>1107</v>
      </c>
      <c r="AE2" s="1403" t="s">
        <v>1108</v>
      </c>
      <c r="AF2" s="1403" t="s">
        <v>1109</v>
      </c>
      <c r="AG2" s="1403" t="s">
        <v>1110</v>
      </c>
      <c r="AH2" s="1415" t="s">
        <v>1108</v>
      </c>
      <c r="AI2" s="1416" t="s">
        <v>1109</v>
      </c>
      <c r="AJ2" s="1417" t="s">
        <v>1111</v>
      </c>
      <c r="AK2" s="1402" t="s">
        <v>4</v>
      </c>
      <c r="AL2" s="1417" t="s">
        <v>1112</v>
      </c>
    </row>
    <row r="3" s="1363" customFormat="1" ht="18.75" customHeight="1" spans="1:38">
      <c r="A3" s="1421" t="s">
        <v>579</v>
      </c>
      <c r="B3" s="671" t="s">
        <v>38</v>
      </c>
      <c r="C3" s="557">
        <v>315</v>
      </c>
      <c r="D3" s="1248" t="s">
        <v>1542</v>
      </c>
      <c r="E3" s="572" t="s">
        <v>1543</v>
      </c>
      <c r="F3" s="1002">
        <v>25392</v>
      </c>
      <c r="G3" s="603">
        <f>F3*J3</f>
        <v>180262.8864</v>
      </c>
      <c r="H3" s="603">
        <f>G3</f>
        <v>180262.8864</v>
      </c>
      <c r="I3" s="799">
        <f>H3</f>
        <v>180262.8864</v>
      </c>
      <c r="J3" s="733">
        <v>7.0992</v>
      </c>
      <c r="K3" s="610">
        <v>44849</v>
      </c>
      <c r="L3" s="644"/>
      <c r="M3" s="644">
        <v>44859</v>
      </c>
      <c r="N3" s="706"/>
      <c r="O3" s="1381"/>
      <c r="P3" s="1558"/>
      <c r="Q3" s="1395"/>
      <c r="R3" s="602"/>
      <c r="S3" s="1396"/>
      <c r="T3" s="1172"/>
      <c r="U3" s="1397"/>
      <c r="V3" s="1397"/>
      <c r="W3" s="1405"/>
      <c r="X3" s="1397"/>
      <c r="Y3" s="1397"/>
      <c r="Z3" s="1397"/>
      <c r="AA3" s="1397"/>
      <c r="AB3" s="1397"/>
      <c r="AC3" s="1397"/>
      <c r="AD3" s="1397"/>
      <c r="AE3" s="1397"/>
      <c r="AF3" s="1397"/>
      <c r="AG3" s="1397"/>
      <c r="AH3" s="1397"/>
      <c r="AI3" s="1397"/>
      <c r="AJ3" s="1218"/>
      <c r="AK3" s="1182"/>
      <c r="AL3" s="1397"/>
    </row>
    <row r="4" s="1363" customFormat="1" ht="18.75" customHeight="1" spans="1:38">
      <c r="A4" s="1421"/>
      <c r="B4" s="671"/>
      <c r="C4" s="557"/>
      <c r="D4" s="1248" t="s">
        <v>1544</v>
      </c>
      <c r="E4" s="244" t="s">
        <v>1545</v>
      </c>
      <c r="F4" s="1002">
        <v>69015</v>
      </c>
      <c r="G4" s="603">
        <f>F4*J4</f>
        <v>489951.288</v>
      </c>
      <c r="H4" s="603">
        <f>G4</f>
        <v>489951.288</v>
      </c>
      <c r="I4" s="799"/>
      <c r="J4" s="733">
        <v>7.0992</v>
      </c>
      <c r="K4" s="610">
        <v>44860</v>
      </c>
      <c r="L4" s="644"/>
      <c r="M4" s="644">
        <v>44866</v>
      </c>
      <c r="N4" s="706" t="s">
        <v>1546</v>
      </c>
      <c r="O4" s="1381"/>
      <c r="P4" s="1382"/>
      <c r="Q4" s="1395"/>
      <c r="R4" s="602"/>
      <c r="S4" s="1396"/>
      <c r="T4" s="1172"/>
      <c r="U4" s="1397"/>
      <c r="V4" s="1397"/>
      <c r="W4" s="1467"/>
      <c r="X4" s="1397"/>
      <c r="Y4" s="1397"/>
      <c r="Z4" s="1397"/>
      <c r="AA4" s="1397"/>
      <c r="AB4" s="1397"/>
      <c r="AC4" s="1397"/>
      <c r="AD4" s="1397"/>
      <c r="AE4" s="1397"/>
      <c r="AF4" s="1397"/>
      <c r="AG4" s="1397"/>
      <c r="AH4" s="1397"/>
      <c r="AI4" s="1397"/>
      <c r="AJ4" s="1218"/>
      <c r="AK4" s="1182"/>
      <c r="AL4" s="1397"/>
    </row>
    <row r="5" s="1363" customFormat="1" ht="18.75" customHeight="1" spans="1:38">
      <c r="A5" s="1421"/>
      <c r="B5" s="1146"/>
      <c r="C5" s="545"/>
      <c r="D5" s="1248" t="s">
        <v>1547</v>
      </c>
      <c r="E5" s="250" t="s">
        <v>1548</v>
      </c>
      <c r="F5" s="562">
        <v>6000</v>
      </c>
      <c r="G5" s="603">
        <v>42000</v>
      </c>
      <c r="H5" s="596">
        <v>42000</v>
      </c>
      <c r="I5" s="393">
        <f>H5</f>
        <v>42000</v>
      </c>
      <c r="J5" s="733">
        <v>7.0992</v>
      </c>
      <c r="K5" s="610" t="s">
        <v>1218</v>
      </c>
      <c r="L5" s="855"/>
      <c r="M5" s="855"/>
      <c r="N5" s="706" t="s">
        <v>1549</v>
      </c>
      <c r="O5" s="1385"/>
      <c r="P5" s="1384"/>
      <c r="Q5" s="1398"/>
      <c r="R5" s="602"/>
      <c r="S5" s="1396"/>
      <c r="T5" s="1172"/>
      <c r="U5" s="1397"/>
      <c r="V5" s="1397"/>
      <c r="W5" s="1405"/>
      <c r="X5" s="1397"/>
      <c r="Y5" s="1397"/>
      <c r="Z5" s="1397"/>
      <c r="AA5" s="1397"/>
      <c r="AB5" s="1397"/>
      <c r="AC5" s="1397"/>
      <c r="AD5" s="1397"/>
      <c r="AE5" s="1397"/>
      <c r="AF5" s="1397"/>
      <c r="AG5" s="1397"/>
      <c r="AH5" s="1397"/>
      <c r="AI5" s="1397"/>
      <c r="AJ5" s="1218"/>
      <c r="AK5" s="1182"/>
      <c r="AL5" s="1397"/>
    </row>
    <row r="6" s="1363" customFormat="1" ht="18.75" customHeight="1" spans="1:38">
      <c r="A6" s="1421"/>
      <c r="B6" s="1146"/>
      <c r="C6" s="545"/>
      <c r="D6" s="1248" t="s">
        <v>53</v>
      </c>
      <c r="E6" s="572" t="s">
        <v>1550</v>
      </c>
      <c r="F6" s="1002">
        <v>44971</v>
      </c>
      <c r="G6" s="603">
        <f>F6*J6</f>
        <v>319258.1232</v>
      </c>
      <c r="H6" s="603">
        <f>G6</f>
        <v>319258.1232</v>
      </c>
      <c r="I6" s="799">
        <f>H6</f>
        <v>319258.1232</v>
      </c>
      <c r="J6" s="733">
        <v>7.0992</v>
      </c>
      <c r="K6" s="610" t="s">
        <v>1551</v>
      </c>
      <c r="L6" s="644">
        <v>44843</v>
      </c>
      <c r="M6" s="644">
        <v>44848</v>
      </c>
      <c r="N6" s="568"/>
      <c r="O6" s="1385"/>
      <c r="P6" s="878"/>
      <c r="Q6" s="1398"/>
      <c r="R6" s="602"/>
      <c r="S6" s="1396"/>
      <c r="T6" s="1172"/>
      <c r="U6" s="1397"/>
      <c r="V6" s="1397"/>
      <c r="W6" s="1405"/>
      <c r="X6" s="1397"/>
      <c r="Y6" s="1397"/>
      <c r="Z6" s="1397"/>
      <c r="AA6" s="1397"/>
      <c r="AB6" s="1397"/>
      <c r="AC6" s="1397"/>
      <c r="AD6" s="1397"/>
      <c r="AE6" s="1397"/>
      <c r="AF6" s="1397"/>
      <c r="AG6" s="1397"/>
      <c r="AH6" s="1397"/>
      <c r="AI6" s="1397"/>
      <c r="AJ6" s="1218"/>
      <c r="AK6" s="1182"/>
      <c r="AL6" s="1397"/>
    </row>
    <row r="7" s="1363" customFormat="1" ht="18.75" customHeight="1" spans="1:38">
      <c r="A7" s="1421"/>
      <c r="B7" s="671"/>
      <c r="C7" s="557"/>
      <c r="D7" s="1248" t="s">
        <v>145</v>
      </c>
      <c r="E7" s="244" t="s">
        <v>1552</v>
      </c>
      <c r="F7" s="1002">
        <v>42800</v>
      </c>
      <c r="G7" s="603">
        <f>F7*J7</f>
        <v>303845.76</v>
      </c>
      <c r="H7" s="603">
        <f>G7</f>
        <v>303845.76</v>
      </c>
      <c r="I7" s="799">
        <f>H7</f>
        <v>303845.76</v>
      </c>
      <c r="J7" s="733">
        <v>7.0992</v>
      </c>
      <c r="K7" s="610" t="s">
        <v>1218</v>
      </c>
      <c r="L7" s="644">
        <v>44843</v>
      </c>
      <c r="M7" s="644">
        <v>44850</v>
      </c>
      <c r="N7" s="568"/>
      <c r="O7" s="1381"/>
      <c r="P7" s="1386"/>
      <c r="Q7" s="1395"/>
      <c r="R7" s="602"/>
      <c r="S7" s="1396"/>
      <c r="T7" s="1172"/>
      <c r="U7" s="1397"/>
      <c r="V7" s="1397"/>
      <c r="W7" s="1405"/>
      <c r="X7" s="1397"/>
      <c r="Y7" s="1397"/>
      <c r="Z7" s="1397"/>
      <c r="AA7" s="1397"/>
      <c r="AB7" s="1397"/>
      <c r="AC7" s="1397"/>
      <c r="AD7" s="1397"/>
      <c r="AE7" s="1397"/>
      <c r="AF7" s="1397"/>
      <c r="AG7" s="1397"/>
      <c r="AH7" s="1397"/>
      <c r="AI7" s="1397"/>
      <c r="AJ7" s="1218"/>
      <c r="AK7" s="1182"/>
      <c r="AL7" s="1397"/>
    </row>
    <row r="8" s="1363" customFormat="1" ht="18.75" customHeight="1" spans="1:38">
      <c r="A8" s="1421"/>
      <c r="B8" s="671"/>
      <c r="C8" s="557"/>
      <c r="D8" s="1248" t="s">
        <v>143</v>
      </c>
      <c r="E8" s="244" t="s">
        <v>1553</v>
      </c>
      <c r="F8" s="1002">
        <v>40686</v>
      </c>
      <c r="G8" s="603">
        <f>F8*J8</f>
        <v>288838.0512</v>
      </c>
      <c r="H8" s="603">
        <f>G8</f>
        <v>288838.0512</v>
      </c>
      <c r="I8" s="799">
        <f>H8</f>
        <v>288838.0512</v>
      </c>
      <c r="J8" s="733">
        <v>7.0992</v>
      </c>
      <c r="K8" s="610" t="s">
        <v>1218</v>
      </c>
      <c r="L8" s="644">
        <v>44853</v>
      </c>
      <c r="M8" s="644">
        <v>44857</v>
      </c>
      <c r="N8" s="250"/>
      <c r="O8" s="1381"/>
      <c r="P8" s="1386"/>
      <c r="Q8" s="1395"/>
      <c r="R8" s="602"/>
      <c r="S8" s="1396"/>
      <c r="T8" s="1172"/>
      <c r="U8" s="1397"/>
      <c r="V8" s="1397"/>
      <c r="W8" s="1405"/>
      <c r="X8" s="1397"/>
      <c r="Y8" s="1397"/>
      <c r="Z8" s="1397"/>
      <c r="AA8" s="1397"/>
      <c r="AB8" s="1397"/>
      <c r="AC8" s="1397"/>
      <c r="AD8" s="1397"/>
      <c r="AE8" s="1397"/>
      <c r="AF8" s="1397"/>
      <c r="AG8" s="1397"/>
      <c r="AH8" s="1397"/>
      <c r="AI8" s="1397"/>
      <c r="AJ8" s="1218"/>
      <c r="AK8" s="1182"/>
      <c r="AL8" s="1397"/>
    </row>
    <row r="9" s="1363" customFormat="1" ht="18.75" customHeight="1" spans="1:38">
      <c r="A9" s="1421"/>
      <c r="B9" s="671"/>
      <c r="C9" s="557"/>
      <c r="D9" s="1248" t="s">
        <v>143</v>
      </c>
      <c r="E9" s="244" t="s">
        <v>1554</v>
      </c>
      <c r="F9" s="1002">
        <v>75952</v>
      </c>
      <c r="G9" s="603">
        <f>F9*J9</f>
        <v>539198.4384</v>
      </c>
      <c r="H9" s="603">
        <f>G9</f>
        <v>539198.4384</v>
      </c>
      <c r="I9" s="799"/>
      <c r="J9" s="733">
        <v>7.0992</v>
      </c>
      <c r="K9" s="610" t="s">
        <v>1218</v>
      </c>
      <c r="L9" s="644">
        <v>44865</v>
      </c>
      <c r="M9" s="644">
        <v>44870</v>
      </c>
      <c r="N9" s="1559" t="s">
        <v>1555</v>
      </c>
      <c r="O9" s="1381"/>
      <c r="P9" s="1386"/>
      <c r="Q9" s="1395"/>
      <c r="R9" s="602"/>
      <c r="S9" s="1396"/>
      <c r="T9" s="1172"/>
      <c r="U9" s="1397"/>
      <c r="V9" s="1397"/>
      <c r="W9" s="1405"/>
      <c r="X9" s="1397"/>
      <c r="Y9" s="1397"/>
      <c r="Z9" s="1397"/>
      <c r="AA9" s="1397"/>
      <c r="AB9" s="1397"/>
      <c r="AC9" s="1397"/>
      <c r="AD9" s="1397"/>
      <c r="AE9" s="1397"/>
      <c r="AF9" s="1397"/>
      <c r="AG9" s="1397"/>
      <c r="AH9" s="1397"/>
      <c r="AI9" s="1397"/>
      <c r="AJ9" s="1218"/>
      <c r="AK9" s="1182"/>
      <c r="AL9" s="1397"/>
    </row>
    <row r="10" s="1363" customFormat="1" ht="18.75" customHeight="1" spans="1:38">
      <c r="A10" s="1502"/>
      <c r="B10" s="1146"/>
      <c r="C10" s="545"/>
      <c r="D10" s="250" t="s">
        <v>157</v>
      </c>
      <c r="E10" s="250" t="s">
        <v>1474</v>
      </c>
      <c r="F10" s="562"/>
      <c r="G10" s="596"/>
      <c r="H10" s="596"/>
      <c r="I10" s="393">
        <v>385397.6</v>
      </c>
      <c r="J10" s="733">
        <v>7.0992</v>
      </c>
      <c r="K10" s="610"/>
      <c r="L10" s="855"/>
      <c r="M10" s="855">
        <v>44838</v>
      </c>
      <c r="N10" s="706"/>
      <c r="O10" s="1383"/>
      <c r="P10" s="1384"/>
      <c r="Q10" s="1397"/>
      <c r="R10" s="602"/>
      <c r="S10" s="1396"/>
      <c r="T10" s="1172"/>
      <c r="U10" s="1397"/>
      <c r="V10" s="1397"/>
      <c r="W10" s="1405"/>
      <c r="X10" s="1397"/>
      <c r="Y10" s="1397"/>
      <c r="Z10" s="1397"/>
      <c r="AA10" s="1397"/>
      <c r="AB10" s="1397"/>
      <c r="AC10" s="1397"/>
      <c r="AD10" s="1397"/>
      <c r="AE10" s="1397"/>
      <c r="AF10" s="1397"/>
      <c r="AG10" s="1397"/>
      <c r="AH10" s="1397"/>
      <c r="AI10" s="1397"/>
      <c r="AJ10" s="1218"/>
      <c r="AK10" s="1182"/>
      <c r="AL10" s="1397"/>
    </row>
    <row r="11" s="1363" customFormat="1" ht="18.75" customHeight="1" spans="1:38">
      <c r="A11" s="1502"/>
      <c r="B11" s="1146"/>
      <c r="C11" s="545"/>
      <c r="D11" s="250" t="s">
        <v>143</v>
      </c>
      <c r="E11" s="250" t="s">
        <v>1476</v>
      </c>
      <c r="F11" s="1555"/>
      <c r="G11" s="596"/>
      <c r="H11" s="596"/>
      <c r="I11" s="393">
        <v>192698.8</v>
      </c>
      <c r="J11" s="733">
        <v>7.0992</v>
      </c>
      <c r="K11" s="610"/>
      <c r="L11" s="855"/>
      <c r="M11" s="855">
        <v>44838</v>
      </c>
      <c r="N11" s="706"/>
      <c r="O11" s="1383"/>
      <c r="P11" s="1384"/>
      <c r="Q11" s="1397"/>
      <c r="R11" s="602"/>
      <c r="S11" s="1396"/>
      <c r="T11" s="1172"/>
      <c r="U11" s="1397"/>
      <c r="V11" s="1397"/>
      <c r="W11" s="1405"/>
      <c r="X11" s="1397"/>
      <c r="Y11" s="1397"/>
      <c r="Z11" s="1397"/>
      <c r="AA11" s="1397"/>
      <c r="AB11" s="1397"/>
      <c r="AC11" s="1397"/>
      <c r="AD11" s="1397"/>
      <c r="AE11" s="1397"/>
      <c r="AF11" s="1397"/>
      <c r="AG11" s="1397"/>
      <c r="AH11" s="1397"/>
      <c r="AI11" s="1397"/>
      <c r="AJ11" s="1218"/>
      <c r="AK11" s="1182"/>
      <c r="AL11" s="1397"/>
    </row>
    <row r="12" s="1363" customFormat="1" ht="18.75" customHeight="1" spans="1:38">
      <c r="A12" s="1502"/>
      <c r="B12" s="1146"/>
      <c r="C12" s="545"/>
      <c r="D12" s="1552" t="s">
        <v>840</v>
      </c>
      <c r="E12" s="1552" t="s">
        <v>1479</v>
      </c>
      <c r="G12" s="596"/>
      <c r="H12" s="596"/>
      <c r="I12" s="1512">
        <v>146361.6207</v>
      </c>
      <c r="J12" s="733">
        <v>7.0992</v>
      </c>
      <c r="K12" s="1556"/>
      <c r="L12" s="1557"/>
      <c r="M12" s="1557">
        <v>44842</v>
      </c>
      <c r="N12" s="706"/>
      <c r="O12" s="1383"/>
      <c r="P12" s="1384"/>
      <c r="Q12" s="1397"/>
      <c r="R12" s="602"/>
      <c r="S12" s="1396"/>
      <c r="T12" s="1172"/>
      <c r="U12" s="1397"/>
      <c r="V12" s="1397"/>
      <c r="W12" s="1405"/>
      <c r="X12" s="1397"/>
      <c r="Y12" s="1397"/>
      <c r="Z12" s="1397"/>
      <c r="AA12" s="1397"/>
      <c r="AB12" s="1397"/>
      <c r="AC12" s="1397"/>
      <c r="AD12" s="1397"/>
      <c r="AE12" s="1397"/>
      <c r="AF12" s="1397"/>
      <c r="AG12" s="1397"/>
      <c r="AH12" s="1397"/>
      <c r="AI12" s="1397"/>
      <c r="AJ12" s="1218"/>
      <c r="AK12" s="1182"/>
      <c r="AL12" s="1397"/>
    </row>
    <row r="13" s="1363" customFormat="1" ht="18.75" customHeight="1" spans="1:38">
      <c r="A13" s="1502"/>
      <c r="B13" s="664" t="s">
        <v>209</v>
      </c>
      <c r="C13" s="655">
        <v>222</v>
      </c>
      <c r="D13" s="250" t="s">
        <v>1391</v>
      </c>
      <c r="E13" s="819"/>
      <c r="F13" s="1002"/>
      <c r="G13" s="603"/>
      <c r="H13" s="603"/>
      <c r="I13" s="799">
        <v>343946</v>
      </c>
      <c r="J13" s="733">
        <v>7.0992</v>
      </c>
      <c r="K13" s="598"/>
      <c r="L13" s="645"/>
      <c r="M13" s="645">
        <v>44837</v>
      </c>
      <c r="N13" s="568" t="s">
        <v>1556</v>
      </c>
      <c r="O13" s="1387"/>
      <c r="P13" s="1386"/>
      <c r="Q13" s="1399"/>
      <c r="R13" s="602"/>
      <c r="S13" s="1396"/>
      <c r="T13" s="1172"/>
      <c r="U13" s="1397"/>
      <c r="V13" s="1397"/>
      <c r="W13" s="1242"/>
      <c r="X13" s="1397"/>
      <c r="Y13" s="1397"/>
      <c r="Z13" s="1397"/>
      <c r="AA13" s="1397"/>
      <c r="AB13" s="1397"/>
      <c r="AC13" s="1397"/>
      <c r="AD13" s="1397"/>
      <c r="AE13" s="1397"/>
      <c r="AF13" s="1397"/>
      <c r="AG13" s="1397"/>
      <c r="AH13" s="1397"/>
      <c r="AI13" s="1397"/>
      <c r="AJ13" s="1218"/>
      <c r="AK13" s="1182"/>
      <c r="AL13" s="1397"/>
    </row>
    <row r="14" s="1363" customFormat="1" ht="18.75" customHeight="1" spans="1:38">
      <c r="A14" s="1502"/>
      <c r="B14" s="664"/>
      <c r="C14" s="655"/>
      <c r="D14" s="250" t="s">
        <v>284</v>
      </c>
      <c r="E14" s="819"/>
      <c r="F14" s="1002"/>
      <c r="G14" s="603"/>
      <c r="H14" s="603"/>
      <c r="I14" s="799">
        <v>74761</v>
      </c>
      <c r="J14" s="733"/>
      <c r="K14" s="598"/>
      <c r="L14" s="645"/>
      <c r="M14" s="645"/>
      <c r="N14" s="568"/>
      <c r="O14" s="1387"/>
      <c r="P14" s="1386"/>
      <c r="Q14" s="1399"/>
      <c r="R14" s="602"/>
      <c r="S14" s="1396"/>
      <c r="T14" s="1172"/>
      <c r="U14" s="1397"/>
      <c r="V14" s="1397"/>
      <c r="W14" s="1242"/>
      <c r="X14" s="1397"/>
      <c r="Y14" s="1397"/>
      <c r="Z14" s="1397"/>
      <c r="AA14" s="1397"/>
      <c r="AB14" s="1397"/>
      <c r="AC14" s="1397"/>
      <c r="AD14" s="1397"/>
      <c r="AE14" s="1397"/>
      <c r="AF14" s="1397"/>
      <c r="AG14" s="1397"/>
      <c r="AH14" s="1397"/>
      <c r="AI14" s="1397"/>
      <c r="AJ14" s="1218"/>
      <c r="AK14" s="1182"/>
      <c r="AL14" s="1397"/>
    </row>
    <row r="15" s="1363" customFormat="1" ht="18.75" customHeight="1" spans="1:38">
      <c r="A15" s="1502"/>
      <c r="B15" s="664"/>
      <c r="C15" s="655"/>
      <c r="D15" s="250" t="s">
        <v>1232</v>
      </c>
      <c r="E15" s="244" t="s">
        <v>1480</v>
      </c>
      <c r="F15" s="1002"/>
      <c r="G15" s="603"/>
      <c r="H15" s="603"/>
      <c r="I15" s="799">
        <v>770000</v>
      </c>
      <c r="J15" s="733">
        <v>7.0992</v>
      </c>
      <c r="K15" s="598">
        <v>44833</v>
      </c>
      <c r="L15" s="645">
        <v>44833</v>
      </c>
      <c r="M15" s="625" t="s">
        <v>1481</v>
      </c>
      <c r="N15" s="568"/>
      <c r="O15" s="1387"/>
      <c r="P15" s="1386"/>
      <c r="Q15" s="1399"/>
      <c r="R15" s="602"/>
      <c r="S15" s="1396"/>
      <c r="T15" s="1172"/>
      <c r="U15" s="1397"/>
      <c r="V15" s="1397"/>
      <c r="W15" s="1242"/>
      <c r="X15" s="1397"/>
      <c r="Y15" s="1397"/>
      <c r="Z15" s="1397"/>
      <c r="AA15" s="1397"/>
      <c r="AB15" s="1397"/>
      <c r="AC15" s="1397"/>
      <c r="AD15" s="1397"/>
      <c r="AE15" s="1397"/>
      <c r="AF15" s="1397"/>
      <c r="AG15" s="1397"/>
      <c r="AH15" s="1397"/>
      <c r="AI15" s="1397"/>
      <c r="AJ15" s="1218"/>
      <c r="AK15" s="1182"/>
      <c r="AL15" s="1397"/>
    </row>
    <row r="16" s="1363" customFormat="1" ht="18.75" customHeight="1" spans="1:38">
      <c r="A16" s="1502"/>
      <c r="B16" s="664"/>
      <c r="C16" s="655"/>
      <c r="D16" s="250" t="s">
        <v>1483</v>
      </c>
      <c r="E16" s="819"/>
      <c r="F16" s="1002"/>
      <c r="G16" s="603"/>
      <c r="H16" s="603"/>
      <c r="I16" s="799">
        <v>270927.6307</v>
      </c>
      <c r="J16" s="733">
        <v>7.0992</v>
      </c>
      <c r="K16" s="1355" t="s">
        <v>1218</v>
      </c>
      <c r="L16" s="645">
        <v>44833</v>
      </c>
      <c r="M16" s="645">
        <v>44837</v>
      </c>
      <c r="N16" s="568"/>
      <c r="O16" s="1387"/>
      <c r="P16" s="1386"/>
      <c r="Q16" s="1399"/>
      <c r="R16" s="602"/>
      <c r="S16" s="1396"/>
      <c r="T16" s="1172"/>
      <c r="U16" s="1397"/>
      <c r="V16" s="1397"/>
      <c r="W16" s="1242"/>
      <c r="X16" s="1397"/>
      <c r="Y16" s="1397"/>
      <c r="Z16" s="1397"/>
      <c r="AA16" s="1397"/>
      <c r="AB16" s="1397"/>
      <c r="AC16" s="1397"/>
      <c r="AD16" s="1397"/>
      <c r="AE16" s="1397"/>
      <c r="AF16" s="1397"/>
      <c r="AG16" s="1397"/>
      <c r="AH16" s="1397"/>
      <c r="AI16" s="1397"/>
      <c r="AJ16" s="1218"/>
      <c r="AK16" s="1182"/>
      <c r="AL16" s="1397"/>
    </row>
    <row r="17" s="1363" customFormat="1" ht="18.75" customHeight="1" spans="1:38">
      <c r="A17" s="1502"/>
      <c r="B17" s="664"/>
      <c r="C17" s="655"/>
      <c r="D17" s="250" t="s">
        <v>151</v>
      </c>
      <c r="E17" s="250"/>
      <c r="F17" s="725"/>
      <c r="G17" s="603"/>
      <c r="H17" s="603"/>
      <c r="I17" s="799">
        <v>264300.1684</v>
      </c>
      <c r="J17" s="733">
        <v>7.0992</v>
      </c>
      <c r="K17" s="1355" t="s">
        <v>1218</v>
      </c>
      <c r="L17" s="645">
        <v>44832</v>
      </c>
      <c r="M17" s="625" t="s">
        <v>1481</v>
      </c>
      <c r="N17" s="568"/>
      <c r="O17" s="1387"/>
      <c r="P17" s="1386"/>
      <c r="Q17" s="1399"/>
      <c r="R17" s="602"/>
      <c r="S17" s="1396"/>
      <c r="T17" s="1172"/>
      <c r="U17" s="1397"/>
      <c r="V17" s="1397"/>
      <c r="W17" s="1242"/>
      <c r="X17" s="1397"/>
      <c r="Y17" s="1397"/>
      <c r="Z17" s="1397"/>
      <c r="AA17" s="1397"/>
      <c r="AB17" s="1397"/>
      <c r="AC17" s="1397"/>
      <c r="AD17" s="1397"/>
      <c r="AE17" s="1397"/>
      <c r="AF17" s="1397"/>
      <c r="AG17" s="1397"/>
      <c r="AH17" s="1397"/>
      <c r="AI17" s="1397"/>
      <c r="AJ17" s="1218"/>
      <c r="AK17" s="1182"/>
      <c r="AL17" s="1397"/>
    </row>
    <row r="18" s="1363" customFormat="1" ht="18.75" customHeight="1" spans="1:38">
      <c r="A18" s="1502"/>
      <c r="B18" s="664"/>
      <c r="C18" s="655"/>
      <c r="D18" s="250" t="s">
        <v>151</v>
      </c>
      <c r="E18" s="250"/>
      <c r="F18" s="725"/>
      <c r="G18" s="603"/>
      <c r="H18" s="603"/>
      <c r="I18" s="799">
        <v>233261.8974</v>
      </c>
      <c r="J18" s="733">
        <v>7.0992</v>
      </c>
      <c r="K18" s="1355" t="s">
        <v>1218</v>
      </c>
      <c r="L18" s="645">
        <v>44832</v>
      </c>
      <c r="M18" s="625" t="s">
        <v>1481</v>
      </c>
      <c r="N18" s="568"/>
      <c r="O18" s="1387"/>
      <c r="P18" s="1386"/>
      <c r="Q18" s="1399"/>
      <c r="R18" s="602"/>
      <c r="S18" s="1396"/>
      <c r="T18" s="1172"/>
      <c r="U18" s="1397"/>
      <c r="V18" s="1397"/>
      <c r="W18" s="1242"/>
      <c r="X18" s="1397"/>
      <c r="Y18" s="1397"/>
      <c r="Z18" s="1397"/>
      <c r="AA18" s="1397"/>
      <c r="AB18" s="1397"/>
      <c r="AC18" s="1397"/>
      <c r="AD18" s="1397"/>
      <c r="AE18" s="1397"/>
      <c r="AF18" s="1397"/>
      <c r="AG18" s="1397"/>
      <c r="AH18" s="1397"/>
      <c r="AI18" s="1397"/>
      <c r="AJ18" s="1218"/>
      <c r="AK18" s="1182"/>
      <c r="AL18" s="1397"/>
    </row>
    <row r="19" s="1363" customFormat="1" ht="18.75" customHeight="1" spans="1:38">
      <c r="A19" s="1502"/>
      <c r="B19" s="664"/>
      <c r="C19" s="655"/>
      <c r="D19" s="250" t="s">
        <v>1389</v>
      </c>
      <c r="E19" s="250"/>
      <c r="F19" s="725"/>
      <c r="G19" s="603"/>
      <c r="H19" s="603"/>
      <c r="I19" s="799">
        <v>152866.37</v>
      </c>
      <c r="J19" s="733"/>
      <c r="K19" s="1355"/>
      <c r="L19" s="645"/>
      <c r="M19" s="625"/>
      <c r="N19" s="568"/>
      <c r="O19" s="1387"/>
      <c r="P19" s="1386"/>
      <c r="Q19" s="1399"/>
      <c r="R19" s="602"/>
      <c r="S19" s="1396"/>
      <c r="T19" s="1172"/>
      <c r="U19" s="1397"/>
      <c r="V19" s="1397"/>
      <c r="W19" s="1242"/>
      <c r="X19" s="1397"/>
      <c r="Y19" s="1397"/>
      <c r="Z19" s="1397"/>
      <c r="AA19" s="1397"/>
      <c r="AB19" s="1397"/>
      <c r="AC19" s="1397"/>
      <c r="AD19" s="1397"/>
      <c r="AE19" s="1397"/>
      <c r="AF19" s="1397"/>
      <c r="AG19" s="1397"/>
      <c r="AH19" s="1397"/>
      <c r="AI19" s="1397"/>
      <c r="AJ19" s="1218"/>
      <c r="AK19" s="1182"/>
      <c r="AL19" s="1397"/>
    </row>
    <row r="20" s="1363" customFormat="1" ht="18.75" customHeight="1" spans="1:38">
      <c r="A20" s="1502"/>
      <c r="B20" s="664"/>
      <c r="C20" s="655"/>
      <c r="D20" s="1248" t="s">
        <v>151</v>
      </c>
      <c r="E20" s="250"/>
      <c r="F20" s="725">
        <v>75000</v>
      </c>
      <c r="G20" s="603">
        <f>F20*J20</f>
        <v>532440</v>
      </c>
      <c r="H20" s="603">
        <f>G20</f>
        <v>532440</v>
      </c>
      <c r="I20" s="799"/>
      <c r="J20" s="733">
        <v>7.0992</v>
      </c>
      <c r="K20" s="1355" t="s">
        <v>1218</v>
      </c>
      <c r="L20" s="645"/>
      <c r="M20" s="625"/>
      <c r="N20" s="568"/>
      <c r="O20" s="1387"/>
      <c r="P20" s="1386"/>
      <c r="Q20" s="1399"/>
      <c r="R20" s="602"/>
      <c r="S20" s="1396"/>
      <c r="T20" s="1172"/>
      <c r="U20" s="1397"/>
      <c r="V20" s="1397"/>
      <c r="W20" s="1242"/>
      <c r="X20" s="1397"/>
      <c r="Y20" s="1397"/>
      <c r="Z20" s="1397"/>
      <c r="AA20" s="1397"/>
      <c r="AB20" s="1397"/>
      <c r="AC20" s="1397"/>
      <c r="AD20" s="1397"/>
      <c r="AE20" s="1397"/>
      <c r="AF20" s="1397"/>
      <c r="AG20" s="1397"/>
      <c r="AH20" s="1397"/>
      <c r="AI20" s="1397"/>
      <c r="AJ20" s="1218"/>
      <c r="AK20" s="1182"/>
      <c r="AL20" s="1397"/>
    </row>
    <row r="21" s="1363" customFormat="1" ht="18.75" customHeight="1" spans="1:38">
      <c r="A21" s="1502"/>
      <c r="B21" s="664"/>
      <c r="C21" s="655"/>
      <c r="D21" s="1248" t="s">
        <v>1557</v>
      </c>
      <c r="E21" s="819"/>
      <c r="F21" s="1002">
        <v>14000</v>
      </c>
      <c r="G21" s="603">
        <v>93700.88</v>
      </c>
      <c r="H21" s="603">
        <v>93700.88</v>
      </c>
      <c r="I21" s="799"/>
      <c r="J21" s="733">
        <v>7.0992</v>
      </c>
      <c r="K21" s="598" t="s">
        <v>1551</v>
      </c>
      <c r="L21" s="645"/>
      <c r="M21" s="645"/>
      <c r="N21" s="706" t="s">
        <v>1558</v>
      </c>
      <c r="O21" s="1303"/>
      <c r="P21" s="1303"/>
      <c r="Q21" s="1303"/>
      <c r="R21" s="602"/>
      <c r="S21" s="1340"/>
      <c r="T21" s="1172"/>
      <c r="U21" s="1397"/>
      <c r="V21" s="1397"/>
      <c r="W21" s="1406"/>
      <c r="X21" s="1397"/>
      <c r="Y21" s="1414"/>
      <c r="Z21" s="1397"/>
      <c r="AA21" s="1397"/>
      <c r="AB21" s="1397"/>
      <c r="AC21" s="1397"/>
      <c r="AD21" s="1397"/>
      <c r="AE21" s="1397"/>
      <c r="AF21" s="1397"/>
      <c r="AG21" s="1397"/>
      <c r="AH21" s="1397"/>
      <c r="AI21" s="1397"/>
      <c r="AJ21" s="1218"/>
      <c r="AK21" s="1182"/>
      <c r="AL21" s="1397"/>
    </row>
    <row r="22" s="1363" customFormat="1" ht="18.75" customHeight="1" spans="1:38">
      <c r="A22" s="1502"/>
      <c r="B22" s="664"/>
      <c r="C22" s="655"/>
      <c r="D22" s="1248" t="s">
        <v>1232</v>
      </c>
      <c r="E22" s="819"/>
      <c r="F22" s="603"/>
      <c r="G22" s="603">
        <v>750000</v>
      </c>
      <c r="H22" s="603">
        <v>750000</v>
      </c>
      <c r="I22" s="799"/>
      <c r="J22" s="733">
        <v>7.0992</v>
      </c>
      <c r="K22" s="598" t="s">
        <v>1530</v>
      </c>
      <c r="L22" s="645"/>
      <c r="M22" s="645"/>
      <c r="N22" s="706" t="s">
        <v>552</v>
      </c>
      <c r="O22" s="1303"/>
      <c r="P22" s="1303"/>
      <c r="Q22" s="1303"/>
      <c r="R22" s="602"/>
      <c r="S22" s="1340"/>
      <c r="T22" s="1172"/>
      <c r="U22" s="1397"/>
      <c r="V22" s="1397"/>
      <c r="W22" s="1406"/>
      <c r="X22" s="1397"/>
      <c r="Y22" s="1414"/>
      <c r="Z22" s="1397"/>
      <c r="AA22" s="1397"/>
      <c r="AB22" s="1397"/>
      <c r="AC22" s="1397"/>
      <c r="AD22" s="1397"/>
      <c r="AE22" s="1397"/>
      <c r="AF22" s="1397"/>
      <c r="AG22" s="1397"/>
      <c r="AH22" s="1397"/>
      <c r="AI22" s="1397"/>
      <c r="AJ22" s="1218"/>
      <c r="AK22" s="1182"/>
      <c r="AL22" s="1397"/>
    </row>
    <row r="23" s="1363" customFormat="1" ht="18.75" customHeight="1" spans="1:38">
      <c r="A23" s="1502"/>
      <c r="B23" s="664"/>
      <c r="C23" s="655"/>
      <c r="D23" s="1370" t="s">
        <v>527</v>
      </c>
      <c r="E23" s="819"/>
      <c r="F23" s="1002">
        <v>6654.5</v>
      </c>
      <c r="G23" s="603">
        <f>F23*J23</f>
        <v>47241.6264</v>
      </c>
      <c r="H23" s="603">
        <v>47241.6264</v>
      </c>
      <c r="I23" s="799">
        <v>2387</v>
      </c>
      <c r="J23" s="733">
        <v>7.0992</v>
      </c>
      <c r="K23" s="598"/>
      <c r="L23" s="645"/>
      <c r="M23" s="645"/>
      <c r="N23" s="706" t="s">
        <v>1559</v>
      </c>
      <c r="O23" s="1303"/>
      <c r="P23" s="1303"/>
      <c r="Q23" s="1303"/>
      <c r="R23" s="602"/>
      <c r="S23" s="1340"/>
      <c r="T23" s="1172"/>
      <c r="U23" s="1397"/>
      <c r="V23" s="1397"/>
      <c r="W23" s="1406"/>
      <c r="X23" s="1397"/>
      <c r="Y23" s="1414"/>
      <c r="Z23" s="1397"/>
      <c r="AA23" s="1397"/>
      <c r="AB23" s="1397"/>
      <c r="AC23" s="1397"/>
      <c r="AD23" s="1397"/>
      <c r="AE23" s="1397"/>
      <c r="AF23" s="1397"/>
      <c r="AG23" s="1397"/>
      <c r="AH23" s="1397"/>
      <c r="AI23" s="1397"/>
      <c r="AJ23" s="1218"/>
      <c r="AK23" s="1182"/>
      <c r="AL23" s="1397"/>
    </row>
    <row r="24" s="1363" customFormat="1" ht="18.75" customHeight="1" spans="1:38">
      <c r="A24" s="1502"/>
      <c r="B24" s="664"/>
      <c r="C24" s="655"/>
      <c r="D24" s="1553" t="s">
        <v>768</v>
      </c>
      <c r="E24" s="561"/>
      <c r="F24" s="1373">
        <v>35000</v>
      </c>
      <c r="G24" s="603">
        <f t="shared" ref="G24:G29" si="0">F24*J24</f>
        <v>248472</v>
      </c>
      <c r="H24" s="603">
        <f>G24</f>
        <v>248472</v>
      </c>
      <c r="I24" s="1512"/>
      <c r="J24" s="733">
        <v>7.0992</v>
      </c>
      <c r="K24" s="1355"/>
      <c r="L24" s="1513"/>
      <c r="M24" s="1513"/>
      <c r="N24" s="568" t="s">
        <v>1560</v>
      </c>
      <c r="O24" s="1303"/>
      <c r="P24" s="1303"/>
      <c r="Q24" s="1303"/>
      <c r="R24" s="602"/>
      <c r="S24" s="1340"/>
      <c r="T24" s="1172"/>
      <c r="U24" s="1397"/>
      <c r="V24" s="1397"/>
      <c r="W24" s="1406"/>
      <c r="X24" s="1397"/>
      <c r="Y24" s="1414"/>
      <c r="Z24" s="1397"/>
      <c r="AA24" s="1397"/>
      <c r="AB24" s="1397"/>
      <c r="AC24" s="1397"/>
      <c r="AD24" s="1397"/>
      <c r="AE24" s="1397"/>
      <c r="AF24" s="1397"/>
      <c r="AG24" s="1397"/>
      <c r="AH24" s="1397"/>
      <c r="AI24" s="1397"/>
      <c r="AJ24" s="1218"/>
      <c r="AK24" s="1182"/>
      <c r="AL24" s="1397"/>
    </row>
    <row r="25" s="1363" customFormat="1" ht="18.75" customHeight="1" spans="1:38">
      <c r="A25" s="1502"/>
      <c r="B25" s="664"/>
      <c r="C25" s="655"/>
      <c r="D25" s="1370" t="s">
        <v>1313</v>
      </c>
      <c r="E25" s="1504"/>
      <c r="F25" s="1002">
        <v>38000</v>
      </c>
      <c r="G25" s="603">
        <f t="shared" si="0"/>
        <v>269769.6</v>
      </c>
      <c r="H25" s="603">
        <f>G25</f>
        <v>269769.6</v>
      </c>
      <c r="I25" s="799">
        <f>H25</f>
        <v>269769.6</v>
      </c>
      <c r="J25" s="733">
        <v>7.0992</v>
      </c>
      <c r="K25" s="598">
        <v>44852</v>
      </c>
      <c r="L25" s="645"/>
      <c r="M25" s="645"/>
      <c r="N25" s="706" t="s">
        <v>1561</v>
      </c>
      <c r="O25" s="1303"/>
      <c r="P25" s="1303"/>
      <c r="Q25" s="1303"/>
      <c r="R25" s="602"/>
      <c r="S25" s="1340"/>
      <c r="T25" s="1172"/>
      <c r="U25" s="1397"/>
      <c r="V25" s="1397"/>
      <c r="W25" s="1406"/>
      <c r="X25" s="1397"/>
      <c r="Y25" s="1414"/>
      <c r="Z25" s="1397"/>
      <c r="AA25" s="1397"/>
      <c r="AB25" s="1397"/>
      <c r="AC25" s="1397"/>
      <c r="AD25" s="1397"/>
      <c r="AE25" s="1397"/>
      <c r="AF25" s="1397"/>
      <c r="AG25" s="1397"/>
      <c r="AH25" s="1397"/>
      <c r="AI25" s="1397"/>
      <c r="AJ25" s="1218"/>
      <c r="AK25" s="1182"/>
      <c r="AL25" s="1397"/>
    </row>
    <row r="26" s="1363" customFormat="1" ht="18.75" customHeight="1" spans="1:38">
      <c r="A26" s="1502"/>
      <c r="B26" s="664"/>
      <c r="C26" s="655"/>
      <c r="D26" s="1370" t="s">
        <v>146</v>
      </c>
      <c r="E26" s="244"/>
      <c r="F26" s="1002">
        <v>27753</v>
      </c>
      <c r="G26" s="603">
        <f t="shared" si="0"/>
        <v>197024.0976</v>
      </c>
      <c r="H26" s="603">
        <f>G26</f>
        <v>197024.0976</v>
      </c>
      <c r="I26" s="799">
        <f>H26</f>
        <v>197024.0976</v>
      </c>
      <c r="J26" s="733">
        <v>7.0992</v>
      </c>
      <c r="K26" s="598"/>
      <c r="L26" s="645">
        <v>44856</v>
      </c>
      <c r="M26" s="645"/>
      <c r="N26" s="706" t="s">
        <v>1562</v>
      </c>
      <c r="O26" s="1388"/>
      <c r="P26" s="1386"/>
      <c r="Q26" s="1399"/>
      <c r="R26" s="602"/>
      <c r="S26" s="1340"/>
      <c r="T26" s="1172"/>
      <c r="U26" s="1397"/>
      <c r="V26" s="1397"/>
      <c r="W26" s="1406"/>
      <c r="X26" s="1397"/>
      <c r="Y26" s="1414"/>
      <c r="Z26" s="1397"/>
      <c r="AA26" s="1397"/>
      <c r="AB26" s="1397"/>
      <c r="AC26" s="1397"/>
      <c r="AD26" s="1397"/>
      <c r="AE26" s="1397"/>
      <c r="AF26" s="1397"/>
      <c r="AG26" s="1397"/>
      <c r="AH26" s="1397"/>
      <c r="AI26" s="1397"/>
      <c r="AJ26" s="1218"/>
      <c r="AK26" s="1182"/>
      <c r="AL26" s="1397"/>
    </row>
    <row r="27" s="1363" customFormat="1" ht="18.75" customHeight="1" spans="1:38">
      <c r="A27" s="1502"/>
      <c r="B27" s="664" t="s">
        <v>1120</v>
      </c>
      <c r="C27" s="655">
        <v>104</v>
      </c>
      <c r="D27" s="1248" t="s">
        <v>1563</v>
      </c>
      <c r="E27" s="250" t="s">
        <v>1564</v>
      </c>
      <c r="F27" s="562">
        <v>18623</v>
      </c>
      <c r="G27" s="603">
        <f t="shared" si="0"/>
        <v>132208.4016</v>
      </c>
      <c r="H27" s="596">
        <v>132208</v>
      </c>
      <c r="I27" s="393"/>
      <c r="J27" s="733">
        <v>7.0992</v>
      </c>
      <c r="K27" s="598"/>
      <c r="L27" s="856"/>
      <c r="M27" s="856"/>
      <c r="N27" s="706"/>
      <c r="O27" s="1388"/>
      <c r="P27" s="1386"/>
      <c r="Q27" s="1399"/>
      <c r="R27" s="766"/>
      <c r="S27" s="1173"/>
      <c r="T27" s="1174"/>
      <c r="U27" s="1398"/>
      <c r="V27" s="1398"/>
      <c r="W27" s="1406"/>
      <c r="X27" s="1397"/>
      <c r="Y27" s="1414"/>
      <c r="Z27" s="1397"/>
      <c r="AA27" s="1397"/>
      <c r="AB27" s="1397"/>
      <c r="AC27" s="1397"/>
      <c r="AD27" s="1397"/>
      <c r="AE27" s="1397"/>
      <c r="AF27" s="1397"/>
      <c r="AG27" s="1397"/>
      <c r="AH27" s="1397"/>
      <c r="AI27" s="1397"/>
      <c r="AJ27" s="1218"/>
      <c r="AK27" s="1182"/>
      <c r="AL27" s="1397"/>
    </row>
    <row r="28" s="1363" customFormat="1" ht="18.75" customHeight="1" spans="1:38">
      <c r="A28" s="1502"/>
      <c r="B28" s="670" t="s">
        <v>1393</v>
      </c>
      <c r="C28" s="1554">
        <v>30</v>
      </c>
      <c r="D28" s="1370" t="s">
        <v>1565</v>
      </c>
      <c r="E28" s="244" t="s">
        <v>1566</v>
      </c>
      <c r="F28" s="1002">
        <v>10717</v>
      </c>
      <c r="G28" s="603">
        <f t="shared" si="0"/>
        <v>76082.1264</v>
      </c>
      <c r="H28" s="600">
        <f>G28</f>
        <v>76082.1264</v>
      </c>
      <c r="I28" s="799">
        <v>76082</v>
      </c>
      <c r="J28" s="733">
        <v>7.0992</v>
      </c>
      <c r="K28" s="598">
        <v>44838</v>
      </c>
      <c r="L28" s="645">
        <v>44848</v>
      </c>
      <c r="M28" s="645">
        <v>44854</v>
      </c>
      <c r="N28" s="706" t="s">
        <v>1567</v>
      </c>
      <c r="O28" s="1388"/>
      <c r="P28" s="1386"/>
      <c r="Q28" s="1399"/>
      <c r="R28" s="766"/>
      <c r="S28" s="1173"/>
      <c r="T28" s="1174"/>
      <c r="U28" s="1398"/>
      <c r="V28" s="1398"/>
      <c r="W28" s="1407"/>
      <c r="X28" s="1397"/>
      <c r="Y28" s="1414"/>
      <c r="Z28" s="1397"/>
      <c r="AA28" s="1397"/>
      <c r="AB28" s="1397"/>
      <c r="AC28" s="1397"/>
      <c r="AD28" s="1397"/>
      <c r="AE28" s="1397"/>
      <c r="AF28" s="1397"/>
      <c r="AG28" s="1397"/>
      <c r="AH28" s="1397"/>
      <c r="AI28" s="1397"/>
      <c r="AJ28" s="1218"/>
      <c r="AK28" s="1182"/>
      <c r="AL28" s="1397"/>
    </row>
    <row r="29" s="1363" customFormat="1" ht="18.75" customHeight="1" spans="1:38">
      <c r="A29" s="1502"/>
      <c r="B29" s="670"/>
      <c r="C29" s="1554"/>
      <c r="D29" s="1370" t="s">
        <v>1568</v>
      </c>
      <c r="E29" s="244" t="s">
        <v>1569</v>
      </c>
      <c r="F29" s="1002">
        <v>53343.48</v>
      </c>
      <c r="G29" s="603">
        <f t="shared" si="0"/>
        <v>378696.033216</v>
      </c>
      <c r="H29" s="603">
        <f>F29*J29</f>
        <v>378696.033216</v>
      </c>
      <c r="I29" s="799">
        <f>H29</f>
        <v>378696.033216</v>
      </c>
      <c r="J29" s="733">
        <v>7.0992</v>
      </c>
      <c r="K29" s="598">
        <v>44857</v>
      </c>
      <c r="L29" s="645">
        <v>44861</v>
      </c>
      <c r="M29" s="645">
        <v>44864</v>
      </c>
      <c r="N29" s="706" t="s">
        <v>1570</v>
      </c>
      <c r="O29" s="1388"/>
      <c r="P29" s="1386"/>
      <c r="Q29" s="1399"/>
      <c r="R29" s="766"/>
      <c r="S29" s="1173"/>
      <c r="T29" s="1174"/>
      <c r="U29" s="1398"/>
      <c r="V29" s="1398"/>
      <c r="W29" s="1407"/>
      <c r="X29" s="1397"/>
      <c r="Y29" s="1414"/>
      <c r="Z29" s="1397"/>
      <c r="AA29" s="1397"/>
      <c r="AB29" s="1397"/>
      <c r="AC29" s="1397"/>
      <c r="AD29" s="1397"/>
      <c r="AE29" s="1397"/>
      <c r="AF29" s="1397"/>
      <c r="AG29" s="1397"/>
      <c r="AH29" s="1397"/>
      <c r="AI29" s="1397"/>
      <c r="AJ29" s="1218"/>
      <c r="AK29" s="1182"/>
      <c r="AL29" s="1397"/>
    </row>
    <row r="30" s="1363" customFormat="1" ht="18.75" customHeight="1" spans="1:38">
      <c r="A30" s="1502"/>
      <c r="B30" s="664"/>
      <c r="C30" s="1554"/>
      <c r="D30" s="250" t="s">
        <v>593</v>
      </c>
      <c r="E30" s="250" t="s">
        <v>1487</v>
      </c>
      <c r="F30" s="562"/>
      <c r="G30" s="596"/>
      <c r="H30" s="596"/>
      <c r="I30" s="393">
        <v>316907</v>
      </c>
      <c r="J30" s="733">
        <v>7.0992</v>
      </c>
      <c r="K30" s="598"/>
      <c r="L30" s="856"/>
      <c r="M30" s="856">
        <v>44838</v>
      </c>
      <c r="O30" s="1388"/>
      <c r="P30" s="1386"/>
      <c r="Q30" s="1399"/>
      <c r="R30" s="766"/>
      <c r="S30" s="1173"/>
      <c r="T30" s="1174"/>
      <c r="U30" s="1398"/>
      <c r="V30" s="1398"/>
      <c r="W30" s="1407"/>
      <c r="X30" s="1397"/>
      <c r="Y30" s="1414"/>
      <c r="Z30" s="1397"/>
      <c r="AA30" s="1397"/>
      <c r="AB30" s="1397"/>
      <c r="AC30" s="1397"/>
      <c r="AD30" s="1397"/>
      <c r="AE30" s="1397"/>
      <c r="AF30" s="1397"/>
      <c r="AG30" s="1397"/>
      <c r="AH30" s="1397"/>
      <c r="AI30" s="1397"/>
      <c r="AJ30" s="1218"/>
      <c r="AK30" s="1182"/>
      <c r="AL30" s="1397"/>
    </row>
    <row r="31" s="1363" customFormat="1" ht="24.4" customHeight="1" spans="1:38">
      <c r="A31" s="1502"/>
      <c r="B31" s="1244" t="s">
        <v>1124</v>
      </c>
      <c r="C31" s="1219">
        <f>SUM(C3:C30)</f>
        <v>671</v>
      </c>
      <c r="D31" s="1198"/>
      <c r="E31" s="1198"/>
      <c r="F31" s="1159" t="s">
        <v>1235</v>
      </c>
      <c r="G31" s="1158">
        <f>SUM(G3:G30)</f>
        <v>4888989.312416</v>
      </c>
      <c r="H31" s="1158">
        <f>SUM(H3:H29)</f>
        <v>4888988.910816</v>
      </c>
      <c r="I31" s="1158">
        <f>SUM(I3:I30)</f>
        <v>5209591.638816</v>
      </c>
      <c r="J31" s="1168"/>
      <c r="K31" s="610"/>
      <c r="L31" s="645"/>
      <c r="M31" s="645"/>
      <c r="N31" s="706"/>
      <c r="O31" s="1388"/>
      <c r="P31" s="1386"/>
      <c r="Q31" s="1399"/>
      <c r="R31" s="766"/>
      <c r="S31" s="1173"/>
      <c r="T31" s="1174"/>
      <c r="U31" s="1398"/>
      <c r="V31" s="1398"/>
      <c r="W31" s="1407"/>
      <c r="X31" s="1397"/>
      <c r="Y31" s="1414"/>
      <c r="Z31" s="1397"/>
      <c r="AA31" s="1397"/>
      <c r="AB31" s="1397"/>
      <c r="AC31" s="1397"/>
      <c r="AD31" s="1397"/>
      <c r="AE31" s="1397"/>
      <c r="AF31" s="1397"/>
      <c r="AG31" s="1397"/>
      <c r="AH31" s="1397"/>
      <c r="AI31" s="1397"/>
      <c r="AJ31" s="1218"/>
      <c r="AK31" s="1182"/>
      <c r="AL31" s="1397"/>
    </row>
    <row r="32" s="889" customFormat="1" ht="27.2" customHeight="1" spans="1:38">
      <c r="A32" s="1505"/>
      <c r="B32" s="1244"/>
      <c r="C32" s="1150"/>
      <c r="D32" s="1144" t="s">
        <v>1125</v>
      </c>
      <c r="E32" s="1144"/>
      <c r="F32" s="1159" t="s">
        <v>1236</v>
      </c>
      <c r="G32" s="1160">
        <f>G31/(C31*10000)</f>
        <v>0.728612416157377</v>
      </c>
      <c r="H32" s="1160">
        <f>H31/(C31*10000)</f>
        <v>0.728612356306408</v>
      </c>
      <c r="I32" s="1160">
        <f>I31/(C31*10000)</f>
        <v>0.776392196544858</v>
      </c>
      <c r="J32" s="1168"/>
      <c r="K32" s="858"/>
      <c r="L32" s="821"/>
      <c r="M32" s="821"/>
      <c r="N32" s="1015"/>
      <c r="O32" s="804"/>
      <c r="P32" s="652"/>
      <c r="Q32" s="653"/>
      <c r="R32" s="807"/>
      <c r="S32" s="807">
        <v>0</v>
      </c>
      <c r="T32" s="807">
        <v>0</v>
      </c>
      <c r="U32" s="1408"/>
      <c r="V32" s="1408"/>
      <c r="W32" s="1409"/>
      <c r="X32" s="727"/>
      <c r="Y32" s="727"/>
      <c r="Z32" s="727"/>
      <c r="AA32" s="727"/>
      <c r="AB32" s="727"/>
      <c r="AC32" s="727"/>
      <c r="AD32" s="727"/>
      <c r="AE32" s="727"/>
      <c r="AF32" s="727"/>
      <c r="AG32" s="727"/>
      <c r="AH32" s="727"/>
      <c r="AI32" s="727"/>
      <c r="AJ32" s="727"/>
      <c r="AK32" s="727" t="s">
        <v>285</v>
      </c>
      <c r="AL32" s="727"/>
    </row>
    <row r="33" s="1363" customFormat="1" ht="32.15" customHeight="1" spans="1:38">
      <c r="A33" s="1371" t="s">
        <v>1396</v>
      </c>
      <c r="B33" s="1269" t="s">
        <v>1248</v>
      </c>
      <c r="C33" s="759">
        <v>103</v>
      </c>
      <c r="D33" s="715" t="s">
        <v>175</v>
      </c>
      <c r="E33" s="250" t="s">
        <v>1504</v>
      </c>
      <c r="F33" s="722">
        <v>18410</v>
      </c>
      <c r="G33" s="596"/>
      <c r="H33" s="735"/>
      <c r="I33" s="735">
        <v>126699.461</v>
      </c>
      <c r="J33" s="733">
        <v>6.8821</v>
      </c>
      <c r="K33" s="598" t="s">
        <v>1218</v>
      </c>
      <c r="L33" s="644">
        <v>44833</v>
      </c>
      <c r="M33" s="625" t="s">
        <v>1505</v>
      </c>
      <c r="N33" s="1038" t="s">
        <v>1571</v>
      </c>
      <c r="O33" s="664"/>
      <c r="P33" s="655"/>
      <c r="Q33" s="656"/>
      <c r="R33" s="1400"/>
      <c r="S33" s="1401"/>
      <c r="T33" s="1401"/>
      <c r="U33" s="1410"/>
      <c r="V33" s="1410"/>
      <c r="W33" s="1183"/>
      <c r="X33" s="1411"/>
      <c r="Y33" s="715"/>
      <c r="Z33" s="546"/>
      <c r="AA33" s="546"/>
      <c r="AB33" s="546"/>
      <c r="AC33" s="546"/>
      <c r="AD33" s="546"/>
      <c r="AE33" s="546"/>
      <c r="AF33" s="546"/>
      <c r="AG33" s="546"/>
      <c r="AH33" s="546"/>
      <c r="AI33" s="546"/>
      <c r="AJ33" s="715"/>
      <c r="AK33" s="715"/>
      <c r="AL33" s="715"/>
    </row>
    <row r="34" s="536" customFormat="1" ht="23.75" customHeight="1" spans="1:38">
      <c r="A34" s="1371"/>
      <c r="B34" s="670"/>
      <c r="C34" s="968"/>
      <c r="D34" s="542" t="s">
        <v>165</v>
      </c>
      <c r="E34" s="250" t="s">
        <v>1513</v>
      </c>
      <c r="F34" s="786">
        <v>11505</v>
      </c>
      <c r="G34" s="577"/>
      <c r="H34" s="735"/>
      <c r="I34" s="735">
        <v>79178.5605</v>
      </c>
      <c r="J34" s="733">
        <v>6.8821</v>
      </c>
      <c r="K34" s="598" t="s">
        <v>1218</v>
      </c>
      <c r="L34" s="644">
        <v>44833</v>
      </c>
      <c r="M34" s="855">
        <v>44838</v>
      </c>
      <c r="N34" s="1038" t="s">
        <v>1572</v>
      </c>
      <c r="O34" s="1390"/>
      <c r="P34" s="968"/>
      <c r="Q34" s="919"/>
      <c r="R34" s="1401"/>
      <c r="S34" s="754"/>
      <c r="T34" s="992"/>
      <c r="U34" s="1465"/>
      <c r="V34" s="1209"/>
      <c r="W34" s="1210"/>
      <c r="X34" s="715"/>
      <c r="Y34" s="1474"/>
      <c r="Z34" s="1473"/>
      <c r="AA34" s="715"/>
      <c r="AB34" s="715"/>
      <c r="AC34" s="715"/>
      <c r="AD34" s="715"/>
      <c r="AE34" s="715"/>
      <c r="AF34" s="715"/>
      <c r="AG34" s="715"/>
      <c r="AH34" s="715"/>
      <c r="AI34" s="715"/>
      <c r="AJ34" s="715"/>
      <c r="AK34" s="992"/>
      <c r="AL34" s="715"/>
    </row>
    <row r="35" s="1363" customFormat="1" ht="32.15" customHeight="1" spans="1:38">
      <c r="A35" s="1371"/>
      <c r="B35" s="1269"/>
      <c r="C35" s="759"/>
      <c r="D35" s="715" t="s">
        <v>1573</v>
      </c>
      <c r="E35" s="1163" t="s">
        <v>1574</v>
      </c>
      <c r="F35" s="786">
        <v>7356</v>
      </c>
      <c r="G35" s="603">
        <f>F35*J35</f>
        <v>52221.7152</v>
      </c>
      <c r="H35" s="735">
        <v>52221.7152</v>
      </c>
      <c r="I35" s="735"/>
      <c r="J35" s="733">
        <v>7.0992</v>
      </c>
      <c r="K35" s="610">
        <v>44860</v>
      </c>
      <c r="L35" s="610">
        <v>44861</v>
      </c>
      <c r="M35" s="625" t="s">
        <v>1575</v>
      </c>
      <c r="N35" s="1038" t="s">
        <v>1576</v>
      </c>
      <c r="O35" s="664"/>
      <c r="P35" s="655"/>
      <c r="Q35" s="656"/>
      <c r="R35" s="1400"/>
      <c r="S35" s="1401"/>
      <c r="T35" s="1401"/>
      <c r="U35" s="1410"/>
      <c r="V35" s="1410"/>
      <c r="W35" s="1183"/>
      <c r="X35" s="1411"/>
      <c r="Y35" s="715"/>
      <c r="Z35" s="546"/>
      <c r="AA35" s="546"/>
      <c r="AB35" s="546"/>
      <c r="AC35" s="546"/>
      <c r="AD35" s="546"/>
      <c r="AE35" s="546"/>
      <c r="AF35" s="546"/>
      <c r="AG35" s="546"/>
      <c r="AH35" s="546"/>
      <c r="AI35" s="546"/>
      <c r="AJ35" s="715"/>
      <c r="AK35" s="715"/>
      <c r="AL35" s="715"/>
    </row>
    <row r="36" s="1363" customFormat="1" ht="23.45" customHeight="1" spans="1:38">
      <c r="A36" s="1371"/>
      <c r="B36" s="671"/>
      <c r="C36" s="557"/>
      <c r="D36" s="715" t="s">
        <v>174</v>
      </c>
      <c r="E36" s="1163" t="s">
        <v>1577</v>
      </c>
      <c r="F36" s="786">
        <v>42444</v>
      </c>
      <c r="G36" s="603">
        <f>F36*J36</f>
        <v>301318.4448</v>
      </c>
      <c r="H36" s="735">
        <v>301318.4448</v>
      </c>
      <c r="I36" s="735"/>
      <c r="J36" s="733">
        <v>7.0992</v>
      </c>
      <c r="K36" s="610" t="s">
        <v>1251</v>
      </c>
      <c r="L36" s="644">
        <v>44851</v>
      </c>
      <c r="M36" s="625" t="s">
        <v>621</v>
      </c>
      <c r="N36" s="1214" t="s">
        <v>1578</v>
      </c>
      <c r="O36" s="664"/>
      <c r="P36" s="1516"/>
      <c r="Q36" s="1516"/>
      <c r="R36" s="1400"/>
      <c r="S36" s="1401"/>
      <c r="T36" s="1401"/>
      <c r="U36" s="1410"/>
      <c r="V36" s="1410"/>
      <c r="W36" s="1183"/>
      <c r="X36" s="1411"/>
      <c r="Y36" s="715"/>
      <c r="Z36" s="546"/>
      <c r="AA36" s="546"/>
      <c r="AB36" s="546"/>
      <c r="AC36" s="546"/>
      <c r="AD36" s="546"/>
      <c r="AE36" s="546"/>
      <c r="AF36" s="546"/>
      <c r="AG36" s="546"/>
      <c r="AH36" s="546"/>
      <c r="AI36" s="546"/>
      <c r="AJ36" s="715"/>
      <c r="AK36" s="715"/>
      <c r="AL36" s="715"/>
    </row>
    <row r="37" s="1363" customFormat="1" ht="23.45" customHeight="1" spans="1:38">
      <c r="A37" s="1371"/>
      <c r="B37" s="671"/>
      <c r="C37" s="557"/>
      <c r="D37" s="546" t="s">
        <v>1405</v>
      </c>
      <c r="E37" s="1163" t="s">
        <v>1579</v>
      </c>
      <c r="F37" s="786">
        <v>18245</v>
      </c>
      <c r="G37" s="603">
        <f t="shared" ref="G37:G45" si="1">F37*J37</f>
        <v>129524.904</v>
      </c>
      <c r="H37" s="735">
        <v>129524.904</v>
      </c>
      <c r="I37" s="735">
        <v>129524.904</v>
      </c>
      <c r="J37" s="733">
        <v>7.0992</v>
      </c>
      <c r="K37" s="610" t="s">
        <v>1251</v>
      </c>
      <c r="L37" s="644">
        <v>44845</v>
      </c>
      <c r="M37" s="625" t="s">
        <v>1580</v>
      </c>
      <c r="N37" s="1214" t="s">
        <v>1581</v>
      </c>
      <c r="O37" s="664"/>
      <c r="P37" s="1516"/>
      <c r="Q37" s="1516"/>
      <c r="R37" s="1400"/>
      <c r="S37" s="1401"/>
      <c r="T37" s="1401"/>
      <c r="U37" s="1410"/>
      <c r="V37" s="1410"/>
      <c r="W37" s="1183"/>
      <c r="X37" s="1411"/>
      <c r="Y37" s="715"/>
      <c r="Z37" s="546"/>
      <c r="AA37" s="546"/>
      <c r="AB37" s="546"/>
      <c r="AC37" s="546"/>
      <c r="AD37" s="546"/>
      <c r="AE37" s="546"/>
      <c r="AF37" s="546"/>
      <c r="AG37" s="546"/>
      <c r="AH37" s="546"/>
      <c r="AI37" s="546"/>
      <c r="AJ37" s="715"/>
      <c r="AK37" s="715"/>
      <c r="AL37" s="715"/>
    </row>
    <row r="38" s="1363" customFormat="1" ht="23.45" customHeight="1" spans="1:38">
      <c r="A38" s="1371"/>
      <c r="B38" s="671"/>
      <c r="C38" s="557"/>
      <c r="D38" s="542" t="s">
        <v>167</v>
      </c>
      <c r="E38" s="1163" t="s">
        <v>1582</v>
      </c>
      <c r="F38" s="562">
        <v>4035</v>
      </c>
      <c r="G38" s="603">
        <f t="shared" si="1"/>
        <v>28645.272</v>
      </c>
      <c r="H38" s="735">
        <v>28645.272</v>
      </c>
      <c r="I38" s="735"/>
      <c r="J38" s="733">
        <v>7.0992</v>
      </c>
      <c r="K38" s="598" t="s">
        <v>1218</v>
      </c>
      <c r="L38" s="610">
        <v>44861</v>
      </c>
      <c r="M38" s="645"/>
      <c r="N38" s="1214" t="s">
        <v>1583</v>
      </c>
      <c r="O38" s="664"/>
      <c r="P38" s="1516"/>
      <c r="Q38" s="1516"/>
      <c r="R38" s="1400"/>
      <c r="S38" s="1401"/>
      <c r="T38" s="1401"/>
      <c r="U38" s="1410"/>
      <c r="V38" s="1410"/>
      <c r="W38" s="1183"/>
      <c r="X38" s="1411"/>
      <c r="Y38" s="715"/>
      <c r="Z38" s="546"/>
      <c r="AA38" s="546"/>
      <c r="AB38" s="546"/>
      <c r="AC38" s="546"/>
      <c r="AD38" s="546"/>
      <c r="AE38" s="546"/>
      <c r="AF38" s="546"/>
      <c r="AG38" s="546"/>
      <c r="AH38" s="546"/>
      <c r="AI38" s="546"/>
      <c r="AJ38" s="715"/>
      <c r="AK38" s="715"/>
      <c r="AL38" s="715"/>
    </row>
    <row r="39" s="1363" customFormat="1" ht="23.45" customHeight="1" spans="1:38">
      <c r="A39" s="1371"/>
      <c r="B39" s="671"/>
      <c r="C39" s="557"/>
      <c r="D39" s="544"/>
      <c r="E39" s="1163" t="s">
        <v>1584</v>
      </c>
      <c r="F39" s="562">
        <v>11301</v>
      </c>
      <c r="G39" s="603">
        <f t="shared" si="1"/>
        <v>80228.0592</v>
      </c>
      <c r="H39" s="735">
        <v>80228.0592</v>
      </c>
      <c r="I39" s="735"/>
      <c r="J39" s="733">
        <v>7.0992</v>
      </c>
      <c r="K39" s="598" t="s">
        <v>1218</v>
      </c>
      <c r="L39" s="610">
        <v>44861</v>
      </c>
      <c r="M39" s="625" t="s">
        <v>1585</v>
      </c>
      <c r="N39" s="1038" t="s">
        <v>1586</v>
      </c>
      <c r="O39" s="664"/>
      <c r="P39" s="1516"/>
      <c r="Q39" s="1516"/>
      <c r="R39" s="1400"/>
      <c r="S39" s="1401"/>
      <c r="T39" s="1401"/>
      <c r="U39" s="1410"/>
      <c r="V39" s="1410"/>
      <c r="W39" s="1183"/>
      <c r="X39" s="1411"/>
      <c r="Y39" s="715"/>
      <c r="Z39" s="546"/>
      <c r="AA39" s="546"/>
      <c r="AB39" s="546"/>
      <c r="AC39" s="546"/>
      <c r="AD39" s="546"/>
      <c r="AE39" s="546"/>
      <c r="AF39" s="546"/>
      <c r="AG39" s="546"/>
      <c r="AH39" s="546"/>
      <c r="AI39" s="546"/>
      <c r="AJ39" s="715"/>
      <c r="AK39" s="715"/>
      <c r="AL39" s="715"/>
    </row>
    <row r="40" s="1363" customFormat="1" ht="23.45" customHeight="1" spans="1:38">
      <c r="A40" s="1371"/>
      <c r="B40" s="671"/>
      <c r="C40" s="557"/>
      <c r="D40" s="715" t="s">
        <v>1358</v>
      </c>
      <c r="E40" s="1163" t="s">
        <v>1587</v>
      </c>
      <c r="F40" s="562">
        <v>396</v>
      </c>
      <c r="G40" s="603">
        <f t="shared" si="1"/>
        <v>2811.2832</v>
      </c>
      <c r="H40" s="735">
        <v>2811.2832</v>
      </c>
      <c r="I40" s="735"/>
      <c r="J40" s="733">
        <v>7.0992</v>
      </c>
      <c r="K40" s="598" t="s">
        <v>1218</v>
      </c>
      <c r="L40" s="644">
        <v>44859</v>
      </c>
      <c r="M40" s="644"/>
      <c r="N40" s="1214" t="s">
        <v>1588</v>
      </c>
      <c r="O40" s="664"/>
      <c r="P40" s="1516"/>
      <c r="Q40" s="1516"/>
      <c r="R40" s="1400"/>
      <c r="S40" s="1401"/>
      <c r="T40" s="1401"/>
      <c r="U40" s="1410"/>
      <c r="V40" s="1410"/>
      <c r="W40" s="1183"/>
      <c r="X40" s="1411"/>
      <c r="Y40" s="715"/>
      <c r="Z40" s="546"/>
      <c r="AA40" s="546"/>
      <c r="AB40" s="546"/>
      <c r="AC40" s="546"/>
      <c r="AD40" s="546"/>
      <c r="AE40" s="546"/>
      <c r="AF40" s="546"/>
      <c r="AG40" s="546"/>
      <c r="AH40" s="546"/>
      <c r="AI40" s="546"/>
      <c r="AJ40" s="715"/>
      <c r="AK40" s="715"/>
      <c r="AL40" s="715"/>
    </row>
    <row r="41" s="1363" customFormat="1" ht="23.45" customHeight="1" spans="1:38">
      <c r="A41" s="1371"/>
      <c r="B41" s="671"/>
      <c r="C41" s="557"/>
      <c r="D41" s="715" t="s">
        <v>287</v>
      </c>
      <c r="E41" s="1310" t="s">
        <v>1589</v>
      </c>
      <c r="F41" s="722">
        <v>2772</v>
      </c>
      <c r="G41" s="603">
        <f t="shared" si="1"/>
        <v>19678.9824</v>
      </c>
      <c r="H41" s="735">
        <v>19678.9824</v>
      </c>
      <c r="I41" s="735"/>
      <c r="J41" s="733">
        <v>7.0992</v>
      </c>
      <c r="K41" s="598" t="s">
        <v>1218</v>
      </c>
      <c r="L41" s="644">
        <v>44845</v>
      </c>
      <c r="M41" s="644"/>
      <c r="N41" s="1214" t="s">
        <v>1590</v>
      </c>
      <c r="O41" s="1443"/>
      <c r="P41" s="945"/>
      <c r="Q41" s="945"/>
      <c r="R41" s="1400"/>
      <c r="S41" s="1401"/>
      <c r="T41" s="1401"/>
      <c r="U41" s="1410"/>
      <c r="V41" s="1410"/>
      <c r="W41" s="1183"/>
      <c r="X41" s="1411"/>
      <c r="Y41" s="715"/>
      <c r="Z41" s="546"/>
      <c r="AA41" s="546"/>
      <c r="AB41" s="546"/>
      <c r="AC41" s="546"/>
      <c r="AD41" s="546"/>
      <c r="AE41" s="546"/>
      <c r="AF41" s="546"/>
      <c r="AG41" s="546"/>
      <c r="AH41" s="546"/>
      <c r="AI41" s="546"/>
      <c r="AJ41" s="715"/>
      <c r="AK41" s="715"/>
      <c r="AL41" s="715"/>
    </row>
    <row r="42" s="1363" customFormat="1" ht="23.45" customHeight="1" spans="1:38">
      <c r="A42" s="1371"/>
      <c r="B42" s="671"/>
      <c r="C42" s="557"/>
      <c r="D42" s="542" t="s">
        <v>1353</v>
      </c>
      <c r="E42" s="1310" t="s">
        <v>1591</v>
      </c>
      <c r="F42" s="722">
        <v>45</v>
      </c>
      <c r="G42" s="603">
        <f t="shared" si="1"/>
        <v>319.464</v>
      </c>
      <c r="H42" s="735">
        <v>319.464</v>
      </c>
      <c r="I42" s="735">
        <v>319.464</v>
      </c>
      <c r="J42" s="733">
        <v>7.0992</v>
      </c>
      <c r="K42" s="598" t="s">
        <v>1251</v>
      </c>
      <c r="L42" s="644">
        <v>44851</v>
      </c>
      <c r="M42" s="625" t="s">
        <v>1592</v>
      </c>
      <c r="N42" s="1037" t="s">
        <v>1593</v>
      </c>
      <c r="O42" s="1443"/>
      <c r="P42" s="945"/>
      <c r="Q42" s="945"/>
      <c r="R42" s="1400"/>
      <c r="S42" s="1401"/>
      <c r="T42" s="1401"/>
      <c r="U42" s="1410"/>
      <c r="V42" s="1410"/>
      <c r="W42" s="1183"/>
      <c r="X42" s="1411"/>
      <c r="Y42" s="715"/>
      <c r="Z42" s="546"/>
      <c r="AA42" s="546"/>
      <c r="AB42" s="546"/>
      <c r="AC42" s="546"/>
      <c r="AD42" s="546"/>
      <c r="AE42" s="546"/>
      <c r="AF42" s="546"/>
      <c r="AG42" s="546"/>
      <c r="AH42" s="546"/>
      <c r="AI42" s="546"/>
      <c r="AJ42" s="715"/>
      <c r="AK42" s="715"/>
      <c r="AL42" s="715"/>
    </row>
    <row r="43" s="1363" customFormat="1" ht="23.45" customHeight="1" spans="1:38">
      <c r="A43" s="1371"/>
      <c r="B43" s="671"/>
      <c r="C43" s="557"/>
      <c r="D43" s="546"/>
      <c r="E43" s="1310" t="s">
        <v>1594</v>
      </c>
      <c r="F43" s="722">
        <v>1139</v>
      </c>
      <c r="G43" s="603">
        <f t="shared" si="1"/>
        <v>8085.9888</v>
      </c>
      <c r="H43" s="735">
        <v>8085.9888</v>
      </c>
      <c r="I43" s="735">
        <v>8085.9888</v>
      </c>
      <c r="J43" s="733">
        <v>7.0992</v>
      </c>
      <c r="K43" s="598" t="s">
        <v>1218</v>
      </c>
      <c r="L43" s="644">
        <v>44851</v>
      </c>
      <c r="M43" s="625" t="s">
        <v>1592</v>
      </c>
      <c r="N43" s="1038"/>
      <c r="O43" s="1443"/>
      <c r="P43" s="945"/>
      <c r="Q43" s="945"/>
      <c r="R43" s="1400"/>
      <c r="S43" s="1401"/>
      <c r="T43" s="1401"/>
      <c r="U43" s="1410"/>
      <c r="V43" s="1410"/>
      <c r="W43" s="1183"/>
      <c r="X43" s="1411"/>
      <c r="Y43" s="715"/>
      <c r="Z43" s="546"/>
      <c r="AA43" s="546"/>
      <c r="AB43" s="546"/>
      <c r="AC43" s="546"/>
      <c r="AD43" s="546"/>
      <c r="AE43" s="546"/>
      <c r="AF43" s="546"/>
      <c r="AG43" s="546"/>
      <c r="AH43" s="546"/>
      <c r="AI43" s="546"/>
      <c r="AJ43" s="715"/>
      <c r="AK43" s="715"/>
      <c r="AL43" s="715"/>
    </row>
    <row r="44" s="1363" customFormat="1" ht="23.45" customHeight="1" spans="1:38">
      <c r="A44" s="1371"/>
      <c r="B44" s="671"/>
      <c r="C44" s="557"/>
      <c r="D44" s="715" t="s">
        <v>1595</v>
      </c>
      <c r="E44" s="1310" t="s">
        <v>1596</v>
      </c>
      <c r="F44" s="722">
        <v>5610</v>
      </c>
      <c r="G44" s="603">
        <f t="shared" si="1"/>
        <v>39826.512</v>
      </c>
      <c r="H44" s="735">
        <v>39826.512</v>
      </c>
      <c r="I44" s="735">
        <v>39826.512</v>
      </c>
      <c r="J44" s="733">
        <v>7.0992</v>
      </c>
      <c r="K44" s="598" t="s">
        <v>1218</v>
      </c>
      <c r="L44" s="644">
        <v>44845</v>
      </c>
      <c r="M44" s="625" t="s">
        <v>1580</v>
      </c>
      <c r="N44" s="1214" t="s">
        <v>1597</v>
      </c>
      <c r="O44" s="1443"/>
      <c r="P44" s="945"/>
      <c r="Q44" s="945"/>
      <c r="R44" s="1400"/>
      <c r="S44" s="1401"/>
      <c r="T44" s="1401"/>
      <c r="U44" s="1410"/>
      <c r="V44" s="1410"/>
      <c r="W44" s="1183"/>
      <c r="X44" s="1411"/>
      <c r="Y44" s="715"/>
      <c r="Z44" s="546"/>
      <c r="AA44" s="546"/>
      <c r="AB44" s="546"/>
      <c r="AC44" s="546"/>
      <c r="AD44" s="546"/>
      <c r="AE44" s="546"/>
      <c r="AF44" s="546"/>
      <c r="AG44" s="546"/>
      <c r="AH44" s="546"/>
      <c r="AI44" s="546"/>
      <c r="AJ44" s="715"/>
      <c r="AK44" s="715"/>
      <c r="AL44" s="715"/>
    </row>
    <row r="45" s="536" customFormat="1" ht="41.8" customHeight="1" spans="1:38">
      <c r="A45" s="1371"/>
      <c r="B45" s="664" t="s">
        <v>224</v>
      </c>
      <c r="C45" s="759">
        <v>152</v>
      </c>
      <c r="D45" s="715" t="s">
        <v>408</v>
      </c>
      <c r="E45" s="1310" t="s">
        <v>1598</v>
      </c>
      <c r="F45" s="1433">
        <v>123175</v>
      </c>
      <c r="G45" s="603">
        <f t="shared" si="1"/>
        <v>874443.96</v>
      </c>
      <c r="H45" s="1434">
        <v>874443.96</v>
      </c>
      <c r="I45" s="1434"/>
      <c r="J45" s="733">
        <v>7.0992</v>
      </c>
      <c r="K45" s="1355">
        <v>44859</v>
      </c>
      <c r="L45" s="644">
        <v>44865</v>
      </c>
      <c r="M45" s="644"/>
      <c r="N45" s="1214" t="s">
        <v>1599</v>
      </c>
      <c r="O45" s="1443"/>
      <c r="P45" s="945"/>
      <c r="Q45" s="945"/>
      <c r="R45" s="754"/>
      <c r="S45" s="754"/>
      <c r="T45" s="992"/>
      <c r="U45" s="1465"/>
      <c r="V45" s="1209"/>
      <c r="W45" s="1210"/>
      <c r="X45" s="715"/>
      <c r="Y45" s="1106"/>
      <c r="Z45" s="1473"/>
      <c r="AA45" s="715"/>
      <c r="AB45" s="715"/>
      <c r="AC45" s="715"/>
      <c r="AD45" s="715"/>
      <c r="AE45" s="715"/>
      <c r="AF45" s="715"/>
      <c r="AG45" s="715"/>
      <c r="AH45" s="715"/>
      <c r="AI45" s="715"/>
      <c r="AJ45" s="715"/>
      <c r="AK45" s="992"/>
      <c r="AL45" s="715"/>
    </row>
    <row r="46" s="536" customFormat="1" ht="23.75" hidden="1" customHeight="1" spans="1:38">
      <c r="A46" s="1371"/>
      <c r="B46" s="664"/>
      <c r="C46" s="557"/>
      <c r="D46" s="417"/>
      <c r="E46" s="23"/>
      <c r="F46"/>
      <c r="G46"/>
      <c r="H46"/>
      <c r="I46"/>
      <c r="J46"/>
      <c r="K46"/>
      <c r="L46"/>
      <c r="M46"/>
      <c r="N46"/>
      <c r="O46" s="1443"/>
      <c r="P46" s="1043"/>
      <c r="Q46" s="1043"/>
      <c r="R46" s="1401"/>
      <c r="S46" s="754"/>
      <c r="T46" s="992"/>
      <c r="U46" s="1465"/>
      <c r="V46" s="1209"/>
      <c r="W46" s="1210"/>
      <c r="X46" s="715"/>
      <c r="Y46" s="1474"/>
      <c r="Z46" s="1473"/>
      <c r="AA46" s="715"/>
      <c r="AB46" s="715"/>
      <c r="AC46" s="715"/>
      <c r="AD46" s="715"/>
      <c r="AE46" s="715"/>
      <c r="AF46" s="715"/>
      <c r="AG46" s="715"/>
      <c r="AH46" s="715"/>
      <c r="AI46" s="715"/>
      <c r="AJ46" s="715"/>
      <c r="AK46" s="992"/>
      <c r="AL46" s="715"/>
    </row>
    <row r="47" s="536" customFormat="1" ht="23.75" customHeight="1" spans="1:38">
      <c r="A47" s="1371"/>
      <c r="B47" s="664"/>
      <c r="C47" s="557"/>
      <c r="D47" s="715" t="s">
        <v>775</v>
      </c>
      <c r="E47" s="1310" t="s">
        <v>1600</v>
      </c>
      <c r="F47" s="722">
        <v>4163</v>
      </c>
      <c r="G47" s="603">
        <f>F47*J47</f>
        <v>29553.9696</v>
      </c>
      <c r="H47" s="603">
        <v>29554</v>
      </c>
      <c r="I47" s="735"/>
      <c r="J47" s="733">
        <v>7.0992</v>
      </c>
      <c r="K47" s="598" t="s">
        <v>1218</v>
      </c>
      <c r="L47" s="645"/>
      <c r="M47" s="645"/>
      <c r="N47" s="1214" t="s">
        <v>1601</v>
      </c>
      <c r="O47" s="1443"/>
      <c r="P47" s="1043"/>
      <c r="Q47" s="1043"/>
      <c r="R47" s="1401"/>
      <c r="S47" s="754"/>
      <c r="T47" s="992"/>
      <c r="U47" s="1465"/>
      <c r="V47" s="1209"/>
      <c r="W47" s="1210"/>
      <c r="X47" s="715"/>
      <c r="Y47" s="1474"/>
      <c r="Z47" s="1473"/>
      <c r="AA47" s="715"/>
      <c r="AB47" s="715"/>
      <c r="AC47" s="715"/>
      <c r="AD47" s="715"/>
      <c r="AE47" s="715"/>
      <c r="AF47" s="715"/>
      <c r="AG47" s="715"/>
      <c r="AH47" s="715"/>
      <c r="AI47" s="715"/>
      <c r="AJ47" s="715"/>
      <c r="AK47" s="992"/>
      <c r="AL47" s="715"/>
    </row>
    <row r="48" s="536" customFormat="1" ht="23.75" customHeight="1" spans="1:38">
      <c r="A48" s="1371"/>
      <c r="B48" s="664"/>
      <c r="C48" s="557"/>
      <c r="D48" s="546" t="s">
        <v>1602</v>
      </c>
      <c r="E48" s="1163" t="s">
        <v>1603</v>
      </c>
      <c r="F48" s="722"/>
      <c r="G48" s="603">
        <v>2400</v>
      </c>
      <c r="H48" s="735">
        <v>2400</v>
      </c>
      <c r="I48" s="735"/>
      <c r="J48" s="733"/>
      <c r="K48" s="598" t="s">
        <v>1218</v>
      </c>
      <c r="L48" s="610">
        <v>44852</v>
      </c>
      <c r="M48" s="645"/>
      <c r="N48" s="1214" t="s">
        <v>1604</v>
      </c>
      <c r="O48" s="1443"/>
      <c r="P48" s="1043"/>
      <c r="Q48" s="1043"/>
      <c r="R48" s="1401"/>
      <c r="S48" s="754"/>
      <c r="T48" s="992"/>
      <c r="U48" s="1465"/>
      <c r="V48" s="1209"/>
      <c r="W48" s="1210"/>
      <c r="X48" s="715"/>
      <c r="Y48" s="1474"/>
      <c r="Z48" s="1473"/>
      <c r="AA48" s="715"/>
      <c r="AB48" s="715"/>
      <c r="AC48" s="715"/>
      <c r="AD48" s="715"/>
      <c r="AE48" s="715"/>
      <c r="AF48" s="715"/>
      <c r="AG48" s="715"/>
      <c r="AH48" s="715"/>
      <c r="AI48" s="715"/>
      <c r="AJ48" s="715"/>
      <c r="AK48" s="992"/>
      <c r="AL48" s="715"/>
    </row>
    <row r="49" s="536" customFormat="1" ht="23.75" customHeight="1" spans="1:38">
      <c r="A49" s="1560"/>
      <c r="B49" s="1561" t="s">
        <v>1444</v>
      </c>
      <c r="C49" s="543">
        <v>76</v>
      </c>
      <c r="D49" s="542" t="s">
        <v>256</v>
      </c>
      <c r="E49" s="1163" t="s">
        <v>1605</v>
      </c>
      <c r="F49" s="1373">
        <v>15788</v>
      </c>
      <c r="G49" s="596">
        <f>F49*J49</f>
        <v>112082.1696</v>
      </c>
      <c r="H49" s="602">
        <v>112082</v>
      </c>
      <c r="I49" s="602">
        <v>112082</v>
      </c>
      <c r="J49" s="1343">
        <v>7.0992</v>
      </c>
      <c r="K49" s="1355">
        <v>44828</v>
      </c>
      <c r="L49" s="610">
        <v>44832</v>
      </c>
      <c r="M49" s="610" t="s">
        <v>1606</v>
      </c>
      <c r="N49" s="1214" t="s">
        <v>1607</v>
      </c>
      <c r="O49" s="1390" t="s">
        <v>252</v>
      </c>
      <c r="P49" s="655"/>
      <c r="Q49" s="656"/>
      <c r="R49" s="1401"/>
      <c r="S49" s="754"/>
      <c r="T49" s="992"/>
      <c r="U49" s="1465"/>
      <c r="V49" s="1209"/>
      <c r="W49" s="1210"/>
      <c r="X49" s="715"/>
      <c r="Y49" s="1474"/>
      <c r="Z49" s="1473"/>
      <c r="AA49" s="715"/>
      <c r="AB49" s="715"/>
      <c r="AC49" s="715"/>
      <c r="AD49" s="715"/>
      <c r="AE49" s="715"/>
      <c r="AF49" s="715"/>
      <c r="AG49" s="715"/>
      <c r="AH49" s="715"/>
      <c r="AI49" s="715"/>
      <c r="AJ49" s="715"/>
      <c r="AK49" s="992"/>
      <c r="AL49" s="715"/>
    </row>
    <row r="50" s="536" customFormat="1" ht="23.75" customHeight="1" spans="1:38">
      <c r="A50" s="1560"/>
      <c r="B50" s="1146"/>
      <c r="C50" s="545"/>
      <c r="D50" s="546"/>
      <c r="E50" s="1163" t="s">
        <v>1608</v>
      </c>
      <c r="F50" s="1555">
        <v>15937</v>
      </c>
      <c r="G50" s="596">
        <f>F50*J50</f>
        <v>113139.9504</v>
      </c>
      <c r="H50" s="602">
        <f>F50*J50</f>
        <v>113139.9504</v>
      </c>
      <c r="I50" s="602">
        <v>113140</v>
      </c>
      <c r="J50" s="1343">
        <v>7.0992</v>
      </c>
      <c r="K50" s="598" t="s">
        <v>1218</v>
      </c>
      <c r="L50" s="610">
        <v>44852</v>
      </c>
      <c r="M50" s="610" t="s">
        <v>1609</v>
      </c>
      <c r="N50" s="1214" t="s">
        <v>1610</v>
      </c>
      <c r="O50" s="1447"/>
      <c r="P50" s="968"/>
      <c r="Q50" s="919"/>
      <c r="R50" s="1401"/>
      <c r="S50" s="754"/>
      <c r="T50" s="992"/>
      <c r="U50" s="1465"/>
      <c r="V50" s="1209"/>
      <c r="W50" s="1210"/>
      <c r="X50" s="715"/>
      <c r="Y50" s="1474"/>
      <c r="Z50" s="1473"/>
      <c r="AA50" s="715"/>
      <c r="AB50" s="715"/>
      <c r="AC50" s="715"/>
      <c r="AD50" s="715"/>
      <c r="AE50" s="715"/>
      <c r="AF50" s="715"/>
      <c r="AG50" s="715"/>
      <c r="AH50" s="715"/>
      <c r="AI50" s="715"/>
      <c r="AJ50" s="715"/>
      <c r="AK50" s="992"/>
      <c r="AL50" s="715"/>
    </row>
    <row r="51" s="536" customFormat="1" ht="23.75" customHeight="1" spans="1:38">
      <c r="A51" s="1371"/>
      <c r="B51" s="1190" t="s">
        <v>1124</v>
      </c>
      <c r="C51" s="1191">
        <f>SUM(C33:C49)</f>
        <v>331</v>
      </c>
      <c r="D51" s="1420"/>
      <c r="E51" s="1198"/>
      <c r="F51" s="1157" t="s">
        <v>1235</v>
      </c>
      <c r="G51" s="1158">
        <f>SUM(G33:G50)</f>
        <v>1794280.6752</v>
      </c>
      <c r="H51" s="1158">
        <f>SUM(H33:H50)</f>
        <v>1794280.536</v>
      </c>
      <c r="I51" s="1158">
        <f>SUM(I33:I50)</f>
        <v>608856.8903</v>
      </c>
      <c r="J51" s="1168"/>
      <c r="K51" s="610"/>
      <c r="L51" s="644"/>
      <c r="M51" s="644"/>
      <c r="N51" s="1013"/>
      <c r="O51" s="1447"/>
      <c r="P51" s="968"/>
      <c r="Q51" s="919"/>
      <c r="R51" s="1401"/>
      <c r="S51" s="754"/>
      <c r="T51" s="992"/>
      <c r="U51" s="1465"/>
      <c r="V51" s="1209"/>
      <c r="W51" s="1210"/>
      <c r="X51" s="715"/>
      <c r="Y51" s="1474"/>
      <c r="Z51" s="1473"/>
      <c r="AA51" s="715"/>
      <c r="AB51" s="715"/>
      <c r="AC51" s="715"/>
      <c r="AD51" s="715"/>
      <c r="AE51" s="715"/>
      <c r="AF51" s="715"/>
      <c r="AG51" s="715"/>
      <c r="AH51" s="715"/>
      <c r="AI51" s="715"/>
      <c r="AJ51" s="715"/>
      <c r="AK51" s="992"/>
      <c r="AL51" s="715"/>
    </row>
    <row r="52" s="1364" customFormat="1" ht="27.5" customHeight="1" spans="1:38">
      <c r="A52" s="1419"/>
      <c r="B52" s="1192"/>
      <c r="C52" s="1150"/>
      <c r="D52" s="1420"/>
      <c r="E52" s="1198"/>
      <c r="F52" s="1157" t="s">
        <v>1236</v>
      </c>
      <c r="G52" s="1199">
        <f>G51/(C51*10000)</f>
        <v>0.542078753836858</v>
      </c>
      <c r="H52" s="1199">
        <f>H51/(C51*10000)</f>
        <v>0.542078711782477</v>
      </c>
      <c r="I52" s="1199">
        <f>I51/(C51*10000)</f>
        <v>0.183944679848943</v>
      </c>
      <c r="J52" s="747"/>
      <c r="K52" s="858"/>
      <c r="L52" s="1135"/>
      <c r="M52" s="1135"/>
      <c r="N52" s="1015"/>
      <c r="O52" s="727"/>
      <c r="P52" s="746"/>
      <c r="Q52" s="747"/>
      <c r="R52" s="747"/>
      <c r="S52" s="653"/>
      <c r="T52" s="653"/>
      <c r="U52" s="1184"/>
      <c r="V52" s="1184"/>
      <c r="W52" s="1185"/>
      <c r="X52" s="727"/>
      <c r="Y52" s="777"/>
      <c r="Z52" s="727"/>
      <c r="AA52" s="727"/>
      <c r="AB52" s="727"/>
      <c r="AC52" s="727"/>
      <c r="AD52" s="727"/>
      <c r="AE52" s="727"/>
      <c r="AF52" s="727"/>
      <c r="AG52" s="727"/>
      <c r="AH52" s="727"/>
      <c r="AI52" s="727"/>
      <c r="AJ52" s="727"/>
      <c r="AK52" s="727" t="s">
        <v>293</v>
      </c>
      <c r="AL52" s="727"/>
    </row>
    <row r="53" s="1363" customFormat="1" ht="18.75" customHeight="1" spans="1:38">
      <c r="A53" s="1517" t="s">
        <v>1137</v>
      </c>
      <c r="B53" s="671" t="s">
        <v>344</v>
      </c>
      <c r="C53" s="557">
        <v>163</v>
      </c>
      <c r="D53" s="724" t="s">
        <v>299</v>
      </c>
      <c r="E53" s="1303" t="s">
        <v>1521</v>
      </c>
      <c r="F53" s="969">
        <f t="shared" ref="F53:F61" si="2">P53*Q53</f>
        <v>35035</v>
      </c>
      <c r="G53" s="577"/>
      <c r="H53" s="577"/>
      <c r="I53" s="577">
        <f t="shared" ref="I53:I59" si="3">F53*J53</f>
        <v>248720.472</v>
      </c>
      <c r="J53" s="733">
        <v>7.0992</v>
      </c>
      <c r="K53" s="610">
        <v>44824</v>
      </c>
      <c r="L53" s="633">
        <v>44831</v>
      </c>
      <c r="M53" s="633" t="s">
        <v>880</v>
      </c>
      <c r="N53" s="1448">
        <f>SUM(I53:I63)</f>
        <v>2025486.9504</v>
      </c>
      <c r="O53" s="597" t="s">
        <v>348</v>
      </c>
      <c r="P53" s="751">
        <v>91</v>
      </c>
      <c r="Q53" s="752">
        <v>385</v>
      </c>
      <c r="R53" s="1410"/>
      <c r="S53" s="1451"/>
      <c r="T53" s="1452"/>
      <c r="U53" s="1344"/>
      <c r="V53" s="1466"/>
      <c r="W53" s="1467"/>
      <c r="X53" s="1397"/>
      <c r="Y53" s="1475"/>
      <c r="Z53" s="1397"/>
      <c r="AA53" s="1397"/>
      <c r="AB53" s="1397"/>
      <c r="AC53" s="1397"/>
      <c r="AD53" s="1397"/>
      <c r="AE53" s="1397"/>
      <c r="AF53" s="1397"/>
      <c r="AG53" s="1397"/>
      <c r="AH53" s="1397"/>
      <c r="AI53" s="1397"/>
      <c r="AJ53" s="1477"/>
      <c r="AK53" s="1478"/>
      <c r="AL53" s="1398"/>
    </row>
    <row r="54" s="1363" customFormat="1" ht="18.75" customHeight="1" spans="1:38">
      <c r="A54" s="1421"/>
      <c r="B54" s="671"/>
      <c r="C54" s="557"/>
      <c r="D54" s="724" t="s">
        <v>299</v>
      </c>
      <c r="E54" s="1303" t="s">
        <v>1522</v>
      </c>
      <c r="F54" s="969">
        <f t="shared" si="2"/>
        <v>35035</v>
      </c>
      <c r="G54" s="577"/>
      <c r="H54" s="577"/>
      <c r="I54" s="577">
        <f t="shared" si="3"/>
        <v>248720.472</v>
      </c>
      <c r="J54" s="733">
        <v>7.0992</v>
      </c>
      <c r="K54" s="610">
        <v>44824</v>
      </c>
      <c r="L54" s="633">
        <v>44831</v>
      </c>
      <c r="M54" s="633" t="s">
        <v>880</v>
      </c>
      <c r="N54" s="1448">
        <f>SUM(I64:I66)</f>
        <v>261484.8336</v>
      </c>
      <c r="O54" s="597" t="s">
        <v>348</v>
      </c>
      <c r="P54" s="751">
        <v>91</v>
      </c>
      <c r="Q54" s="752">
        <v>385</v>
      </c>
      <c r="R54" s="1410"/>
      <c r="S54" s="1451"/>
      <c r="T54" s="1452"/>
      <c r="U54" s="1344"/>
      <c r="V54" s="1466"/>
      <c r="W54" s="1467"/>
      <c r="X54" s="1397"/>
      <c r="Y54" s="1475"/>
      <c r="Z54" s="1397"/>
      <c r="AA54" s="1397"/>
      <c r="AB54" s="1397"/>
      <c r="AC54" s="1397"/>
      <c r="AD54" s="1397"/>
      <c r="AE54" s="1397"/>
      <c r="AF54" s="1397"/>
      <c r="AG54" s="1397"/>
      <c r="AH54" s="1397"/>
      <c r="AI54" s="1397"/>
      <c r="AJ54" s="1477"/>
      <c r="AK54" s="1478"/>
      <c r="AL54" s="1398"/>
    </row>
    <row r="55" s="1363" customFormat="1" ht="18.75" customHeight="1" spans="1:38">
      <c r="A55" s="1421"/>
      <c r="B55" s="671"/>
      <c r="C55" s="557"/>
      <c r="D55" s="724" t="s">
        <v>299</v>
      </c>
      <c r="E55" s="1161" t="s">
        <v>1611</v>
      </c>
      <c r="F55" s="969">
        <f t="shared" si="2"/>
        <v>35035</v>
      </c>
      <c r="G55" s="577">
        <f>F55*J55</f>
        <v>248720.472</v>
      </c>
      <c r="H55" s="577">
        <f>F55*J55</f>
        <v>248720.472</v>
      </c>
      <c r="I55" s="577">
        <f t="shared" si="3"/>
        <v>248720.472</v>
      </c>
      <c r="J55" s="733">
        <v>7.0992</v>
      </c>
      <c r="K55" s="610">
        <v>44840</v>
      </c>
      <c r="L55" s="633">
        <v>44842</v>
      </c>
      <c r="M55" s="633" t="s">
        <v>1612</v>
      </c>
      <c r="N55" s="1448">
        <f>SUM(I67:I68)</f>
        <v>266461.3728</v>
      </c>
      <c r="O55" s="597" t="s">
        <v>348</v>
      </c>
      <c r="P55" s="751">
        <v>91</v>
      </c>
      <c r="Q55" s="752">
        <v>385</v>
      </c>
      <c r="R55" s="1410"/>
      <c r="S55" s="1451"/>
      <c r="T55" s="1452"/>
      <c r="U55" s="1344"/>
      <c r="V55" s="1466"/>
      <c r="W55" s="1467"/>
      <c r="X55" s="1397"/>
      <c r="Y55" s="1475"/>
      <c r="Z55" s="1397"/>
      <c r="AA55" s="1397"/>
      <c r="AB55" s="1397"/>
      <c r="AC55" s="1397"/>
      <c r="AD55" s="1397"/>
      <c r="AE55" s="1397"/>
      <c r="AF55" s="1397"/>
      <c r="AG55" s="1397"/>
      <c r="AH55" s="1397"/>
      <c r="AI55" s="1397"/>
      <c r="AJ55" s="1477"/>
      <c r="AK55" s="1478"/>
      <c r="AL55" s="1398"/>
    </row>
    <row r="56" s="1363" customFormat="1" ht="18.75" customHeight="1" spans="1:38">
      <c r="A56" s="1421"/>
      <c r="B56" s="671"/>
      <c r="C56" s="557"/>
      <c r="D56" s="724" t="s">
        <v>299</v>
      </c>
      <c r="E56" s="1161" t="s">
        <v>1613</v>
      </c>
      <c r="F56" s="969">
        <f t="shared" si="2"/>
        <v>35035</v>
      </c>
      <c r="G56" s="577">
        <f>F56*J56</f>
        <v>248720.472</v>
      </c>
      <c r="H56" s="577">
        <f>F56*J56</f>
        <v>248720.472</v>
      </c>
      <c r="I56" s="577">
        <f t="shared" si="3"/>
        <v>248720.472</v>
      </c>
      <c r="J56" s="733">
        <v>7.0992</v>
      </c>
      <c r="K56" s="610">
        <v>44840</v>
      </c>
      <c r="L56" s="633">
        <v>44846</v>
      </c>
      <c r="M56" s="633" t="s">
        <v>1614</v>
      </c>
      <c r="N56" s="1448"/>
      <c r="O56" s="597" t="s">
        <v>348</v>
      </c>
      <c r="P56" s="751">
        <v>91</v>
      </c>
      <c r="Q56" s="752">
        <v>385</v>
      </c>
      <c r="R56" s="1410"/>
      <c r="S56" s="1451"/>
      <c r="T56" s="1452"/>
      <c r="U56" s="1344"/>
      <c r="V56" s="1466"/>
      <c r="W56" s="1467"/>
      <c r="X56" s="1397"/>
      <c r="Y56" s="1475"/>
      <c r="Z56" s="1397"/>
      <c r="AA56" s="1397"/>
      <c r="AB56" s="1397"/>
      <c r="AC56" s="1397"/>
      <c r="AD56" s="1397"/>
      <c r="AE56" s="1397"/>
      <c r="AF56" s="1397"/>
      <c r="AG56" s="1397"/>
      <c r="AH56" s="1397"/>
      <c r="AI56" s="1397"/>
      <c r="AJ56" s="1477"/>
      <c r="AK56" s="1478"/>
      <c r="AL56" s="1398"/>
    </row>
    <row r="57" s="1363" customFormat="1" ht="18.75" customHeight="1" spans="1:38">
      <c r="A57" s="1421"/>
      <c r="B57" s="671"/>
      <c r="C57" s="557"/>
      <c r="D57" s="724" t="s">
        <v>299</v>
      </c>
      <c r="E57" s="1161" t="s">
        <v>1615</v>
      </c>
      <c r="F57" s="969">
        <f t="shared" si="2"/>
        <v>35035</v>
      </c>
      <c r="G57" s="577">
        <f>F57*J57</f>
        <v>248720.472</v>
      </c>
      <c r="H57" s="577">
        <f>F57*J57</f>
        <v>248720.472</v>
      </c>
      <c r="I57" s="577">
        <f t="shared" si="3"/>
        <v>248720.472</v>
      </c>
      <c r="J57" s="733">
        <v>7.0992</v>
      </c>
      <c r="K57" s="610">
        <v>44845</v>
      </c>
      <c r="L57" s="633">
        <v>44848</v>
      </c>
      <c r="M57" s="633" t="s">
        <v>1616</v>
      </c>
      <c r="N57" s="1448"/>
      <c r="O57" s="597" t="s">
        <v>348</v>
      </c>
      <c r="P57" s="751">
        <v>91</v>
      </c>
      <c r="Q57" s="752">
        <v>385</v>
      </c>
      <c r="R57" s="1410"/>
      <c r="S57" s="1451"/>
      <c r="T57" s="1452"/>
      <c r="U57" s="1344"/>
      <c r="V57" s="1466"/>
      <c r="W57" s="1467"/>
      <c r="X57" s="1397"/>
      <c r="Y57" s="1475"/>
      <c r="Z57" s="1397"/>
      <c r="AA57" s="1397"/>
      <c r="AB57" s="1397"/>
      <c r="AC57" s="1397"/>
      <c r="AD57" s="1397"/>
      <c r="AE57" s="1397"/>
      <c r="AF57" s="1397"/>
      <c r="AG57" s="1397"/>
      <c r="AH57" s="1397"/>
      <c r="AI57" s="1397"/>
      <c r="AJ57" s="1477"/>
      <c r="AK57" s="1478"/>
      <c r="AL57" s="1398"/>
    </row>
    <row r="58" s="1363" customFormat="1" ht="18.75" customHeight="1" spans="1:38">
      <c r="A58" s="1421"/>
      <c r="B58" s="671"/>
      <c r="C58" s="557"/>
      <c r="D58" s="724" t="s">
        <v>299</v>
      </c>
      <c r="E58" s="1161" t="s">
        <v>1617</v>
      </c>
      <c r="F58" s="969">
        <f t="shared" si="2"/>
        <v>35035</v>
      </c>
      <c r="G58" s="577">
        <f>F58*J58</f>
        <v>248720.472</v>
      </c>
      <c r="H58" s="577">
        <f>F58*J58</f>
        <v>248720.472</v>
      </c>
      <c r="I58" s="577">
        <f t="shared" si="3"/>
        <v>248720.472</v>
      </c>
      <c r="J58" s="733">
        <v>7.0992</v>
      </c>
      <c r="K58" s="610">
        <v>44845</v>
      </c>
      <c r="L58" s="633" t="s">
        <v>1618</v>
      </c>
      <c r="M58" s="633" t="s">
        <v>1616</v>
      </c>
      <c r="N58" s="1448"/>
      <c r="O58" s="597" t="s">
        <v>348</v>
      </c>
      <c r="P58" s="751">
        <v>91</v>
      </c>
      <c r="Q58" s="752">
        <v>385</v>
      </c>
      <c r="R58" s="1410"/>
      <c r="S58" s="1451"/>
      <c r="T58" s="1452"/>
      <c r="U58" s="1344"/>
      <c r="V58" s="1466"/>
      <c r="W58" s="1467"/>
      <c r="X58" s="1397"/>
      <c r="Y58" s="1475"/>
      <c r="Z58" s="1397"/>
      <c r="AA58" s="1397"/>
      <c r="AB58" s="1397"/>
      <c r="AC58" s="1397"/>
      <c r="AD58" s="1397"/>
      <c r="AE58" s="1397"/>
      <c r="AF58" s="1397"/>
      <c r="AG58" s="1397"/>
      <c r="AH58" s="1397"/>
      <c r="AI58" s="1397"/>
      <c r="AJ58" s="1477"/>
      <c r="AK58" s="1478"/>
      <c r="AL58" s="1398"/>
    </row>
    <row r="59" s="1363" customFormat="1" ht="18.75" customHeight="1" spans="1:38">
      <c r="A59" s="1421"/>
      <c r="B59" s="671"/>
      <c r="C59" s="557"/>
      <c r="D59" s="724" t="s">
        <v>299</v>
      </c>
      <c r="E59" s="1161" t="s">
        <v>1619</v>
      </c>
      <c r="F59" s="969">
        <f t="shared" si="2"/>
        <v>33852</v>
      </c>
      <c r="G59" s="577">
        <f>F59*J59</f>
        <v>240322.1184</v>
      </c>
      <c r="H59" s="577">
        <f>F59*J59</f>
        <v>240322.1184</v>
      </c>
      <c r="I59" s="577">
        <f t="shared" si="3"/>
        <v>240322.1184</v>
      </c>
      <c r="J59" s="733">
        <v>7.0992</v>
      </c>
      <c r="K59" s="610">
        <v>44851</v>
      </c>
      <c r="L59" s="633">
        <v>44848</v>
      </c>
      <c r="M59" s="633" t="s">
        <v>1616</v>
      </c>
      <c r="N59" s="1448"/>
      <c r="O59" s="597" t="s">
        <v>348</v>
      </c>
      <c r="P59" s="751">
        <v>91</v>
      </c>
      <c r="Q59" s="752">
        <v>372</v>
      </c>
      <c r="R59" s="1410"/>
      <c r="S59" s="1451"/>
      <c r="T59" s="1452"/>
      <c r="U59" s="1344"/>
      <c r="V59" s="1466"/>
      <c r="W59" s="1467"/>
      <c r="X59" s="1397"/>
      <c r="Y59" s="1475"/>
      <c r="Z59" s="1397"/>
      <c r="AA59" s="1397"/>
      <c r="AB59" s="1397"/>
      <c r="AC59" s="1397"/>
      <c r="AD59" s="1397"/>
      <c r="AE59" s="1397"/>
      <c r="AF59" s="1397"/>
      <c r="AG59" s="1397"/>
      <c r="AH59" s="1397"/>
      <c r="AI59" s="1397"/>
      <c r="AJ59" s="1477"/>
      <c r="AK59" s="1478"/>
      <c r="AL59" s="1398"/>
    </row>
    <row r="60" s="1363" customFormat="1" ht="18.75" customHeight="1" spans="1:38">
      <c r="A60" s="1421"/>
      <c r="B60" s="671"/>
      <c r="C60" s="557"/>
      <c r="D60" s="724"/>
      <c r="E60" s="572"/>
      <c r="F60" s="969"/>
      <c r="G60" s="577"/>
      <c r="H60" s="577"/>
      <c r="I60" s="577"/>
      <c r="J60" s="733"/>
      <c r="K60" s="1261"/>
      <c r="L60" s="1261"/>
      <c r="M60" s="1261"/>
      <c r="N60" s="1449"/>
      <c r="O60" s="597"/>
      <c r="P60" s="751"/>
      <c r="Q60" s="752"/>
      <c r="R60" s="1410"/>
      <c r="S60" s="1451"/>
      <c r="T60" s="1452"/>
      <c r="U60" s="1344"/>
      <c r="V60" s="1466"/>
      <c r="W60" s="1467"/>
      <c r="X60" s="1397"/>
      <c r="Y60" s="1475"/>
      <c r="Z60" s="1397"/>
      <c r="AA60" s="1397"/>
      <c r="AB60" s="1397"/>
      <c r="AC60" s="1397"/>
      <c r="AD60" s="1397"/>
      <c r="AE60" s="1397"/>
      <c r="AF60" s="1397"/>
      <c r="AG60" s="1397"/>
      <c r="AH60" s="1397"/>
      <c r="AI60" s="1397"/>
      <c r="AJ60" s="1477"/>
      <c r="AK60" s="1478"/>
      <c r="AL60" s="1398"/>
    </row>
    <row r="61" s="1363" customFormat="1" ht="18.75" customHeight="1" spans="1:38">
      <c r="A61" s="1421"/>
      <c r="B61" s="671"/>
      <c r="C61" s="557"/>
      <c r="D61" s="561" t="s">
        <v>299</v>
      </c>
      <c r="E61" s="1161" t="s">
        <v>1620</v>
      </c>
      <c r="F61" s="969">
        <f>P61*Q61</f>
        <v>41250</v>
      </c>
      <c r="G61" s="577">
        <f>F61*J61</f>
        <v>292842</v>
      </c>
      <c r="H61" s="577">
        <f>F61*J61</f>
        <v>292842</v>
      </c>
      <c r="I61" s="577">
        <f>F61*J61</f>
        <v>292842</v>
      </c>
      <c r="J61" s="733">
        <v>7.0992</v>
      </c>
      <c r="K61" s="610">
        <v>44848</v>
      </c>
      <c r="L61" s="633">
        <v>44846</v>
      </c>
      <c r="M61" s="633" t="s">
        <v>1621</v>
      </c>
      <c r="N61" s="1449"/>
      <c r="O61" s="250" t="s">
        <v>1622</v>
      </c>
      <c r="P61" s="751">
        <v>55</v>
      </c>
      <c r="Q61" s="752">
        <v>750</v>
      </c>
      <c r="R61" s="1410"/>
      <c r="S61" s="1451"/>
      <c r="T61" s="1452"/>
      <c r="U61" s="1344"/>
      <c r="V61" s="1466"/>
      <c r="W61" s="1467"/>
      <c r="X61" s="1397"/>
      <c r="Y61" s="1475"/>
      <c r="Z61" s="1397"/>
      <c r="AA61" s="1397"/>
      <c r="AB61" s="1397"/>
      <c r="AC61" s="1397"/>
      <c r="AD61" s="1397"/>
      <c r="AE61" s="1397"/>
      <c r="AF61" s="1397"/>
      <c r="AG61" s="1397"/>
      <c r="AH61" s="1397"/>
      <c r="AI61" s="1397"/>
      <c r="AJ61" s="1477"/>
      <c r="AK61" s="1478"/>
      <c r="AL61" s="1398"/>
    </row>
    <row r="62" s="1363" customFormat="1" ht="18.75" customHeight="1" spans="1:38">
      <c r="A62" s="1421"/>
      <c r="B62" s="671"/>
      <c r="C62" s="557"/>
      <c r="D62" s="724"/>
      <c r="E62" s="572"/>
      <c r="F62" s="969"/>
      <c r="G62" s="577"/>
      <c r="H62" s="577"/>
      <c r="I62" s="600"/>
      <c r="J62" s="733"/>
      <c r="K62" s="1261"/>
      <c r="L62" s="1261"/>
      <c r="M62" s="1261"/>
      <c r="N62" s="1449"/>
      <c r="O62" s="597"/>
      <c r="P62" s="751"/>
      <c r="Q62" s="752"/>
      <c r="R62" s="1410"/>
      <c r="S62" s="1451"/>
      <c r="T62" s="1452"/>
      <c r="U62" s="1344"/>
      <c r="V62" s="1466"/>
      <c r="W62" s="1467"/>
      <c r="X62" s="1397"/>
      <c r="Y62" s="1475"/>
      <c r="Z62" s="1397"/>
      <c r="AA62" s="1397"/>
      <c r="AB62" s="1397"/>
      <c r="AC62" s="1397"/>
      <c r="AD62" s="1397"/>
      <c r="AE62" s="1397"/>
      <c r="AF62" s="1397"/>
      <c r="AG62" s="1397"/>
      <c r="AH62" s="1397"/>
      <c r="AI62" s="1397"/>
      <c r="AJ62" s="1477"/>
      <c r="AK62" s="1478"/>
      <c r="AL62" s="1398"/>
    </row>
    <row r="63" s="1363" customFormat="1" ht="18.75" customHeight="1" spans="1:38">
      <c r="A63" s="1421"/>
      <c r="B63" s="671"/>
      <c r="C63" s="557"/>
      <c r="D63" s="561"/>
      <c r="E63" s="1303"/>
      <c r="F63" s="969"/>
      <c r="G63" s="577"/>
      <c r="H63" s="577"/>
      <c r="I63" s="577"/>
      <c r="J63" s="733"/>
      <c r="K63" s="610"/>
      <c r="L63" s="633"/>
      <c r="M63" s="633"/>
      <c r="N63" s="1449"/>
      <c r="O63" s="597"/>
      <c r="P63" s="751"/>
      <c r="Q63" s="752"/>
      <c r="R63" s="1410"/>
      <c r="S63" s="1451"/>
      <c r="T63" s="1452"/>
      <c r="U63" s="1344"/>
      <c r="V63" s="1466"/>
      <c r="W63" s="1467"/>
      <c r="X63" s="1397"/>
      <c r="Y63" s="1475"/>
      <c r="Z63" s="1397"/>
      <c r="AA63" s="1397"/>
      <c r="AB63" s="1397"/>
      <c r="AC63" s="1397"/>
      <c r="AD63" s="1397"/>
      <c r="AE63" s="1397"/>
      <c r="AF63" s="1397"/>
      <c r="AG63" s="1397"/>
      <c r="AH63" s="1397"/>
      <c r="AI63" s="1397"/>
      <c r="AJ63" s="1477"/>
      <c r="AK63" s="1478"/>
      <c r="AL63" s="1398"/>
    </row>
    <row r="64" s="536" customFormat="1" ht="21.55" customHeight="1" spans="1:38">
      <c r="A64" s="1421"/>
      <c r="B64" s="825" t="s">
        <v>1145</v>
      </c>
      <c r="C64" s="1562">
        <v>139</v>
      </c>
      <c r="D64" s="971" t="s">
        <v>262</v>
      </c>
      <c r="E64" s="561" t="s">
        <v>1199</v>
      </c>
      <c r="F64" s="969">
        <v>36833</v>
      </c>
      <c r="G64" s="577"/>
      <c r="H64" s="577"/>
      <c r="I64" s="577">
        <f>F64*J64</f>
        <v>261484.8336</v>
      </c>
      <c r="J64" s="733">
        <v>7.0992</v>
      </c>
      <c r="K64" s="756" t="s">
        <v>203</v>
      </c>
      <c r="L64" s="708">
        <v>44833</v>
      </c>
      <c r="M64" s="1261" t="s">
        <v>1527</v>
      </c>
      <c r="N64" s="1203" t="s">
        <v>1528</v>
      </c>
      <c r="O64" s="561"/>
      <c r="P64" s="568">
        <v>67</v>
      </c>
      <c r="Q64" s="1240">
        <v>475</v>
      </c>
      <c r="R64" s="1453"/>
      <c r="S64" s="1342"/>
      <c r="T64" s="1204"/>
      <c r="U64" s="715"/>
      <c r="V64" s="1211"/>
      <c r="W64" s="1182"/>
      <c r="X64" s="715"/>
      <c r="Y64" s="764"/>
      <c r="Z64" s="715"/>
      <c r="AA64" s="715"/>
      <c r="AB64" s="715"/>
      <c r="AC64" s="715"/>
      <c r="AD64" s="715"/>
      <c r="AE64" s="715"/>
      <c r="AF64" s="715"/>
      <c r="AG64" s="715"/>
      <c r="AH64" s="715"/>
      <c r="AI64" s="715"/>
      <c r="AJ64" s="715"/>
      <c r="AK64" s="1294"/>
      <c r="AL64" s="715"/>
    </row>
    <row r="65" s="536" customFormat="1" ht="21" customHeight="1" spans="1:38">
      <c r="A65" s="1421"/>
      <c r="B65" s="825"/>
      <c r="C65" s="1554"/>
      <c r="D65" s="571" t="s">
        <v>355</v>
      </c>
      <c r="E65" s="1155" t="s">
        <v>1623</v>
      </c>
      <c r="F65" s="969">
        <v>32846</v>
      </c>
      <c r="G65" s="577">
        <f>F65*J65</f>
        <v>233180.3232</v>
      </c>
      <c r="H65" s="577">
        <f>G65</f>
        <v>233180.3232</v>
      </c>
      <c r="I65" s="577"/>
      <c r="J65" s="733">
        <v>7.0992</v>
      </c>
      <c r="K65" s="756" t="s">
        <v>203</v>
      </c>
      <c r="L65" s="708">
        <v>44862</v>
      </c>
      <c r="M65" s="708" t="s">
        <v>1624</v>
      </c>
      <c r="N65" s="1214" t="s">
        <v>1625</v>
      </c>
      <c r="O65" s="1450"/>
      <c r="P65" s="568">
        <v>38</v>
      </c>
      <c r="Q65" s="1240">
        <v>751</v>
      </c>
      <c r="R65" s="856"/>
      <c r="S65" s="1203"/>
      <c r="T65" s="1204"/>
      <c r="U65" s="715"/>
      <c r="V65" s="1211"/>
      <c r="W65" s="1182"/>
      <c r="X65" s="715"/>
      <c r="Y65" s="764"/>
      <c r="Z65" s="715"/>
      <c r="AA65" s="715"/>
      <c r="AB65" s="715"/>
      <c r="AC65" s="715"/>
      <c r="AD65" s="715"/>
      <c r="AE65" s="715"/>
      <c r="AF65" s="715"/>
      <c r="AG65" s="715"/>
      <c r="AH65" s="715"/>
      <c r="AI65" s="715"/>
      <c r="AJ65" s="715"/>
      <c r="AK65" s="1294"/>
      <c r="AL65" s="715"/>
    </row>
    <row r="66" s="536" customFormat="1" ht="21" customHeight="1" spans="1:38">
      <c r="A66" s="1421"/>
      <c r="B66" s="825"/>
      <c r="C66" s="1563"/>
      <c r="D66" s="561"/>
      <c r="E66" s="561"/>
      <c r="F66" s="576"/>
      <c r="G66" s="577"/>
      <c r="H66" s="735"/>
      <c r="I66" s="577"/>
      <c r="J66" s="733"/>
      <c r="K66" s="598"/>
      <c r="L66" s="625"/>
      <c r="M66" s="625"/>
      <c r="N66" s="1012"/>
      <c r="O66" s="1543"/>
      <c r="P66" s="1544"/>
      <c r="Q66" s="1547"/>
      <c r="R66" s="756"/>
      <c r="S66" s="1456"/>
      <c r="T66" s="1457"/>
      <c r="U66" s="542"/>
      <c r="V66" s="1468"/>
      <c r="W66" s="1469"/>
      <c r="X66" s="1218"/>
      <c r="Y66" s="1572"/>
      <c r="Z66" s="715"/>
      <c r="AA66" s="715"/>
      <c r="AB66" s="715"/>
      <c r="AC66" s="715"/>
      <c r="AD66" s="715"/>
      <c r="AE66" s="715"/>
      <c r="AF66" s="715"/>
      <c r="AG66" s="715"/>
      <c r="AH66" s="715"/>
      <c r="AI66" s="715"/>
      <c r="AJ66" s="1496"/>
      <c r="AK66" s="1575"/>
      <c r="AL66" s="1500"/>
    </row>
    <row r="67" s="1363" customFormat="1" ht="21.55" customHeight="1" spans="1:38">
      <c r="A67" s="1421"/>
      <c r="B67" s="1564" t="s">
        <v>509</v>
      </c>
      <c r="C67" s="1430">
        <v>156</v>
      </c>
      <c r="D67" s="971" t="s">
        <v>274</v>
      </c>
      <c r="E67" s="561" t="s">
        <v>1534</v>
      </c>
      <c r="F67" s="969">
        <v>37534</v>
      </c>
      <c r="G67" s="577"/>
      <c r="H67" s="577"/>
      <c r="I67" s="602">
        <f>F67*J67</f>
        <v>266461.3728</v>
      </c>
      <c r="J67" s="733">
        <v>7.0992</v>
      </c>
      <c r="K67" s="1453"/>
      <c r="L67" s="1261"/>
      <c r="M67" s="1261" t="s">
        <v>1535</v>
      </c>
      <c r="N67" s="715" t="s">
        <v>1536</v>
      </c>
      <c r="O67" s="1450" t="s">
        <v>1626</v>
      </c>
      <c r="P67" s="568">
        <v>42</v>
      </c>
      <c r="Q67" s="1240">
        <v>1131</v>
      </c>
      <c r="R67" s="756"/>
      <c r="S67" s="1461"/>
      <c r="T67" s="1462"/>
      <c r="U67" s="1397"/>
      <c r="V67" s="1466"/>
      <c r="W67" s="1467"/>
      <c r="X67" s="1397"/>
      <c r="Y67" s="1475"/>
      <c r="Z67" s="1397"/>
      <c r="AA67" s="1397"/>
      <c r="AB67" s="1397"/>
      <c r="AC67" s="1397"/>
      <c r="AD67" s="1397"/>
      <c r="AE67" s="1397"/>
      <c r="AF67" s="1397"/>
      <c r="AG67" s="1397"/>
      <c r="AH67" s="1397"/>
      <c r="AI67" s="1397"/>
      <c r="AJ67" s="715"/>
      <c r="AK67" s="561"/>
      <c r="AL67" s="1397"/>
    </row>
    <row r="68" s="1363" customFormat="1" ht="21.55" customHeight="1" spans="1:38">
      <c r="A68" s="1421"/>
      <c r="B68" s="1565"/>
      <c r="C68" s="1431"/>
      <c r="D68" s="1346"/>
      <c r="E68" s="724"/>
      <c r="F68" s="969"/>
      <c r="G68" s="577"/>
      <c r="H68" s="577"/>
      <c r="I68" s="577"/>
      <c r="J68" s="733"/>
      <c r="K68" s="1568"/>
      <c r="L68" s="1261"/>
      <c r="M68" s="1261"/>
      <c r="N68" s="1013"/>
      <c r="O68" s="250"/>
      <c r="P68" s="568"/>
      <c r="Q68" s="1240">
        <v>372</v>
      </c>
      <c r="R68" s="1464"/>
      <c r="S68" s="1461"/>
      <c r="T68" s="1462"/>
      <c r="U68" s="1397"/>
      <c r="V68" s="1466"/>
      <c r="W68" s="1467"/>
      <c r="X68" s="1397"/>
      <c r="Y68" s="1475"/>
      <c r="Z68" s="1397"/>
      <c r="AA68" s="1397"/>
      <c r="AB68" s="1397"/>
      <c r="AC68" s="1397"/>
      <c r="AD68" s="1397"/>
      <c r="AE68" s="1397"/>
      <c r="AF68" s="1397"/>
      <c r="AG68" s="1397"/>
      <c r="AH68" s="1397"/>
      <c r="AI68" s="1397"/>
      <c r="AJ68" s="715"/>
      <c r="AK68" s="561"/>
      <c r="AL68" s="1397"/>
    </row>
    <row r="69" s="1364" customFormat="1" ht="32.5" customHeight="1" spans="1:38">
      <c r="A69" s="1427"/>
      <c r="B69" s="1269" t="s">
        <v>1540</v>
      </c>
      <c r="C69" s="759" t="s">
        <v>1125</v>
      </c>
      <c r="D69" s="1269" t="s">
        <v>1627</v>
      </c>
      <c r="E69" s="1530" t="s">
        <v>1628</v>
      </c>
      <c r="F69" s="725">
        <v>10570</v>
      </c>
      <c r="G69" s="577"/>
      <c r="H69" s="1509"/>
      <c r="I69" s="1509"/>
      <c r="J69" s="733">
        <v>7.0992</v>
      </c>
      <c r="K69" s="1486"/>
      <c r="L69" s="633"/>
      <c r="M69" s="625"/>
      <c r="N69" s="1012" t="s">
        <v>1629</v>
      </c>
      <c r="O69" s="715"/>
      <c r="P69" s="716"/>
      <c r="Q69" s="1032"/>
      <c r="R69" s="1548"/>
      <c r="S69" s="1548"/>
      <c r="T69" s="1549"/>
      <c r="U69" s="1184"/>
      <c r="V69" s="1184"/>
      <c r="W69" s="1185"/>
      <c r="X69" s="1490"/>
      <c r="Y69" s="1495"/>
      <c r="Z69" s="727"/>
      <c r="AA69" s="727"/>
      <c r="AB69" s="727"/>
      <c r="AC69" s="727"/>
      <c r="AD69" s="727"/>
      <c r="AE69" s="727"/>
      <c r="AF69" s="727"/>
      <c r="AG69" s="727"/>
      <c r="AH69" s="727"/>
      <c r="AI69" s="727"/>
      <c r="AJ69" s="1497"/>
      <c r="AK69" s="1501"/>
      <c r="AL69" s="1501"/>
    </row>
    <row r="70" s="1551" customFormat="1" ht="32.5" customHeight="1" spans="1:38">
      <c r="A70" s="1566"/>
      <c r="B70" s="671"/>
      <c r="C70" s="557"/>
      <c r="D70" s="1269" t="s">
        <v>1630</v>
      </c>
      <c r="E70" s="1530" t="s">
        <v>1631</v>
      </c>
      <c r="F70" s="725">
        <v>105162</v>
      </c>
      <c r="G70" s="1509"/>
      <c r="H70" s="1509"/>
      <c r="I70" s="1509"/>
      <c r="J70" s="733">
        <v>7.0992</v>
      </c>
      <c r="K70" s="1569"/>
      <c r="L70" s="633"/>
      <c r="M70" s="625"/>
      <c r="N70" s="1570" t="s">
        <v>1632</v>
      </c>
      <c r="O70" s="664"/>
      <c r="P70" s="655"/>
      <c r="Q70" s="656"/>
      <c r="R70" s="1569"/>
      <c r="S70" s="1569"/>
      <c r="T70" s="1571"/>
      <c r="U70" s="750"/>
      <c r="V70" s="750"/>
      <c r="W70" s="1181"/>
      <c r="X70" s="825"/>
      <c r="Y70" s="1573"/>
      <c r="Z70" s="664"/>
      <c r="AA70" s="664"/>
      <c r="AB70" s="664"/>
      <c r="AC70" s="664"/>
      <c r="AD70" s="664"/>
      <c r="AE70" s="664"/>
      <c r="AF70" s="664"/>
      <c r="AG70" s="664"/>
      <c r="AH70" s="664"/>
      <c r="AI70" s="664"/>
      <c r="AJ70" s="1574"/>
      <c r="AK70" s="1576"/>
      <c r="AL70" s="1576"/>
    </row>
    <row r="71" s="1364" customFormat="1" ht="32.5" customHeight="1" spans="1:38">
      <c r="A71" s="1427"/>
      <c r="B71" s="671"/>
      <c r="C71" s="557"/>
      <c r="D71" s="1561" t="s">
        <v>503</v>
      </c>
      <c r="E71" s="715"/>
      <c r="F71" s="576"/>
      <c r="G71" s="839"/>
      <c r="H71" s="839"/>
      <c r="I71" s="839"/>
      <c r="J71" s="1343"/>
      <c r="K71" s="1486"/>
      <c r="L71" s="610"/>
      <c r="M71" s="618"/>
      <c r="N71" s="1012" t="s">
        <v>1633</v>
      </c>
      <c r="O71" s="727"/>
      <c r="P71" s="652"/>
      <c r="Q71" s="653"/>
      <c r="R71" s="1548"/>
      <c r="S71" s="1548"/>
      <c r="T71" s="1549"/>
      <c r="U71" s="1184"/>
      <c r="V71" s="1184"/>
      <c r="W71" s="1185"/>
      <c r="X71" s="1490"/>
      <c r="Y71" s="1495"/>
      <c r="Z71" s="727"/>
      <c r="AA71" s="727"/>
      <c r="AB71" s="727"/>
      <c r="AC71" s="727"/>
      <c r="AD71" s="727"/>
      <c r="AE71" s="727"/>
      <c r="AF71" s="727"/>
      <c r="AG71" s="727"/>
      <c r="AH71" s="727"/>
      <c r="AI71" s="727"/>
      <c r="AJ71" s="1497"/>
      <c r="AK71" s="1501"/>
      <c r="AL71" s="1501"/>
    </row>
    <row r="72" s="1364" customFormat="1" ht="32.5" customHeight="1" spans="1:38">
      <c r="A72" s="1427"/>
      <c r="B72" s="671"/>
      <c r="C72" s="557"/>
      <c r="D72" s="1561" t="s">
        <v>1634</v>
      </c>
      <c r="E72" s="715"/>
      <c r="F72" s="576"/>
      <c r="G72" s="839"/>
      <c r="H72" s="839"/>
      <c r="I72" s="839"/>
      <c r="J72" s="1343"/>
      <c r="K72" s="1486"/>
      <c r="L72" s="610"/>
      <c r="M72" s="618"/>
      <c r="N72" s="1012" t="s">
        <v>1635</v>
      </c>
      <c r="O72" s="727"/>
      <c r="P72" s="652"/>
      <c r="Q72" s="653"/>
      <c r="R72" s="1548"/>
      <c r="S72" s="1548"/>
      <c r="T72" s="1549"/>
      <c r="U72" s="1184"/>
      <c r="V72" s="1184"/>
      <c r="W72" s="1185"/>
      <c r="X72" s="1490"/>
      <c r="Y72" s="1495"/>
      <c r="Z72" s="727"/>
      <c r="AA72" s="727"/>
      <c r="AB72" s="727"/>
      <c r="AC72" s="727"/>
      <c r="AD72" s="727"/>
      <c r="AE72" s="727"/>
      <c r="AF72" s="727"/>
      <c r="AG72" s="727"/>
      <c r="AH72" s="727"/>
      <c r="AI72" s="727"/>
      <c r="AJ72" s="1497"/>
      <c r="AK72" s="1501"/>
      <c r="AL72" s="1501"/>
    </row>
    <row r="73" s="1364" customFormat="1" ht="32.5" customHeight="1" spans="1:38">
      <c r="A73" s="1427"/>
      <c r="B73" s="671"/>
      <c r="C73" s="968"/>
      <c r="D73" s="1561"/>
      <c r="E73" s="727"/>
      <c r="F73" s="795"/>
      <c r="G73" s="804"/>
      <c r="H73" s="804"/>
      <c r="I73" s="804"/>
      <c r="J73" s="808"/>
      <c r="K73" s="1548"/>
      <c r="L73" s="858"/>
      <c r="M73" s="863"/>
      <c r="N73" s="997"/>
      <c r="O73" s="727"/>
      <c r="P73" s="652"/>
      <c r="Q73" s="653"/>
      <c r="R73" s="1548"/>
      <c r="S73" s="1548"/>
      <c r="T73" s="1549"/>
      <c r="U73" s="1184"/>
      <c r="V73" s="1184"/>
      <c r="W73" s="1185"/>
      <c r="X73" s="1490"/>
      <c r="Y73" s="1495"/>
      <c r="Z73" s="727"/>
      <c r="AA73" s="727"/>
      <c r="AB73" s="727"/>
      <c r="AC73" s="727"/>
      <c r="AD73" s="727"/>
      <c r="AE73" s="727"/>
      <c r="AF73" s="727"/>
      <c r="AG73" s="727"/>
      <c r="AH73" s="727"/>
      <c r="AI73" s="727"/>
      <c r="AJ73" s="1497"/>
      <c r="AK73" s="1501"/>
      <c r="AL73" s="1501"/>
    </row>
    <row r="74" s="1364" customFormat="1" ht="32.5" customHeight="1" spans="1:38">
      <c r="A74" s="1421"/>
      <c r="B74" s="1190" t="s">
        <v>1124</v>
      </c>
      <c r="C74" s="1191">
        <f>SUM(C53:C69)</f>
        <v>458</v>
      </c>
      <c r="D74" s="1144"/>
      <c r="E74" s="1144"/>
      <c r="F74" s="1159" t="s">
        <v>1235</v>
      </c>
      <c r="G74" s="1230">
        <f>SUM(G53:G70)</f>
        <v>1761226.3296</v>
      </c>
      <c r="H74" s="1230">
        <f>SUM(H53:H70)</f>
        <v>1761226.3296</v>
      </c>
      <c r="I74" s="1230">
        <f>SUM(I53:I70)</f>
        <v>2553433.1568</v>
      </c>
      <c r="J74" s="808"/>
      <c r="K74" s="809"/>
      <c r="L74" s="821"/>
      <c r="M74" s="996"/>
      <c r="N74" s="997"/>
      <c r="O74" s="727"/>
      <c r="P74" s="652"/>
      <c r="Q74" s="653"/>
      <c r="R74" s="809"/>
      <c r="S74" s="809">
        <v>0</v>
      </c>
      <c r="T74" s="809">
        <v>0</v>
      </c>
      <c r="U74" s="1184"/>
      <c r="V74" s="1184"/>
      <c r="W74" s="1185"/>
      <c r="X74" s="1490"/>
      <c r="Y74" s="1495"/>
      <c r="Z74" s="727"/>
      <c r="AA74" s="727"/>
      <c r="AB74" s="727"/>
      <c r="AC74" s="727"/>
      <c r="AD74" s="727"/>
      <c r="AE74" s="727"/>
      <c r="AF74" s="727"/>
      <c r="AG74" s="727"/>
      <c r="AH74" s="727"/>
      <c r="AI74" s="727"/>
      <c r="AJ74" s="1497"/>
      <c r="AK74" s="1501" t="s">
        <v>325</v>
      </c>
      <c r="AL74" s="1501"/>
    </row>
    <row r="75" s="1364" customFormat="1" ht="32.5" customHeight="1" spans="1:38">
      <c r="A75" s="1480"/>
      <c r="B75" s="1192"/>
      <c r="C75" s="1150"/>
      <c r="D75" s="1144"/>
      <c r="E75" s="1144"/>
      <c r="F75" s="1159" t="s">
        <v>1236</v>
      </c>
      <c r="G75" s="1160">
        <f>G74/(C74*10000)</f>
        <v>0.384547233537118</v>
      </c>
      <c r="H75" s="1160">
        <f>H74/(C74*10000)</f>
        <v>0.384547233537118</v>
      </c>
      <c r="I75" s="1160">
        <f>I74/(C74*10000)</f>
        <v>0.55751815650655</v>
      </c>
      <c r="J75" s="808"/>
      <c r="K75" s="809"/>
      <c r="L75" s="821"/>
      <c r="M75" s="996"/>
      <c r="N75" s="997"/>
      <c r="O75" s="727"/>
      <c r="P75" s="652"/>
      <c r="Q75" s="653"/>
      <c r="R75" s="809"/>
      <c r="S75" s="809"/>
      <c r="T75" s="809"/>
      <c r="U75" s="1184"/>
      <c r="V75" s="1184"/>
      <c r="W75" s="1185"/>
      <c r="X75" s="1094"/>
      <c r="Y75" s="1094"/>
      <c r="Z75" s="1094"/>
      <c r="AA75" s="1094"/>
      <c r="AB75" s="1094"/>
      <c r="AC75" s="1094"/>
      <c r="AD75" s="1094"/>
      <c r="AE75" s="1094"/>
      <c r="AF75" s="1094"/>
      <c r="AG75" s="1094"/>
      <c r="AH75" s="1094"/>
      <c r="AI75" s="1094"/>
      <c r="AJ75" s="1094"/>
      <c r="AK75" s="1094"/>
      <c r="AL75" s="1094"/>
    </row>
    <row r="76" s="1365" customFormat="1" ht="30" customHeight="1" spans="1:38">
      <c r="A76" s="1367" t="s">
        <v>1163</v>
      </c>
      <c r="B76" s="1367"/>
      <c r="C76" s="1380">
        <f t="shared" ref="C76:I76" si="4">C31+C51+C74</f>
        <v>1460</v>
      </c>
      <c r="D76" s="1378"/>
      <c r="E76" s="1378"/>
      <c r="F76" s="1378" t="s">
        <v>14</v>
      </c>
      <c r="G76" s="1481">
        <f t="shared" si="4"/>
        <v>8444496.317216</v>
      </c>
      <c r="H76" s="1481">
        <f t="shared" si="4"/>
        <v>8444495.776416</v>
      </c>
      <c r="I76" s="1481">
        <f t="shared" si="4"/>
        <v>8371881.685916</v>
      </c>
      <c r="J76" s="1378"/>
      <c r="K76" s="1378"/>
      <c r="L76" s="1483"/>
      <c r="M76" s="1483"/>
      <c r="N76" s="1485"/>
      <c r="O76" s="1378"/>
      <c r="P76" s="1380"/>
      <c r="Q76" s="1378"/>
      <c r="R76" s="1378"/>
      <c r="S76" s="1378"/>
      <c r="T76" s="1378"/>
      <c r="U76" s="1378"/>
      <c r="V76" s="1378"/>
      <c r="W76" s="1491"/>
      <c r="X76" s="1492"/>
      <c r="Y76" s="1492"/>
      <c r="Z76" s="1492"/>
      <c r="AA76" s="1492"/>
      <c r="AB76" s="1492"/>
      <c r="AC76" s="1492"/>
      <c r="AD76" s="1492"/>
      <c r="AE76" s="1492"/>
      <c r="AF76" s="1492"/>
      <c r="AG76" s="1492"/>
      <c r="AH76" s="1492"/>
      <c r="AI76" s="1492"/>
      <c r="AJ76" s="1492"/>
      <c r="AK76" s="1492"/>
      <c r="AL76" s="1492"/>
    </row>
    <row r="77" s="1365" customFormat="1" ht="30" customHeight="1" spans="1:38">
      <c r="A77" s="1367"/>
      <c r="B77" s="1367"/>
      <c r="C77" s="1380"/>
      <c r="D77" s="1378"/>
      <c r="E77" s="1378"/>
      <c r="F77" s="1378" t="s">
        <v>1236</v>
      </c>
      <c r="G77" s="1482">
        <f>G76/(C76*10000)</f>
        <v>0.578390158713424</v>
      </c>
      <c r="H77" s="1482">
        <f>H76/(C76*10000)</f>
        <v>0.578390121672329</v>
      </c>
      <c r="I77" s="1482">
        <f>I76/(C76*10000)</f>
        <v>0.573416553829863</v>
      </c>
      <c r="J77" s="1378"/>
      <c r="K77" s="1378"/>
      <c r="L77" s="1483"/>
      <c r="M77" s="1483"/>
      <c r="N77" s="1485"/>
      <c r="O77" s="1378"/>
      <c r="P77" s="1378"/>
      <c r="Q77" s="1378"/>
      <c r="R77" s="1378"/>
      <c r="S77" s="1378"/>
      <c r="T77" s="1378"/>
      <c r="U77" s="1378"/>
      <c r="V77" s="1378"/>
      <c r="W77" s="1378"/>
      <c r="X77" s="1492"/>
      <c r="Y77" s="1492"/>
      <c r="Z77" s="1492"/>
      <c r="AA77" s="1492"/>
      <c r="AB77" s="1492"/>
      <c r="AC77" s="1492"/>
      <c r="AD77" s="1492"/>
      <c r="AE77" s="1492"/>
      <c r="AF77" s="1492"/>
      <c r="AG77" s="1492"/>
      <c r="AH77" s="1492"/>
      <c r="AI77" s="1492"/>
      <c r="AJ77" s="1492"/>
      <c r="AK77" s="1492"/>
      <c r="AL77" s="1492"/>
    </row>
    <row r="78" s="417" customFormat="1" spans="2:38">
      <c r="B78" s="1090"/>
      <c r="C78" s="878"/>
      <c r="D78" s="1090"/>
      <c r="E78" s="1090"/>
      <c r="F78" s="1090"/>
      <c r="G78" s="850">
        <f>G76+2000000</f>
        <v>10444496.317216</v>
      </c>
      <c r="H78" s="850"/>
      <c r="I78" s="850"/>
      <c r="J78" s="1090"/>
      <c r="K78" s="1090"/>
      <c r="L78" s="896"/>
      <c r="M78" s="896"/>
      <c r="N78" s="885"/>
      <c r="O78" s="1090"/>
      <c r="P78" s="878"/>
      <c r="Q78" s="1090"/>
      <c r="R78" s="1090"/>
      <c r="S78" s="1090"/>
      <c r="T78" s="1090"/>
      <c r="U78" s="1090"/>
      <c r="V78" s="1090"/>
      <c r="W78" s="1242"/>
      <c r="X78" s="1090"/>
      <c r="Y78" s="1090"/>
      <c r="Z78" s="1090"/>
      <c r="AA78" s="1090"/>
      <c r="AB78" s="1090"/>
      <c r="AC78" s="1090"/>
      <c r="AD78" s="1090"/>
      <c r="AE78" s="1090"/>
      <c r="AF78" s="1090"/>
      <c r="AG78" s="1090"/>
      <c r="AH78" s="1090"/>
      <c r="AI78" s="1090"/>
      <c r="AJ78" s="1090"/>
      <c r="AK78" s="1090"/>
      <c r="AL78" s="1090"/>
    </row>
    <row r="79" s="417" customFormat="1" spans="2:38">
      <c r="B79" s="1090"/>
      <c r="C79" s="878"/>
      <c r="D79" s="1090"/>
      <c r="E79" s="1090" t="s">
        <v>139</v>
      </c>
      <c r="F79" s="1090"/>
      <c r="G79" s="1567">
        <f>G78/C76/10000</f>
        <v>0.715376460083287</v>
      </c>
      <c r="H79" s="880"/>
      <c r="I79" s="880"/>
      <c r="J79" s="1090"/>
      <c r="K79" s="1090"/>
      <c r="L79" s="896"/>
      <c r="M79" s="896"/>
      <c r="N79" s="885"/>
      <c r="O79" s="1090" t="s">
        <v>140</v>
      </c>
      <c r="P79" s="878"/>
      <c r="Q79" s="1090"/>
      <c r="R79" s="1090"/>
      <c r="S79" s="1488"/>
      <c r="T79" s="1090"/>
      <c r="U79" s="1488"/>
      <c r="V79" s="1090"/>
      <c r="W79" s="1242"/>
      <c r="X79" s="1090"/>
      <c r="Y79" s="1090"/>
      <c r="Z79" s="1090"/>
      <c r="AA79" s="1090"/>
      <c r="AB79" s="1090"/>
      <c r="AC79" s="1090"/>
      <c r="AD79" s="1090"/>
      <c r="AE79" s="1090"/>
      <c r="AF79" s="1090"/>
      <c r="AG79" s="1090"/>
      <c r="AH79" s="1090"/>
      <c r="AI79" s="1090"/>
      <c r="AJ79" s="1090"/>
      <c r="AK79" s="1090"/>
      <c r="AL79" s="1090"/>
    </row>
    <row r="80" s="417" customFormat="1" spans="1:38">
      <c r="A80" s="875" t="s">
        <v>1284</v>
      </c>
      <c r="B80" s="875"/>
      <c r="C80" s="875"/>
      <c r="D80" s="875"/>
      <c r="E80" s="875"/>
      <c r="F80" s="1090"/>
      <c r="G80" s="850"/>
      <c r="H80" s="850"/>
      <c r="I80" s="850"/>
      <c r="J80" s="1090"/>
      <c r="K80" s="1090"/>
      <c r="L80" s="896"/>
      <c r="M80" s="896"/>
      <c r="N80" s="885"/>
      <c r="O80" s="876"/>
      <c r="P80" s="878"/>
      <c r="Q80" s="1090"/>
      <c r="R80" s="1090"/>
      <c r="S80" s="1488"/>
      <c r="T80" s="1090"/>
      <c r="U80" s="1488"/>
      <c r="V80" s="1090"/>
      <c r="W80" s="1242"/>
      <c r="X80" s="1090"/>
      <c r="Y80" s="1090"/>
      <c r="Z80" s="1090"/>
      <c r="AA80" s="1090"/>
      <c r="AB80" s="1090"/>
      <c r="AC80" s="1090"/>
      <c r="AD80" s="1090"/>
      <c r="AE80" s="1090"/>
      <c r="AF80" s="1090"/>
      <c r="AG80" s="1090"/>
      <c r="AH80" s="1090"/>
      <c r="AI80" s="1090"/>
      <c r="AJ80" s="1090"/>
      <c r="AK80" s="1090"/>
      <c r="AL80" s="1090"/>
    </row>
    <row r="81" s="417" customFormat="1" spans="1:38">
      <c r="A81" s="875" t="s">
        <v>1285</v>
      </c>
      <c r="B81" s="875"/>
      <c r="C81" s="875"/>
      <c r="D81" s="875"/>
      <c r="E81" s="875"/>
      <c r="F81" s="1090"/>
      <c r="G81" s="850"/>
      <c r="H81" s="850"/>
      <c r="I81" s="850"/>
      <c r="J81" s="1090"/>
      <c r="K81" s="1090"/>
      <c r="L81" s="896"/>
      <c r="M81" s="896"/>
      <c r="N81" s="885"/>
      <c r="O81" s="876"/>
      <c r="P81" s="878"/>
      <c r="Q81" s="1090"/>
      <c r="R81" s="1090"/>
      <c r="S81" s="1488"/>
      <c r="T81" s="1090"/>
      <c r="U81" s="1488"/>
      <c r="V81" s="1090"/>
      <c r="W81" s="1242"/>
      <c r="X81" s="1090"/>
      <c r="Y81" s="1090"/>
      <c r="Z81" s="1090"/>
      <c r="AA81" s="1090"/>
      <c r="AB81" s="1090"/>
      <c r="AC81" s="1090"/>
      <c r="AD81" s="1090"/>
      <c r="AE81" s="1090"/>
      <c r="AF81" s="1090"/>
      <c r="AG81" s="1090"/>
      <c r="AH81" s="1090"/>
      <c r="AI81" s="1090"/>
      <c r="AJ81" s="1090"/>
      <c r="AK81" s="1090"/>
      <c r="AL81" s="1090"/>
    </row>
    <row r="82" s="417" customFormat="1" spans="1:38">
      <c r="A82" s="875" t="s">
        <v>1470</v>
      </c>
      <c r="B82" s="875"/>
      <c r="C82" s="875"/>
      <c r="D82" s="875"/>
      <c r="E82" s="875"/>
      <c r="F82" s="1090"/>
      <c r="G82" s="850"/>
      <c r="H82" s="850"/>
      <c r="I82" s="850"/>
      <c r="J82" s="1484"/>
      <c r="K82" s="1090"/>
      <c r="L82" s="896"/>
      <c r="M82" s="896"/>
      <c r="N82" s="885"/>
      <c r="O82" s="876"/>
      <c r="P82" s="878"/>
      <c r="Q82" s="1090"/>
      <c r="R82" s="1090"/>
      <c r="S82" s="1488"/>
      <c r="T82" s="1090"/>
      <c r="U82" s="1488"/>
      <c r="V82" s="1090"/>
      <c r="W82" s="1242"/>
      <c r="X82" s="1090"/>
      <c r="Y82" s="1090"/>
      <c r="Z82" s="1090"/>
      <c r="AA82" s="1090"/>
      <c r="AB82" s="1090"/>
      <c r="AC82" s="1090"/>
      <c r="AD82" s="1090"/>
      <c r="AE82" s="1090"/>
      <c r="AF82" s="1090"/>
      <c r="AG82" s="1090"/>
      <c r="AH82" s="1090"/>
      <c r="AI82" s="1090"/>
      <c r="AJ82" s="1090"/>
      <c r="AK82" s="1090"/>
      <c r="AL82" s="1090"/>
    </row>
    <row r="83" s="417" customFormat="1" spans="1:38">
      <c r="A83" s="875" t="s">
        <v>1471</v>
      </c>
      <c r="B83" s="876"/>
      <c r="C83" s="876"/>
      <c r="D83" s="876"/>
      <c r="E83" s="876"/>
      <c r="F83" s="1090"/>
      <c r="G83" s="850"/>
      <c r="H83" s="850"/>
      <c r="I83" s="850"/>
      <c r="J83" s="1090"/>
      <c r="K83" s="1090"/>
      <c r="L83" s="896"/>
      <c r="M83" s="896"/>
      <c r="N83" s="885"/>
      <c r="O83" s="876"/>
      <c r="P83" s="878"/>
      <c r="Q83" s="1090"/>
      <c r="R83" s="1090"/>
      <c r="S83" s="1488"/>
      <c r="T83" s="1090"/>
      <c r="U83" s="1488"/>
      <c r="V83" s="1090"/>
      <c r="W83" s="1242"/>
      <c r="X83" s="1090"/>
      <c r="Y83" s="1090"/>
      <c r="Z83" s="1090"/>
      <c r="AA83" s="1090"/>
      <c r="AB83" s="1090"/>
      <c r="AC83" s="1090"/>
      <c r="AD83" s="1090"/>
      <c r="AE83" s="1090"/>
      <c r="AF83" s="1090"/>
      <c r="AG83" s="1090"/>
      <c r="AH83" s="1090"/>
      <c r="AI83" s="1090"/>
      <c r="AJ83" s="1090"/>
      <c r="AK83" s="1090"/>
      <c r="AL83" s="1090"/>
    </row>
    <row r="84" s="417" customFormat="1" spans="1:38">
      <c r="A84" s="875" t="s">
        <v>1472</v>
      </c>
      <c r="B84" s="876"/>
      <c r="C84" s="876"/>
      <c r="D84" s="876"/>
      <c r="E84" s="876"/>
      <c r="F84" s="1090"/>
      <c r="G84" s="850"/>
      <c r="H84" s="850"/>
      <c r="I84" s="850"/>
      <c r="J84" s="877"/>
      <c r="K84" s="877"/>
      <c r="L84" s="896"/>
      <c r="M84" s="896"/>
      <c r="N84" s="887"/>
      <c r="O84" s="876"/>
      <c r="P84" s="878"/>
      <c r="Q84" s="877"/>
      <c r="R84" s="877"/>
      <c r="S84" s="877"/>
      <c r="T84" s="877"/>
      <c r="U84" s="1488"/>
      <c r="V84" s="877"/>
      <c r="W84" s="1242"/>
      <c r="X84" s="877"/>
      <c r="Y84" s="877"/>
      <c r="Z84" s="877"/>
      <c r="AA84" s="877"/>
      <c r="AB84" s="877"/>
      <c r="AC84" s="877"/>
      <c r="AD84" s="877"/>
      <c r="AE84" s="877"/>
      <c r="AF84" s="877"/>
      <c r="AG84" s="877"/>
      <c r="AH84" s="877"/>
      <c r="AI84" s="877"/>
      <c r="AJ84" s="877"/>
      <c r="AK84" s="877"/>
      <c r="AL84" s="877"/>
    </row>
    <row r="85" s="417" customFormat="1" spans="1:38">
      <c r="A85" s="876"/>
      <c r="B85" s="876"/>
      <c r="C85" s="876"/>
      <c r="D85" s="876"/>
      <c r="E85" s="876"/>
      <c r="F85" s="877"/>
      <c r="G85" s="850"/>
      <c r="H85" s="850"/>
      <c r="I85" s="850"/>
      <c r="J85" s="877"/>
      <c r="K85" s="877"/>
      <c r="L85" s="896"/>
      <c r="M85" s="896"/>
      <c r="N85" s="887"/>
      <c r="O85" s="876"/>
      <c r="P85" s="878"/>
      <c r="Q85" s="877"/>
      <c r="R85" s="877"/>
      <c r="S85" s="877"/>
      <c r="T85" s="877"/>
      <c r="U85" s="877"/>
      <c r="V85" s="877"/>
      <c r="W85" s="1242"/>
      <c r="X85" s="877"/>
      <c r="Y85" s="877"/>
      <c r="Z85" s="877"/>
      <c r="AA85" s="877"/>
      <c r="AB85" s="877"/>
      <c r="AC85" s="877"/>
      <c r="AD85" s="877"/>
      <c r="AE85" s="877"/>
      <c r="AF85" s="877"/>
      <c r="AG85" s="877"/>
      <c r="AH85" s="877"/>
      <c r="AI85" s="877"/>
      <c r="AJ85" s="877"/>
      <c r="AK85" s="877"/>
      <c r="AL85" s="877"/>
    </row>
    <row r="86" s="417" customFormat="1" spans="2:38">
      <c r="B86" s="877"/>
      <c r="C86" s="878"/>
      <c r="D86" s="877"/>
      <c r="E86" s="877"/>
      <c r="F86" s="877"/>
      <c r="G86" s="850"/>
      <c r="H86" s="850"/>
      <c r="I86" s="850"/>
      <c r="J86" s="877"/>
      <c r="K86" s="877"/>
      <c r="L86" s="896"/>
      <c r="M86" s="896"/>
      <c r="N86" s="887"/>
      <c r="O86" s="877"/>
      <c r="P86" s="878"/>
      <c r="Q86" s="877"/>
      <c r="R86" s="877"/>
      <c r="S86" s="877"/>
      <c r="T86" s="877"/>
      <c r="U86" s="877"/>
      <c r="V86" s="877"/>
      <c r="W86" s="1242"/>
      <c r="X86" s="877"/>
      <c r="Y86" s="877"/>
      <c r="Z86" s="877"/>
      <c r="AA86" s="877"/>
      <c r="AB86" s="877"/>
      <c r="AC86" s="877"/>
      <c r="AD86" s="877"/>
      <c r="AE86" s="877"/>
      <c r="AF86" s="877"/>
      <c r="AG86" s="877"/>
      <c r="AH86" s="877"/>
      <c r="AI86" s="877"/>
      <c r="AJ86" s="877"/>
      <c r="AK86" s="877"/>
      <c r="AL86" s="877"/>
    </row>
  </sheetData>
  <sheetProtection formatCells="0" insertHyperlinks="0" autoFilter="0"/>
  <mergeCells count="36">
    <mergeCell ref="A1:Q1"/>
    <mergeCell ref="A3:A32"/>
    <mergeCell ref="A33:A52"/>
    <mergeCell ref="A53:A75"/>
    <mergeCell ref="B3:B12"/>
    <mergeCell ref="B13:B26"/>
    <mergeCell ref="B28:B30"/>
    <mergeCell ref="B31:B32"/>
    <mergeCell ref="B33:B44"/>
    <mergeCell ref="B45:B48"/>
    <mergeCell ref="B49:B50"/>
    <mergeCell ref="B51:B52"/>
    <mergeCell ref="B53:B63"/>
    <mergeCell ref="B64:B66"/>
    <mergeCell ref="B67:B68"/>
    <mergeCell ref="B69:B73"/>
    <mergeCell ref="B74:B75"/>
    <mergeCell ref="C3:C12"/>
    <mergeCell ref="C13:C26"/>
    <mergeCell ref="C28:C30"/>
    <mergeCell ref="C31:C32"/>
    <mergeCell ref="C33:C44"/>
    <mergeCell ref="C45:C48"/>
    <mergeCell ref="C49:C50"/>
    <mergeCell ref="C51:C52"/>
    <mergeCell ref="C53:C63"/>
    <mergeCell ref="C64:C66"/>
    <mergeCell ref="C67:C68"/>
    <mergeCell ref="C69:C73"/>
    <mergeCell ref="C74:C75"/>
    <mergeCell ref="C76:C77"/>
    <mergeCell ref="D38:D39"/>
    <mergeCell ref="D42:D43"/>
    <mergeCell ref="D49:D50"/>
    <mergeCell ref="N42:N43"/>
    <mergeCell ref="A76:B77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6"/>
  <dimension ref="A1:AL93"/>
  <sheetViews>
    <sheetView workbookViewId="0">
      <selection activeCell="M29" sqref="M29"/>
    </sheetView>
  </sheetViews>
  <sheetFormatPr defaultColWidth="9" defaultRowHeight="16.5"/>
  <cols>
    <col min="1" max="1" width="12.9666666666667" style="417" customWidth="1"/>
    <col min="2" max="2" width="13.125" style="417" customWidth="1"/>
    <col min="3" max="3" width="11.2583333333333" style="879" customWidth="1"/>
    <col min="4" max="4" width="21.5666666666667" style="417" customWidth="1"/>
    <col min="5" max="5" width="21.575" style="417" customWidth="1"/>
    <col min="6" max="6" width="13.125" style="417" customWidth="1"/>
    <col min="7" max="7" width="17.4333333333333" style="880" customWidth="1"/>
    <col min="8" max="9" width="16.7666666666667" style="880" customWidth="1"/>
    <col min="10" max="10" width="10.1583333333333" style="417" customWidth="1"/>
    <col min="11" max="11" width="17.0333333333333" style="417" customWidth="1"/>
    <col min="12" max="12" width="9.08333333333333" style="898" customWidth="1"/>
    <col min="13" max="13" width="11.8083333333333" style="898" customWidth="1"/>
    <col min="14" max="14" width="43.5" style="888" customWidth="1"/>
    <col min="15" max="15" width="15.575" style="417" customWidth="1"/>
    <col min="16" max="16" width="12.5" style="879" customWidth="1"/>
    <col min="17" max="17" width="14.3083333333333" style="417" customWidth="1"/>
    <col min="18" max="18" width="40" style="417" customWidth="1"/>
    <col min="19" max="19" width="17.3583333333333" style="417" customWidth="1"/>
    <col min="20" max="20" width="14.875" style="417"/>
    <col min="21" max="21" width="14.025" style="417" customWidth="1"/>
    <col min="22" max="22" width="18.1916666666667" style="417" customWidth="1"/>
    <col min="23" max="23" width="43.7583333333333" style="1243" customWidth="1"/>
    <col min="24" max="24" width="9" style="417" hidden="1" customWidth="1"/>
    <col min="25" max="25" width="17.1916666666667" style="417" hidden="1" customWidth="1"/>
    <col min="26" max="35" width="9" style="417" hidden="1" customWidth="1"/>
    <col min="36" max="36" width="10.5333333333333" style="417" hidden="1" customWidth="1"/>
    <col min="37" max="37" width="15" style="417" hidden="1" customWidth="1"/>
    <col min="38" max="38" width="8" style="417" hidden="1" customWidth="1"/>
    <col min="39" max="16384" width="9" style="417"/>
  </cols>
  <sheetData>
    <row r="1" s="417" customFormat="1" ht="24.75" customHeight="1" spans="1:38">
      <c r="A1" s="1366" t="s">
        <v>1636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74"/>
      <c r="M1" s="1374"/>
      <c r="N1" s="885"/>
      <c r="O1" s="1366"/>
      <c r="P1" s="1366"/>
      <c r="Q1" s="1366"/>
      <c r="R1" s="1391"/>
      <c r="S1" s="1391"/>
      <c r="T1" s="1391"/>
      <c r="U1" s="1391"/>
      <c r="V1" s="1090"/>
      <c r="W1" s="1242"/>
      <c r="X1" s="1090"/>
      <c r="Y1" s="1391"/>
      <c r="Z1" s="1090"/>
      <c r="AA1" s="1090"/>
      <c r="AB1" s="1090"/>
      <c r="AC1" s="1090"/>
      <c r="AD1" s="1090"/>
      <c r="AE1" s="1090"/>
      <c r="AF1" s="1090"/>
      <c r="AG1" s="1090"/>
      <c r="AH1" s="1090"/>
      <c r="AI1" s="1090"/>
      <c r="AJ1" s="1391"/>
      <c r="AK1" s="1391"/>
      <c r="AL1" s="1391"/>
    </row>
    <row r="2" s="1362" customFormat="1" ht="36.85" customHeight="1" spans="1:38">
      <c r="A2" s="1367" t="s">
        <v>1092</v>
      </c>
      <c r="B2" s="1368" t="s">
        <v>1093</v>
      </c>
      <c r="C2" s="1369" t="s">
        <v>1094</v>
      </c>
      <c r="D2" s="1368" t="s">
        <v>361</v>
      </c>
      <c r="E2" s="1372" t="s">
        <v>1095</v>
      </c>
      <c r="F2" s="1153" t="s">
        <v>362</v>
      </c>
      <c r="G2" s="1154" t="s">
        <v>1211</v>
      </c>
      <c r="H2" s="1154" t="s">
        <v>1378</v>
      </c>
      <c r="I2" s="1154" t="s">
        <v>1379</v>
      </c>
      <c r="J2" s="1375" t="s">
        <v>1096</v>
      </c>
      <c r="K2" s="1376" t="s">
        <v>1098</v>
      </c>
      <c r="L2" s="1377" t="s">
        <v>1097</v>
      </c>
      <c r="M2" s="1377" t="s">
        <v>1214</v>
      </c>
      <c r="N2" s="1378" t="s">
        <v>1215</v>
      </c>
      <c r="O2" s="1379" t="s">
        <v>7</v>
      </c>
      <c r="P2" s="1380" t="s">
        <v>8</v>
      </c>
      <c r="Q2" s="1392" t="s">
        <v>9</v>
      </c>
      <c r="R2" s="1393" t="s">
        <v>1291</v>
      </c>
      <c r="S2" s="1393" t="s">
        <v>13</v>
      </c>
      <c r="T2" s="1394" t="s">
        <v>14</v>
      </c>
      <c r="U2" s="1402" t="s">
        <v>15</v>
      </c>
      <c r="V2" s="1403" t="s">
        <v>1100</v>
      </c>
      <c r="W2" s="1404" t="s">
        <v>1101</v>
      </c>
      <c r="X2" s="1403" t="s">
        <v>1102</v>
      </c>
      <c r="Y2" s="1412" t="s">
        <v>363</v>
      </c>
      <c r="Z2" s="1413" t="s">
        <v>1103</v>
      </c>
      <c r="AA2" s="1403" t="s">
        <v>1104</v>
      </c>
      <c r="AB2" s="1403" t="s">
        <v>1105</v>
      </c>
      <c r="AC2" s="1403" t="s">
        <v>1106</v>
      </c>
      <c r="AD2" s="1403" t="s">
        <v>1107</v>
      </c>
      <c r="AE2" s="1403" t="s">
        <v>1108</v>
      </c>
      <c r="AF2" s="1403" t="s">
        <v>1109</v>
      </c>
      <c r="AG2" s="1403" t="s">
        <v>1110</v>
      </c>
      <c r="AH2" s="1415" t="s">
        <v>1108</v>
      </c>
      <c r="AI2" s="1416" t="s">
        <v>1109</v>
      </c>
      <c r="AJ2" s="1417" t="s">
        <v>1111</v>
      </c>
      <c r="AK2" s="1402" t="s">
        <v>4</v>
      </c>
      <c r="AL2" s="1417" t="s">
        <v>1112</v>
      </c>
    </row>
    <row r="3" s="1363" customFormat="1" ht="18.75" customHeight="1" spans="1:38">
      <c r="A3" s="1421"/>
      <c r="B3" s="671" t="s">
        <v>38</v>
      </c>
      <c r="C3" s="557">
        <v>167</v>
      </c>
      <c r="D3" s="1248" t="s">
        <v>143</v>
      </c>
      <c r="E3" s="244" t="s">
        <v>1637</v>
      </c>
      <c r="F3" s="1002">
        <v>41031</v>
      </c>
      <c r="G3" s="393">
        <f>F3*J3</f>
        <v>295755.5511</v>
      </c>
      <c r="H3" s="799">
        <v>295755.56</v>
      </c>
      <c r="I3" s="799">
        <f>G3</f>
        <v>295755.5511</v>
      </c>
      <c r="J3" s="819">
        <v>7.2081</v>
      </c>
      <c r="K3" s="610"/>
      <c r="L3" s="644"/>
      <c r="M3" s="644">
        <v>44886</v>
      </c>
      <c r="N3" s="706" t="s">
        <v>1638</v>
      </c>
      <c r="O3" s="1381"/>
      <c r="P3" s="1386"/>
      <c r="Q3" s="1395"/>
      <c r="R3" s="602"/>
      <c r="S3" s="1396"/>
      <c r="T3" s="1172"/>
      <c r="U3" s="1397"/>
      <c r="V3" s="1397"/>
      <c r="W3" s="1405"/>
      <c r="X3" s="1397"/>
      <c r="Y3" s="1397"/>
      <c r="Z3" s="1397"/>
      <c r="AA3" s="1397"/>
      <c r="AB3" s="1397"/>
      <c r="AC3" s="1397"/>
      <c r="AD3" s="1397"/>
      <c r="AE3" s="1397"/>
      <c r="AF3" s="1397"/>
      <c r="AG3" s="1397"/>
      <c r="AH3" s="1397"/>
      <c r="AI3" s="1397"/>
      <c r="AJ3" s="1218"/>
      <c r="AK3" s="1182"/>
      <c r="AL3" s="1397"/>
    </row>
    <row r="4" s="1363" customFormat="1" ht="18.75" customHeight="1" spans="1:38">
      <c r="A4" s="1421"/>
      <c r="B4" s="671"/>
      <c r="C4" s="557"/>
      <c r="D4" s="1248" t="s">
        <v>1639</v>
      </c>
      <c r="E4" s="250" t="s">
        <v>1640</v>
      </c>
      <c r="F4" s="562">
        <v>31351</v>
      </c>
      <c r="G4" s="393">
        <f>F4*J4</f>
        <v>225981.1431</v>
      </c>
      <c r="H4" s="799">
        <v>216243</v>
      </c>
      <c r="I4" s="799">
        <v>225981.17</v>
      </c>
      <c r="J4" s="819">
        <v>7.2081</v>
      </c>
      <c r="K4" s="598" t="s">
        <v>1218</v>
      </c>
      <c r="L4" s="645">
        <v>44870</v>
      </c>
      <c r="M4" s="645">
        <v>44875</v>
      </c>
      <c r="N4" s="706" t="s">
        <v>1641</v>
      </c>
      <c r="O4" s="1381"/>
      <c r="P4" s="1386"/>
      <c r="Q4" s="1395"/>
      <c r="R4" s="602"/>
      <c r="S4" s="1396"/>
      <c r="T4" s="1172"/>
      <c r="U4" s="1397"/>
      <c r="V4" s="1397"/>
      <c r="W4" s="1405"/>
      <c r="X4" s="1397"/>
      <c r="Y4" s="1397"/>
      <c r="Z4" s="1397"/>
      <c r="AA4" s="1397"/>
      <c r="AB4" s="1397"/>
      <c r="AC4" s="1397"/>
      <c r="AD4" s="1397"/>
      <c r="AE4" s="1397"/>
      <c r="AF4" s="1397"/>
      <c r="AG4" s="1397"/>
      <c r="AH4" s="1397"/>
      <c r="AI4" s="1397"/>
      <c r="AJ4" s="1218"/>
      <c r="AK4" s="1182"/>
      <c r="AL4" s="1397"/>
    </row>
    <row r="5" s="1363" customFormat="1" ht="18.75" customHeight="1" spans="1:38">
      <c r="A5" s="1421"/>
      <c r="B5" s="671"/>
      <c r="C5" s="557"/>
      <c r="D5" s="1248" t="s">
        <v>143</v>
      </c>
      <c r="E5" s="244" t="s">
        <v>1642</v>
      </c>
      <c r="F5" s="1002">
        <v>71089</v>
      </c>
      <c r="G5" s="393">
        <f>F5*J5</f>
        <v>512416.6209</v>
      </c>
      <c r="H5" s="799">
        <f>F5*J5</f>
        <v>512416.6209</v>
      </c>
      <c r="I5" s="799"/>
      <c r="J5" s="819">
        <v>7.2081</v>
      </c>
      <c r="K5" s="610"/>
      <c r="L5" s="644"/>
      <c r="M5" s="644">
        <v>44898</v>
      </c>
      <c r="N5" s="706"/>
      <c r="O5" s="1381"/>
      <c r="P5" s="1386"/>
      <c r="Q5" s="1395"/>
      <c r="R5" s="602"/>
      <c r="S5" s="1396"/>
      <c r="T5" s="1172"/>
      <c r="U5" s="1397"/>
      <c r="V5" s="1397"/>
      <c r="W5" s="1405"/>
      <c r="X5" s="1397"/>
      <c r="Y5" s="1397"/>
      <c r="Z5" s="1397"/>
      <c r="AA5" s="1397"/>
      <c r="AB5" s="1397"/>
      <c r="AC5" s="1397"/>
      <c r="AD5" s="1397"/>
      <c r="AE5" s="1397"/>
      <c r="AF5" s="1397"/>
      <c r="AG5" s="1397"/>
      <c r="AH5" s="1397"/>
      <c r="AI5" s="1397"/>
      <c r="AJ5" s="1218"/>
      <c r="AK5" s="1182"/>
      <c r="AL5" s="1397"/>
    </row>
    <row r="6" s="1363" customFormat="1" ht="18.75" customHeight="1" spans="1:38">
      <c r="A6" s="1421"/>
      <c r="B6" s="671"/>
      <c r="C6" s="557"/>
      <c r="D6" s="1248" t="s">
        <v>157</v>
      </c>
      <c r="E6" s="244" t="s">
        <v>1643</v>
      </c>
      <c r="F6" s="1002">
        <v>38276.5</v>
      </c>
      <c r="G6" s="393">
        <f>F6*J6</f>
        <v>275900.83965</v>
      </c>
      <c r="H6" s="799">
        <v>275900.83965</v>
      </c>
      <c r="I6" s="803"/>
      <c r="J6" s="819">
        <v>7.2081</v>
      </c>
      <c r="K6" s="610"/>
      <c r="L6" s="644">
        <v>44893</v>
      </c>
      <c r="M6" s="644">
        <v>44897</v>
      </c>
      <c r="N6" s="706"/>
      <c r="O6" s="1381"/>
      <c r="P6" s="1386"/>
      <c r="Q6" s="1395"/>
      <c r="R6" s="602"/>
      <c r="S6" s="1396"/>
      <c r="T6" s="1172"/>
      <c r="U6" s="1397"/>
      <c r="V6" s="1397"/>
      <c r="W6" s="1405"/>
      <c r="X6" s="1397"/>
      <c r="Y6" s="1397"/>
      <c r="Z6" s="1397"/>
      <c r="AA6" s="1397"/>
      <c r="AB6" s="1397"/>
      <c r="AC6" s="1397"/>
      <c r="AD6" s="1397"/>
      <c r="AE6" s="1397"/>
      <c r="AF6" s="1397"/>
      <c r="AG6" s="1397"/>
      <c r="AH6" s="1397"/>
      <c r="AI6" s="1397"/>
      <c r="AJ6" s="1218"/>
      <c r="AK6" s="1182"/>
      <c r="AL6" s="1397"/>
    </row>
    <row r="7" s="1363" customFormat="1" ht="18.75" customHeight="1" spans="1:38">
      <c r="A7" s="1502"/>
      <c r="B7" s="1146"/>
      <c r="C7" s="545"/>
      <c r="D7" s="250" t="s">
        <v>1544</v>
      </c>
      <c r="E7" s="244" t="s">
        <v>1545</v>
      </c>
      <c r="F7" s="1002"/>
      <c r="G7" s="393"/>
      <c r="H7" s="393"/>
      <c r="I7" s="1511">
        <v>503233.5</v>
      </c>
      <c r="J7" s="597"/>
      <c r="K7" s="598"/>
      <c r="L7" s="856"/>
      <c r="M7" s="856">
        <v>44866</v>
      </c>
      <c r="N7" s="706"/>
      <c r="O7" s="1383"/>
      <c r="P7" s="1384"/>
      <c r="Q7" s="1397"/>
      <c r="R7" s="602"/>
      <c r="S7" s="1396"/>
      <c r="T7" s="1172"/>
      <c r="U7" s="1397"/>
      <c r="V7" s="1397"/>
      <c r="W7" s="1405"/>
      <c r="X7" s="1397"/>
      <c r="Y7" s="1397"/>
      <c r="Z7" s="1397"/>
      <c r="AA7" s="1397"/>
      <c r="AB7" s="1397"/>
      <c r="AC7" s="1397"/>
      <c r="AD7" s="1397"/>
      <c r="AE7" s="1397"/>
      <c r="AF7" s="1397"/>
      <c r="AG7" s="1397"/>
      <c r="AH7" s="1397"/>
      <c r="AI7" s="1397"/>
      <c r="AJ7" s="1218"/>
      <c r="AK7" s="1182"/>
      <c r="AL7" s="1397"/>
    </row>
    <row r="8" s="1363" customFormat="1" ht="18.75" customHeight="1" spans="1:38">
      <c r="A8" s="1502"/>
      <c r="B8" s="715"/>
      <c r="C8" s="545"/>
      <c r="D8" s="673" t="s">
        <v>1563</v>
      </c>
      <c r="E8" s="250" t="s">
        <v>1564</v>
      </c>
      <c r="F8" s="562"/>
      <c r="G8" s="393"/>
      <c r="H8" s="393"/>
      <c r="I8" s="393">
        <v>134236.43</v>
      </c>
      <c r="J8" s="597"/>
      <c r="K8" s="598"/>
      <c r="L8" s="856"/>
      <c r="M8" s="856">
        <v>44870</v>
      </c>
      <c r="N8" s="706"/>
      <c r="O8" s="1515"/>
      <c r="P8" s="1384"/>
      <c r="Q8" s="1397"/>
      <c r="R8" s="766"/>
      <c r="S8" s="1173"/>
      <c r="T8" s="1174"/>
      <c r="U8" s="1398"/>
      <c r="V8" s="1398"/>
      <c r="W8" s="1406"/>
      <c r="X8" s="1397"/>
      <c r="Y8" s="1414"/>
      <c r="Z8" s="1397"/>
      <c r="AA8" s="1397"/>
      <c r="AB8" s="1397"/>
      <c r="AC8" s="1397"/>
      <c r="AD8" s="1397"/>
      <c r="AE8" s="1397"/>
      <c r="AF8" s="1397"/>
      <c r="AG8" s="1397"/>
      <c r="AH8" s="1397"/>
      <c r="AI8" s="1397"/>
      <c r="AJ8" s="1218"/>
      <c r="AK8" s="1182"/>
      <c r="AL8" s="1397"/>
    </row>
    <row r="9" s="1363" customFormat="1" ht="18.75" customHeight="1" spans="1:38">
      <c r="A9" s="1502"/>
      <c r="B9" s="1146"/>
      <c r="C9" s="545"/>
      <c r="D9" s="250" t="s">
        <v>143</v>
      </c>
      <c r="E9" s="250" t="s">
        <v>1554</v>
      </c>
      <c r="F9" s="562"/>
      <c r="G9" s="393"/>
      <c r="H9" s="393"/>
      <c r="I9" s="1511">
        <v>547469.61</v>
      </c>
      <c r="J9" s="597"/>
      <c r="K9" s="598"/>
      <c r="L9" s="856"/>
      <c r="M9" s="856">
        <v>44870</v>
      </c>
      <c r="N9" s="706"/>
      <c r="O9" s="1383"/>
      <c r="P9" s="1384"/>
      <c r="Q9" s="1397"/>
      <c r="R9" s="602"/>
      <c r="S9" s="1396"/>
      <c r="T9" s="1172"/>
      <c r="U9" s="1397"/>
      <c r="V9" s="1397"/>
      <c r="W9" s="1405"/>
      <c r="X9" s="1397"/>
      <c r="Y9" s="1397"/>
      <c r="Z9" s="1397"/>
      <c r="AA9" s="1397"/>
      <c r="AB9" s="1397"/>
      <c r="AC9" s="1397"/>
      <c r="AD9" s="1397"/>
      <c r="AE9" s="1397"/>
      <c r="AF9" s="1397"/>
      <c r="AG9" s="1397"/>
      <c r="AH9" s="1397"/>
      <c r="AI9" s="1397"/>
      <c r="AJ9" s="1218"/>
      <c r="AK9" s="1182"/>
      <c r="AL9" s="1397"/>
    </row>
    <row r="10" s="1363" customFormat="1" ht="18.75" customHeight="1" spans="1:38">
      <c r="A10" s="1502"/>
      <c r="B10" s="1247" t="s">
        <v>209</v>
      </c>
      <c r="C10" s="655">
        <v>244</v>
      </c>
      <c r="D10" s="250" t="s">
        <v>1557</v>
      </c>
      <c r="E10" s="819"/>
      <c r="F10" s="1002"/>
      <c r="G10" s="393"/>
      <c r="H10" s="799"/>
      <c r="I10" s="799">
        <v>93700.88</v>
      </c>
      <c r="J10" s="819">
        <v>7.2081</v>
      </c>
      <c r="K10" s="598"/>
      <c r="L10" s="645"/>
      <c r="M10" s="645"/>
      <c r="N10" s="706" t="s">
        <v>1644</v>
      </c>
      <c r="O10" s="1303"/>
      <c r="P10" s="1303"/>
      <c r="Q10" s="1303"/>
      <c r="R10" s="602"/>
      <c r="S10" s="1340"/>
      <c r="T10" s="1172"/>
      <c r="U10" s="1397"/>
      <c r="V10" s="1397"/>
      <c r="W10" s="1406"/>
      <c r="X10" s="1397"/>
      <c r="Y10" s="1414"/>
      <c r="Z10" s="1397"/>
      <c r="AA10" s="1397"/>
      <c r="AB10" s="1397"/>
      <c r="AC10" s="1397"/>
      <c r="AD10" s="1397"/>
      <c r="AE10" s="1397"/>
      <c r="AF10" s="1397"/>
      <c r="AG10" s="1397"/>
      <c r="AH10" s="1397"/>
      <c r="AI10" s="1397"/>
      <c r="AJ10" s="1218"/>
      <c r="AK10" s="1182"/>
      <c r="AL10" s="1397"/>
    </row>
    <row r="11" s="1363" customFormat="1" ht="18.75" customHeight="1" spans="1:38">
      <c r="A11" s="1502"/>
      <c r="B11" s="1247"/>
      <c r="C11" s="655"/>
      <c r="D11" s="250" t="s">
        <v>1232</v>
      </c>
      <c r="E11" s="819"/>
      <c r="F11" s="1002"/>
      <c r="G11" s="393"/>
      <c r="H11" s="799"/>
      <c r="I11" s="799">
        <v>750000</v>
      </c>
      <c r="J11" s="819"/>
      <c r="K11" s="598"/>
      <c r="L11" s="645"/>
      <c r="M11" s="645"/>
      <c r="N11" s="706"/>
      <c r="O11" s="1303"/>
      <c r="P11" s="1303"/>
      <c r="Q11" s="1303"/>
      <c r="R11" s="602"/>
      <c r="S11" s="1340"/>
      <c r="T11" s="1172"/>
      <c r="U11" s="1397"/>
      <c r="V11" s="1397"/>
      <c r="W11" s="1406"/>
      <c r="X11" s="1397"/>
      <c r="Y11" s="1414"/>
      <c r="Z11" s="1397"/>
      <c r="AA11" s="1397"/>
      <c r="AB11" s="1397"/>
      <c r="AC11" s="1397"/>
      <c r="AD11" s="1397"/>
      <c r="AE11" s="1397"/>
      <c r="AF11" s="1397"/>
      <c r="AG11" s="1397"/>
      <c r="AH11" s="1397"/>
      <c r="AI11" s="1397"/>
      <c r="AJ11" s="1218"/>
      <c r="AK11" s="1182"/>
      <c r="AL11" s="1397"/>
    </row>
    <row r="12" s="1363" customFormat="1" ht="18.75" customHeight="1" spans="1:38">
      <c r="A12" s="1502"/>
      <c r="B12" s="1247"/>
      <c r="C12" s="655"/>
      <c r="D12" s="546" t="s">
        <v>768</v>
      </c>
      <c r="E12" s="819"/>
      <c r="F12" s="1002"/>
      <c r="G12" s="393"/>
      <c r="H12" s="799"/>
      <c r="I12" s="799">
        <v>269769.6</v>
      </c>
      <c r="J12" s="819"/>
      <c r="K12" s="598"/>
      <c r="L12" s="645"/>
      <c r="M12" s="645"/>
      <c r="N12" s="706"/>
      <c r="O12" s="1303"/>
      <c r="P12" s="1303"/>
      <c r="Q12" s="1303"/>
      <c r="R12" s="602"/>
      <c r="S12" s="1340"/>
      <c r="T12" s="1172"/>
      <c r="U12" s="1397"/>
      <c r="V12" s="1397"/>
      <c r="W12" s="1406"/>
      <c r="X12" s="1397"/>
      <c r="Y12" s="1414"/>
      <c r="Z12" s="1397"/>
      <c r="AA12" s="1397"/>
      <c r="AB12" s="1397"/>
      <c r="AC12" s="1397"/>
      <c r="AD12" s="1397"/>
      <c r="AE12" s="1397"/>
      <c r="AF12" s="1397"/>
      <c r="AG12" s="1397"/>
      <c r="AH12" s="1397"/>
      <c r="AI12" s="1397"/>
      <c r="AJ12" s="1218"/>
      <c r="AK12" s="1182"/>
      <c r="AL12" s="1397"/>
    </row>
    <row r="13" s="1363" customFormat="1" ht="18.75" customHeight="1" spans="1:38">
      <c r="A13" s="1502"/>
      <c r="B13" s="1247"/>
      <c r="C13" s="655"/>
      <c r="D13" s="1248" t="s">
        <v>151</v>
      </c>
      <c r="F13" s="1002">
        <v>32176</v>
      </c>
      <c r="G13" s="799">
        <f>F13*J13</f>
        <v>231927.8256</v>
      </c>
      <c r="H13" s="799">
        <f>G13</f>
        <v>231927.8256</v>
      </c>
      <c r="I13" s="799"/>
      <c r="J13" s="819">
        <v>7.2081</v>
      </c>
      <c r="K13" s="598"/>
      <c r="L13" s="645">
        <v>44894</v>
      </c>
      <c r="M13" s="645"/>
      <c r="N13" s="706" t="s">
        <v>1645</v>
      </c>
      <c r="O13" s="1303"/>
      <c r="P13" s="1303"/>
      <c r="Q13" s="1303"/>
      <c r="R13" s="602"/>
      <c r="S13" s="1340"/>
      <c r="T13" s="1172"/>
      <c r="U13" s="1397"/>
      <c r="V13" s="1397"/>
      <c r="W13" s="1406"/>
      <c r="X13" s="1397"/>
      <c r="Y13" s="1414"/>
      <c r="Z13" s="1397"/>
      <c r="AA13" s="1397"/>
      <c r="AB13" s="1397"/>
      <c r="AC13" s="1397"/>
      <c r="AD13" s="1397"/>
      <c r="AE13" s="1397"/>
      <c r="AF13" s="1397"/>
      <c r="AG13" s="1397"/>
      <c r="AH13" s="1397"/>
      <c r="AI13" s="1397"/>
      <c r="AJ13" s="1218"/>
      <c r="AK13" s="1182"/>
      <c r="AL13" s="1397"/>
    </row>
    <row r="14" s="1363" customFormat="1" ht="18.75" customHeight="1" spans="1:38">
      <c r="A14" s="1502"/>
      <c r="B14" s="1247"/>
      <c r="C14" s="655"/>
      <c r="D14" s="1248" t="s">
        <v>452</v>
      </c>
      <c r="E14" s="819"/>
      <c r="F14" s="1002">
        <v>40068</v>
      </c>
      <c r="G14" s="393">
        <f>F14*J14</f>
        <v>288814.1508</v>
      </c>
      <c r="H14" s="799">
        <v>288814.1508</v>
      </c>
      <c r="I14" s="799">
        <v>288814.1508</v>
      </c>
      <c r="J14" s="819">
        <v>7.2081</v>
      </c>
      <c r="K14" s="598"/>
      <c r="L14" s="645">
        <v>44889</v>
      </c>
      <c r="M14" s="645">
        <v>44893</v>
      </c>
      <c r="N14" s="706"/>
      <c r="O14" s="1303"/>
      <c r="P14" s="1303"/>
      <c r="Q14" s="1303"/>
      <c r="R14" s="602"/>
      <c r="S14" s="1340"/>
      <c r="T14" s="1172"/>
      <c r="U14" s="1397"/>
      <c r="V14" s="1397"/>
      <c r="W14" s="1406"/>
      <c r="X14" s="1397"/>
      <c r="Y14" s="1414"/>
      <c r="Z14" s="1397"/>
      <c r="AA14" s="1397"/>
      <c r="AB14" s="1397"/>
      <c r="AC14" s="1397"/>
      <c r="AD14" s="1397"/>
      <c r="AE14" s="1397"/>
      <c r="AF14" s="1397"/>
      <c r="AG14" s="1397"/>
      <c r="AH14" s="1397"/>
      <c r="AI14" s="1397"/>
      <c r="AJ14" s="1218"/>
      <c r="AK14" s="1182"/>
      <c r="AL14" s="1397"/>
    </row>
    <row r="15" s="1363" customFormat="1" ht="18.75" customHeight="1" spans="1:38">
      <c r="A15" s="1502"/>
      <c r="B15" s="1247"/>
      <c r="C15" s="655"/>
      <c r="D15" s="1248" t="s">
        <v>146</v>
      </c>
      <c r="E15" s="597"/>
      <c r="F15" s="562">
        <v>25768</v>
      </c>
      <c r="G15" s="393">
        <f>F15*J15</f>
        <v>185738.3208</v>
      </c>
      <c r="H15" s="799">
        <v>185738.3208</v>
      </c>
      <c r="I15" s="799">
        <v>185738.3208</v>
      </c>
      <c r="J15" s="819">
        <v>7.2081</v>
      </c>
      <c r="K15" s="598"/>
      <c r="L15" s="645">
        <v>44873</v>
      </c>
      <c r="M15" s="645">
        <v>44880</v>
      </c>
      <c r="N15" s="706"/>
      <c r="O15" s="1303"/>
      <c r="P15" s="1303"/>
      <c r="Q15" s="1303"/>
      <c r="R15" s="602"/>
      <c r="S15" s="1340"/>
      <c r="T15" s="1172"/>
      <c r="U15" s="1397"/>
      <c r="V15" s="1397"/>
      <c r="W15" s="1406"/>
      <c r="X15" s="1397"/>
      <c r="Y15" s="1414"/>
      <c r="Z15" s="1397"/>
      <c r="AA15" s="1397"/>
      <c r="AB15" s="1397"/>
      <c r="AC15" s="1397"/>
      <c r="AD15" s="1397"/>
      <c r="AE15" s="1397"/>
      <c r="AF15" s="1397"/>
      <c r="AG15" s="1397"/>
      <c r="AH15" s="1397"/>
      <c r="AI15" s="1397"/>
      <c r="AJ15" s="1218"/>
      <c r="AK15" s="1182"/>
      <c r="AL15" s="1397"/>
    </row>
    <row r="16" s="1363" customFormat="1" ht="18.75" customHeight="1" spans="1:38">
      <c r="A16" s="1502"/>
      <c r="B16" s="1247"/>
      <c r="C16" s="655"/>
      <c r="D16" s="1248" t="s">
        <v>146</v>
      </c>
      <c r="E16" s="597"/>
      <c r="F16" s="562">
        <v>51601</v>
      </c>
      <c r="G16" s="393">
        <f>F16*J16</f>
        <v>371945.1681</v>
      </c>
      <c r="H16" s="799">
        <v>371945.1681</v>
      </c>
      <c r="I16" s="799">
        <v>393792.9192</v>
      </c>
      <c r="J16" s="819">
        <v>7.2081</v>
      </c>
      <c r="K16" s="598"/>
      <c r="L16" s="645">
        <v>44890</v>
      </c>
      <c r="M16" s="645">
        <v>44892</v>
      </c>
      <c r="N16" s="706"/>
      <c r="O16" s="1303"/>
      <c r="P16" s="1303"/>
      <c r="Q16" s="1303"/>
      <c r="R16" s="602"/>
      <c r="S16" s="1340"/>
      <c r="T16" s="1172"/>
      <c r="U16" s="1397"/>
      <c r="V16" s="1397"/>
      <c r="W16" s="1406"/>
      <c r="X16" s="1397"/>
      <c r="Y16" s="1414"/>
      <c r="Z16" s="1397"/>
      <c r="AA16" s="1397"/>
      <c r="AB16" s="1397"/>
      <c r="AC16" s="1397"/>
      <c r="AD16" s="1397"/>
      <c r="AE16" s="1397"/>
      <c r="AF16" s="1397"/>
      <c r="AG16" s="1397"/>
      <c r="AH16" s="1397"/>
      <c r="AI16" s="1397"/>
      <c r="AJ16" s="1218"/>
      <c r="AK16" s="1182"/>
      <c r="AL16" s="1397"/>
    </row>
    <row r="17" s="1363" customFormat="1" ht="18.75" customHeight="1" spans="1:38">
      <c r="A17" s="1502"/>
      <c r="B17" s="1247"/>
      <c r="C17" s="655"/>
      <c r="D17" s="1248" t="s">
        <v>1646</v>
      </c>
      <c r="E17" s="561" t="s">
        <v>364</v>
      </c>
      <c r="F17" s="1373">
        <v>70000</v>
      </c>
      <c r="G17" s="393">
        <v>486499</v>
      </c>
      <c r="H17" s="393">
        <v>486499</v>
      </c>
      <c r="I17" s="1512"/>
      <c r="J17" s="819">
        <v>7.2081</v>
      </c>
      <c r="K17" s="1355" t="s">
        <v>1218</v>
      </c>
      <c r="L17" s="1513"/>
      <c r="M17" s="1513"/>
      <c r="N17" s="568" t="s">
        <v>1647</v>
      </c>
      <c r="O17" s="1303"/>
      <c r="P17" s="1303"/>
      <c r="Q17" s="1303"/>
      <c r="R17" s="602"/>
      <c r="S17" s="1340"/>
      <c r="T17" s="1172"/>
      <c r="U17" s="1397"/>
      <c r="V17" s="1397"/>
      <c r="W17" s="1406"/>
      <c r="X17" s="1397"/>
      <c r="Y17" s="1414"/>
      <c r="Z17" s="1397"/>
      <c r="AA17" s="1397"/>
      <c r="AB17" s="1397"/>
      <c r="AC17" s="1397"/>
      <c r="AD17" s="1397"/>
      <c r="AE17" s="1397"/>
      <c r="AF17" s="1397"/>
      <c r="AG17" s="1397"/>
      <c r="AH17" s="1397"/>
      <c r="AI17" s="1397"/>
      <c r="AJ17" s="1218"/>
      <c r="AK17" s="1182"/>
      <c r="AL17" s="1397"/>
    </row>
    <row r="18" s="1363" customFormat="1" ht="18.75" customHeight="1" spans="1:38">
      <c r="A18" s="1502"/>
      <c r="B18" s="664" t="s">
        <v>1120</v>
      </c>
      <c r="C18" s="759">
        <v>20</v>
      </c>
      <c r="D18" s="1248" t="s">
        <v>1648</v>
      </c>
      <c r="E18" s="244"/>
      <c r="F18" s="1002">
        <v>60480</v>
      </c>
      <c r="G18" s="393">
        <f>F18*J18</f>
        <v>435945.888</v>
      </c>
      <c r="H18" s="799">
        <v>435945.888</v>
      </c>
      <c r="I18" s="803"/>
      <c r="J18" s="819">
        <v>7.2081</v>
      </c>
      <c r="K18" s="598">
        <v>44889</v>
      </c>
      <c r="L18" s="645"/>
      <c r="M18" s="645">
        <v>44893</v>
      </c>
      <c r="N18" s="706" t="s">
        <v>552</v>
      </c>
      <c r="O18" s="1388"/>
      <c r="P18" s="1386"/>
      <c r="Q18" s="1399"/>
      <c r="R18" s="766"/>
      <c r="S18" s="1173"/>
      <c r="T18" s="1174"/>
      <c r="U18" s="1398"/>
      <c r="V18" s="1398"/>
      <c r="W18" s="1406"/>
      <c r="X18" s="1397"/>
      <c r="Y18" s="1414"/>
      <c r="Z18" s="1397"/>
      <c r="AA18" s="1397"/>
      <c r="AB18" s="1397"/>
      <c r="AC18" s="1397"/>
      <c r="AD18" s="1397"/>
      <c r="AE18" s="1397"/>
      <c r="AF18" s="1397"/>
      <c r="AG18" s="1397"/>
      <c r="AH18" s="1397"/>
      <c r="AI18" s="1397"/>
      <c r="AJ18" s="1218"/>
      <c r="AK18" s="1182"/>
      <c r="AL18" s="1397"/>
    </row>
    <row r="19" s="1363" customFormat="1" ht="18.75" customHeight="1" spans="1:38">
      <c r="A19" s="1503"/>
      <c r="B19" s="664" t="s">
        <v>1393</v>
      </c>
      <c r="C19" s="655">
        <v>63</v>
      </c>
      <c r="D19" s="1248" t="s">
        <v>150</v>
      </c>
      <c r="E19" s="250" t="s">
        <v>1649</v>
      </c>
      <c r="F19" s="562">
        <v>69805</v>
      </c>
      <c r="G19" s="799">
        <f>F19*J19</f>
        <v>503161.4205</v>
      </c>
      <c r="H19" s="799">
        <f>F19*J19</f>
        <v>503161.4205</v>
      </c>
      <c r="I19" s="803"/>
      <c r="J19" s="819">
        <v>7.2081</v>
      </c>
      <c r="K19" s="598">
        <v>44885</v>
      </c>
      <c r="L19" s="645">
        <v>44888</v>
      </c>
      <c r="M19" s="645">
        <v>44892</v>
      </c>
      <c r="N19" s="706" t="s">
        <v>1650</v>
      </c>
      <c r="O19" s="1388"/>
      <c r="P19" s="1386"/>
      <c r="Q19" s="1399"/>
      <c r="R19" s="766"/>
      <c r="S19" s="1173"/>
      <c r="T19" s="1174"/>
      <c r="U19" s="1398"/>
      <c r="V19" s="1398"/>
      <c r="W19" s="1407"/>
      <c r="X19" s="1397"/>
      <c r="Y19" s="1414"/>
      <c r="Z19" s="1397"/>
      <c r="AA19" s="1397"/>
      <c r="AB19" s="1397"/>
      <c r="AC19" s="1397"/>
      <c r="AD19" s="1397"/>
      <c r="AE19" s="1397"/>
      <c r="AF19" s="1397"/>
      <c r="AG19" s="1397"/>
      <c r="AH19" s="1397"/>
      <c r="AI19" s="1397"/>
      <c r="AJ19" s="1218"/>
      <c r="AK19" s="1182"/>
      <c r="AL19" s="1397"/>
    </row>
    <row r="20" s="1363" customFormat="1" ht="24.35" customHeight="1" spans="1:38">
      <c r="A20" s="1503"/>
      <c r="B20" s="664"/>
      <c r="C20" s="655"/>
      <c r="D20" s="1248" t="s">
        <v>1651</v>
      </c>
      <c r="E20" s="244" t="s">
        <v>1652</v>
      </c>
      <c r="F20" s="562">
        <v>23901</v>
      </c>
      <c r="G20" s="799">
        <f>F20*J20</f>
        <v>172280.7981</v>
      </c>
      <c r="H20" s="799">
        <f>G20</f>
        <v>172280.7981</v>
      </c>
      <c r="I20" s="799">
        <f>G20</f>
        <v>172280.7981</v>
      </c>
      <c r="J20" s="819">
        <v>7.2081</v>
      </c>
      <c r="K20" s="1355" t="s">
        <v>1218</v>
      </c>
      <c r="L20" s="645">
        <v>44894</v>
      </c>
      <c r="M20" s="645"/>
      <c r="N20" s="706" t="s">
        <v>1653</v>
      </c>
      <c r="O20" s="1388"/>
      <c r="P20" s="1386"/>
      <c r="Q20" s="1399"/>
      <c r="R20" s="766"/>
      <c r="S20" s="1173"/>
      <c r="T20" s="1174"/>
      <c r="U20" s="1398"/>
      <c r="V20" s="1398"/>
      <c r="W20" s="1407"/>
      <c r="X20" s="1397"/>
      <c r="Y20" s="1414"/>
      <c r="Z20" s="1397"/>
      <c r="AA20" s="1397"/>
      <c r="AB20" s="1397"/>
      <c r="AC20" s="1397"/>
      <c r="AD20" s="1397"/>
      <c r="AE20" s="1397"/>
      <c r="AF20" s="1397"/>
      <c r="AG20" s="1397"/>
      <c r="AH20" s="1397"/>
      <c r="AI20" s="1397"/>
      <c r="AJ20" s="1218"/>
      <c r="AK20" s="1182"/>
      <c r="AL20" s="1397"/>
    </row>
    <row r="21" s="1363" customFormat="1" ht="24.35" customHeight="1" spans="1:38">
      <c r="A21" s="1503"/>
      <c r="B21" s="664"/>
      <c r="C21" s="655"/>
      <c r="D21" s="1504"/>
      <c r="E21" s="1504"/>
      <c r="F21" s="1504"/>
      <c r="G21" s="1506"/>
      <c r="H21" s="1506"/>
      <c r="I21" s="1506"/>
      <c r="J21" s="1504"/>
      <c r="K21" s="1504"/>
      <c r="L21" s="1504"/>
      <c r="M21" s="1504"/>
      <c r="N21" s="1504"/>
      <c r="O21" s="1388"/>
      <c r="P21" s="1386"/>
      <c r="Q21" s="1399"/>
      <c r="R21" s="766"/>
      <c r="S21" s="1173"/>
      <c r="T21" s="1174"/>
      <c r="U21" s="1398"/>
      <c r="V21" s="1398"/>
      <c r="W21" s="1407"/>
      <c r="X21" s="1397"/>
      <c r="Y21" s="1414"/>
      <c r="Z21" s="1397"/>
      <c r="AA21" s="1397"/>
      <c r="AB21" s="1397"/>
      <c r="AC21" s="1397"/>
      <c r="AD21" s="1397"/>
      <c r="AE21" s="1397"/>
      <c r="AF21" s="1397"/>
      <c r="AG21" s="1397"/>
      <c r="AH21" s="1397"/>
      <c r="AI21" s="1397"/>
      <c r="AJ21" s="1218"/>
      <c r="AK21" s="1182"/>
      <c r="AL21" s="1397"/>
    </row>
    <row r="22" s="1363" customFormat="1" ht="24.4" customHeight="1" spans="1:38">
      <c r="A22" s="1502"/>
      <c r="B22" s="1244" t="s">
        <v>1124</v>
      </c>
      <c r="C22" s="1150">
        <v>494</v>
      </c>
      <c r="D22" s="1156"/>
      <c r="E22" s="1156"/>
      <c r="F22" s="1157" t="s">
        <v>1235</v>
      </c>
      <c r="G22" s="1507">
        <f>SUM(G3:G20)</f>
        <v>3986366.72665</v>
      </c>
      <c r="H22" s="1507">
        <f>SUM(H3:H20)</f>
        <v>3976628.59245</v>
      </c>
      <c r="I22" s="1507">
        <f>SUM(I3:I20)</f>
        <v>3860772.93</v>
      </c>
      <c r="J22" s="1514"/>
      <c r="K22" s="610"/>
      <c r="L22" s="644"/>
      <c r="M22" s="644"/>
      <c r="N22" s="1072"/>
      <c r="O22" s="1388"/>
      <c r="P22" s="1386"/>
      <c r="Q22" s="1399"/>
      <c r="R22" s="766"/>
      <c r="S22" s="1173"/>
      <c r="T22" s="1174"/>
      <c r="U22" s="1398"/>
      <c r="V22" s="1398"/>
      <c r="W22" s="1407"/>
      <c r="X22" s="1397"/>
      <c r="Y22" s="1414"/>
      <c r="Z22" s="1397"/>
      <c r="AA22" s="1397"/>
      <c r="AB22" s="1397"/>
      <c r="AC22" s="1397"/>
      <c r="AD22" s="1397"/>
      <c r="AE22" s="1397"/>
      <c r="AF22" s="1397"/>
      <c r="AG22" s="1397"/>
      <c r="AH22" s="1397"/>
      <c r="AI22" s="1397"/>
      <c r="AJ22" s="1218"/>
      <c r="AK22" s="1182"/>
      <c r="AL22" s="1397"/>
    </row>
    <row r="23" s="889" customFormat="1" ht="27.2" customHeight="1" spans="1:38">
      <c r="A23" s="1505"/>
      <c r="B23" s="1244"/>
      <c r="C23" s="1149"/>
      <c r="D23" s="1144" t="s">
        <v>1125</v>
      </c>
      <c r="E23" s="1144"/>
      <c r="F23" s="1159" t="s">
        <v>1236</v>
      </c>
      <c r="G23" s="1160">
        <f>G22/(C22*10000)</f>
        <v>0.806956827257085</v>
      </c>
      <c r="H23" s="1160">
        <f>H22/4940000</f>
        <v>0.804985545030364</v>
      </c>
      <c r="I23" s="1160">
        <f>I22/4940000</f>
        <v>0.781532981781376</v>
      </c>
      <c r="J23" s="819"/>
      <c r="K23" s="858"/>
      <c r="L23" s="821"/>
      <c r="M23" s="821"/>
      <c r="N23" s="1015"/>
      <c r="O23" s="804"/>
      <c r="P23" s="652"/>
      <c r="Q23" s="653"/>
      <c r="R23" s="807"/>
      <c r="S23" s="807">
        <v>0</v>
      </c>
      <c r="T23" s="807">
        <v>0</v>
      </c>
      <c r="U23" s="1408"/>
      <c r="V23" s="1408"/>
      <c r="W23" s="1409"/>
      <c r="X23" s="727"/>
      <c r="Y23" s="727"/>
      <c r="Z23" s="727"/>
      <c r="AA23" s="727"/>
      <c r="AB23" s="727"/>
      <c r="AC23" s="727"/>
      <c r="AD23" s="727"/>
      <c r="AE23" s="727"/>
      <c r="AF23" s="727"/>
      <c r="AG23" s="727"/>
      <c r="AH23" s="727"/>
      <c r="AI23" s="727"/>
      <c r="AJ23" s="727"/>
      <c r="AK23" s="727" t="s">
        <v>285</v>
      </c>
      <c r="AL23" s="727"/>
    </row>
    <row r="24" s="1363" customFormat="1" ht="32.15" customHeight="1" spans="1:38">
      <c r="A24" s="1371" t="s">
        <v>1396</v>
      </c>
      <c r="B24" s="1269" t="s">
        <v>1248</v>
      </c>
      <c r="C24" s="759">
        <v>161</v>
      </c>
      <c r="D24" s="715" t="s">
        <v>1573</v>
      </c>
      <c r="E24" s="250" t="s">
        <v>1574</v>
      </c>
      <c r="F24" s="786">
        <v>7356</v>
      </c>
      <c r="G24" s="799"/>
      <c r="H24" s="1508"/>
      <c r="I24" s="1508">
        <v>52221.7152</v>
      </c>
      <c r="J24" s="733">
        <v>7.0992</v>
      </c>
      <c r="K24" s="598" t="s">
        <v>1654</v>
      </c>
      <c r="L24" s="610">
        <v>44861</v>
      </c>
      <c r="M24" s="625" t="s">
        <v>1575</v>
      </c>
      <c r="N24" s="1038" t="s">
        <v>1576</v>
      </c>
      <c r="O24" s="664"/>
      <c r="P24" s="655"/>
      <c r="Q24" s="656"/>
      <c r="R24" s="1400"/>
      <c r="S24" s="1401"/>
      <c r="T24" s="1401"/>
      <c r="U24" s="1410"/>
      <c r="V24" s="1410"/>
      <c r="W24" s="1183"/>
      <c r="X24" s="1411"/>
      <c r="Y24" s="715"/>
      <c r="Z24" s="546"/>
      <c r="AA24" s="546"/>
      <c r="AB24" s="546"/>
      <c r="AC24" s="546"/>
      <c r="AD24" s="546"/>
      <c r="AE24" s="546"/>
      <c r="AF24" s="546"/>
      <c r="AG24" s="546"/>
      <c r="AH24" s="546"/>
      <c r="AI24" s="546"/>
      <c r="AJ24" s="715"/>
      <c r="AK24" s="715"/>
      <c r="AL24" s="715"/>
    </row>
    <row r="25" s="1363" customFormat="1" ht="23.45" customHeight="1" spans="1:38">
      <c r="A25" s="1371"/>
      <c r="B25" s="671"/>
      <c r="C25" s="557"/>
      <c r="D25" s="715" t="s">
        <v>174</v>
      </c>
      <c r="E25" s="250" t="s">
        <v>1577</v>
      </c>
      <c r="F25" s="786">
        <v>42444</v>
      </c>
      <c r="G25" s="799"/>
      <c r="H25" s="1508"/>
      <c r="I25" s="1508">
        <v>301318.4448</v>
      </c>
      <c r="J25" s="733">
        <v>7.0992</v>
      </c>
      <c r="K25" s="610" t="s">
        <v>1251</v>
      </c>
      <c r="L25" s="644">
        <v>44851</v>
      </c>
      <c r="M25" s="625" t="s">
        <v>1575</v>
      </c>
      <c r="N25" s="1214" t="s">
        <v>1655</v>
      </c>
      <c r="O25" s="664"/>
      <c r="P25" s="1516"/>
      <c r="Q25" s="1516"/>
      <c r="R25" s="1400"/>
      <c r="S25" s="1401"/>
      <c r="T25" s="1401"/>
      <c r="U25" s="1410"/>
      <c r="V25" s="1410"/>
      <c r="W25" s="1183"/>
      <c r="X25" s="1411"/>
      <c r="Y25" s="715"/>
      <c r="Z25" s="546"/>
      <c r="AA25" s="546"/>
      <c r="AB25" s="546"/>
      <c r="AC25" s="546"/>
      <c r="AD25" s="546"/>
      <c r="AE25" s="546"/>
      <c r="AF25" s="546"/>
      <c r="AG25" s="546"/>
      <c r="AH25" s="546"/>
      <c r="AI25" s="546"/>
      <c r="AJ25" s="715"/>
      <c r="AK25" s="715"/>
      <c r="AL25" s="715"/>
    </row>
    <row r="26" s="1363" customFormat="1" ht="23.45" customHeight="1" spans="1:38">
      <c r="A26" s="1371"/>
      <c r="B26" s="671"/>
      <c r="C26" s="557"/>
      <c r="D26" s="666" t="s">
        <v>167</v>
      </c>
      <c r="E26" s="250" t="s">
        <v>1584</v>
      </c>
      <c r="F26" s="562">
        <v>11301</v>
      </c>
      <c r="G26" s="799"/>
      <c r="H26" s="1508"/>
      <c r="I26" s="1508">
        <v>80228.0592</v>
      </c>
      <c r="J26" s="733">
        <v>7.0992</v>
      </c>
      <c r="K26" s="598" t="s">
        <v>1218</v>
      </c>
      <c r="L26" s="610">
        <v>44861</v>
      </c>
      <c r="M26" s="625" t="s">
        <v>1585</v>
      </c>
      <c r="N26" s="1038" t="s">
        <v>1586</v>
      </c>
      <c r="O26" s="664"/>
      <c r="P26" s="693" t="s">
        <v>1656</v>
      </c>
      <c r="Q26" s="1516"/>
      <c r="R26" s="1400"/>
      <c r="S26" s="1401"/>
      <c r="T26" s="1401"/>
      <c r="U26" s="1410"/>
      <c r="V26" s="1410"/>
      <c r="W26" s="1183"/>
      <c r="X26" s="1411"/>
      <c r="Y26" s="715"/>
      <c r="Z26" s="546"/>
      <c r="AA26" s="546"/>
      <c r="AB26" s="546"/>
      <c r="AC26" s="546"/>
      <c r="AD26" s="546"/>
      <c r="AE26" s="546"/>
      <c r="AF26" s="546"/>
      <c r="AG26" s="546"/>
      <c r="AH26" s="546"/>
      <c r="AI26" s="546"/>
      <c r="AJ26" s="715"/>
      <c r="AK26" s="715"/>
      <c r="AL26" s="715"/>
    </row>
    <row r="27" s="1363" customFormat="1" ht="23.45" customHeight="1" spans="1:38">
      <c r="A27" s="1371"/>
      <c r="B27" s="1269"/>
      <c r="C27" s="759"/>
      <c r="D27" s="670"/>
      <c r="E27" s="1163" t="s">
        <v>1657</v>
      </c>
      <c r="F27" s="786">
        <v>1394</v>
      </c>
      <c r="G27" s="1509">
        <f t="shared" ref="G27:G34" si="0">F27*J27</f>
        <v>10048.0914</v>
      </c>
      <c r="H27" s="1508">
        <v>10048.0914</v>
      </c>
      <c r="I27" s="1508"/>
      <c r="J27" s="819">
        <v>7.2081</v>
      </c>
      <c r="K27" s="598" t="s">
        <v>1218</v>
      </c>
      <c r="L27" s="708">
        <v>44872</v>
      </c>
      <c r="M27" s="644"/>
      <c r="N27" s="715" t="s">
        <v>1658</v>
      </c>
      <c r="O27" s="664"/>
      <c r="P27" s="655" t="s">
        <v>1659</v>
      </c>
      <c r="Q27" s="656"/>
      <c r="R27" s="1400" t="s">
        <v>555</v>
      </c>
      <c r="S27" s="1401"/>
      <c r="T27" s="1401"/>
      <c r="U27" s="1410"/>
      <c r="V27" s="1410"/>
      <c r="W27" s="1183"/>
      <c r="X27" s="1411"/>
      <c r="Y27" s="715"/>
      <c r="Z27" s="546"/>
      <c r="AA27" s="546"/>
      <c r="AB27" s="546"/>
      <c r="AC27" s="546"/>
      <c r="AD27" s="546"/>
      <c r="AE27" s="546"/>
      <c r="AF27" s="546"/>
      <c r="AG27" s="546"/>
      <c r="AH27" s="546"/>
      <c r="AI27" s="546"/>
      <c r="AJ27" s="715"/>
      <c r="AK27" s="715"/>
      <c r="AL27" s="715"/>
    </row>
    <row r="28" s="1363" customFormat="1" ht="23.45" customHeight="1" spans="1:38">
      <c r="A28" s="1371"/>
      <c r="B28" s="671"/>
      <c r="C28" s="557"/>
      <c r="D28" s="670" t="s">
        <v>1340</v>
      </c>
      <c r="E28" s="1163" t="s">
        <v>1660</v>
      </c>
      <c r="F28" s="786">
        <v>115</v>
      </c>
      <c r="G28" s="1509">
        <f t="shared" si="0"/>
        <v>828.9315</v>
      </c>
      <c r="H28" s="1508">
        <v>828.9315</v>
      </c>
      <c r="I28" s="1508">
        <v>828.9315</v>
      </c>
      <c r="J28" s="819">
        <v>7.2081</v>
      </c>
      <c r="K28" s="598" t="s">
        <v>1218</v>
      </c>
      <c r="L28" s="708"/>
      <c r="M28" s="644"/>
      <c r="N28" s="715"/>
      <c r="O28" s="664"/>
      <c r="P28" s="655"/>
      <c r="Q28" s="656"/>
      <c r="R28" s="1400"/>
      <c r="S28" s="1401"/>
      <c r="T28" s="1401"/>
      <c r="U28" s="1410"/>
      <c r="V28" s="1410"/>
      <c r="W28" s="1183"/>
      <c r="X28" s="1411"/>
      <c r="Y28" s="715"/>
      <c r="Z28" s="546"/>
      <c r="AA28" s="546"/>
      <c r="AB28" s="546"/>
      <c r="AC28" s="546"/>
      <c r="AD28" s="546"/>
      <c r="AE28" s="546"/>
      <c r="AF28" s="546"/>
      <c r="AG28" s="546"/>
      <c r="AH28" s="546"/>
      <c r="AI28" s="546"/>
      <c r="AJ28" s="715"/>
      <c r="AK28" s="715"/>
      <c r="AL28" s="715"/>
    </row>
    <row r="29" s="1363" customFormat="1" ht="23.45" customHeight="1" spans="1:38">
      <c r="A29" s="1371"/>
      <c r="B29" s="671"/>
      <c r="C29" s="557"/>
      <c r="D29" s="670" t="s">
        <v>1661</v>
      </c>
      <c r="E29" s="1163" t="s">
        <v>1662</v>
      </c>
      <c r="F29" s="786">
        <v>6838</v>
      </c>
      <c r="G29" s="1509">
        <f t="shared" si="0"/>
        <v>49288.9878</v>
      </c>
      <c r="H29" s="1509">
        <v>49288.9878</v>
      </c>
      <c r="I29" s="1508">
        <v>49288.9878</v>
      </c>
      <c r="J29" s="819">
        <v>7.2081</v>
      </c>
      <c r="K29" s="598" t="s">
        <v>1251</v>
      </c>
      <c r="L29" s="708">
        <v>44867</v>
      </c>
      <c r="M29" s="625" t="s">
        <v>1663</v>
      </c>
      <c r="N29" s="715" t="s">
        <v>1664</v>
      </c>
      <c r="O29" s="664"/>
      <c r="P29" s="655" t="s">
        <v>1659</v>
      </c>
      <c r="Q29" s="656"/>
      <c r="R29" s="1400"/>
      <c r="S29" s="1401"/>
      <c r="T29" s="1401"/>
      <c r="U29" s="1410"/>
      <c r="V29" s="1410"/>
      <c r="W29" s="1183"/>
      <c r="X29" s="1411"/>
      <c r="Y29" s="715"/>
      <c r="Z29" s="546"/>
      <c r="AA29" s="546"/>
      <c r="AB29" s="546"/>
      <c r="AC29" s="546"/>
      <c r="AD29" s="546"/>
      <c r="AE29" s="546"/>
      <c r="AF29" s="546"/>
      <c r="AG29" s="546"/>
      <c r="AH29" s="546"/>
      <c r="AI29" s="546"/>
      <c r="AJ29" s="715"/>
      <c r="AK29" s="715"/>
      <c r="AL29" s="715"/>
    </row>
    <row r="30" s="1363" customFormat="1" ht="23.45" customHeight="1" spans="1:38">
      <c r="A30" s="1371"/>
      <c r="B30" s="671"/>
      <c r="C30" s="557"/>
      <c r="D30" s="670" t="s">
        <v>1665</v>
      </c>
      <c r="E30" s="1163" t="s">
        <v>1666</v>
      </c>
      <c r="F30" s="786">
        <v>1290</v>
      </c>
      <c r="G30" s="1509">
        <f t="shared" si="0"/>
        <v>9298.449</v>
      </c>
      <c r="H30" s="1508">
        <v>9298.449</v>
      </c>
      <c r="I30" s="1508"/>
      <c r="J30" s="819">
        <v>7.2081</v>
      </c>
      <c r="K30" s="598" t="s">
        <v>1251</v>
      </c>
      <c r="L30" s="708">
        <v>44879</v>
      </c>
      <c r="M30" s="625" t="s">
        <v>1125</v>
      </c>
      <c r="N30" s="715" t="s">
        <v>1667</v>
      </c>
      <c r="O30" s="664"/>
      <c r="P30" s="655" t="s">
        <v>1659</v>
      </c>
      <c r="Q30" s="656"/>
      <c r="R30" s="1400" t="s">
        <v>555</v>
      </c>
      <c r="S30" s="1401"/>
      <c r="T30" s="1401"/>
      <c r="U30" s="1410"/>
      <c r="V30" s="1410"/>
      <c r="W30" s="1183"/>
      <c r="X30" s="1411"/>
      <c r="Y30" s="715"/>
      <c r="Z30" s="546"/>
      <c r="AA30" s="546"/>
      <c r="AB30" s="546"/>
      <c r="AC30" s="546"/>
      <c r="AD30" s="546"/>
      <c r="AE30" s="546"/>
      <c r="AF30" s="546"/>
      <c r="AG30" s="546"/>
      <c r="AH30" s="546"/>
      <c r="AI30" s="546"/>
      <c r="AJ30" s="715"/>
      <c r="AK30" s="715"/>
      <c r="AL30" s="715"/>
    </row>
    <row r="31" s="1363" customFormat="1" ht="23.45" customHeight="1" spans="1:38">
      <c r="A31" s="1371"/>
      <c r="B31" s="671"/>
      <c r="C31" s="557"/>
      <c r="D31" s="664" t="s">
        <v>175</v>
      </c>
      <c r="E31" s="1163" t="s">
        <v>1668</v>
      </c>
      <c r="F31" s="722">
        <v>35893</v>
      </c>
      <c r="G31" s="1509">
        <f t="shared" si="0"/>
        <v>258720.3333</v>
      </c>
      <c r="H31" s="1508">
        <v>258720.3333</v>
      </c>
      <c r="I31" s="1508">
        <v>258720.3333</v>
      </c>
      <c r="J31" s="819">
        <v>7.2081</v>
      </c>
      <c r="K31" s="598" t="s">
        <v>1218</v>
      </c>
      <c r="L31" s="644">
        <v>44883</v>
      </c>
      <c r="M31" s="625" t="s">
        <v>1669</v>
      </c>
      <c r="N31" s="1038" t="s">
        <v>1670</v>
      </c>
      <c r="O31" s="664"/>
      <c r="P31" s="693" t="s">
        <v>1671</v>
      </c>
      <c r="Q31" s="656"/>
      <c r="R31" s="1400"/>
      <c r="S31" s="1401"/>
      <c r="T31" s="1401"/>
      <c r="U31" s="1410"/>
      <c r="V31" s="1410"/>
      <c r="W31" s="1183"/>
      <c r="X31" s="1411"/>
      <c r="Y31" s="715"/>
      <c r="Z31" s="546"/>
      <c r="AA31" s="546"/>
      <c r="AB31" s="546"/>
      <c r="AC31" s="546"/>
      <c r="AD31" s="546"/>
      <c r="AE31" s="546"/>
      <c r="AF31" s="546"/>
      <c r="AG31" s="546"/>
      <c r="AH31" s="546"/>
      <c r="AI31" s="546"/>
      <c r="AJ31" s="715"/>
      <c r="AK31" s="715"/>
      <c r="AL31" s="715"/>
    </row>
    <row r="32" s="1363" customFormat="1" ht="23.45" customHeight="1" spans="1:38">
      <c r="A32" s="1371"/>
      <c r="B32" s="671"/>
      <c r="C32" s="557"/>
      <c r="D32" s="666" t="s">
        <v>1353</v>
      </c>
      <c r="E32" s="1163" t="s">
        <v>1672</v>
      </c>
      <c r="F32" s="1510">
        <v>74.4</v>
      </c>
      <c r="G32" s="1509">
        <f t="shared" si="0"/>
        <v>536.28264</v>
      </c>
      <c r="H32" s="1508">
        <v>406.53684</v>
      </c>
      <c r="I32" s="1508"/>
      <c r="J32" s="819">
        <v>7.2081</v>
      </c>
      <c r="K32" s="598" t="s">
        <v>1251</v>
      </c>
      <c r="L32" s="644">
        <v>44881</v>
      </c>
      <c r="M32" s="633" t="s">
        <v>1125</v>
      </c>
      <c r="N32" s="546" t="s">
        <v>1673</v>
      </c>
      <c r="O32" s="1390"/>
      <c r="P32" s="693"/>
      <c r="Q32" s="656"/>
      <c r="R32" s="1400" t="s">
        <v>555</v>
      </c>
      <c r="S32" s="1401"/>
      <c r="T32" s="1401"/>
      <c r="U32" s="1410"/>
      <c r="V32" s="1410"/>
      <c r="W32" s="1183"/>
      <c r="X32" s="1411"/>
      <c r="Y32" s="715"/>
      <c r="Z32" s="546"/>
      <c r="AA32" s="546"/>
      <c r="AB32" s="546"/>
      <c r="AC32" s="546"/>
      <c r="AD32" s="546"/>
      <c r="AE32" s="546"/>
      <c r="AF32" s="546"/>
      <c r="AG32" s="546"/>
      <c r="AH32" s="546"/>
      <c r="AI32" s="546"/>
      <c r="AJ32" s="715"/>
      <c r="AK32" s="715"/>
      <c r="AL32" s="715"/>
    </row>
    <row r="33" s="1363" customFormat="1" ht="23.45" customHeight="1" spans="1:38">
      <c r="A33" s="1371"/>
      <c r="B33" s="671"/>
      <c r="C33" s="557"/>
      <c r="D33" s="670"/>
      <c r="E33" s="1163" t="s">
        <v>1674</v>
      </c>
      <c r="F33" s="722">
        <v>5890</v>
      </c>
      <c r="G33" s="1509">
        <f t="shared" si="0"/>
        <v>42455.709</v>
      </c>
      <c r="H33" s="1508">
        <v>42455.709</v>
      </c>
      <c r="I33" s="1508"/>
      <c r="J33" s="819">
        <v>7.2081</v>
      </c>
      <c r="K33" s="598" t="s">
        <v>1218</v>
      </c>
      <c r="L33" s="644">
        <v>44886</v>
      </c>
      <c r="M33" s="633" t="s">
        <v>1125</v>
      </c>
      <c r="N33" s="1389" t="s">
        <v>1675</v>
      </c>
      <c r="O33" s="1390"/>
      <c r="P33" s="655" t="s">
        <v>1659</v>
      </c>
      <c r="Q33" s="656"/>
      <c r="R33" s="1400" t="s">
        <v>555</v>
      </c>
      <c r="S33" s="1401"/>
      <c r="T33" s="1401"/>
      <c r="U33" s="1410"/>
      <c r="V33" s="1410"/>
      <c r="W33" s="1183"/>
      <c r="X33" s="1411"/>
      <c r="Y33" s="715"/>
      <c r="Z33" s="546"/>
      <c r="AA33" s="546"/>
      <c r="AB33" s="546"/>
      <c r="AC33" s="546"/>
      <c r="AD33" s="546"/>
      <c r="AE33" s="546"/>
      <c r="AF33" s="546"/>
      <c r="AG33" s="546"/>
      <c r="AH33" s="546"/>
      <c r="AI33" s="546"/>
      <c r="AJ33" s="715"/>
      <c r="AK33" s="715"/>
      <c r="AL33" s="715"/>
    </row>
    <row r="34" s="1363" customFormat="1" ht="23.45" customHeight="1" spans="1:38">
      <c r="A34" s="1371"/>
      <c r="B34" s="671"/>
      <c r="C34" s="557"/>
      <c r="D34" s="664" t="s">
        <v>243</v>
      </c>
      <c r="E34" s="1310" t="s">
        <v>1676</v>
      </c>
      <c r="F34" s="722">
        <v>4166</v>
      </c>
      <c r="G34" s="1509">
        <f t="shared" si="0"/>
        <v>30028.9446</v>
      </c>
      <c r="H34" s="1508">
        <v>30028.9446</v>
      </c>
      <c r="I34" s="1508"/>
      <c r="J34" s="819">
        <v>7.2081</v>
      </c>
      <c r="K34" s="598" t="s">
        <v>1218</v>
      </c>
      <c r="L34" s="644">
        <v>44883</v>
      </c>
      <c r="M34" s="633" t="s">
        <v>1125</v>
      </c>
      <c r="N34" s="1038" t="s">
        <v>1677</v>
      </c>
      <c r="O34" s="1443"/>
      <c r="P34" s="655" t="s">
        <v>1659</v>
      </c>
      <c r="Q34" s="945"/>
      <c r="R34" s="1400" t="s">
        <v>555</v>
      </c>
      <c r="S34" s="1401"/>
      <c r="T34" s="1401"/>
      <c r="U34" s="1410"/>
      <c r="V34" s="1410"/>
      <c r="W34" s="1183"/>
      <c r="X34" s="1411"/>
      <c r="Y34" s="715"/>
      <c r="Z34" s="546"/>
      <c r="AA34" s="546"/>
      <c r="AB34" s="546"/>
      <c r="AC34" s="546"/>
      <c r="AD34" s="546"/>
      <c r="AE34" s="546"/>
      <c r="AF34" s="546"/>
      <c r="AG34" s="546"/>
      <c r="AH34" s="546"/>
      <c r="AI34" s="546"/>
      <c r="AJ34" s="715"/>
      <c r="AK34" s="715"/>
      <c r="AL34" s="715"/>
    </row>
    <row r="35" s="536" customFormat="1" ht="23.75" customHeight="1" spans="1:38">
      <c r="A35" s="1371"/>
      <c r="B35" s="664" t="s">
        <v>224</v>
      </c>
      <c r="C35" s="759">
        <v>238</v>
      </c>
      <c r="D35" s="715" t="s">
        <v>408</v>
      </c>
      <c r="E35" s="1106" t="s">
        <v>1598</v>
      </c>
      <c r="F35" s="1433">
        <v>123175</v>
      </c>
      <c r="G35" s="799"/>
      <c r="H35" s="880"/>
      <c r="I35" s="1531">
        <v>874443.96</v>
      </c>
      <c r="J35" s="733">
        <v>7.0992</v>
      </c>
      <c r="K35" s="1355">
        <v>44859</v>
      </c>
      <c r="L35" s="644">
        <v>44865</v>
      </c>
      <c r="M35" s="633" t="s">
        <v>1678</v>
      </c>
      <c r="N35" s="250" t="s">
        <v>1679</v>
      </c>
      <c r="O35" s="1443"/>
      <c r="P35" s="945"/>
      <c r="Q35" s="945"/>
      <c r="R35" s="754"/>
      <c r="S35" s="754"/>
      <c r="T35" s="992"/>
      <c r="U35" s="1465"/>
      <c r="V35" s="1209"/>
      <c r="W35" s="1210"/>
      <c r="X35" s="715"/>
      <c r="Y35" s="1106"/>
      <c r="Z35" s="1473"/>
      <c r="AA35" s="715"/>
      <c r="AB35" s="715"/>
      <c r="AC35" s="715"/>
      <c r="AD35" s="715"/>
      <c r="AE35" s="715"/>
      <c r="AF35" s="715"/>
      <c r="AG35" s="715"/>
      <c r="AH35" s="715"/>
      <c r="AI35" s="715"/>
      <c r="AJ35" s="715"/>
      <c r="AK35" s="992"/>
      <c r="AL35" s="715"/>
    </row>
    <row r="36" s="536" customFormat="1" ht="23.75" customHeight="1" spans="1:38">
      <c r="A36" s="1371"/>
      <c r="B36" s="664"/>
      <c r="C36" s="557"/>
      <c r="D36" s="715" t="s">
        <v>775</v>
      </c>
      <c r="E36" s="1106" t="s">
        <v>1600</v>
      </c>
      <c r="F36" s="722">
        <v>4163</v>
      </c>
      <c r="G36" s="799"/>
      <c r="H36" s="799"/>
      <c r="I36" s="799">
        <v>29554</v>
      </c>
      <c r="J36" s="733">
        <v>7.0992</v>
      </c>
      <c r="K36" s="598" t="s">
        <v>1218</v>
      </c>
      <c r="L36" s="1355">
        <v>44859</v>
      </c>
      <c r="M36" s="625" t="s">
        <v>1680</v>
      </c>
      <c r="N36" s="250" t="s">
        <v>1679</v>
      </c>
      <c r="O36" s="1443"/>
      <c r="P36" s="1043"/>
      <c r="Q36" s="1043"/>
      <c r="R36" s="1401"/>
      <c r="S36" s="754"/>
      <c r="T36" s="992"/>
      <c r="U36" s="1465"/>
      <c r="V36" s="1209"/>
      <c r="W36" s="1210"/>
      <c r="X36" s="715"/>
      <c r="Y36" s="1474"/>
      <c r="Z36" s="1473"/>
      <c r="AA36" s="715"/>
      <c r="AB36" s="715"/>
      <c r="AC36" s="715"/>
      <c r="AD36" s="715"/>
      <c r="AE36" s="715"/>
      <c r="AF36" s="715"/>
      <c r="AG36" s="715"/>
      <c r="AH36" s="715"/>
      <c r="AI36" s="715"/>
      <c r="AJ36" s="715"/>
      <c r="AK36" s="992"/>
      <c r="AL36" s="715"/>
    </row>
    <row r="37" s="536" customFormat="1" ht="23.75" customHeight="1" spans="1:38">
      <c r="A37" s="1371"/>
      <c r="B37" s="664"/>
      <c r="C37" s="557"/>
      <c r="D37" s="715" t="s">
        <v>288</v>
      </c>
      <c r="E37" s="1163" t="s">
        <v>1681</v>
      </c>
      <c r="F37" s="722">
        <v>284</v>
      </c>
      <c r="G37" s="799">
        <f>F37*J37</f>
        <v>2016.1728</v>
      </c>
      <c r="H37" s="799"/>
      <c r="I37" s="799"/>
      <c r="J37" s="733">
        <v>7.0992</v>
      </c>
      <c r="K37" s="598"/>
      <c r="L37" s="1355"/>
      <c r="M37" s="625"/>
      <c r="N37" s="250" t="s">
        <v>1682</v>
      </c>
      <c r="O37" s="1443"/>
      <c r="P37" s="1043"/>
      <c r="Q37" s="1043"/>
      <c r="R37" s="1401"/>
      <c r="S37" s="754"/>
      <c r="T37" s="992"/>
      <c r="U37" s="1465"/>
      <c r="V37" s="1209"/>
      <c r="W37" s="1210"/>
      <c r="X37" s="715"/>
      <c r="Y37" s="1474"/>
      <c r="Z37" s="1473"/>
      <c r="AA37" s="715"/>
      <c r="AB37" s="715"/>
      <c r="AC37" s="715"/>
      <c r="AD37" s="715"/>
      <c r="AE37" s="715"/>
      <c r="AF37" s="715"/>
      <c r="AG37" s="715"/>
      <c r="AH37" s="715"/>
      <c r="AI37" s="715"/>
      <c r="AJ37" s="715"/>
      <c r="AK37" s="992"/>
      <c r="AL37" s="715"/>
    </row>
    <row r="38" s="536" customFormat="1" ht="23.75" customHeight="1" spans="1:38">
      <c r="A38" s="1371"/>
      <c r="B38" s="666" t="s">
        <v>1437</v>
      </c>
      <c r="C38" s="759">
        <v>50</v>
      </c>
      <c r="D38" s="666" t="s">
        <v>165</v>
      </c>
      <c r="E38" s="1163" t="s">
        <v>1683</v>
      </c>
      <c r="F38" s="786">
        <v>14237</v>
      </c>
      <c r="G38" s="799">
        <f>F38*J38</f>
        <v>102621.7197</v>
      </c>
      <c r="H38" s="1508">
        <v>102621.7197</v>
      </c>
      <c r="I38" s="799">
        <f>G38</f>
        <v>102621.7197</v>
      </c>
      <c r="J38" s="819">
        <v>7.2081</v>
      </c>
      <c r="K38" s="598" t="s">
        <v>1218</v>
      </c>
      <c r="L38" s="644">
        <v>44872</v>
      </c>
      <c r="M38" s="625" t="s">
        <v>1684</v>
      </c>
      <c r="N38" s="715" t="s">
        <v>1685</v>
      </c>
      <c r="O38" s="1443"/>
      <c r="P38" s="693" t="s">
        <v>1656</v>
      </c>
      <c r="Q38" s="919"/>
      <c r="R38" s="1401"/>
      <c r="S38" s="754"/>
      <c r="T38" s="992"/>
      <c r="U38" s="1465"/>
      <c r="V38" s="1209"/>
      <c r="W38" s="1210"/>
      <c r="X38" s="715"/>
      <c r="Y38" s="1474"/>
      <c r="Z38" s="1473"/>
      <c r="AA38" s="715"/>
      <c r="AB38" s="715"/>
      <c r="AC38" s="715"/>
      <c r="AD38" s="715"/>
      <c r="AE38" s="715"/>
      <c r="AF38" s="715"/>
      <c r="AG38" s="715"/>
      <c r="AH38" s="715"/>
      <c r="AI38" s="715"/>
      <c r="AJ38" s="715"/>
      <c r="AK38" s="992"/>
      <c r="AL38" s="715"/>
    </row>
    <row r="39" s="536" customFormat="1" ht="23.75" customHeight="1" spans="1:38">
      <c r="A39" s="1371"/>
      <c r="B39" s="556"/>
      <c r="C39" s="557"/>
      <c r="D39" s="556"/>
      <c r="E39" s="1163" t="s">
        <v>1686</v>
      </c>
      <c r="F39" s="786">
        <v>14600</v>
      </c>
      <c r="G39" s="799">
        <f>F39*J39</f>
        <v>105238.26</v>
      </c>
      <c r="H39" s="1508">
        <v>105238.26</v>
      </c>
      <c r="I39" s="1508">
        <v>105238.26</v>
      </c>
      <c r="J39" s="819">
        <v>7.2081</v>
      </c>
      <c r="K39" s="598" t="s">
        <v>1218</v>
      </c>
      <c r="L39" s="644">
        <v>44881</v>
      </c>
      <c r="M39" s="625" t="s">
        <v>1687</v>
      </c>
      <c r="N39" s="715" t="s">
        <v>1688</v>
      </c>
      <c r="O39" s="1443"/>
      <c r="P39" s="693" t="s">
        <v>1656</v>
      </c>
      <c r="Q39" s="919"/>
      <c r="R39" s="1401"/>
      <c r="S39" s="754"/>
      <c r="T39" s="992"/>
      <c r="U39" s="1465"/>
      <c r="V39" s="1209"/>
      <c r="W39" s="1210"/>
      <c r="X39" s="715"/>
      <c r="Y39" s="1474"/>
      <c r="Z39" s="1473"/>
      <c r="AA39" s="715"/>
      <c r="AB39" s="715"/>
      <c r="AC39" s="715"/>
      <c r="AD39" s="715"/>
      <c r="AE39" s="715"/>
      <c r="AF39" s="715"/>
      <c r="AG39" s="715"/>
      <c r="AH39" s="715"/>
      <c r="AI39" s="715"/>
      <c r="AJ39" s="715"/>
      <c r="AK39" s="992"/>
      <c r="AL39" s="715"/>
    </row>
    <row r="40" s="536" customFormat="1" ht="23.75" customHeight="1" spans="1:38">
      <c r="A40" s="1371"/>
      <c r="B40" s="1190" t="s">
        <v>1124</v>
      </c>
      <c r="C40" s="1191">
        <v>596</v>
      </c>
      <c r="D40" s="1420"/>
      <c r="E40" s="1198"/>
      <c r="F40" s="1157" t="s">
        <v>1235</v>
      </c>
      <c r="G40" s="1507">
        <f>SUM(G24:G39)</f>
        <v>611081.88174</v>
      </c>
      <c r="H40" s="1507">
        <f>SUM(H24:H39)</f>
        <v>608935.96314</v>
      </c>
      <c r="I40" s="1507">
        <f>SUM(I24:I39)</f>
        <v>1854464.4115</v>
      </c>
      <c r="J40" s="1168"/>
      <c r="K40" s="610"/>
      <c r="L40" s="644"/>
      <c r="M40" s="644"/>
      <c r="N40" s="1013"/>
      <c r="O40" s="1443"/>
      <c r="P40" s="968"/>
      <c r="Q40" s="919"/>
      <c r="R40" s="1401"/>
      <c r="S40" s="754"/>
      <c r="T40" s="992"/>
      <c r="U40" s="1465"/>
      <c r="V40" s="1209"/>
      <c r="W40" s="1210"/>
      <c r="X40" s="715"/>
      <c r="Y40" s="1474"/>
      <c r="Z40" s="1473"/>
      <c r="AA40" s="715"/>
      <c r="AB40" s="715"/>
      <c r="AC40" s="715"/>
      <c r="AD40" s="715"/>
      <c r="AE40" s="715"/>
      <c r="AF40" s="715"/>
      <c r="AG40" s="715"/>
      <c r="AH40" s="715"/>
      <c r="AI40" s="715"/>
      <c r="AJ40" s="715"/>
      <c r="AK40" s="992"/>
      <c r="AL40" s="715"/>
    </row>
    <row r="41" s="1364" customFormat="1" ht="27.5" customHeight="1" spans="1:38">
      <c r="A41" s="1419"/>
      <c r="B41" s="1192"/>
      <c r="C41" s="1150"/>
      <c r="D41" s="1420"/>
      <c r="E41" s="1198"/>
      <c r="F41" s="1157" t="s">
        <v>1236</v>
      </c>
      <c r="G41" s="1199">
        <f>G40/(C40*10000)</f>
        <v>0.10253051707047</v>
      </c>
      <c r="H41" s="1199">
        <f>H40/(C40*10000)</f>
        <v>0.102170463614094</v>
      </c>
      <c r="I41" s="1199">
        <f>I40/(C40*10000)</f>
        <v>0.311151746895973</v>
      </c>
      <c r="J41" s="747"/>
      <c r="K41" s="858"/>
      <c r="L41" s="1135"/>
      <c r="M41" s="1135"/>
      <c r="N41" s="1015"/>
      <c r="O41" s="727"/>
      <c r="P41" s="746"/>
      <c r="Q41" s="747"/>
      <c r="R41" s="747"/>
      <c r="S41" s="653"/>
      <c r="T41" s="653"/>
      <c r="U41" s="1184"/>
      <c r="V41" s="1184"/>
      <c r="W41" s="1185"/>
      <c r="X41" s="727"/>
      <c r="Y41" s="777"/>
      <c r="Z41" s="727"/>
      <c r="AA41" s="727"/>
      <c r="AB41" s="727"/>
      <c r="AC41" s="727"/>
      <c r="AD41" s="727"/>
      <c r="AE41" s="727"/>
      <c r="AF41" s="727"/>
      <c r="AG41" s="727"/>
      <c r="AH41" s="727"/>
      <c r="AI41" s="727"/>
      <c r="AJ41" s="727"/>
      <c r="AK41" s="727" t="s">
        <v>293</v>
      </c>
      <c r="AL41" s="727"/>
    </row>
    <row r="42" s="1363" customFormat="1" ht="18.75" customHeight="1" spans="1:38">
      <c r="A42" s="1517" t="s">
        <v>1137</v>
      </c>
      <c r="B42" s="671" t="s">
        <v>344</v>
      </c>
      <c r="C42" s="557">
        <v>206</v>
      </c>
      <c r="D42" s="724" t="s">
        <v>299</v>
      </c>
      <c r="E42" s="1161" t="s">
        <v>1689</v>
      </c>
      <c r="F42" s="969">
        <f>P42*Q42</f>
        <v>33852</v>
      </c>
      <c r="G42" s="1509">
        <f>F42*J42</f>
        <v>244008.6012</v>
      </c>
      <c r="H42" s="1509">
        <f>F42*J42</f>
        <v>244008.6012</v>
      </c>
      <c r="I42" s="1509">
        <f>F42*J42</f>
        <v>244008.6012</v>
      </c>
      <c r="J42" s="733">
        <v>7.2081</v>
      </c>
      <c r="K42" s="610">
        <v>44851</v>
      </c>
      <c r="L42" s="633">
        <v>44872</v>
      </c>
      <c r="M42" s="633" t="s">
        <v>1690</v>
      </c>
      <c r="N42" s="1448"/>
      <c r="O42" s="597" t="s">
        <v>348</v>
      </c>
      <c r="P42" s="751">
        <v>91</v>
      </c>
      <c r="Q42" s="752">
        <v>372</v>
      </c>
      <c r="R42" s="1410"/>
      <c r="S42" s="1451"/>
      <c r="T42" s="1452"/>
      <c r="U42" s="1344"/>
      <c r="V42" s="1466"/>
      <c r="W42" s="1467"/>
      <c r="X42" s="1397"/>
      <c r="Y42" s="1475"/>
      <c r="Z42" s="1397"/>
      <c r="AA42" s="1397"/>
      <c r="AB42" s="1397"/>
      <c r="AC42" s="1397"/>
      <c r="AD42" s="1397"/>
      <c r="AE42" s="1397"/>
      <c r="AF42" s="1397"/>
      <c r="AG42" s="1397"/>
      <c r="AH42" s="1397"/>
      <c r="AI42" s="1397"/>
      <c r="AJ42" s="1477"/>
      <c r="AK42" s="1478"/>
      <c r="AL42" s="1398"/>
    </row>
    <row r="43" s="1363" customFormat="1" ht="18.75" customHeight="1" spans="1:38">
      <c r="A43" s="1421"/>
      <c r="B43" s="671"/>
      <c r="C43" s="557"/>
      <c r="D43" s="724" t="s">
        <v>299</v>
      </c>
      <c r="E43" s="1161" t="s">
        <v>1691</v>
      </c>
      <c r="F43" s="969">
        <f>P43*Q43</f>
        <v>33852</v>
      </c>
      <c r="G43" s="1509">
        <f>F43*J43</f>
        <v>244008.6012</v>
      </c>
      <c r="H43" s="1509">
        <f>F43*J43</f>
        <v>244008.6012</v>
      </c>
      <c r="I43" s="1509">
        <f>F43*J43</f>
        <v>244008.6012</v>
      </c>
      <c r="J43" s="733">
        <v>7.2081</v>
      </c>
      <c r="K43" s="610">
        <v>44851</v>
      </c>
      <c r="L43" s="633">
        <v>44872</v>
      </c>
      <c r="M43" s="633" t="s">
        <v>1690</v>
      </c>
      <c r="N43" s="1448"/>
      <c r="O43" s="597" t="s">
        <v>348</v>
      </c>
      <c r="P43" s="751">
        <v>91</v>
      </c>
      <c r="Q43" s="752">
        <v>372</v>
      </c>
      <c r="R43" s="1410"/>
      <c r="S43" s="1451"/>
      <c r="T43" s="1452"/>
      <c r="U43" s="1344"/>
      <c r="V43" s="1466"/>
      <c r="W43" s="1467"/>
      <c r="X43" s="1397"/>
      <c r="Y43" s="1475"/>
      <c r="Z43" s="1397"/>
      <c r="AA43" s="1397"/>
      <c r="AB43" s="1397"/>
      <c r="AC43" s="1397"/>
      <c r="AD43" s="1397"/>
      <c r="AE43" s="1397"/>
      <c r="AF43" s="1397"/>
      <c r="AG43" s="1397"/>
      <c r="AH43" s="1397"/>
      <c r="AI43" s="1397"/>
      <c r="AJ43" s="1477"/>
      <c r="AK43" s="1478"/>
      <c r="AL43" s="1398"/>
    </row>
    <row r="44" s="1363" customFormat="1" ht="18.75" customHeight="1" spans="1:38">
      <c r="A44" s="1421"/>
      <c r="B44" s="671"/>
      <c r="C44" s="557"/>
      <c r="D44" s="724"/>
      <c r="E44" s="1303"/>
      <c r="F44" s="969"/>
      <c r="G44" s="1509"/>
      <c r="H44" s="1509"/>
      <c r="I44" s="1509"/>
      <c r="J44" s="733"/>
      <c r="K44" s="610"/>
      <c r="L44" s="633"/>
      <c r="M44" s="633"/>
      <c r="N44" s="1448"/>
      <c r="O44" s="597"/>
      <c r="P44" s="751"/>
      <c r="Q44" s="752"/>
      <c r="R44" s="1410"/>
      <c r="S44" s="1451"/>
      <c r="T44" s="1452"/>
      <c r="U44" s="1344"/>
      <c r="V44" s="1466"/>
      <c r="W44" s="1467"/>
      <c r="X44" s="1397"/>
      <c r="Y44" s="1475"/>
      <c r="Z44" s="1397"/>
      <c r="AA44" s="1397"/>
      <c r="AB44" s="1397"/>
      <c r="AC44" s="1397"/>
      <c r="AD44" s="1397"/>
      <c r="AE44" s="1397"/>
      <c r="AF44" s="1397"/>
      <c r="AG44" s="1397"/>
      <c r="AH44" s="1397"/>
      <c r="AI44" s="1397"/>
      <c r="AJ44" s="1477"/>
      <c r="AK44" s="1478"/>
      <c r="AL44" s="1398"/>
    </row>
    <row r="45" s="1363" customFormat="1" ht="18.75" customHeight="1" spans="1:38">
      <c r="A45" s="1421"/>
      <c r="B45" s="671"/>
      <c r="C45" s="557"/>
      <c r="D45" s="1518" t="s">
        <v>299</v>
      </c>
      <c r="E45" s="1522" t="s">
        <v>1692</v>
      </c>
      <c r="F45" s="1523">
        <f>P45*Q45</f>
        <v>42840</v>
      </c>
      <c r="G45" s="1524">
        <f t="shared" ref="G45:G48" si="1">F45*J45</f>
        <v>308795.004</v>
      </c>
      <c r="H45" s="1509">
        <f>F45*J45</f>
        <v>308795.004</v>
      </c>
      <c r="I45" s="1509">
        <f>F45*J45</f>
        <v>308795.004</v>
      </c>
      <c r="J45" s="733">
        <v>7.2081</v>
      </c>
      <c r="K45" s="1532">
        <v>44885</v>
      </c>
      <c r="L45" s="1532">
        <v>44889</v>
      </c>
      <c r="M45" s="633" t="s">
        <v>1693</v>
      </c>
      <c r="N45" s="1539"/>
      <c r="O45" s="1540" t="s">
        <v>427</v>
      </c>
      <c r="P45" s="1541">
        <v>168</v>
      </c>
      <c r="Q45" s="1545">
        <v>255</v>
      </c>
      <c r="R45" s="1410"/>
      <c r="S45" s="1451"/>
      <c r="T45" s="1452"/>
      <c r="U45" s="1344"/>
      <c r="V45" s="1466"/>
      <c r="W45" s="1467"/>
      <c r="X45" s="1397"/>
      <c r="Y45" s="1475"/>
      <c r="Z45" s="1397"/>
      <c r="AA45" s="1397"/>
      <c r="AB45" s="1397"/>
      <c r="AC45" s="1397"/>
      <c r="AD45" s="1397"/>
      <c r="AE45" s="1397"/>
      <c r="AF45" s="1397"/>
      <c r="AG45" s="1397"/>
      <c r="AH45" s="1397"/>
      <c r="AI45" s="1397"/>
      <c r="AJ45" s="1477"/>
      <c r="AK45" s="1478"/>
      <c r="AL45" s="1398"/>
    </row>
    <row r="46" s="1363" customFormat="1" ht="18.75" customHeight="1" spans="1:38">
      <c r="A46" s="1421"/>
      <c r="B46" s="671"/>
      <c r="C46" s="557"/>
      <c r="D46" s="724"/>
      <c r="E46" s="1303"/>
      <c r="F46" s="969"/>
      <c r="G46" s="1509"/>
      <c r="H46" s="1509"/>
      <c r="I46" s="1509"/>
      <c r="J46" s="733"/>
      <c r="K46" s="610"/>
      <c r="L46" s="633"/>
      <c r="M46" s="633"/>
      <c r="N46" s="1448"/>
      <c r="O46" s="597"/>
      <c r="P46" s="751"/>
      <c r="Q46" s="752"/>
      <c r="R46" s="1410"/>
      <c r="S46" s="1451"/>
      <c r="T46" s="1452"/>
      <c r="U46" s="1344"/>
      <c r="V46" s="1466"/>
      <c r="W46" s="1467"/>
      <c r="X46" s="1397"/>
      <c r="Y46" s="1475"/>
      <c r="Z46" s="1397"/>
      <c r="AA46" s="1397"/>
      <c r="AB46" s="1397"/>
      <c r="AC46" s="1397"/>
      <c r="AD46" s="1397"/>
      <c r="AE46" s="1397"/>
      <c r="AF46" s="1397"/>
      <c r="AG46" s="1397"/>
      <c r="AH46" s="1397"/>
      <c r="AI46" s="1397"/>
      <c r="AJ46" s="1477"/>
      <c r="AK46" s="1478"/>
      <c r="AL46" s="1398"/>
    </row>
    <row r="47" s="536" customFormat="1" ht="21.55" customHeight="1" spans="1:38">
      <c r="A47" s="1427"/>
      <c r="B47" s="664" t="s">
        <v>509</v>
      </c>
      <c r="C47" s="655">
        <v>194</v>
      </c>
      <c r="D47" s="1426" t="s">
        <v>274</v>
      </c>
      <c r="E47" s="1155" t="s">
        <v>1694</v>
      </c>
      <c r="F47" s="969">
        <v>17911</v>
      </c>
      <c r="G47" s="1509">
        <f t="shared" si="1"/>
        <v>129104.2791</v>
      </c>
      <c r="H47" s="1509">
        <f t="shared" ref="H47:H50" si="2">G47</f>
        <v>129104.2791</v>
      </c>
      <c r="I47" s="1509">
        <f>G47</f>
        <v>129104.2791</v>
      </c>
      <c r="J47" s="733">
        <v>7.2081</v>
      </c>
      <c r="K47" s="610" t="s">
        <v>1251</v>
      </c>
      <c r="L47" s="708">
        <v>44867</v>
      </c>
      <c r="M47" s="708" t="s">
        <v>1695</v>
      </c>
      <c r="N47" s="708" t="s">
        <v>1696</v>
      </c>
      <c r="O47" s="1450"/>
      <c r="P47" s="568"/>
      <c r="Q47" s="1240"/>
      <c r="R47" s="1453"/>
      <c r="S47" s="1342"/>
      <c r="T47" s="1204"/>
      <c r="U47" s="715"/>
      <c r="V47" s="1211"/>
      <c r="W47" s="1182"/>
      <c r="X47" s="715"/>
      <c r="Y47" s="764"/>
      <c r="Z47" s="715"/>
      <c r="AA47" s="715"/>
      <c r="AB47" s="715"/>
      <c r="AC47" s="715"/>
      <c r="AD47" s="715"/>
      <c r="AE47" s="715"/>
      <c r="AF47" s="715"/>
      <c r="AG47" s="715"/>
      <c r="AH47" s="715"/>
      <c r="AI47" s="715"/>
      <c r="AJ47" s="715"/>
      <c r="AK47" s="1294"/>
      <c r="AL47" s="715"/>
    </row>
    <row r="48" s="536" customFormat="1" ht="21.55" customHeight="1" spans="1:38">
      <c r="A48" s="1427"/>
      <c r="B48" s="664"/>
      <c r="C48" s="655"/>
      <c r="D48" s="1426" t="s">
        <v>274</v>
      </c>
      <c r="E48" s="1155" t="s">
        <v>1697</v>
      </c>
      <c r="F48" s="969">
        <v>5425</v>
      </c>
      <c r="G48" s="1509">
        <f t="shared" si="1"/>
        <v>39103.9425</v>
      </c>
      <c r="H48" s="1509">
        <f t="shared" si="2"/>
        <v>39103.9425</v>
      </c>
      <c r="I48" s="1509">
        <f>G48</f>
        <v>39103.9425</v>
      </c>
      <c r="J48" s="733">
        <v>7.2081</v>
      </c>
      <c r="K48" s="1533">
        <v>44868</v>
      </c>
      <c r="L48" s="708">
        <v>44867</v>
      </c>
      <c r="M48" s="708"/>
      <c r="N48" s="708"/>
      <c r="O48" s="1450"/>
      <c r="P48" s="568"/>
      <c r="Q48" s="1240"/>
      <c r="R48" s="1453"/>
      <c r="S48" s="1546"/>
      <c r="T48" s="1457"/>
      <c r="U48" s="542"/>
      <c r="V48" s="1468"/>
      <c r="W48" s="1469"/>
      <c r="X48" s="715"/>
      <c r="Y48" s="764"/>
      <c r="Z48" s="715"/>
      <c r="AA48" s="715"/>
      <c r="AB48" s="715"/>
      <c r="AC48" s="715"/>
      <c r="AD48" s="715"/>
      <c r="AE48" s="715"/>
      <c r="AF48" s="715"/>
      <c r="AG48" s="715"/>
      <c r="AH48" s="715"/>
      <c r="AI48" s="715"/>
      <c r="AJ48" s="715"/>
      <c r="AK48" s="1294"/>
      <c r="AL48" s="715"/>
    </row>
    <row r="49" s="1363" customFormat="1" ht="21.55" customHeight="1" spans="1:38">
      <c r="A49" s="1427"/>
      <c r="B49" s="664"/>
      <c r="C49" s="655"/>
      <c r="D49" s="1346"/>
      <c r="E49" s="723"/>
      <c r="F49" s="1108"/>
      <c r="G49" s="1525"/>
      <c r="H49" s="1525"/>
      <c r="I49" s="1525"/>
      <c r="J49" s="1534"/>
      <c r="K49" s="1535"/>
      <c r="L49" s="1536"/>
      <c r="M49" s="1536"/>
      <c r="N49" s="542"/>
      <c r="O49" s="250"/>
      <c r="P49" s="568"/>
      <c r="Q49" s="1240"/>
      <c r="R49" s="1453"/>
      <c r="S49" s="1459"/>
      <c r="T49" s="1460"/>
      <c r="U49" s="1470"/>
      <c r="V49" s="1471"/>
      <c r="W49" s="1472"/>
      <c r="X49" s="1397"/>
      <c r="Y49" s="1475"/>
      <c r="Z49" s="1397"/>
      <c r="AA49" s="1397"/>
      <c r="AB49" s="1397"/>
      <c r="AC49" s="1397"/>
      <c r="AD49" s="1397"/>
      <c r="AE49" s="1397"/>
      <c r="AF49" s="1397"/>
      <c r="AG49" s="1397"/>
      <c r="AH49" s="1397"/>
      <c r="AI49" s="1397"/>
      <c r="AJ49" s="715"/>
      <c r="AK49" s="561"/>
      <c r="AL49" s="1397"/>
    </row>
    <row r="50" s="1363" customFormat="1" ht="21.55" customHeight="1" spans="1:38">
      <c r="A50" s="1427"/>
      <c r="B50" s="1519" t="s">
        <v>1145</v>
      </c>
      <c r="C50" s="1430">
        <v>190</v>
      </c>
      <c r="D50" s="571" t="s">
        <v>355</v>
      </c>
      <c r="E50" s="561" t="s">
        <v>1623</v>
      </c>
      <c r="F50" s="969">
        <v>32846</v>
      </c>
      <c r="G50" s="1509"/>
      <c r="H50" s="1509"/>
      <c r="I50" s="1509">
        <f>F50*J50</f>
        <v>236757.2526</v>
      </c>
      <c r="J50" s="733">
        <v>7.2081</v>
      </c>
      <c r="K50" s="756" t="s">
        <v>203</v>
      </c>
      <c r="L50" s="708">
        <v>44862</v>
      </c>
      <c r="M50" s="708" t="s">
        <v>1624</v>
      </c>
      <c r="N50" s="1214" t="s">
        <v>1698</v>
      </c>
      <c r="O50" s="1450"/>
      <c r="P50" s="568"/>
      <c r="Q50" s="1240"/>
      <c r="R50" s="1453"/>
      <c r="S50" s="1459"/>
      <c r="T50" s="1460"/>
      <c r="U50" s="1470"/>
      <c r="V50" s="1471"/>
      <c r="W50" s="1472"/>
      <c r="X50" s="1397"/>
      <c r="Y50" s="1475"/>
      <c r="Z50" s="1397"/>
      <c r="AA50" s="1397"/>
      <c r="AB50" s="1397"/>
      <c r="AC50" s="1397"/>
      <c r="AD50" s="1397"/>
      <c r="AE50" s="1397"/>
      <c r="AF50" s="1397"/>
      <c r="AG50" s="1397"/>
      <c r="AH50" s="1397"/>
      <c r="AI50" s="1397"/>
      <c r="AJ50" s="715"/>
      <c r="AK50" s="561"/>
      <c r="AL50" s="1397"/>
    </row>
    <row r="51" s="1363" customFormat="1" ht="21.55" customHeight="1" spans="1:38">
      <c r="A51" s="1427"/>
      <c r="B51" s="1520"/>
      <c r="C51" s="1431"/>
      <c r="D51" s="705" t="s">
        <v>1699</v>
      </c>
      <c r="E51" s="1155" t="s">
        <v>1700</v>
      </c>
      <c r="F51" s="969">
        <v>39385</v>
      </c>
      <c r="G51" s="1509">
        <f>F51*J51</f>
        <v>283891.0185</v>
      </c>
      <c r="H51" s="1509">
        <f>G51</f>
        <v>283891.0185</v>
      </c>
      <c r="I51" s="1509">
        <f>G51</f>
        <v>283891.0185</v>
      </c>
      <c r="J51" s="733">
        <v>7.2081</v>
      </c>
      <c r="K51" s="1234" t="s">
        <v>1251</v>
      </c>
      <c r="L51" s="1261">
        <v>44861</v>
      </c>
      <c r="M51" s="1261">
        <v>44900</v>
      </c>
      <c r="N51" s="715" t="s">
        <v>1701</v>
      </c>
      <c r="O51" s="250"/>
      <c r="P51" s="568"/>
      <c r="Q51" s="1240"/>
      <c r="R51" s="1464"/>
      <c r="S51" s="1461"/>
      <c r="T51" s="1462"/>
      <c r="U51" s="1397"/>
      <c r="V51" s="1466"/>
      <c r="W51" s="1467"/>
      <c r="X51" s="1489"/>
      <c r="Y51" s="1493"/>
      <c r="Z51" s="1397"/>
      <c r="AA51" s="1397"/>
      <c r="AB51" s="1397"/>
      <c r="AC51" s="1397"/>
      <c r="AD51" s="1397"/>
      <c r="AE51" s="1397"/>
      <c r="AF51" s="1397"/>
      <c r="AG51" s="1397"/>
      <c r="AH51" s="1397"/>
      <c r="AI51" s="1397"/>
      <c r="AJ51" s="1496"/>
      <c r="AK51" s="1498"/>
      <c r="AL51" s="1499"/>
    </row>
    <row r="52" s="1363" customFormat="1" ht="21.55" customHeight="1" spans="1:38">
      <c r="A52" s="1427"/>
      <c r="B52" s="1520"/>
      <c r="C52" s="1431"/>
      <c r="D52" s="705" t="s">
        <v>882</v>
      </c>
      <c r="E52" s="1526" t="s">
        <v>1702</v>
      </c>
      <c r="F52" s="969">
        <v>45375</v>
      </c>
      <c r="G52" s="1509">
        <f>F52*J52</f>
        <v>327067.5375</v>
      </c>
      <c r="H52" s="1509">
        <f>G52</f>
        <v>327067.5375</v>
      </c>
      <c r="I52" s="1509">
        <f>G52</f>
        <v>327067.5375</v>
      </c>
      <c r="J52" s="733">
        <v>7.2081</v>
      </c>
      <c r="K52" s="1537" t="s">
        <v>1251</v>
      </c>
      <c r="L52" s="708">
        <v>44876</v>
      </c>
      <c r="M52" s="708" t="s">
        <v>1703</v>
      </c>
      <c r="N52" s="1542" t="s">
        <v>1704</v>
      </c>
      <c r="O52" s="250"/>
      <c r="P52" s="568"/>
      <c r="Q52" s="1240"/>
      <c r="R52" s="1464"/>
      <c r="S52" s="1461"/>
      <c r="T52" s="1462"/>
      <c r="U52" s="1397"/>
      <c r="V52" s="1466"/>
      <c r="W52" s="1467"/>
      <c r="X52" s="1489"/>
      <c r="Y52" s="1493"/>
      <c r="Z52" s="1397"/>
      <c r="AA52" s="1397"/>
      <c r="AB52" s="1397"/>
      <c r="AC52" s="1397"/>
      <c r="AD52" s="1397"/>
      <c r="AE52" s="1397"/>
      <c r="AF52" s="1397"/>
      <c r="AG52" s="1397"/>
      <c r="AH52" s="1397"/>
      <c r="AI52" s="1397"/>
      <c r="AJ52" s="1496"/>
      <c r="AK52" s="1498"/>
      <c r="AL52" s="1499"/>
    </row>
    <row r="53" s="1363" customFormat="1" ht="21.55" customHeight="1" spans="1:38">
      <c r="A53" s="1427"/>
      <c r="B53" s="1520"/>
      <c r="C53" s="1431"/>
      <c r="D53" s="568" t="s">
        <v>267</v>
      </c>
      <c r="E53" s="1527" t="s">
        <v>1705</v>
      </c>
      <c r="F53" s="969">
        <v>47403</v>
      </c>
      <c r="G53" s="1509">
        <f>F53*J53</f>
        <v>341685.5643</v>
      </c>
      <c r="H53" s="1509">
        <f>G53</f>
        <v>341685.5643</v>
      </c>
      <c r="I53" s="1509"/>
      <c r="J53" s="733">
        <v>7.2081</v>
      </c>
      <c r="K53" s="1537" t="s">
        <v>1251</v>
      </c>
      <c r="L53" s="1261">
        <v>44894</v>
      </c>
      <c r="M53" s="1261">
        <v>44900</v>
      </c>
      <c r="N53" s="715" t="s">
        <v>1706</v>
      </c>
      <c r="O53" s="1543"/>
      <c r="P53" s="1544"/>
      <c r="Q53" s="1547"/>
      <c r="R53" s="1464"/>
      <c r="S53" s="1461"/>
      <c r="T53" s="1462"/>
      <c r="U53" s="1397"/>
      <c r="V53" s="1466"/>
      <c r="W53" s="1467"/>
      <c r="X53" s="1489"/>
      <c r="Y53" s="1493"/>
      <c r="Z53" s="1397"/>
      <c r="AA53" s="1397"/>
      <c r="AB53" s="1397"/>
      <c r="AC53" s="1397"/>
      <c r="AD53" s="1397"/>
      <c r="AE53" s="1397"/>
      <c r="AF53" s="1397"/>
      <c r="AG53" s="1397"/>
      <c r="AH53" s="1397"/>
      <c r="AI53" s="1397"/>
      <c r="AJ53" s="1496"/>
      <c r="AK53" s="1498"/>
      <c r="AL53" s="1499"/>
    </row>
    <row r="54" s="1363" customFormat="1" ht="21.55" customHeight="1" spans="1:38">
      <c r="A54" s="1427"/>
      <c r="B54" s="1520"/>
      <c r="C54" s="1431"/>
      <c r="D54" s="561"/>
      <c r="E54" s="1528"/>
      <c r="F54" s="1529"/>
      <c r="G54" s="1525"/>
      <c r="H54" s="1508"/>
      <c r="I54" s="1509"/>
      <c r="J54" s="733"/>
      <c r="K54" s="1538"/>
      <c r="L54" s="633"/>
      <c r="M54" s="633"/>
      <c r="N54" s="1013"/>
      <c r="O54" s="1543"/>
      <c r="P54" s="1544"/>
      <c r="Q54" s="1547"/>
      <c r="R54" s="1464"/>
      <c r="S54" s="1461"/>
      <c r="T54" s="1462"/>
      <c r="U54" s="1397"/>
      <c r="V54" s="1466"/>
      <c r="W54" s="1467"/>
      <c r="X54" s="1489"/>
      <c r="Y54" s="1493"/>
      <c r="Z54" s="1397"/>
      <c r="AA54" s="1397"/>
      <c r="AB54" s="1397"/>
      <c r="AC54" s="1397"/>
      <c r="AD54" s="1397"/>
      <c r="AE54" s="1397"/>
      <c r="AF54" s="1397"/>
      <c r="AG54" s="1397"/>
      <c r="AH54" s="1397"/>
      <c r="AI54" s="1397"/>
      <c r="AJ54" s="1496"/>
      <c r="AK54" s="1498"/>
      <c r="AL54" s="1499"/>
    </row>
    <row r="55" s="1363" customFormat="1" ht="21.55" customHeight="1" spans="1:38">
      <c r="A55" s="1427"/>
      <c r="B55" s="1521"/>
      <c r="C55" s="1431"/>
      <c r="D55" s="561" t="s">
        <v>660</v>
      </c>
      <c r="E55" s="1155" t="s">
        <v>1707</v>
      </c>
      <c r="F55" s="576">
        <v>3060</v>
      </c>
      <c r="G55" s="1509">
        <f>F55*J55</f>
        <v>22056.786</v>
      </c>
      <c r="H55" s="1509">
        <f>F55*J55</f>
        <v>22056.786</v>
      </c>
      <c r="I55" s="1509">
        <f>F55*J55</f>
        <v>22056.786</v>
      </c>
      <c r="J55" s="733">
        <v>7.2081</v>
      </c>
      <c r="K55" s="598">
        <v>44864</v>
      </c>
      <c r="L55" s="625">
        <v>44878</v>
      </c>
      <c r="M55" s="625">
        <v>44880</v>
      </c>
      <c r="N55" s="1013"/>
      <c r="O55" s="1543" t="s">
        <v>1708</v>
      </c>
      <c r="P55" s="1544">
        <v>10</v>
      </c>
      <c r="Q55" s="1547">
        <v>306</v>
      </c>
      <c r="R55" s="1464"/>
      <c r="S55" s="1461"/>
      <c r="T55" s="1462"/>
      <c r="U55" s="1397"/>
      <c r="V55" s="1466"/>
      <c r="W55" s="1467"/>
      <c r="X55" s="1489"/>
      <c r="Y55" s="1493"/>
      <c r="Z55" s="1397"/>
      <c r="AA55" s="1397"/>
      <c r="AB55" s="1397"/>
      <c r="AC55" s="1397"/>
      <c r="AD55" s="1397"/>
      <c r="AE55" s="1397"/>
      <c r="AF55" s="1397"/>
      <c r="AG55" s="1397"/>
      <c r="AH55" s="1397"/>
      <c r="AI55" s="1397"/>
      <c r="AJ55" s="1496"/>
      <c r="AK55" s="1498"/>
      <c r="AL55" s="1499"/>
    </row>
    <row r="56" s="1364" customFormat="1" ht="32.5" customHeight="1" spans="1:38">
      <c r="A56" s="1427"/>
      <c r="B56" s="664" t="s">
        <v>1540</v>
      </c>
      <c r="C56" s="655"/>
      <c r="D56" s="1269" t="s">
        <v>1709</v>
      </c>
      <c r="E56" s="1530" t="s">
        <v>1710</v>
      </c>
      <c r="F56" s="725">
        <v>44863</v>
      </c>
      <c r="G56" s="1509"/>
      <c r="H56" s="1509"/>
      <c r="I56" s="1509"/>
      <c r="J56" s="733">
        <v>7.2081</v>
      </c>
      <c r="K56" s="1486"/>
      <c r="L56" s="633"/>
      <c r="M56" s="625"/>
      <c r="N56" s="1012" t="s">
        <v>1711</v>
      </c>
      <c r="O56" s="715"/>
      <c r="P56" s="716"/>
      <c r="Q56" s="1032"/>
      <c r="R56" s="1548"/>
      <c r="S56" s="1548"/>
      <c r="T56" s="1549"/>
      <c r="U56" s="1184"/>
      <c r="V56" s="1184"/>
      <c r="W56" s="1185"/>
      <c r="X56" s="1490"/>
      <c r="Y56" s="1495"/>
      <c r="Z56" s="727"/>
      <c r="AA56" s="727"/>
      <c r="AB56" s="727"/>
      <c r="AC56" s="727"/>
      <c r="AD56" s="727"/>
      <c r="AE56" s="727"/>
      <c r="AF56" s="727"/>
      <c r="AG56" s="727"/>
      <c r="AH56" s="727"/>
      <c r="AI56" s="727"/>
      <c r="AJ56" s="1497"/>
      <c r="AK56" s="1501"/>
      <c r="AL56" s="1501"/>
    </row>
    <row r="57" s="1364" customFormat="1" ht="32.5" customHeight="1" spans="1:38">
      <c r="A57" s="1421"/>
      <c r="B57" s="1190" t="s">
        <v>1124</v>
      </c>
      <c r="C57" s="1219">
        <f>SUM(C42:C50)</f>
        <v>590</v>
      </c>
      <c r="D57" s="1144"/>
      <c r="E57" s="1144"/>
      <c r="F57" s="1159" t="s">
        <v>1235</v>
      </c>
      <c r="G57" s="1230">
        <f>SUM(G42:G56)</f>
        <v>1939721.3343</v>
      </c>
      <c r="H57" s="1230">
        <f>SUM(H42:H56)</f>
        <v>1939721.3343</v>
      </c>
      <c r="I57" s="1230">
        <f>SUM(I42:I56)</f>
        <v>1834793.0226</v>
      </c>
      <c r="J57" s="808"/>
      <c r="K57" s="809"/>
      <c r="L57" s="821"/>
      <c r="M57" s="996"/>
      <c r="N57" s="997"/>
      <c r="O57" s="727"/>
      <c r="P57" s="652"/>
      <c r="Q57" s="653"/>
      <c r="R57" s="809"/>
      <c r="S57" s="809">
        <v>0</v>
      </c>
      <c r="T57" s="809">
        <v>0</v>
      </c>
      <c r="U57" s="1184"/>
      <c r="V57" s="1184"/>
      <c r="W57" s="1185"/>
      <c r="X57" s="1490"/>
      <c r="Y57" s="1495"/>
      <c r="Z57" s="727"/>
      <c r="AA57" s="727"/>
      <c r="AB57" s="727"/>
      <c r="AC57" s="727"/>
      <c r="AD57" s="727"/>
      <c r="AE57" s="727"/>
      <c r="AF57" s="727"/>
      <c r="AG57" s="727"/>
      <c r="AH57" s="727"/>
      <c r="AI57" s="727"/>
      <c r="AJ57" s="1497"/>
      <c r="AK57" s="1501" t="s">
        <v>325</v>
      </c>
      <c r="AL57" s="1501"/>
    </row>
    <row r="58" s="1364" customFormat="1" ht="32.5" customHeight="1" spans="1:38">
      <c r="A58" s="1480"/>
      <c r="B58" s="1192"/>
      <c r="C58" s="1150"/>
      <c r="D58" s="1144"/>
      <c r="E58" s="1144"/>
      <c r="F58" s="1159" t="s">
        <v>1236</v>
      </c>
      <c r="G58" s="1160">
        <f>G57/(C57*10000)</f>
        <v>0.328766327847458</v>
      </c>
      <c r="H58" s="1160">
        <f>H57/5900000</f>
        <v>0.328766327847458</v>
      </c>
      <c r="I58" s="1160">
        <f>I57/5900000</f>
        <v>0.310981868237288</v>
      </c>
      <c r="J58" s="808"/>
      <c r="K58" s="809"/>
      <c r="L58" s="821"/>
      <c r="M58" s="996"/>
      <c r="N58" s="997"/>
      <c r="O58" s="727"/>
      <c r="P58" s="652"/>
      <c r="Q58" s="653"/>
      <c r="R58" s="809"/>
      <c r="S58" s="809"/>
      <c r="T58" s="809"/>
      <c r="U58" s="1184"/>
      <c r="V58" s="1184"/>
      <c r="W58" s="1185"/>
      <c r="X58" s="1094"/>
      <c r="Y58" s="1094"/>
      <c r="Z58" s="1094"/>
      <c r="AA58" s="1094"/>
      <c r="AB58" s="1094"/>
      <c r="AC58" s="1094"/>
      <c r="AD58" s="1094"/>
      <c r="AE58" s="1094"/>
      <c r="AF58" s="1094"/>
      <c r="AG58" s="1094"/>
      <c r="AH58" s="1094"/>
      <c r="AI58" s="1094"/>
      <c r="AJ58" s="1094"/>
      <c r="AK58" s="1094"/>
      <c r="AL58" s="1094"/>
    </row>
    <row r="59" s="1365" customFormat="1" ht="30" customHeight="1" spans="1:38">
      <c r="A59" s="1367" t="s">
        <v>1163</v>
      </c>
      <c r="B59" s="1367"/>
      <c r="C59" s="1380">
        <f>C22+C40+C57</f>
        <v>1680</v>
      </c>
      <c r="D59" s="1378"/>
      <c r="E59" s="1378"/>
      <c r="F59" s="1378" t="s">
        <v>14</v>
      </c>
      <c r="G59" s="1481">
        <f>G22+G40+G57</f>
        <v>6537169.94269</v>
      </c>
      <c r="H59" s="1481">
        <f>H22+H40+H57</f>
        <v>6525285.88989</v>
      </c>
      <c r="I59" s="1481">
        <f>I22+I40+I57</f>
        <v>7550030.3641</v>
      </c>
      <c r="J59" s="1378"/>
      <c r="K59" s="1378"/>
      <c r="L59" s="1483"/>
      <c r="M59" s="1483"/>
      <c r="N59" s="1485"/>
      <c r="O59" s="1378"/>
      <c r="P59" s="1380"/>
      <c r="Q59" s="1378"/>
      <c r="R59" s="1378"/>
      <c r="S59" s="1378"/>
      <c r="T59" s="1378"/>
      <c r="U59" s="1378"/>
      <c r="V59" s="1378"/>
      <c r="W59" s="1491"/>
      <c r="X59" s="1492"/>
      <c r="Y59" s="1492"/>
      <c r="Z59" s="1492"/>
      <c r="AA59" s="1492"/>
      <c r="AB59" s="1492"/>
      <c r="AC59" s="1492"/>
      <c r="AD59" s="1492"/>
      <c r="AE59" s="1492"/>
      <c r="AF59" s="1492"/>
      <c r="AG59" s="1492"/>
      <c r="AH59" s="1492"/>
      <c r="AI59" s="1492"/>
      <c r="AJ59" s="1492"/>
      <c r="AK59" s="1492"/>
      <c r="AL59" s="1492"/>
    </row>
    <row r="60" s="1365" customFormat="1" ht="30" customHeight="1" spans="1:38">
      <c r="A60" s="1367"/>
      <c r="B60" s="1367"/>
      <c r="C60" s="1380"/>
      <c r="D60" s="1378"/>
      <c r="E60" s="1378"/>
      <c r="F60" s="1378" t="s">
        <v>1236</v>
      </c>
      <c r="G60" s="1482">
        <f>G59/(C59*10000)</f>
        <v>0.389117258493452</v>
      </c>
      <c r="H60" s="1482">
        <f>H59/(C59*10000)</f>
        <v>0.388409874398214</v>
      </c>
      <c r="I60" s="1482">
        <f>I59/(C59*10000)</f>
        <v>0.449406569291667</v>
      </c>
      <c r="J60" s="1378"/>
      <c r="K60" s="1378"/>
      <c r="L60" s="1483"/>
      <c r="M60" s="1483"/>
      <c r="N60" s="1485"/>
      <c r="O60" s="1378"/>
      <c r="P60" s="1378"/>
      <c r="Q60" s="1378"/>
      <c r="R60" s="1378"/>
      <c r="S60" s="1378"/>
      <c r="T60" s="1378"/>
      <c r="U60" s="1378"/>
      <c r="V60" s="1378"/>
      <c r="W60" s="1378"/>
      <c r="X60" s="1492"/>
      <c r="Y60" s="1492"/>
      <c r="Z60" s="1492"/>
      <c r="AA60" s="1492"/>
      <c r="AB60" s="1492"/>
      <c r="AC60" s="1492"/>
      <c r="AD60" s="1492"/>
      <c r="AE60" s="1492"/>
      <c r="AF60" s="1492"/>
      <c r="AG60" s="1492"/>
      <c r="AH60" s="1492"/>
      <c r="AI60" s="1492"/>
      <c r="AJ60" s="1492"/>
      <c r="AK60" s="1492"/>
      <c r="AL60" s="1492"/>
    </row>
    <row r="61" s="417" customFormat="1" spans="2:38">
      <c r="B61" s="1090"/>
      <c r="C61" s="878"/>
      <c r="D61" s="1090"/>
      <c r="E61" s="1090"/>
      <c r="F61" s="1090"/>
      <c r="G61" s="850"/>
      <c r="H61" s="850"/>
      <c r="I61" s="850"/>
      <c r="J61" s="1090"/>
      <c r="K61" s="1090"/>
      <c r="L61" s="896"/>
      <c r="M61" s="896"/>
      <c r="N61" s="885"/>
      <c r="O61" s="1090"/>
      <c r="P61" s="878"/>
      <c r="Q61" s="1090"/>
      <c r="R61" s="1090"/>
      <c r="S61" s="1090"/>
      <c r="T61" s="1090"/>
      <c r="U61" s="1090"/>
      <c r="V61" s="1090"/>
      <c r="W61" s="1242"/>
      <c r="X61" s="1090"/>
      <c r="Y61" s="1090"/>
      <c r="Z61" s="1090"/>
      <c r="AA61" s="1090"/>
      <c r="AB61" s="1090"/>
      <c r="AC61" s="1090"/>
      <c r="AD61" s="1090"/>
      <c r="AE61" s="1090"/>
      <c r="AF61" s="1090"/>
      <c r="AG61" s="1090"/>
      <c r="AH61" s="1090"/>
      <c r="AI61" s="1090"/>
      <c r="AJ61" s="1090"/>
      <c r="AK61" s="1090"/>
      <c r="AL61" s="1090"/>
    </row>
    <row r="62" s="417" customFormat="1" spans="2:38">
      <c r="B62" s="1090"/>
      <c r="C62" s="878"/>
      <c r="D62" s="1090"/>
      <c r="E62" s="1090" t="s">
        <v>139</v>
      </c>
      <c r="F62" s="1090"/>
      <c r="G62" s="880"/>
      <c r="H62" s="880"/>
      <c r="I62" s="880"/>
      <c r="J62" s="1090"/>
      <c r="K62" s="1090"/>
      <c r="L62" s="896"/>
      <c r="M62" s="896"/>
      <c r="N62" s="885"/>
      <c r="O62" s="1090" t="s">
        <v>140</v>
      </c>
      <c r="P62" s="878"/>
      <c r="Q62" s="1090"/>
      <c r="R62" s="1090"/>
      <c r="S62" s="1488"/>
      <c r="T62" s="1090"/>
      <c r="U62" s="1488"/>
      <c r="V62" s="1090"/>
      <c r="W62" s="1242"/>
      <c r="X62" s="1090"/>
      <c r="Y62" s="1090"/>
      <c r="Z62" s="1090"/>
      <c r="AA62" s="1090"/>
      <c r="AB62" s="1090"/>
      <c r="AC62" s="1090"/>
      <c r="AD62" s="1090"/>
      <c r="AE62" s="1090"/>
      <c r="AF62" s="1090"/>
      <c r="AG62" s="1090"/>
      <c r="AH62" s="1090"/>
      <c r="AI62" s="1090"/>
      <c r="AJ62" s="1090"/>
      <c r="AK62" s="1090"/>
      <c r="AL62" s="1090"/>
    </row>
    <row r="63" s="417" customFormat="1" spans="1:38">
      <c r="A63" s="875" t="s">
        <v>1284</v>
      </c>
      <c r="B63" s="875"/>
      <c r="C63" s="875"/>
      <c r="D63" s="875"/>
      <c r="E63" s="875"/>
      <c r="F63" s="1090"/>
      <c r="G63" s="850"/>
      <c r="H63" s="850"/>
      <c r="I63" s="850"/>
      <c r="J63" s="1090"/>
      <c r="K63" s="1090"/>
      <c r="L63" s="896"/>
      <c r="M63" s="896"/>
      <c r="N63" s="885"/>
      <c r="O63" s="876"/>
      <c r="P63" s="878"/>
      <c r="Q63" s="1090"/>
      <c r="R63" s="1090"/>
      <c r="S63" s="1488"/>
      <c r="T63" s="1090"/>
      <c r="U63" s="1488"/>
      <c r="V63" s="1090"/>
      <c r="W63" s="1242"/>
      <c r="X63" s="1090"/>
      <c r="Y63" s="1090"/>
      <c r="Z63" s="1090"/>
      <c r="AA63" s="1090"/>
      <c r="AB63" s="1090"/>
      <c r="AC63" s="1090"/>
      <c r="AD63" s="1090"/>
      <c r="AE63" s="1090"/>
      <c r="AF63" s="1090"/>
      <c r="AG63" s="1090"/>
      <c r="AH63" s="1090"/>
      <c r="AI63" s="1090"/>
      <c r="AJ63" s="1090"/>
      <c r="AK63" s="1090"/>
      <c r="AL63" s="1090"/>
    </row>
    <row r="64" s="417" customFormat="1" spans="1:38">
      <c r="A64" s="875" t="s">
        <v>1285</v>
      </c>
      <c r="B64" s="875"/>
      <c r="C64" s="875"/>
      <c r="D64" s="875"/>
      <c r="E64" s="875"/>
      <c r="F64" s="1090"/>
      <c r="G64" s="850"/>
      <c r="H64" s="850"/>
      <c r="I64" s="850"/>
      <c r="J64" s="1090"/>
      <c r="K64" s="1090"/>
      <c r="L64" s="896"/>
      <c r="M64" s="896"/>
      <c r="N64" s="885"/>
      <c r="O64" s="876"/>
      <c r="P64" s="878"/>
      <c r="Q64" s="1090"/>
      <c r="R64" s="1090"/>
      <c r="S64" s="1488"/>
      <c r="T64" s="1090"/>
      <c r="U64" s="1488"/>
      <c r="V64" s="1090"/>
      <c r="W64" s="1242"/>
      <c r="X64" s="1090"/>
      <c r="Y64" s="1090"/>
      <c r="Z64" s="1090"/>
      <c r="AA64" s="1090"/>
      <c r="AB64" s="1090"/>
      <c r="AC64" s="1090"/>
      <c r="AD64" s="1090"/>
      <c r="AE64" s="1090"/>
      <c r="AF64" s="1090"/>
      <c r="AG64" s="1090"/>
      <c r="AH64" s="1090"/>
      <c r="AI64" s="1090"/>
      <c r="AJ64" s="1090"/>
      <c r="AK64" s="1090"/>
      <c r="AL64" s="1090"/>
    </row>
    <row r="65" s="417" customFormat="1" spans="1:38">
      <c r="A65" s="875" t="s">
        <v>1470</v>
      </c>
      <c r="B65" s="875"/>
      <c r="C65" s="875"/>
      <c r="D65" s="875"/>
      <c r="E65" s="875"/>
      <c r="F65" s="1090"/>
      <c r="G65" s="850"/>
      <c r="H65" s="850"/>
      <c r="I65" s="850"/>
      <c r="J65" s="1484"/>
      <c r="K65" s="1090"/>
      <c r="L65" s="896"/>
      <c r="M65" s="896"/>
      <c r="N65" s="885"/>
      <c r="O65" s="876"/>
      <c r="P65" s="878"/>
      <c r="Q65" s="1090"/>
      <c r="R65" s="1090"/>
      <c r="S65" s="1488"/>
      <c r="T65" s="1090"/>
      <c r="U65" s="1488"/>
      <c r="V65" s="1090"/>
      <c r="W65" s="1242"/>
      <c r="X65" s="1090"/>
      <c r="Y65" s="1090"/>
      <c r="Z65" s="1090"/>
      <c r="AA65" s="1090"/>
      <c r="AB65" s="1090"/>
      <c r="AC65" s="1090"/>
      <c r="AD65" s="1090"/>
      <c r="AE65" s="1090"/>
      <c r="AF65" s="1090"/>
      <c r="AG65" s="1090"/>
      <c r="AH65" s="1090"/>
      <c r="AI65" s="1090"/>
      <c r="AJ65" s="1090"/>
      <c r="AK65" s="1090"/>
      <c r="AL65" s="1090"/>
    </row>
    <row r="66" s="417" customFormat="1" spans="1:38">
      <c r="A66" s="875" t="s">
        <v>1471</v>
      </c>
      <c r="B66" s="876"/>
      <c r="C66" s="876"/>
      <c r="D66" s="876"/>
      <c r="E66" s="876"/>
      <c r="F66" s="1090"/>
      <c r="G66" s="850"/>
      <c r="H66" s="850"/>
      <c r="I66" s="850"/>
      <c r="J66" s="1090"/>
      <c r="K66" s="1090"/>
      <c r="L66" s="896"/>
      <c r="M66" s="896"/>
      <c r="N66" s="885"/>
      <c r="O66" s="876"/>
      <c r="P66" s="878"/>
      <c r="Q66" s="1090"/>
      <c r="R66" s="1090"/>
      <c r="S66" s="1488"/>
      <c r="T66" s="1090"/>
      <c r="U66" s="1488"/>
      <c r="V66" s="1090"/>
      <c r="W66" s="1242"/>
      <c r="X66" s="1090"/>
      <c r="Y66" s="1090"/>
      <c r="Z66" s="1090"/>
      <c r="AA66" s="1090"/>
      <c r="AB66" s="1090"/>
      <c r="AC66" s="1090"/>
      <c r="AD66" s="1090"/>
      <c r="AE66" s="1090"/>
      <c r="AF66" s="1090"/>
      <c r="AG66" s="1090"/>
      <c r="AH66" s="1090"/>
      <c r="AI66" s="1090"/>
      <c r="AJ66" s="1090"/>
      <c r="AK66" s="1090"/>
      <c r="AL66" s="1090"/>
    </row>
    <row r="67" s="417" customFormat="1" spans="1:38">
      <c r="A67" s="875" t="s">
        <v>1472</v>
      </c>
      <c r="B67" s="876"/>
      <c r="C67" s="876"/>
      <c r="D67" s="876"/>
      <c r="E67" s="876"/>
      <c r="F67" s="1090"/>
      <c r="G67" s="850"/>
      <c r="H67" s="850"/>
      <c r="I67" s="850"/>
      <c r="J67" s="877"/>
      <c r="K67" s="877"/>
      <c r="L67" s="896"/>
      <c r="M67" s="896"/>
      <c r="N67" s="887"/>
      <c r="O67" s="876"/>
      <c r="P67" s="878"/>
      <c r="Q67" s="877"/>
      <c r="R67" s="877"/>
      <c r="S67" s="877"/>
      <c r="T67" s="877"/>
      <c r="U67" s="1488"/>
      <c r="V67" s="877"/>
      <c r="W67" s="1242"/>
      <c r="X67" s="877"/>
      <c r="Y67" s="877"/>
      <c r="Z67" s="877"/>
      <c r="AA67" s="877"/>
      <c r="AB67" s="877"/>
      <c r="AC67" s="877"/>
      <c r="AD67" s="877"/>
      <c r="AE67" s="877"/>
      <c r="AF67" s="877"/>
      <c r="AG67" s="877"/>
      <c r="AH67" s="877"/>
      <c r="AI67" s="877"/>
      <c r="AJ67" s="877"/>
      <c r="AK67" s="877"/>
      <c r="AL67" s="877"/>
    </row>
    <row r="68" s="417" customFormat="1" spans="1:38">
      <c r="A68" s="876"/>
      <c r="B68" s="876"/>
      <c r="C68" s="876"/>
      <c r="D68" s="876"/>
      <c r="E68" s="876"/>
      <c r="F68" s="877"/>
      <c r="G68" s="850"/>
      <c r="H68" s="850"/>
      <c r="I68" s="850"/>
      <c r="J68" s="877"/>
      <c r="K68" s="877"/>
      <c r="L68" s="896"/>
      <c r="M68" s="896"/>
      <c r="N68" s="887"/>
      <c r="O68" s="876"/>
      <c r="P68" s="878"/>
      <c r="Q68" s="877"/>
      <c r="R68" s="877"/>
      <c r="S68" s="877"/>
      <c r="T68" s="877"/>
      <c r="U68" s="877"/>
      <c r="V68" s="877"/>
      <c r="W68" s="1242"/>
      <c r="X68" s="877"/>
      <c r="Y68" s="877"/>
      <c r="Z68" s="877"/>
      <c r="AA68" s="877"/>
      <c r="AB68" s="877"/>
      <c r="AC68" s="877"/>
      <c r="AD68" s="877"/>
      <c r="AE68" s="877"/>
      <c r="AF68" s="877"/>
      <c r="AG68" s="877"/>
      <c r="AH68" s="877"/>
      <c r="AI68" s="877"/>
      <c r="AJ68" s="877"/>
      <c r="AK68" s="877"/>
      <c r="AL68" s="877"/>
    </row>
    <row r="69" s="417" customFormat="1" spans="2:38">
      <c r="B69" s="877"/>
      <c r="C69" s="878"/>
      <c r="D69" s="877"/>
      <c r="E69" s="877"/>
      <c r="F69" s="877"/>
      <c r="G69" s="850"/>
      <c r="H69" s="850"/>
      <c r="I69" s="850"/>
      <c r="J69" s="877"/>
      <c r="K69" s="877"/>
      <c r="L69" s="896"/>
      <c r="M69" s="896"/>
      <c r="N69" s="887"/>
      <c r="O69" s="877"/>
      <c r="P69" s="878"/>
      <c r="Q69" s="877"/>
      <c r="R69" s="877"/>
      <c r="S69" s="877"/>
      <c r="T69" s="877"/>
      <c r="U69" s="877"/>
      <c r="V69" s="877"/>
      <c r="W69" s="1242"/>
      <c r="X69" s="877"/>
      <c r="Y69" s="877"/>
      <c r="Z69" s="877"/>
      <c r="AA69" s="877"/>
      <c r="AB69" s="877"/>
      <c r="AC69" s="877"/>
      <c r="AD69" s="877"/>
      <c r="AE69" s="877"/>
      <c r="AF69" s="877"/>
      <c r="AG69" s="877"/>
      <c r="AH69" s="877"/>
      <c r="AI69" s="877"/>
      <c r="AJ69" s="877"/>
      <c r="AK69" s="877"/>
      <c r="AL69" s="877"/>
    </row>
    <row r="92" spans="2:5">
      <c r="B92" s="715" t="s">
        <v>335</v>
      </c>
      <c r="C92" s="1550" t="s">
        <v>1712</v>
      </c>
      <c r="D92" s="722">
        <v>39941</v>
      </c>
      <c r="E92" s="603">
        <v>287898.7221</v>
      </c>
    </row>
    <row r="93" ht="17.25" spans="2:5">
      <c r="B93" s="1330" t="s">
        <v>1713</v>
      </c>
      <c r="C93" s="1550" t="s">
        <v>1714</v>
      </c>
      <c r="D93" s="722">
        <v>43938</v>
      </c>
      <c r="E93" s="603">
        <v>316709.4978</v>
      </c>
    </row>
  </sheetData>
  <sheetProtection formatCells="0" insertHyperlinks="0" autoFilter="0"/>
  <mergeCells count="35">
    <mergeCell ref="A1:Q1"/>
    <mergeCell ref="A3:A23"/>
    <mergeCell ref="A24:A41"/>
    <mergeCell ref="A42:A58"/>
    <mergeCell ref="B3:B9"/>
    <mergeCell ref="B10:B17"/>
    <mergeCell ref="B19:B21"/>
    <mergeCell ref="B22:B23"/>
    <mergeCell ref="B24:B34"/>
    <mergeCell ref="B35:B37"/>
    <mergeCell ref="B38:B39"/>
    <mergeCell ref="B40:B41"/>
    <mergeCell ref="B42:B46"/>
    <mergeCell ref="B47:B49"/>
    <mergeCell ref="B50:B55"/>
    <mergeCell ref="B57:B58"/>
    <mergeCell ref="C3:C9"/>
    <mergeCell ref="C10:C17"/>
    <mergeCell ref="C19:C21"/>
    <mergeCell ref="C22:C23"/>
    <mergeCell ref="C24:C34"/>
    <mergeCell ref="C35:C37"/>
    <mergeCell ref="C38:C39"/>
    <mergeCell ref="C40:C41"/>
    <mergeCell ref="C42:C46"/>
    <mergeCell ref="C47:C49"/>
    <mergeCell ref="C50:C55"/>
    <mergeCell ref="C57:C58"/>
    <mergeCell ref="C59:C60"/>
    <mergeCell ref="D26:D27"/>
    <mergeCell ref="D32:D33"/>
    <mergeCell ref="D38:D39"/>
    <mergeCell ref="M47:M48"/>
    <mergeCell ref="N47:N48"/>
    <mergeCell ref="A59:B60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7"/>
  <dimension ref="A1:AL81"/>
  <sheetViews>
    <sheetView workbookViewId="0">
      <pane ySplit="2" topLeftCell="A14" activePane="bottomLeft" state="frozen"/>
      <selection/>
      <selection pane="bottomLeft" activeCell="I4" sqref="I4:I7"/>
    </sheetView>
  </sheetViews>
  <sheetFormatPr defaultColWidth="9" defaultRowHeight="16.5"/>
  <cols>
    <col min="1" max="1" width="12.9666666666667" style="417" customWidth="1"/>
    <col min="2" max="2" width="11.2583333333333" style="417" customWidth="1"/>
    <col min="3" max="3" width="11.2583333333333" style="879" customWidth="1"/>
    <col min="4" max="4" width="21.5666666666667" style="417" customWidth="1"/>
    <col min="5" max="5" width="23.7833333333333" style="417" customWidth="1"/>
    <col min="6" max="6" width="13.125" style="417" customWidth="1"/>
    <col min="7" max="7" width="17.8583333333333" style="880" customWidth="1"/>
    <col min="8" max="8" width="18.875" style="880" customWidth="1"/>
    <col min="9" max="9" width="16.7666666666667" style="880" customWidth="1"/>
    <col min="10" max="10" width="10.1583333333333" style="417" customWidth="1"/>
    <col min="11" max="11" width="17.0333333333333" style="417" customWidth="1"/>
    <col min="12" max="12" width="9.08333333333333" style="898" customWidth="1"/>
    <col min="13" max="13" width="15.8333333333333" style="898" customWidth="1"/>
    <col min="14" max="14" width="56" style="888" customWidth="1"/>
    <col min="15" max="15" width="15.575" style="417" customWidth="1"/>
    <col min="16" max="16" width="12.5" style="879" customWidth="1"/>
    <col min="17" max="17" width="14.3083333333333" style="417" customWidth="1"/>
    <col min="18" max="18" width="40" style="417" customWidth="1"/>
    <col min="19" max="19" width="17.3583333333333" style="417" customWidth="1"/>
    <col min="20" max="20" width="14.875" style="417"/>
    <col min="21" max="21" width="14.025" style="417" customWidth="1"/>
    <col min="22" max="22" width="18.1916666666667" style="417" customWidth="1"/>
    <col min="23" max="23" width="43.7583333333333" style="1243" customWidth="1"/>
    <col min="24" max="24" width="9" style="417" hidden="1" customWidth="1"/>
    <col min="25" max="25" width="17.1916666666667" style="417" hidden="1" customWidth="1"/>
    <col min="26" max="35" width="9" style="417" hidden="1" customWidth="1"/>
    <col min="36" max="36" width="10.5333333333333" style="417" hidden="1" customWidth="1"/>
    <col min="37" max="37" width="15" style="417" hidden="1" customWidth="1"/>
    <col min="38" max="38" width="8" style="417" hidden="1" customWidth="1"/>
    <col min="39" max="16384" width="9" style="417"/>
  </cols>
  <sheetData>
    <row r="1" s="417" customFormat="1" ht="44.65" customHeight="1" spans="1:38">
      <c r="A1" s="1366" t="s">
        <v>1715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74"/>
      <c r="M1" s="1374"/>
      <c r="N1" s="885"/>
      <c r="O1" s="1366"/>
      <c r="P1" s="1366"/>
      <c r="Q1" s="1366"/>
      <c r="R1" s="1391"/>
      <c r="S1" s="1391"/>
      <c r="T1" s="1391"/>
      <c r="U1" s="1391"/>
      <c r="V1" s="1090"/>
      <c r="W1" s="1242"/>
      <c r="X1" s="1090"/>
      <c r="Y1" s="1391"/>
      <c r="Z1" s="1090"/>
      <c r="AA1" s="1090"/>
      <c r="AB1" s="1090"/>
      <c r="AC1" s="1090"/>
      <c r="AD1" s="1090"/>
      <c r="AE1" s="1090"/>
      <c r="AF1" s="1090"/>
      <c r="AG1" s="1090"/>
      <c r="AH1" s="1090"/>
      <c r="AI1" s="1090"/>
      <c r="AJ1" s="1391"/>
      <c r="AK1" s="1391"/>
      <c r="AL1" s="1391"/>
    </row>
    <row r="2" s="1362" customFormat="1" ht="36.85" customHeight="1" spans="1:38">
      <c r="A2" s="1367" t="s">
        <v>1092</v>
      </c>
      <c r="B2" s="1368" t="s">
        <v>1093</v>
      </c>
      <c r="C2" s="1369" t="s">
        <v>1094</v>
      </c>
      <c r="D2" s="1368" t="s">
        <v>361</v>
      </c>
      <c r="E2" s="1372" t="s">
        <v>1095</v>
      </c>
      <c r="F2" s="1153" t="s">
        <v>362</v>
      </c>
      <c r="G2" s="1154" t="s">
        <v>1716</v>
      </c>
      <c r="H2" s="1154" t="s">
        <v>1717</v>
      </c>
      <c r="I2" s="1154" t="s">
        <v>1718</v>
      </c>
      <c r="J2" s="1375" t="s">
        <v>1096</v>
      </c>
      <c r="K2" s="1376" t="s">
        <v>1098</v>
      </c>
      <c r="L2" s="1377" t="s">
        <v>1097</v>
      </c>
      <c r="M2" s="1377" t="s">
        <v>1214</v>
      </c>
      <c r="N2" s="1378" t="s">
        <v>1215</v>
      </c>
      <c r="O2" s="1379" t="s">
        <v>7</v>
      </c>
      <c r="P2" s="1380" t="s">
        <v>8</v>
      </c>
      <c r="Q2" s="1392" t="s">
        <v>9</v>
      </c>
      <c r="R2" s="1393" t="s">
        <v>1291</v>
      </c>
      <c r="S2" s="1393" t="s">
        <v>13</v>
      </c>
      <c r="T2" s="1394" t="s">
        <v>14</v>
      </c>
      <c r="U2" s="1402" t="s">
        <v>15</v>
      </c>
      <c r="V2" s="1403" t="s">
        <v>1100</v>
      </c>
      <c r="W2" s="1404" t="s">
        <v>1101</v>
      </c>
      <c r="X2" s="1403" t="s">
        <v>1102</v>
      </c>
      <c r="Y2" s="1412" t="s">
        <v>363</v>
      </c>
      <c r="Z2" s="1413" t="s">
        <v>1103</v>
      </c>
      <c r="AA2" s="1403" t="s">
        <v>1104</v>
      </c>
      <c r="AB2" s="1403" t="s">
        <v>1105</v>
      </c>
      <c r="AC2" s="1403" t="s">
        <v>1106</v>
      </c>
      <c r="AD2" s="1403" t="s">
        <v>1107</v>
      </c>
      <c r="AE2" s="1403" t="s">
        <v>1108</v>
      </c>
      <c r="AF2" s="1403" t="s">
        <v>1109</v>
      </c>
      <c r="AG2" s="1403" t="s">
        <v>1110</v>
      </c>
      <c r="AH2" s="1415" t="s">
        <v>1108</v>
      </c>
      <c r="AI2" s="1416" t="s">
        <v>1109</v>
      </c>
      <c r="AJ2" s="1417" t="s">
        <v>1111</v>
      </c>
      <c r="AK2" s="1402" t="s">
        <v>4</v>
      </c>
      <c r="AL2" s="1417" t="s">
        <v>1112</v>
      </c>
    </row>
    <row r="3" s="1363" customFormat="1" ht="18.75" customHeight="1" spans="1:38">
      <c r="A3" s="721" t="s">
        <v>1719</v>
      </c>
      <c r="B3" s="671" t="s">
        <v>38</v>
      </c>
      <c r="C3" s="557">
        <v>341</v>
      </c>
      <c r="D3" s="1248" t="s">
        <v>143</v>
      </c>
      <c r="E3" s="244" t="s">
        <v>1720</v>
      </c>
      <c r="F3" s="1002">
        <v>82000</v>
      </c>
      <c r="G3" s="603">
        <f t="shared" ref="G3:G13" si="0">F3*J3</f>
        <v>584045</v>
      </c>
      <c r="H3" s="1267">
        <f>G3</f>
        <v>584045</v>
      </c>
      <c r="I3" s="819"/>
      <c r="J3" s="819">
        <v>7.1225</v>
      </c>
      <c r="K3" s="610" t="s">
        <v>1218</v>
      </c>
      <c r="L3" s="644">
        <v>44921</v>
      </c>
      <c r="M3" s="644">
        <v>44568</v>
      </c>
      <c r="N3" s="706" t="s">
        <v>1721</v>
      </c>
      <c r="O3" s="1381"/>
      <c r="P3" s="1382"/>
      <c r="Q3" s="1395"/>
      <c r="R3" s="602"/>
      <c r="S3" s="1396"/>
      <c r="T3" s="1172"/>
      <c r="U3" s="1397"/>
      <c r="V3" s="1397"/>
      <c r="W3" s="1405"/>
      <c r="X3" s="1397"/>
      <c r="Y3" s="1397"/>
      <c r="Z3" s="1397"/>
      <c r="AA3" s="1397"/>
      <c r="AB3" s="1397"/>
      <c r="AC3" s="1397"/>
      <c r="AD3" s="1397"/>
      <c r="AE3" s="1397"/>
      <c r="AF3" s="1397"/>
      <c r="AG3" s="1397"/>
      <c r="AH3" s="1397"/>
      <c r="AI3" s="1397"/>
      <c r="AJ3" s="1218"/>
      <c r="AK3" s="1182"/>
      <c r="AL3" s="1397"/>
    </row>
    <row r="4" s="1363" customFormat="1" ht="18.75" customHeight="1" spans="1:38">
      <c r="A4" s="1147"/>
      <c r="B4" s="1146"/>
      <c r="C4" s="545"/>
      <c r="D4" s="1248" t="s">
        <v>1722</v>
      </c>
      <c r="E4" s="244" t="s">
        <v>1723</v>
      </c>
      <c r="F4" s="1002">
        <v>27000</v>
      </c>
      <c r="G4" s="596">
        <f t="shared" si="0"/>
        <v>192307.5</v>
      </c>
      <c r="H4" s="1267">
        <f t="shared" ref="H4:H26" si="1">G4</f>
        <v>192307.5</v>
      </c>
      <c r="I4" s="603"/>
      <c r="J4" s="819">
        <v>7.1225</v>
      </c>
      <c r="K4" s="598"/>
      <c r="L4" s="856"/>
      <c r="M4" s="856">
        <v>44563</v>
      </c>
      <c r="N4" s="706" t="s">
        <v>1724</v>
      </c>
      <c r="O4" s="1383"/>
      <c r="P4" s="1384"/>
      <c r="Q4" s="1397"/>
      <c r="R4" s="602"/>
      <c r="S4" s="1396"/>
      <c r="T4" s="1172"/>
      <c r="U4" s="1397"/>
      <c r="V4" s="1397"/>
      <c r="W4" s="1405"/>
      <c r="X4" s="1397"/>
      <c r="Y4" s="1397"/>
      <c r="Z4" s="1397"/>
      <c r="AA4" s="1397"/>
      <c r="AB4" s="1397"/>
      <c r="AC4" s="1397"/>
      <c r="AD4" s="1397"/>
      <c r="AE4" s="1397"/>
      <c r="AF4" s="1397"/>
      <c r="AG4" s="1397"/>
      <c r="AH4" s="1397"/>
      <c r="AI4" s="1397"/>
      <c r="AJ4" s="1218"/>
      <c r="AK4" s="1182"/>
      <c r="AL4" s="1397"/>
    </row>
    <row r="5" s="1363" customFormat="1" ht="18.75" customHeight="1" spans="1:38">
      <c r="A5" s="721"/>
      <c r="B5" s="1146"/>
      <c r="C5" s="545"/>
      <c r="D5" s="1248" t="s">
        <v>197</v>
      </c>
      <c r="E5" s="250" t="s">
        <v>1725</v>
      </c>
      <c r="F5" s="562">
        <v>38850</v>
      </c>
      <c r="G5" s="603">
        <f t="shared" si="0"/>
        <v>276709.125</v>
      </c>
      <c r="H5" s="603">
        <f t="shared" si="1"/>
        <v>276709.125</v>
      </c>
      <c r="I5" s="597"/>
      <c r="J5" s="819">
        <v>7.1225</v>
      </c>
      <c r="K5" s="610">
        <v>44914</v>
      </c>
      <c r="L5" s="855"/>
      <c r="M5" s="855"/>
      <c r="N5" s="706" t="s">
        <v>1726</v>
      </c>
      <c r="O5" s="1385"/>
      <c r="P5" s="1384"/>
      <c r="Q5" s="1398"/>
      <c r="R5" s="602"/>
      <c r="S5" s="1396"/>
      <c r="T5" s="1172"/>
      <c r="U5" s="1397"/>
      <c r="V5" s="1397"/>
      <c r="W5" s="1405"/>
      <c r="X5" s="1397"/>
      <c r="Y5" s="1397"/>
      <c r="Z5" s="1397"/>
      <c r="AA5" s="1397"/>
      <c r="AB5" s="1397"/>
      <c r="AC5" s="1397"/>
      <c r="AD5" s="1397"/>
      <c r="AE5" s="1397"/>
      <c r="AF5" s="1397"/>
      <c r="AG5" s="1397"/>
      <c r="AH5" s="1397"/>
      <c r="AI5" s="1397"/>
      <c r="AJ5" s="1218"/>
      <c r="AK5" s="1182"/>
      <c r="AL5" s="1397"/>
    </row>
    <row r="6" s="1363" customFormat="1" ht="18.75" customHeight="1" spans="1:38">
      <c r="A6" s="721"/>
      <c r="B6" s="1146"/>
      <c r="C6" s="545"/>
      <c r="D6" s="1248" t="s">
        <v>283</v>
      </c>
      <c r="E6" s="250" t="s">
        <v>1727</v>
      </c>
      <c r="F6" s="562">
        <v>36740</v>
      </c>
      <c r="G6" s="603">
        <f t="shared" si="0"/>
        <v>261680.65</v>
      </c>
      <c r="H6" s="1267">
        <f t="shared" si="1"/>
        <v>261680.65</v>
      </c>
      <c r="I6" s="597"/>
      <c r="J6" s="819">
        <v>7.1225</v>
      </c>
      <c r="K6" s="610"/>
      <c r="L6" s="855"/>
      <c r="M6" s="855">
        <v>44929</v>
      </c>
      <c r="N6" s="706" t="s">
        <v>1728</v>
      </c>
      <c r="O6" s="1385"/>
      <c r="P6" s="878"/>
      <c r="Q6" s="1398"/>
      <c r="R6" s="602"/>
      <c r="S6" s="1396"/>
      <c r="T6" s="1172"/>
      <c r="U6" s="1397"/>
      <c r="V6" s="1397"/>
      <c r="W6" s="1405"/>
      <c r="X6" s="1397"/>
      <c r="Y6" s="1397"/>
      <c r="Z6" s="1397"/>
      <c r="AA6" s="1397"/>
      <c r="AB6" s="1397"/>
      <c r="AC6" s="1397"/>
      <c r="AD6" s="1397"/>
      <c r="AE6" s="1397"/>
      <c r="AF6" s="1397"/>
      <c r="AG6" s="1397"/>
      <c r="AH6" s="1397"/>
      <c r="AI6" s="1397"/>
      <c r="AJ6" s="1218"/>
      <c r="AK6" s="1182"/>
      <c r="AL6" s="1397"/>
    </row>
    <row r="7" s="1363" customFormat="1" ht="18.75" customHeight="1" spans="1:38">
      <c r="A7" s="721"/>
      <c r="B7" s="1146"/>
      <c r="C7" s="545"/>
      <c r="D7" s="1248" t="s">
        <v>53</v>
      </c>
      <c r="E7" s="250" t="s">
        <v>1729</v>
      </c>
      <c r="F7" s="562">
        <v>40061</v>
      </c>
      <c r="G7" s="603">
        <f t="shared" si="0"/>
        <v>285334.4725</v>
      </c>
      <c r="H7" s="1267">
        <f t="shared" si="1"/>
        <v>285334.4725</v>
      </c>
      <c r="I7" s="597"/>
      <c r="J7" s="819">
        <v>7.1225</v>
      </c>
      <c r="K7" s="610"/>
      <c r="L7" s="855"/>
      <c r="M7" s="855">
        <v>44563</v>
      </c>
      <c r="N7" s="706" t="s">
        <v>1730</v>
      </c>
      <c r="O7" s="1385"/>
      <c r="P7" s="878"/>
      <c r="Q7" s="1398"/>
      <c r="R7" s="602"/>
      <c r="S7" s="1396"/>
      <c r="T7" s="1172"/>
      <c r="U7" s="1397"/>
      <c r="V7" s="1397"/>
      <c r="W7" s="1405"/>
      <c r="X7" s="1397"/>
      <c r="Y7" s="1397"/>
      <c r="Z7" s="1397"/>
      <c r="AA7" s="1397"/>
      <c r="AB7" s="1397"/>
      <c r="AC7" s="1397"/>
      <c r="AD7" s="1397"/>
      <c r="AE7" s="1397"/>
      <c r="AF7" s="1397"/>
      <c r="AG7" s="1397"/>
      <c r="AH7" s="1397"/>
      <c r="AI7" s="1397"/>
      <c r="AJ7" s="1218"/>
      <c r="AK7" s="1182"/>
      <c r="AL7" s="1397"/>
    </row>
    <row r="8" s="1363" customFormat="1" ht="18.75" customHeight="1" spans="1:38">
      <c r="A8" s="721"/>
      <c r="B8" s="671"/>
      <c r="C8" s="557"/>
      <c r="D8" s="1248" t="s">
        <v>157</v>
      </c>
      <c r="E8" s="244" t="s">
        <v>1731</v>
      </c>
      <c r="F8" s="1002">
        <v>75883</v>
      </c>
      <c r="G8" s="603">
        <f t="shared" si="0"/>
        <v>540476.6675</v>
      </c>
      <c r="H8" s="1267">
        <f t="shared" si="1"/>
        <v>540476.6675</v>
      </c>
      <c r="I8" s="819"/>
      <c r="J8" s="819">
        <v>7.1225</v>
      </c>
      <c r="K8"/>
      <c r="L8" s="644"/>
      <c r="M8" s="644">
        <v>44567</v>
      </c>
      <c r="N8" s="1104" t="s">
        <v>1732</v>
      </c>
      <c r="O8" s="1381"/>
      <c r="P8" s="1386"/>
      <c r="Q8" s="1395"/>
      <c r="R8" s="602"/>
      <c r="S8" s="1396"/>
      <c r="T8" s="1172"/>
      <c r="U8" s="1397"/>
      <c r="V8" s="1397"/>
      <c r="W8" s="1405"/>
      <c r="X8" s="1397"/>
      <c r="Y8" s="1397"/>
      <c r="Z8" s="1397"/>
      <c r="AA8" s="1397"/>
      <c r="AB8" s="1397"/>
      <c r="AC8" s="1397"/>
      <c r="AD8" s="1397"/>
      <c r="AE8" s="1397"/>
      <c r="AF8" s="1397"/>
      <c r="AG8" s="1397"/>
      <c r="AH8" s="1397"/>
      <c r="AI8" s="1397"/>
      <c r="AJ8" s="1218"/>
      <c r="AK8" s="1182"/>
      <c r="AL8" s="1397"/>
    </row>
    <row r="9" s="1363" customFormat="1" ht="18.75" customHeight="1" spans="1:38">
      <c r="A9" s="1147"/>
      <c r="B9" s="671"/>
      <c r="C9" s="557"/>
      <c r="D9" s="1248" t="s">
        <v>161</v>
      </c>
      <c r="E9" s="244" t="s">
        <v>1733</v>
      </c>
      <c r="F9" s="1002">
        <v>38610</v>
      </c>
      <c r="G9" s="603">
        <f t="shared" si="0"/>
        <v>274999.725</v>
      </c>
      <c r="H9" s="603">
        <f t="shared" si="1"/>
        <v>274999.725</v>
      </c>
      <c r="I9" s="819"/>
      <c r="J9" s="819">
        <v>7.1225</v>
      </c>
      <c r="K9" s="598">
        <v>44918</v>
      </c>
      <c r="L9" s="645"/>
      <c r="M9" s="645"/>
      <c r="N9" s="706" t="s">
        <v>1734</v>
      </c>
      <c r="O9" s="1387"/>
      <c r="P9" s="1386"/>
      <c r="Q9" s="1399"/>
      <c r="R9" s="602"/>
      <c r="S9" s="1396"/>
      <c r="T9" s="1172"/>
      <c r="U9" s="1397"/>
      <c r="V9" s="1397"/>
      <c r="W9" s="1405"/>
      <c r="X9" s="1397"/>
      <c r="Y9" s="1397"/>
      <c r="Z9" s="1397"/>
      <c r="AA9" s="1397"/>
      <c r="AB9" s="1397"/>
      <c r="AC9" s="1397"/>
      <c r="AD9" s="1397"/>
      <c r="AE9" s="1397"/>
      <c r="AF9" s="1397"/>
      <c r="AG9" s="1397"/>
      <c r="AH9" s="1397"/>
      <c r="AI9" s="1397"/>
      <c r="AJ9" s="1218"/>
      <c r="AK9" s="1182"/>
      <c r="AL9" s="1397"/>
    </row>
    <row r="10" s="1363" customFormat="1" ht="18.75" customHeight="1" spans="1:38">
      <c r="A10" s="721"/>
      <c r="B10" s="1146"/>
      <c r="C10" s="545"/>
      <c r="D10" s="1248" t="s">
        <v>197</v>
      </c>
      <c r="E10" s="250" t="s">
        <v>1735</v>
      </c>
      <c r="F10" s="562">
        <v>38850</v>
      </c>
      <c r="G10" s="603">
        <f t="shared" si="0"/>
        <v>276709.125</v>
      </c>
      <c r="H10" s="603">
        <f t="shared" si="1"/>
        <v>276709.125</v>
      </c>
      <c r="I10" s="597"/>
      <c r="J10" s="819">
        <v>7.1225</v>
      </c>
      <c r="K10" s="610">
        <v>44914</v>
      </c>
      <c r="L10" s="855"/>
      <c r="M10" s="855"/>
      <c r="N10" s="706" t="s">
        <v>1736</v>
      </c>
      <c r="O10" s="1385"/>
      <c r="P10" s="1384"/>
      <c r="Q10" s="1398"/>
      <c r="R10" s="602"/>
      <c r="S10" s="1396"/>
      <c r="T10" s="1172"/>
      <c r="U10" s="1397"/>
      <c r="V10" s="1397"/>
      <c r="W10" s="1405"/>
      <c r="X10" s="1397"/>
      <c r="Y10" s="1397"/>
      <c r="Z10" s="1397"/>
      <c r="AA10" s="1397"/>
      <c r="AB10" s="1397"/>
      <c r="AC10" s="1397"/>
      <c r="AD10" s="1397"/>
      <c r="AE10" s="1397"/>
      <c r="AF10" s="1397"/>
      <c r="AG10" s="1397"/>
      <c r="AH10" s="1397"/>
      <c r="AI10" s="1397"/>
      <c r="AJ10" s="1218"/>
      <c r="AK10" s="1182"/>
      <c r="AL10" s="1397"/>
    </row>
    <row r="11" s="1363" customFormat="1" ht="18.75" customHeight="1" spans="1:38">
      <c r="A11" s="721"/>
      <c r="B11" s="671"/>
      <c r="C11" s="557"/>
      <c r="D11" s="1248" t="s">
        <v>157</v>
      </c>
      <c r="E11" s="244" t="s">
        <v>1737</v>
      </c>
      <c r="F11" s="1002">
        <v>38185</v>
      </c>
      <c r="G11" s="603">
        <f t="shared" si="0"/>
        <v>271972.6625</v>
      </c>
      <c r="H11" s="603">
        <f t="shared" si="1"/>
        <v>271972.6625</v>
      </c>
      <c r="I11" s="819"/>
      <c r="J11" s="819">
        <v>7.1225</v>
      </c>
      <c r="K11" s="610">
        <v>44918</v>
      </c>
      <c r="L11" s="644"/>
      <c r="M11" s="644">
        <v>45283</v>
      </c>
      <c r="N11" s="673"/>
      <c r="O11" s="1381"/>
      <c r="P11" s="1386"/>
      <c r="Q11" s="1395"/>
      <c r="R11" s="602"/>
      <c r="S11" s="1396"/>
      <c r="T11" s="1172"/>
      <c r="U11" s="1397"/>
      <c r="V11" s="1397"/>
      <c r="W11" s="1405"/>
      <c r="X11" s="1397"/>
      <c r="Y11" s="1397"/>
      <c r="Z11" s="1397"/>
      <c r="AA11" s="1397"/>
      <c r="AB11" s="1397"/>
      <c r="AC11" s="1397"/>
      <c r="AD11" s="1397"/>
      <c r="AE11" s="1397"/>
      <c r="AF11" s="1397"/>
      <c r="AG11" s="1397"/>
      <c r="AH11" s="1397"/>
      <c r="AI11" s="1397"/>
      <c r="AJ11" s="1218"/>
      <c r="AK11" s="1182"/>
      <c r="AL11" s="1397"/>
    </row>
    <row r="12" s="1363" customFormat="1" ht="18.75" customHeight="1" spans="1:38">
      <c r="A12" s="721"/>
      <c r="B12" s="671"/>
      <c r="C12" s="557"/>
      <c r="D12" s="1248" t="s">
        <v>157</v>
      </c>
      <c r="E12" s="244" t="s">
        <v>1738</v>
      </c>
      <c r="F12" s="1002">
        <v>97152</v>
      </c>
      <c r="G12" s="603">
        <f t="shared" si="0"/>
        <v>691965.12</v>
      </c>
      <c r="H12" s="603">
        <f t="shared" si="1"/>
        <v>691965.12</v>
      </c>
      <c r="I12" s="819"/>
      <c r="J12" s="819">
        <v>7.1225</v>
      </c>
      <c r="K12" s="610">
        <v>44905</v>
      </c>
      <c r="L12" s="644"/>
      <c r="M12" s="644">
        <v>44918</v>
      </c>
      <c r="N12" s="1030"/>
      <c r="O12" s="1381"/>
      <c r="P12" s="1386"/>
      <c r="Q12" s="1395"/>
      <c r="R12" s="602"/>
      <c r="S12" s="1396"/>
      <c r="T12" s="1172"/>
      <c r="U12" s="1397"/>
      <c r="V12" s="1397"/>
      <c r="W12" s="1405"/>
      <c r="X12" s="1397"/>
      <c r="Y12" s="1397"/>
      <c r="Z12" s="1397"/>
      <c r="AA12" s="1397"/>
      <c r="AB12" s="1397"/>
      <c r="AC12" s="1397"/>
      <c r="AD12" s="1397"/>
      <c r="AE12" s="1397"/>
      <c r="AF12" s="1397"/>
      <c r="AG12" s="1397"/>
      <c r="AH12" s="1397"/>
      <c r="AI12" s="1397"/>
      <c r="AJ12" s="1218"/>
      <c r="AK12" s="1182"/>
      <c r="AL12" s="1397"/>
    </row>
    <row r="13" s="1363" customFormat="1" ht="18.75" customHeight="1" spans="1:38">
      <c r="A13" s="1147"/>
      <c r="B13" s="671"/>
      <c r="C13" s="557"/>
      <c r="D13" s="1248" t="s">
        <v>840</v>
      </c>
      <c r="E13" s="250" t="s">
        <v>1739</v>
      </c>
      <c r="F13" s="562">
        <v>21990</v>
      </c>
      <c r="G13" s="596">
        <f t="shared" si="0"/>
        <v>156623.775</v>
      </c>
      <c r="H13" s="603">
        <f t="shared" si="1"/>
        <v>156623.775</v>
      </c>
      <c r="I13" s="603"/>
      <c r="J13" s="819">
        <v>7.1225</v>
      </c>
      <c r="K13" s="598"/>
      <c r="L13" s="645"/>
      <c r="M13" s="645"/>
      <c r="N13" s="706" t="s">
        <v>1740</v>
      </c>
      <c r="O13" s="1387"/>
      <c r="P13" s="1386"/>
      <c r="Q13" s="1399"/>
      <c r="R13" s="602"/>
      <c r="S13" s="1396"/>
      <c r="T13" s="1172"/>
      <c r="U13" s="1397"/>
      <c r="V13" s="1397"/>
      <c r="W13" s="1405"/>
      <c r="X13" s="1397"/>
      <c r="Y13" s="1397"/>
      <c r="Z13" s="1397"/>
      <c r="AA13" s="1397"/>
      <c r="AB13" s="1397"/>
      <c r="AC13" s="1397"/>
      <c r="AD13" s="1397"/>
      <c r="AE13" s="1397"/>
      <c r="AF13" s="1397"/>
      <c r="AG13" s="1397"/>
      <c r="AH13" s="1397"/>
      <c r="AI13" s="1397"/>
      <c r="AJ13" s="1218"/>
      <c r="AK13" s="1182"/>
      <c r="AL13" s="1397"/>
    </row>
    <row r="14" s="1363" customFormat="1" ht="18.75" customHeight="1" spans="1:38">
      <c r="A14" s="1147"/>
      <c r="B14" s="671"/>
      <c r="C14" s="557"/>
      <c r="D14" s="250" t="s">
        <v>143</v>
      </c>
      <c r="E14" s="244" t="s">
        <v>1642</v>
      </c>
      <c r="F14" s="1002"/>
      <c r="G14" s="596"/>
      <c r="H14" s="603"/>
      <c r="I14" s="603">
        <v>512417</v>
      </c>
      <c r="J14" s="819">
        <v>7.1225</v>
      </c>
      <c r="K14" s="610"/>
      <c r="L14" s="644"/>
      <c r="M14" s="644">
        <v>44898</v>
      </c>
      <c r="N14" s="706"/>
      <c r="O14" s="1387"/>
      <c r="P14" s="1386"/>
      <c r="Q14" s="1399"/>
      <c r="R14" s="602"/>
      <c r="S14" s="1396"/>
      <c r="T14" s="1172"/>
      <c r="U14" s="1397"/>
      <c r="V14" s="1397"/>
      <c r="W14" s="1405"/>
      <c r="X14" s="1397"/>
      <c r="Y14" s="1397"/>
      <c r="Z14" s="1397"/>
      <c r="AA14" s="1397"/>
      <c r="AB14" s="1397"/>
      <c r="AC14" s="1397"/>
      <c r="AD14" s="1397"/>
      <c r="AE14" s="1397"/>
      <c r="AF14" s="1397"/>
      <c r="AG14" s="1397"/>
      <c r="AH14" s="1397"/>
      <c r="AI14" s="1397"/>
      <c r="AJ14" s="1218"/>
      <c r="AK14" s="1182"/>
      <c r="AL14" s="1397"/>
    </row>
    <row r="15" s="1363" customFormat="1" ht="18.75" customHeight="1" spans="1:38">
      <c r="A15" s="1147"/>
      <c r="B15" s="671"/>
      <c r="C15" s="557"/>
      <c r="D15" s="250" t="s">
        <v>157</v>
      </c>
      <c r="E15" s="244" t="s">
        <v>1643</v>
      </c>
      <c r="F15" s="1002"/>
      <c r="G15" s="596"/>
      <c r="H15" s="603"/>
      <c r="I15" s="567">
        <v>275901</v>
      </c>
      <c r="J15" s="819">
        <v>7.1225</v>
      </c>
      <c r="K15" s="610"/>
      <c r="L15" s="644"/>
      <c r="M15" s="644">
        <v>44897</v>
      </c>
      <c r="N15" s="706"/>
      <c r="O15" s="1387"/>
      <c r="P15" s="1386"/>
      <c r="Q15" s="1399"/>
      <c r="R15" s="602"/>
      <c r="S15" s="1396"/>
      <c r="T15" s="1172"/>
      <c r="U15" s="1397"/>
      <c r="V15" s="1397"/>
      <c r="W15" s="1405"/>
      <c r="X15" s="1397"/>
      <c r="Y15" s="1397"/>
      <c r="Z15" s="1397"/>
      <c r="AA15" s="1397"/>
      <c r="AB15" s="1397"/>
      <c r="AC15" s="1397"/>
      <c r="AD15" s="1397"/>
      <c r="AE15" s="1397"/>
      <c r="AF15" s="1397"/>
      <c r="AG15" s="1397"/>
      <c r="AH15" s="1397"/>
      <c r="AI15" s="1397"/>
      <c r="AJ15" s="1218"/>
      <c r="AK15" s="1182"/>
      <c r="AL15" s="1397"/>
    </row>
    <row r="16" s="1363" customFormat="1" ht="20.85" customHeight="1" spans="1:38">
      <c r="A16" s="1147"/>
      <c r="B16" s="1247" t="s">
        <v>209</v>
      </c>
      <c r="C16" s="655">
        <v>310</v>
      </c>
      <c r="D16" s="1248" t="s">
        <v>454</v>
      </c>
      <c r="E16" s="244" t="s">
        <v>1741</v>
      </c>
      <c r="F16" s="1002">
        <v>40029</v>
      </c>
      <c r="G16" s="596">
        <f>F16*J16</f>
        <v>285106.5525</v>
      </c>
      <c r="H16" s="603">
        <f t="shared" si="1"/>
        <v>285106.5525</v>
      </c>
      <c r="I16" s="603">
        <v>285106.5525</v>
      </c>
      <c r="J16" s="819">
        <v>7.1225</v>
      </c>
      <c r="K16" s="598">
        <v>44897</v>
      </c>
      <c r="L16" s="598">
        <v>44897</v>
      </c>
      <c r="M16" s="645">
        <v>44900</v>
      </c>
      <c r="N16" s="706"/>
      <c r="O16" s="1303"/>
      <c r="P16" s="1303"/>
      <c r="Q16" s="1303"/>
      <c r="R16" s="602"/>
      <c r="S16" s="1340"/>
      <c r="T16" s="1172"/>
      <c r="U16" s="1397"/>
      <c r="V16" s="1397"/>
      <c r="W16" s="1406"/>
      <c r="X16" s="1397"/>
      <c r="Y16" s="1414"/>
      <c r="Z16" s="1397"/>
      <c r="AA16" s="1397"/>
      <c r="AB16" s="1397"/>
      <c r="AC16" s="1397"/>
      <c r="AD16" s="1397"/>
      <c r="AE16" s="1397"/>
      <c r="AF16" s="1397"/>
      <c r="AG16" s="1397"/>
      <c r="AH16" s="1397"/>
      <c r="AI16" s="1397"/>
      <c r="AJ16" s="1218"/>
      <c r="AK16" s="1182"/>
      <c r="AL16" s="1397"/>
    </row>
    <row r="17" s="1363" customFormat="1" ht="18.75" customHeight="1" spans="1:38">
      <c r="A17" s="721"/>
      <c r="B17" s="671"/>
      <c r="C17" s="557"/>
      <c r="D17" s="1248" t="s">
        <v>453</v>
      </c>
      <c r="E17" s="244" t="s">
        <v>1742</v>
      </c>
      <c r="F17" s="1002">
        <v>60000</v>
      </c>
      <c r="G17" s="596">
        <v>440913</v>
      </c>
      <c r="H17" s="1267">
        <f t="shared" si="1"/>
        <v>440913</v>
      </c>
      <c r="I17" s="819"/>
      <c r="J17" s="819">
        <v>7.1225</v>
      </c>
      <c r="K17" s="610"/>
      <c r="L17" s="644">
        <v>44924</v>
      </c>
      <c r="M17" s="644">
        <v>44566</v>
      </c>
      <c r="N17" s="706"/>
      <c r="O17" s="1381"/>
      <c r="P17" s="1386"/>
      <c r="Q17" s="1395"/>
      <c r="R17" s="602"/>
      <c r="S17" s="1396"/>
      <c r="T17" s="1172"/>
      <c r="U17" s="1397"/>
      <c r="V17" s="1397"/>
      <c r="W17" s="1405"/>
      <c r="X17" s="1397"/>
      <c r="Y17" s="1397"/>
      <c r="Z17" s="1397"/>
      <c r="AA17" s="1397"/>
      <c r="AB17" s="1397"/>
      <c r="AC17" s="1397"/>
      <c r="AD17" s="1397"/>
      <c r="AE17" s="1397"/>
      <c r="AF17" s="1397"/>
      <c r="AG17" s="1397"/>
      <c r="AH17" s="1397"/>
      <c r="AI17" s="1397"/>
      <c r="AJ17" s="1218"/>
      <c r="AK17" s="1182"/>
      <c r="AL17" s="1397"/>
    </row>
    <row r="18" s="1363" customFormat="1" ht="18.75" customHeight="1" spans="1:38">
      <c r="A18" s="1147"/>
      <c r="B18" s="1247"/>
      <c r="C18" s="655"/>
      <c r="D18" s="1248" t="s">
        <v>768</v>
      </c>
      <c r="E18" s="561" t="s">
        <v>1743</v>
      </c>
      <c r="F18" s="1002">
        <v>32000</v>
      </c>
      <c r="G18" s="603">
        <f>F18*J18</f>
        <v>227920</v>
      </c>
      <c r="H18" s="1267">
        <f t="shared" si="1"/>
        <v>227920</v>
      </c>
      <c r="I18" s="819"/>
      <c r="J18" s="819">
        <v>7.1225</v>
      </c>
      <c r="K18" s="598"/>
      <c r="L18" s="645">
        <v>44925</v>
      </c>
      <c r="M18" s="645">
        <v>44564</v>
      </c>
      <c r="N18" s="706"/>
      <c r="O18" s="1303"/>
      <c r="P18" s="1303"/>
      <c r="Q18" s="1303"/>
      <c r="R18" s="602"/>
      <c r="S18" s="1340"/>
      <c r="T18" s="1172"/>
      <c r="U18" s="1397"/>
      <c r="V18" s="1397"/>
      <c r="W18" s="1406"/>
      <c r="X18" s="1397"/>
      <c r="Y18" s="1414"/>
      <c r="Z18" s="1397"/>
      <c r="AA18" s="1397"/>
      <c r="AB18" s="1397"/>
      <c r="AC18" s="1397"/>
      <c r="AD18" s="1397"/>
      <c r="AE18" s="1397"/>
      <c r="AF18" s="1397"/>
      <c r="AG18" s="1397"/>
      <c r="AH18" s="1397"/>
      <c r="AI18" s="1397"/>
      <c r="AJ18" s="1218"/>
      <c r="AK18" s="1182"/>
      <c r="AL18" s="1397"/>
    </row>
    <row r="19" s="1363" customFormat="1" ht="22.15" customHeight="1" spans="1:38">
      <c r="A19" s="1147"/>
      <c r="B19" s="1247"/>
      <c r="C19" s="655"/>
      <c r="D19" s="1248" t="s">
        <v>1391</v>
      </c>
      <c r="E19" s="561" t="s">
        <v>1744</v>
      </c>
      <c r="F19" s="1373"/>
      <c r="G19" s="596">
        <v>339442</v>
      </c>
      <c r="H19" s="1267">
        <f t="shared" si="1"/>
        <v>339442</v>
      </c>
      <c r="I19" s="819"/>
      <c r="J19" s="819">
        <v>7.1225</v>
      </c>
      <c r="K19" s="598"/>
      <c r="L19" s="645">
        <v>44923</v>
      </c>
      <c r="M19" s="645">
        <v>44565</v>
      </c>
      <c r="N19" s="622"/>
      <c r="O19" s="1303"/>
      <c r="P19" s="1303"/>
      <c r="Q19" s="1303"/>
      <c r="R19" s="602"/>
      <c r="S19" s="1340"/>
      <c r="T19" s="1172"/>
      <c r="U19" s="1397"/>
      <c r="V19" s="1397"/>
      <c r="W19" s="1406"/>
      <c r="X19" s="1397"/>
      <c r="Y19" s="1414"/>
      <c r="Z19" s="1397"/>
      <c r="AA19" s="1397"/>
      <c r="AB19" s="1397"/>
      <c r="AC19" s="1397"/>
      <c r="AD19" s="1397"/>
      <c r="AE19" s="1397"/>
      <c r="AF19" s="1397"/>
      <c r="AG19" s="1397"/>
      <c r="AH19" s="1397"/>
      <c r="AI19" s="1397"/>
      <c r="AJ19" s="1218"/>
      <c r="AK19" s="1182"/>
      <c r="AL19" s="1397"/>
    </row>
    <row r="20" s="1363" customFormat="1" ht="32.5" customHeight="1" spans="1:38">
      <c r="A20" s="1147"/>
      <c r="B20" s="1247"/>
      <c r="C20" s="655"/>
      <c r="D20" s="1248" t="s">
        <v>1745</v>
      </c>
      <c r="E20" s="561" t="s">
        <v>1746</v>
      </c>
      <c r="F20" s="1373">
        <v>35000</v>
      </c>
      <c r="G20" s="596">
        <f>F20*J20</f>
        <v>249287.5</v>
      </c>
      <c r="H20" s="603">
        <f t="shared" si="1"/>
        <v>249287.5</v>
      </c>
      <c r="I20" s="819"/>
      <c r="J20" s="819">
        <v>7.1225</v>
      </c>
      <c r="K20" s="598"/>
      <c r="L20" s="645">
        <v>44925</v>
      </c>
      <c r="M20" s="625" t="s">
        <v>1747</v>
      </c>
      <c r="N20" s="706"/>
      <c r="O20" s="1303"/>
      <c r="P20" s="1303"/>
      <c r="Q20" s="1303"/>
      <c r="R20" s="602"/>
      <c r="S20" s="1340"/>
      <c r="T20" s="1172"/>
      <c r="U20" s="1397"/>
      <c r="V20" s="1397"/>
      <c r="W20" s="1406"/>
      <c r="X20" s="1397"/>
      <c r="Y20" s="1414"/>
      <c r="Z20" s="1397"/>
      <c r="AA20" s="1397"/>
      <c r="AB20" s="1397"/>
      <c r="AC20" s="1397"/>
      <c r="AD20" s="1397"/>
      <c r="AE20" s="1397"/>
      <c r="AF20" s="1397"/>
      <c r="AG20" s="1397"/>
      <c r="AH20" s="1397"/>
      <c r="AI20" s="1397"/>
      <c r="AJ20" s="1218"/>
      <c r="AK20" s="1182"/>
      <c r="AL20" s="1397"/>
    </row>
    <row r="21" s="1363" customFormat="1" ht="18.75" customHeight="1" spans="1:38">
      <c r="A21" s="1147"/>
      <c r="B21" s="1247"/>
      <c r="C21" s="655"/>
      <c r="D21" s="1248" t="s">
        <v>151</v>
      </c>
      <c r="E21" s="244" t="s">
        <v>1748</v>
      </c>
      <c r="F21" s="1373">
        <v>34826</v>
      </c>
      <c r="G21" s="603">
        <f t="shared" ref="G20:G26" si="2">F21*J21</f>
        <v>248048.185</v>
      </c>
      <c r="H21" s="603">
        <f t="shared" si="1"/>
        <v>248048.185</v>
      </c>
      <c r="I21" s="819"/>
      <c r="J21" s="819">
        <v>7.1225</v>
      </c>
      <c r="K21" s="598"/>
      <c r="L21" s="645">
        <v>44922</v>
      </c>
      <c r="M21" s="625" t="s">
        <v>621</v>
      </c>
      <c r="N21" s="706"/>
      <c r="O21" s="1388"/>
      <c r="P21" s="1386"/>
      <c r="Q21" s="1399"/>
      <c r="R21" s="602"/>
      <c r="S21" s="1340"/>
      <c r="T21" s="1172"/>
      <c r="U21" s="1397"/>
      <c r="V21" s="1397"/>
      <c r="W21" s="1406"/>
      <c r="X21" s="1397"/>
      <c r="Y21" s="1414"/>
      <c r="Z21" s="1397"/>
      <c r="AA21" s="1397"/>
      <c r="AB21" s="1397"/>
      <c r="AC21" s="1397"/>
      <c r="AD21" s="1397"/>
      <c r="AE21" s="1397"/>
      <c r="AF21" s="1397"/>
      <c r="AG21" s="1397"/>
      <c r="AH21" s="1397"/>
      <c r="AI21" s="1397"/>
      <c r="AJ21" s="1218"/>
      <c r="AK21" s="1182"/>
      <c r="AL21" s="1397"/>
    </row>
    <row r="22" s="1363" customFormat="1" ht="18.75" customHeight="1" spans="1:38">
      <c r="A22" s="1147"/>
      <c r="B22" s="664" t="s">
        <v>1749</v>
      </c>
      <c r="C22" s="968">
        <v>100</v>
      </c>
      <c r="D22" s="1248" t="s">
        <v>327</v>
      </c>
      <c r="E22" s="244" t="s">
        <v>1750</v>
      </c>
      <c r="F22" s="1002">
        <v>51000</v>
      </c>
      <c r="G22" s="603">
        <f t="shared" si="2"/>
        <v>363247.5</v>
      </c>
      <c r="H22" s="603">
        <f t="shared" si="1"/>
        <v>363247.5</v>
      </c>
      <c r="I22" s="603">
        <v>363247.5</v>
      </c>
      <c r="J22" s="819">
        <v>7.1225</v>
      </c>
      <c r="K22" s="598"/>
      <c r="L22" s="645"/>
      <c r="M22" s="645"/>
      <c r="N22" s="706"/>
      <c r="O22" s="1388"/>
      <c r="P22" s="1386"/>
      <c r="Q22" s="1399"/>
      <c r="R22" s="766"/>
      <c r="S22" s="1173"/>
      <c r="T22" s="1174"/>
      <c r="U22" s="1398"/>
      <c r="V22" s="1398"/>
      <c r="W22" s="1406"/>
      <c r="X22" s="1397"/>
      <c r="Y22" s="1414"/>
      <c r="Z22" s="1397"/>
      <c r="AA22" s="1397"/>
      <c r="AB22" s="1397"/>
      <c r="AC22" s="1397"/>
      <c r="AD22" s="1397"/>
      <c r="AE22" s="1397"/>
      <c r="AF22" s="1397"/>
      <c r="AG22" s="1397"/>
      <c r="AH22" s="1397"/>
      <c r="AI22" s="1397"/>
      <c r="AJ22" s="1218"/>
      <c r="AK22" s="1182"/>
      <c r="AL22" s="1397"/>
    </row>
    <row r="23" s="1363" customFormat="1" ht="18.75" customHeight="1" spans="1:38">
      <c r="A23" s="1069"/>
      <c r="B23" s="666" t="s">
        <v>1393</v>
      </c>
      <c r="C23" s="759">
        <v>20</v>
      </c>
      <c r="D23" s="1248" t="s">
        <v>1563</v>
      </c>
      <c r="E23" s="250" t="s">
        <v>1751</v>
      </c>
      <c r="F23" s="562">
        <v>17315</v>
      </c>
      <c r="G23" s="603">
        <f t="shared" si="2"/>
        <v>123326.0875</v>
      </c>
      <c r="H23" s="603">
        <f t="shared" si="1"/>
        <v>123326.0875</v>
      </c>
      <c r="I23" s="603">
        <v>123326.0875</v>
      </c>
      <c r="J23" s="819">
        <v>7.1225</v>
      </c>
      <c r="K23" s="598" t="s">
        <v>1218</v>
      </c>
      <c r="L23" s="598">
        <v>44907</v>
      </c>
      <c r="M23" s="645">
        <v>44910</v>
      </c>
      <c r="N23" s="706" t="s">
        <v>1752</v>
      </c>
      <c r="O23" s="1388"/>
      <c r="P23" s="1386"/>
      <c r="Q23" s="1399"/>
      <c r="R23" s="766"/>
      <c r="S23" s="1173"/>
      <c r="T23" s="1174"/>
      <c r="U23" s="1398"/>
      <c r="V23" s="1398"/>
      <c r="W23" s="1407"/>
      <c r="X23" s="1397"/>
      <c r="Y23" s="1414"/>
      <c r="Z23" s="1397"/>
      <c r="AA23" s="1397"/>
      <c r="AB23" s="1397"/>
      <c r="AC23" s="1397"/>
      <c r="AD23" s="1397"/>
      <c r="AE23" s="1397"/>
      <c r="AF23" s="1397"/>
      <c r="AG23" s="1397"/>
      <c r="AH23" s="1397"/>
      <c r="AI23" s="1397"/>
      <c r="AJ23" s="1218"/>
      <c r="AK23" s="1182"/>
      <c r="AL23" s="1397"/>
    </row>
    <row r="24" s="1363" customFormat="1" ht="18.75" customHeight="1" spans="1:38">
      <c r="A24" s="1069"/>
      <c r="B24" s="556"/>
      <c r="C24" s="557"/>
      <c r="D24" s="1370" t="s">
        <v>1563</v>
      </c>
      <c r="E24" s="250" t="s">
        <v>1753</v>
      </c>
      <c r="F24" s="562">
        <v>15772</v>
      </c>
      <c r="G24" s="603">
        <f t="shared" si="2"/>
        <v>112336.07</v>
      </c>
      <c r="H24" s="603">
        <f t="shared" si="1"/>
        <v>112336.07</v>
      </c>
      <c r="I24" s="603">
        <v>121082.5</v>
      </c>
      <c r="J24" s="819">
        <v>7.1225</v>
      </c>
      <c r="K24" s="598" t="s">
        <v>1218</v>
      </c>
      <c r="L24" s="598"/>
      <c r="M24" s="645">
        <v>44924</v>
      </c>
      <c r="N24" s="706" t="s">
        <v>1754</v>
      </c>
      <c r="O24" s="1388"/>
      <c r="P24" s="1386"/>
      <c r="Q24" s="1399"/>
      <c r="R24" s="766"/>
      <c r="S24" s="1173"/>
      <c r="T24" s="1174"/>
      <c r="U24" s="1398"/>
      <c r="V24" s="1398"/>
      <c r="W24" s="1407"/>
      <c r="X24" s="1397"/>
      <c r="Y24" s="1414"/>
      <c r="Z24" s="1397"/>
      <c r="AA24" s="1397"/>
      <c r="AB24" s="1397"/>
      <c r="AC24" s="1397"/>
      <c r="AD24" s="1397"/>
      <c r="AE24" s="1397"/>
      <c r="AF24" s="1397"/>
      <c r="AG24" s="1397"/>
      <c r="AH24" s="1397"/>
      <c r="AI24" s="1397"/>
      <c r="AJ24" s="1218"/>
      <c r="AK24" s="1182"/>
      <c r="AL24" s="1397"/>
    </row>
    <row r="25" s="1363" customFormat="1" ht="18.75" customHeight="1" spans="1:38">
      <c r="A25" s="1069"/>
      <c r="B25" s="556"/>
      <c r="C25" s="557"/>
      <c r="D25" s="1370" t="s">
        <v>162</v>
      </c>
      <c r="E25" s="673" t="s">
        <v>1755</v>
      </c>
      <c r="F25" s="562">
        <v>2500</v>
      </c>
      <c r="G25" s="603">
        <f t="shared" si="2"/>
        <v>17806.25</v>
      </c>
      <c r="H25" s="603">
        <f t="shared" si="1"/>
        <v>17806.25</v>
      </c>
      <c r="I25" s="603"/>
      <c r="J25" s="819">
        <v>7.1225</v>
      </c>
      <c r="K25" s="598" t="s">
        <v>1218</v>
      </c>
      <c r="L25" s="598"/>
      <c r="M25" s="645"/>
      <c r="N25" s="706" t="s">
        <v>1756</v>
      </c>
      <c r="O25" s="1388"/>
      <c r="P25" s="1386"/>
      <c r="Q25" s="1399"/>
      <c r="R25" s="766"/>
      <c r="S25" s="1173"/>
      <c r="T25" s="1174"/>
      <c r="U25" s="1398"/>
      <c r="V25" s="1398"/>
      <c r="W25" s="1407"/>
      <c r="X25" s="1397"/>
      <c r="Y25" s="1414"/>
      <c r="Z25" s="1397"/>
      <c r="AA25" s="1397"/>
      <c r="AB25" s="1397"/>
      <c r="AC25" s="1397"/>
      <c r="AD25" s="1397"/>
      <c r="AE25" s="1397"/>
      <c r="AF25" s="1397"/>
      <c r="AG25" s="1397"/>
      <c r="AH25" s="1397"/>
      <c r="AI25" s="1397"/>
      <c r="AJ25" s="1218"/>
      <c r="AK25" s="1182"/>
      <c r="AL25" s="1397"/>
    </row>
    <row r="26" s="1363" customFormat="1" ht="18.75" customHeight="1" spans="1:38">
      <c r="A26" s="1069"/>
      <c r="B26" s="670"/>
      <c r="C26" s="968"/>
      <c r="D26" s="1370" t="s">
        <v>1563</v>
      </c>
      <c r="E26" s="250" t="s">
        <v>1757</v>
      </c>
      <c r="F26" s="562">
        <v>15331</v>
      </c>
      <c r="G26" s="603">
        <f t="shared" si="2"/>
        <v>109195.0475</v>
      </c>
      <c r="H26" s="1267">
        <f t="shared" si="1"/>
        <v>109195.0475</v>
      </c>
      <c r="I26" s="603"/>
      <c r="J26" s="819">
        <v>7.1225</v>
      </c>
      <c r="K26" s="598" t="s">
        <v>1218</v>
      </c>
      <c r="L26" s="598"/>
      <c r="M26" s="645">
        <v>44569</v>
      </c>
      <c r="N26" s="706" t="s">
        <v>1758</v>
      </c>
      <c r="O26" s="1388"/>
      <c r="P26" s="1386"/>
      <c r="Q26" s="1399"/>
      <c r="R26" s="766"/>
      <c r="S26" s="1173"/>
      <c r="T26" s="1174"/>
      <c r="U26" s="1398"/>
      <c r="V26" s="1398"/>
      <c r="W26" s="1407"/>
      <c r="X26" s="1397"/>
      <c r="Y26" s="1414"/>
      <c r="Z26" s="1397"/>
      <c r="AA26" s="1397"/>
      <c r="AB26" s="1397"/>
      <c r="AC26" s="1397"/>
      <c r="AD26" s="1397"/>
      <c r="AE26" s="1397"/>
      <c r="AF26" s="1397"/>
      <c r="AG26" s="1397"/>
      <c r="AH26" s="1397"/>
      <c r="AI26" s="1397"/>
      <c r="AJ26" s="1218"/>
      <c r="AK26" s="1182"/>
      <c r="AL26" s="1397"/>
    </row>
    <row r="27" s="1363" customFormat="1" ht="24.4" customHeight="1" spans="1:38">
      <c r="A27" s="1147"/>
      <c r="B27" s="1244" t="s">
        <v>1124</v>
      </c>
      <c r="C27" s="1150">
        <v>771</v>
      </c>
      <c r="D27" s="1198"/>
      <c r="E27" s="1198"/>
      <c r="F27" s="1159" t="s">
        <v>1235</v>
      </c>
      <c r="G27" s="1158">
        <f>SUM(G3:G26)</f>
        <v>6329452.015</v>
      </c>
      <c r="H27" s="1158">
        <f>SUM(H3:H26)</f>
        <v>6329452.015</v>
      </c>
      <c r="I27" s="1158">
        <f>SUM(I3:I24)</f>
        <v>1681080.64</v>
      </c>
      <c r="J27" s="1168"/>
      <c r="K27" s="610"/>
      <c r="L27" s="645"/>
      <c r="M27" s="645"/>
      <c r="N27" s="706"/>
      <c r="O27" s="1388"/>
      <c r="P27" s="1386"/>
      <c r="Q27" s="1399"/>
      <c r="R27" s="766"/>
      <c r="S27" s="1173"/>
      <c r="T27" s="1174"/>
      <c r="U27" s="1398"/>
      <c r="V27" s="1398"/>
      <c r="W27" s="1407"/>
      <c r="X27" s="1397"/>
      <c r="Y27" s="1414"/>
      <c r="Z27" s="1397"/>
      <c r="AA27" s="1397"/>
      <c r="AB27" s="1397"/>
      <c r="AC27" s="1397"/>
      <c r="AD27" s="1397"/>
      <c r="AE27" s="1397"/>
      <c r="AF27" s="1397"/>
      <c r="AG27" s="1397"/>
      <c r="AH27" s="1397"/>
      <c r="AI27" s="1397"/>
      <c r="AJ27" s="1218"/>
      <c r="AK27" s="1182"/>
      <c r="AL27" s="1397"/>
    </row>
    <row r="28" s="889" customFormat="1" ht="27.2" customHeight="1" spans="1:38">
      <c r="A28" s="1151"/>
      <c r="B28" s="1244"/>
      <c r="C28" s="1149"/>
      <c r="D28" s="1144" t="s">
        <v>1125</v>
      </c>
      <c r="E28" s="1144"/>
      <c r="F28" s="1159" t="s">
        <v>1236</v>
      </c>
      <c r="G28" s="1160">
        <f>G27/7710000</f>
        <v>0.820940598573281</v>
      </c>
      <c r="H28" s="1160">
        <f>H27/7710000</f>
        <v>0.820940598573281</v>
      </c>
      <c r="I28" s="1160">
        <f t="shared" ref="G28:I28" si="3">I27/4710000</f>
        <v>0.356917333333333</v>
      </c>
      <c r="J28" s="1168"/>
      <c r="K28" s="858"/>
      <c r="L28" s="821"/>
      <c r="M28" s="821"/>
      <c r="N28" s="1015"/>
      <c r="O28" s="804"/>
      <c r="P28" s="652"/>
      <c r="Q28" s="653"/>
      <c r="R28" s="807"/>
      <c r="S28" s="807">
        <v>0</v>
      </c>
      <c r="T28" s="807">
        <v>0</v>
      </c>
      <c r="U28" s="1408"/>
      <c r="V28" s="1408"/>
      <c r="W28" s="1409"/>
      <c r="X28" s="727"/>
      <c r="Y28" s="727"/>
      <c r="Z28" s="727"/>
      <c r="AA28" s="727"/>
      <c r="AB28" s="727"/>
      <c r="AC28" s="727"/>
      <c r="AD28" s="727"/>
      <c r="AE28" s="727"/>
      <c r="AF28" s="727"/>
      <c r="AG28" s="727"/>
      <c r="AH28" s="727"/>
      <c r="AI28" s="727"/>
      <c r="AJ28" s="727"/>
      <c r="AK28" s="727" t="s">
        <v>285</v>
      </c>
      <c r="AL28" s="727"/>
    </row>
    <row r="29" s="1363" customFormat="1" ht="23.45" customHeight="1" spans="1:38">
      <c r="A29" s="1371" t="s">
        <v>1396</v>
      </c>
      <c r="B29" s="1269" t="s">
        <v>1248</v>
      </c>
      <c r="C29" s="759">
        <v>176</v>
      </c>
      <c r="D29" s="715" t="s">
        <v>167</v>
      </c>
      <c r="E29" s="1248" t="s">
        <v>1759</v>
      </c>
      <c r="F29" s="786">
        <v>33052</v>
      </c>
      <c r="G29" s="577">
        <f t="shared" ref="G29:G36" si="4">F29*J29</f>
        <v>235412.87</v>
      </c>
      <c r="H29" s="734">
        <v>235412.87</v>
      </c>
      <c r="I29" s="735"/>
      <c r="J29" s="819">
        <v>7.1225</v>
      </c>
      <c r="K29" s="598" t="s">
        <v>1218</v>
      </c>
      <c r="L29" s="856">
        <v>44924</v>
      </c>
      <c r="M29" s="645">
        <v>44929</v>
      </c>
      <c r="N29" s="715" t="s">
        <v>1760</v>
      </c>
      <c r="O29" s="664"/>
      <c r="P29" s="693" t="s">
        <v>1761</v>
      </c>
      <c r="Q29" s="656"/>
      <c r="R29" s="1400"/>
      <c r="S29" s="1401"/>
      <c r="T29" s="1401"/>
      <c r="U29" s="1410"/>
      <c r="V29" s="1410"/>
      <c r="W29" s="1183"/>
      <c r="X29" s="1411"/>
      <c r="Y29" s="715"/>
      <c r="Z29" s="546"/>
      <c r="AA29" s="546"/>
      <c r="AB29" s="546"/>
      <c r="AC29" s="546"/>
      <c r="AD29" s="546"/>
      <c r="AE29" s="546"/>
      <c r="AF29" s="546"/>
      <c r="AG29" s="546"/>
      <c r="AH29" s="546"/>
      <c r="AI29" s="546"/>
      <c r="AJ29" s="715"/>
      <c r="AK29" s="715"/>
      <c r="AL29" s="715"/>
    </row>
    <row r="30" s="1363" customFormat="1" ht="23.45" customHeight="1" spans="1:38">
      <c r="A30" s="1371"/>
      <c r="B30" s="671"/>
      <c r="C30" s="557"/>
      <c r="D30" s="664" t="s">
        <v>1418</v>
      </c>
      <c r="E30" s="1248" t="s">
        <v>1762</v>
      </c>
      <c r="F30" s="722">
        <v>12676</v>
      </c>
      <c r="G30" s="577">
        <f t="shared" si="4"/>
        <v>90284.81</v>
      </c>
      <c r="H30" s="735">
        <v>90284.81</v>
      </c>
      <c r="I30" s="735">
        <v>90284.81</v>
      </c>
      <c r="J30" s="819">
        <v>7.1225</v>
      </c>
      <c r="K30" s="598" t="s">
        <v>1218</v>
      </c>
      <c r="L30" s="645">
        <v>44900</v>
      </c>
      <c r="M30" s="645">
        <v>44906</v>
      </c>
      <c r="N30" s="715" t="s">
        <v>1763</v>
      </c>
      <c r="O30" s="664"/>
      <c r="P30" s="693" t="s">
        <v>1656</v>
      </c>
      <c r="Q30" s="656"/>
      <c r="R30" s="1400"/>
      <c r="S30" s="1401"/>
      <c r="T30" s="1401"/>
      <c r="U30" s="1410"/>
      <c r="V30" s="1410"/>
      <c r="W30" s="1183"/>
      <c r="X30" s="1411"/>
      <c r="Y30" s="715"/>
      <c r="Z30" s="546"/>
      <c r="AA30" s="546"/>
      <c r="AB30" s="546"/>
      <c r="AC30" s="546"/>
      <c r="AD30" s="546"/>
      <c r="AE30" s="546"/>
      <c r="AF30" s="546"/>
      <c r="AG30" s="546"/>
      <c r="AH30" s="546"/>
      <c r="AI30" s="546"/>
      <c r="AJ30" s="715"/>
      <c r="AK30" s="715"/>
      <c r="AL30" s="715"/>
    </row>
    <row r="31" s="1363" customFormat="1" ht="23.45" customHeight="1" spans="1:38">
      <c r="A31" s="1371"/>
      <c r="B31" s="671"/>
      <c r="C31" s="557"/>
      <c r="D31" s="715" t="s">
        <v>287</v>
      </c>
      <c r="E31" s="1248" t="s">
        <v>1764</v>
      </c>
      <c r="F31" s="722">
        <v>5287</v>
      </c>
      <c r="G31" s="577">
        <f t="shared" si="4"/>
        <v>37656.6575</v>
      </c>
      <c r="H31" s="735">
        <v>37656.6575</v>
      </c>
      <c r="I31" s="735"/>
      <c r="J31" s="819">
        <v>7.1225</v>
      </c>
      <c r="K31" s="598">
        <v>44900</v>
      </c>
      <c r="L31" s="644">
        <v>44898</v>
      </c>
      <c r="M31" s="644"/>
      <c r="N31" s="1389" t="s">
        <v>1765</v>
      </c>
      <c r="O31" s="1390"/>
      <c r="P31" s="655" t="s">
        <v>1659</v>
      </c>
      <c r="Q31" s="656"/>
      <c r="R31" s="1400" t="s">
        <v>555</v>
      </c>
      <c r="S31" s="1401"/>
      <c r="T31" s="1401"/>
      <c r="U31" s="1410"/>
      <c r="V31" s="1410"/>
      <c r="W31" s="1183"/>
      <c r="X31" s="1411"/>
      <c r="Y31" s="715"/>
      <c r="Z31" s="546"/>
      <c r="AA31" s="546"/>
      <c r="AB31" s="546"/>
      <c r="AC31" s="546"/>
      <c r="AD31" s="546"/>
      <c r="AE31" s="546"/>
      <c r="AF31" s="546"/>
      <c r="AG31" s="546"/>
      <c r="AH31" s="546"/>
      <c r="AI31" s="546"/>
      <c r="AJ31" s="715"/>
      <c r="AK31" s="715"/>
      <c r="AL31" s="715"/>
    </row>
    <row r="32" s="1363" customFormat="1" ht="23.45" customHeight="1" spans="1:38">
      <c r="A32" s="1371"/>
      <c r="B32" s="671"/>
      <c r="C32" s="557"/>
      <c r="D32" s="715" t="s">
        <v>243</v>
      </c>
      <c r="E32" s="1248" t="s">
        <v>1766</v>
      </c>
      <c r="F32" s="722">
        <v>480.5</v>
      </c>
      <c r="G32" s="577">
        <f t="shared" si="4"/>
        <v>3422.36125</v>
      </c>
      <c r="H32" s="735">
        <v>3422.36125</v>
      </c>
      <c r="I32" s="735"/>
      <c r="J32" s="819">
        <v>7.1225</v>
      </c>
      <c r="K32" s="598" t="s">
        <v>1218</v>
      </c>
      <c r="L32" s="645">
        <v>44900</v>
      </c>
      <c r="M32" s="644"/>
      <c r="N32" s="1389" t="s">
        <v>1767</v>
      </c>
      <c r="O32" s="1390"/>
      <c r="P32" s="655"/>
      <c r="Q32" s="656"/>
      <c r="R32" s="1400" t="s">
        <v>1768</v>
      </c>
      <c r="S32" s="1401"/>
      <c r="T32" s="1401"/>
      <c r="U32" s="1410"/>
      <c r="V32" s="1410"/>
      <c r="W32" s="1183"/>
      <c r="X32" s="1411"/>
      <c r="Y32" s="715"/>
      <c r="Z32" s="546"/>
      <c r="AA32" s="546"/>
      <c r="AB32" s="546"/>
      <c r="AC32" s="546"/>
      <c r="AD32" s="546"/>
      <c r="AE32" s="546"/>
      <c r="AF32" s="546"/>
      <c r="AG32" s="546"/>
      <c r="AH32" s="546"/>
      <c r="AI32" s="546"/>
      <c r="AJ32" s="715"/>
      <c r="AK32" s="715"/>
      <c r="AL32" s="715"/>
    </row>
    <row r="33" s="1363" customFormat="1" ht="23.45" customHeight="1" spans="1:38">
      <c r="A33" s="1371"/>
      <c r="B33" s="671"/>
      <c r="C33" s="557"/>
      <c r="D33" s="715" t="s">
        <v>1412</v>
      </c>
      <c r="E33" s="1248" t="s">
        <v>1769</v>
      </c>
      <c r="F33" s="722">
        <v>1953</v>
      </c>
      <c r="G33" s="577">
        <f t="shared" si="4"/>
        <v>13910.2425</v>
      </c>
      <c r="H33" s="735">
        <v>13910.2425</v>
      </c>
      <c r="I33" s="735">
        <v>13910.2425</v>
      </c>
      <c r="J33" s="819">
        <v>7.1225</v>
      </c>
      <c r="K33" s="598" t="s">
        <v>1218</v>
      </c>
      <c r="L33" s="856">
        <v>44919</v>
      </c>
      <c r="M33" s="856">
        <v>44926</v>
      </c>
      <c r="N33" s="715" t="s">
        <v>1770</v>
      </c>
      <c r="O33" s="664"/>
      <c r="P33" s="655" t="s">
        <v>1659</v>
      </c>
      <c r="Q33" s="656"/>
      <c r="R33" s="1400"/>
      <c r="S33" s="1401"/>
      <c r="T33" s="1401"/>
      <c r="U33" s="1410"/>
      <c r="V33" s="1410"/>
      <c r="W33" s="1183"/>
      <c r="X33" s="1411"/>
      <c r="Y33" s="715"/>
      <c r="Z33" s="546"/>
      <c r="AA33" s="546"/>
      <c r="AB33" s="546"/>
      <c r="AC33" s="546"/>
      <c r="AD33" s="546"/>
      <c r="AE33" s="546"/>
      <c r="AF33" s="546"/>
      <c r="AG33" s="546"/>
      <c r="AH33" s="546"/>
      <c r="AI33" s="546"/>
      <c r="AJ33" s="715"/>
      <c r="AK33" s="715"/>
      <c r="AL33" s="715"/>
    </row>
    <row r="34" s="1363" customFormat="1" ht="23.45" customHeight="1" spans="1:38">
      <c r="A34" s="1371"/>
      <c r="B34" s="671"/>
      <c r="C34" s="557"/>
      <c r="D34" s="715" t="s">
        <v>1771</v>
      </c>
      <c r="E34" s="1248" t="s">
        <v>1772</v>
      </c>
      <c r="F34" s="722">
        <v>3988</v>
      </c>
      <c r="G34" s="577">
        <f t="shared" si="4"/>
        <v>28404.53</v>
      </c>
      <c r="H34" s="735">
        <v>28404.53</v>
      </c>
      <c r="I34" s="735"/>
      <c r="J34" s="819">
        <v>7.1225</v>
      </c>
      <c r="K34" s="598" t="s">
        <v>1218</v>
      </c>
      <c r="L34" s="856">
        <v>44919</v>
      </c>
      <c r="M34" s="645"/>
      <c r="N34" s="715" t="s">
        <v>1773</v>
      </c>
      <c r="O34" s="664"/>
      <c r="P34" s="655" t="s">
        <v>1659</v>
      </c>
      <c r="Q34" s="656"/>
      <c r="R34" s="1400"/>
      <c r="S34" s="1401"/>
      <c r="T34" s="1401"/>
      <c r="U34" s="1410"/>
      <c r="V34" s="1410"/>
      <c r="W34" s="1183"/>
      <c r="X34" s="1411"/>
      <c r="Y34" s="715"/>
      <c r="Z34" s="546"/>
      <c r="AA34" s="546"/>
      <c r="AB34" s="546"/>
      <c r="AC34" s="546"/>
      <c r="AD34" s="546"/>
      <c r="AE34" s="546"/>
      <c r="AF34" s="546"/>
      <c r="AG34" s="546"/>
      <c r="AH34" s="546"/>
      <c r="AI34" s="546"/>
      <c r="AJ34" s="715"/>
      <c r="AK34" s="715"/>
      <c r="AL34" s="715"/>
    </row>
    <row r="35" s="1363" customFormat="1" ht="23.45" customHeight="1" spans="1:38">
      <c r="A35" s="1371"/>
      <c r="B35" s="671"/>
      <c r="C35" s="557"/>
      <c r="D35" s="715" t="s">
        <v>1405</v>
      </c>
      <c r="E35" s="1248" t="s">
        <v>1774</v>
      </c>
      <c r="F35" s="722">
        <v>1967</v>
      </c>
      <c r="G35" s="577">
        <f t="shared" si="4"/>
        <v>14009.9575</v>
      </c>
      <c r="H35" s="735">
        <v>14009.9575</v>
      </c>
      <c r="I35" s="735"/>
      <c r="J35" s="819">
        <v>7.1225</v>
      </c>
      <c r="K35" s="598" t="s">
        <v>1251</v>
      </c>
      <c r="L35" s="856">
        <v>44923</v>
      </c>
      <c r="M35" s="645"/>
      <c r="N35" s="715" t="s">
        <v>1775</v>
      </c>
      <c r="O35" s="1390"/>
      <c r="P35" s="655" t="s">
        <v>1659</v>
      </c>
      <c r="Q35" s="656"/>
      <c r="R35" s="1400" t="s">
        <v>555</v>
      </c>
      <c r="S35" s="1401"/>
      <c r="T35" s="1401"/>
      <c r="U35" s="1410"/>
      <c r="V35" s="1410"/>
      <c r="W35" s="1183"/>
      <c r="X35" s="1411"/>
      <c r="Y35" s="715"/>
      <c r="Z35" s="546"/>
      <c r="AA35" s="546"/>
      <c r="AB35" s="546"/>
      <c r="AC35" s="546"/>
      <c r="AD35" s="546"/>
      <c r="AE35" s="546"/>
      <c r="AF35" s="546"/>
      <c r="AG35" s="546"/>
      <c r="AH35" s="546"/>
      <c r="AI35" s="546"/>
      <c r="AJ35" s="715"/>
      <c r="AK35" s="715"/>
      <c r="AL35" s="715"/>
    </row>
    <row r="36" s="1363" customFormat="1" ht="23.45" customHeight="1" spans="1:38">
      <c r="A36" s="1371"/>
      <c r="B36" s="671"/>
      <c r="C36" s="557"/>
      <c r="D36" s="670" t="s">
        <v>1665</v>
      </c>
      <c r="E36" s="1248" t="s">
        <v>1776</v>
      </c>
      <c r="F36" s="786">
        <v>1290</v>
      </c>
      <c r="G36" s="577">
        <f t="shared" si="4"/>
        <v>9188.025</v>
      </c>
      <c r="H36" s="735">
        <v>9188.025</v>
      </c>
      <c r="I36" s="735">
        <v>9188.025</v>
      </c>
      <c r="J36" s="819">
        <v>7.1225</v>
      </c>
      <c r="K36" s="598" t="s">
        <v>1251</v>
      </c>
      <c r="L36" s="645">
        <v>44900</v>
      </c>
      <c r="M36" s="645">
        <v>44918</v>
      </c>
      <c r="N36" s="715" t="s">
        <v>1777</v>
      </c>
      <c r="O36" s="1390"/>
      <c r="P36" s="655" t="s">
        <v>1659</v>
      </c>
      <c r="Q36" s="656"/>
      <c r="R36" s="1400" t="s">
        <v>1778</v>
      </c>
      <c r="S36" s="1401"/>
      <c r="T36" s="1401"/>
      <c r="U36" s="1410"/>
      <c r="V36" s="1410"/>
      <c r="W36" s="1183"/>
      <c r="X36" s="1411"/>
      <c r="Y36" s="715"/>
      <c r="Z36" s="546"/>
      <c r="AA36" s="546"/>
      <c r="AB36" s="546"/>
      <c r="AC36" s="546"/>
      <c r="AD36" s="546"/>
      <c r="AE36" s="546"/>
      <c r="AF36" s="546"/>
      <c r="AG36" s="546"/>
      <c r="AH36" s="546"/>
      <c r="AI36" s="546"/>
      <c r="AJ36" s="715"/>
      <c r="AK36" s="715"/>
      <c r="AL36" s="715"/>
    </row>
    <row r="37" s="1363" customFormat="1" ht="23.45" customHeight="1" spans="1:38">
      <c r="A37" s="1371"/>
      <c r="B37" s="671"/>
      <c r="C37" s="557"/>
      <c r="D37" s="715" t="s">
        <v>1573</v>
      </c>
      <c r="E37" s="1432" t="s">
        <v>1779</v>
      </c>
      <c r="F37" s="722">
        <v>17248</v>
      </c>
      <c r="G37" s="577">
        <f t="shared" ref="G37:G44" si="5">F37*J37</f>
        <v>122848.88</v>
      </c>
      <c r="H37" s="734">
        <v>122848.88</v>
      </c>
      <c r="I37" s="735"/>
      <c r="J37" s="819">
        <v>7.1225</v>
      </c>
      <c r="K37" s="598" t="s">
        <v>1218</v>
      </c>
      <c r="L37" s="856">
        <v>44924</v>
      </c>
      <c r="M37" s="645">
        <v>44929</v>
      </c>
      <c r="N37" s="715" t="s">
        <v>1760</v>
      </c>
      <c r="O37" s="1443"/>
      <c r="P37" s="693" t="s">
        <v>1656</v>
      </c>
      <c r="Q37" s="945"/>
      <c r="R37" s="1400"/>
      <c r="S37" s="1401"/>
      <c r="T37" s="1401"/>
      <c r="U37" s="1410"/>
      <c r="V37" s="1410"/>
      <c r="W37" s="1183"/>
      <c r="X37" s="1411"/>
      <c r="Y37" s="715"/>
      <c r="Z37" s="546"/>
      <c r="AA37" s="546"/>
      <c r="AB37" s="546"/>
      <c r="AC37" s="546"/>
      <c r="AD37" s="546"/>
      <c r="AE37" s="546"/>
      <c r="AF37" s="546"/>
      <c r="AG37" s="546"/>
      <c r="AH37" s="546"/>
      <c r="AI37" s="546"/>
      <c r="AJ37" s="715"/>
      <c r="AK37" s="715"/>
      <c r="AL37" s="715"/>
    </row>
    <row r="38" s="536" customFormat="1" ht="21.75" customHeight="1" spans="1:38">
      <c r="A38" s="1371"/>
      <c r="B38" s="664" t="s">
        <v>224</v>
      </c>
      <c r="C38" s="759">
        <v>241</v>
      </c>
      <c r="D38" s="715" t="s">
        <v>638</v>
      </c>
      <c r="E38" s="1432" t="s">
        <v>1780</v>
      </c>
      <c r="F38" s="722">
        <v>18475</v>
      </c>
      <c r="G38" s="603">
        <f t="shared" si="5"/>
        <v>131588.1875</v>
      </c>
      <c r="H38" s="577">
        <v>131588.1875</v>
      </c>
      <c r="I38" s="577">
        <v>131588.1875</v>
      </c>
      <c r="J38" s="819">
        <v>7.1225</v>
      </c>
      <c r="K38" s="598" t="s">
        <v>1218</v>
      </c>
      <c r="L38" s="645">
        <v>44897</v>
      </c>
      <c r="M38" s="645">
        <v>44899</v>
      </c>
      <c r="N38" s="1444" t="s">
        <v>1781</v>
      </c>
      <c r="O38" s="1443"/>
      <c r="P38" s="693" t="s">
        <v>1671</v>
      </c>
      <c r="Q38" s="945"/>
      <c r="R38" s="754"/>
      <c r="S38" s="754"/>
      <c r="T38" s="992"/>
      <c r="U38" s="1465"/>
      <c r="V38" s="1209"/>
      <c r="W38" s="1210"/>
      <c r="X38" s="715"/>
      <c r="Y38" s="1106"/>
      <c r="Z38" s="1473"/>
      <c r="AA38" s="715"/>
      <c r="AB38" s="715"/>
      <c r="AC38" s="715"/>
      <c r="AD38" s="715"/>
      <c r="AE38" s="715"/>
      <c r="AF38" s="715"/>
      <c r="AG38" s="715"/>
      <c r="AH38" s="715"/>
      <c r="AI38" s="715"/>
      <c r="AJ38" s="715"/>
      <c r="AK38" s="992"/>
      <c r="AL38" s="715"/>
    </row>
    <row r="39" s="536" customFormat="1" ht="21.75" customHeight="1" spans="1:38">
      <c r="A39" s="1371"/>
      <c r="B39" s="664"/>
      <c r="C39" s="557"/>
      <c r="D39" s="1330" t="s">
        <v>400</v>
      </c>
      <c r="E39" s="1432" t="s">
        <v>1782</v>
      </c>
      <c r="F39" s="1433">
        <v>16661</v>
      </c>
      <c r="G39" s="603">
        <f t="shared" si="5"/>
        <v>118667.9725</v>
      </c>
      <c r="H39" s="603">
        <v>118668</v>
      </c>
      <c r="I39" s="1434"/>
      <c r="J39" s="819">
        <v>7.1225</v>
      </c>
      <c r="K39" s="598" t="s">
        <v>1218</v>
      </c>
      <c r="L39" s="1442"/>
      <c r="M39" s="1442"/>
      <c r="N39" s="1214" t="s">
        <v>1783</v>
      </c>
      <c r="O39" s="1443"/>
      <c r="P39" s="693" t="s">
        <v>1671</v>
      </c>
      <c r="Q39" s="945"/>
      <c r="R39" s="1401"/>
      <c r="S39" s="754"/>
      <c r="T39" s="992"/>
      <c r="U39" s="1465"/>
      <c r="V39" s="1209"/>
      <c r="W39" s="1210"/>
      <c r="X39" s="715"/>
      <c r="Y39" s="1474"/>
      <c r="Z39" s="1473"/>
      <c r="AA39" s="715"/>
      <c r="AB39" s="715"/>
      <c r="AC39" s="715"/>
      <c r="AD39" s="715"/>
      <c r="AE39" s="715"/>
      <c r="AF39" s="715"/>
      <c r="AG39" s="715"/>
      <c r="AH39" s="715"/>
      <c r="AI39" s="715"/>
      <c r="AJ39" s="715"/>
      <c r="AK39" s="992"/>
      <c r="AL39" s="715"/>
    </row>
    <row r="40" s="536" customFormat="1" ht="21.75" customHeight="1" spans="1:38">
      <c r="A40" s="1371"/>
      <c r="B40" s="664"/>
      <c r="C40" s="557"/>
      <c r="D40" s="1330" t="s">
        <v>630</v>
      </c>
      <c r="E40" s="1432" t="s">
        <v>631</v>
      </c>
      <c r="F40" s="1433">
        <v>1153</v>
      </c>
      <c r="G40" s="603">
        <f t="shared" si="5"/>
        <v>8212.2425</v>
      </c>
      <c r="H40" s="1434">
        <f>G40</f>
        <v>8212.2425</v>
      </c>
      <c r="I40" s="1434"/>
      <c r="J40" s="819">
        <v>7.1225</v>
      </c>
      <c r="K40" s="598" t="s">
        <v>1218</v>
      </c>
      <c r="L40" s="645">
        <v>44903</v>
      </c>
      <c r="M40" s="1442"/>
      <c r="N40" s="1214" t="s">
        <v>1784</v>
      </c>
      <c r="O40" s="1443"/>
      <c r="P40" s="693" t="s">
        <v>1671</v>
      </c>
      <c r="Q40" s="945"/>
      <c r="R40" s="1401" t="s">
        <v>555</v>
      </c>
      <c r="S40" s="754"/>
      <c r="T40" s="992"/>
      <c r="U40" s="1465"/>
      <c r="V40" s="1209"/>
      <c r="W40" s="1210"/>
      <c r="X40" s="715"/>
      <c r="Y40" s="1474"/>
      <c r="Z40" s="1473"/>
      <c r="AA40" s="715"/>
      <c r="AB40" s="715"/>
      <c r="AC40" s="715"/>
      <c r="AD40" s="715"/>
      <c r="AE40" s="715"/>
      <c r="AF40" s="715"/>
      <c r="AG40" s="715"/>
      <c r="AH40" s="715"/>
      <c r="AI40" s="715"/>
      <c r="AJ40" s="715"/>
      <c r="AK40" s="992"/>
      <c r="AL40" s="715"/>
    </row>
    <row r="41" s="536" customFormat="1" ht="23.75" customHeight="1" spans="1:38">
      <c r="A41" s="1371"/>
      <c r="B41" s="666" t="s">
        <v>1437</v>
      </c>
      <c r="C41" s="759">
        <v>56</v>
      </c>
      <c r="D41" s="666" t="s">
        <v>165</v>
      </c>
      <c r="E41" s="1248" t="s">
        <v>1785</v>
      </c>
      <c r="F41" s="786">
        <v>13708</v>
      </c>
      <c r="G41" s="603">
        <f t="shared" si="5"/>
        <v>97635.23</v>
      </c>
      <c r="H41" s="577">
        <v>97635.23</v>
      </c>
      <c r="I41" s="577">
        <v>97635.23</v>
      </c>
      <c r="J41" s="819">
        <v>7.1225</v>
      </c>
      <c r="K41" s="598" t="s">
        <v>1218</v>
      </c>
      <c r="L41" s="645">
        <v>44903</v>
      </c>
      <c r="M41" s="645">
        <v>44908</v>
      </c>
      <c r="N41" s="1214" t="s">
        <v>1786</v>
      </c>
      <c r="O41" s="1443"/>
      <c r="P41" s="693" t="s">
        <v>1656</v>
      </c>
      <c r="Q41" s="919"/>
      <c r="R41" s="1401"/>
      <c r="S41" s="754"/>
      <c r="T41" s="992"/>
      <c r="U41" s="1465"/>
      <c r="V41" s="1209"/>
      <c r="W41" s="1210"/>
      <c r="X41" s="715"/>
      <c r="Y41" s="1474"/>
      <c r="Z41" s="1473"/>
      <c r="AA41" s="715"/>
      <c r="AB41" s="715"/>
      <c r="AC41" s="715"/>
      <c r="AD41" s="715"/>
      <c r="AE41" s="715"/>
      <c r="AF41" s="715"/>
      <c r="AG41" s="715"/>
      <c r="AH41" s="715"/>
      <c r="AI41" s="715"/>
      <c r="AJ41" s="715"/>
      <c r="AK41" s="992"/>
      <c r="AL41" s="715"/>
    </row>
    <row r="42" s="536" customFormat="1" ht="23.75" customHeight="1" spans="1:38">
      <c r="A42" s="1371"/>
      <c r="B42" s="556"/>
      <c r="C42" s="557"/>
      <c r="D42" s="556"/>
      <c r="E42" s="1248" t="s">
        <v>1787</v>
      </c>
      <c r="F42" s="786">
        <v>37495</v>
      </c>
      <c r="G42" s="603">
        <f t="shared" si="5"/>
        <v>267058.1375</v>
      </c>
      <c r="H42" s="577">
        <v>267058.1375</v>
      </c>
      <c r="I42" s="577"/>
      <c r="J42" s="819">
        <v>7.1225</v>
      </c>
      <c r="K42" s="598" t="s">
        <v>1218</v>
      </c>
      <c r="L42" s="856">
        <v>44923</v>
      </c>
      <c r="M42" s="625"/>
      <c r="N42" s="715" t="s">
        <v>1788</v>
      </c>
      <c r="O42" s="1443"/>
      <c r="P42" s="693" t="s">
        <v>1671</v>
      </c>
      <c r="Q42" s="919"/>
      <c r="R42" s="1401"/>
      <c r="S42" s="754"/>
      <c r="T42" s="992"/>
      <c r="U42" s="1465"/>
      <c r="V42" s="1209"/>
      <c r="W42" s="1210"/>
      <c r="X42" s="715"/>
      <c r="Y42" s="1474"/>
      <c r="Z42" s="1473"/>
      <c r="AA42" s="715"/>
      <c r="AB42" s="715"/>
      <c r="AC42" s="715"/>
      <c r="AD42" s="715"/>
      <c r="AE42" s="715"/>
      <c r="AF42" s="715"/>
      <c r="AG42" s="715"/>
      <c r="AH42" s="715"/>
      <c r="AI42" s="715"/>
      <c r="AJ42" s="715"/>
      <c r="AK42" s="992"/>
      <c r="AL42" s="715"/>
    </row>
    <row r="43" s="536" customFormat="1" ht="23.75" customHeight="1" spans="1:38">
      <c r="A43" s="1371"/>
      <c r="B43" s="542" t="s">
        <v>1444</v>
      </c>
      <c r="C43" s="543">
        <v>179</v>
      </c>
      <c r="D43" s="542" t="s">
        <v>256</v>
      </c>
      <c r="E43" s="1248" t="s">
        <v>1789</v>
      </c>
      <c r="F43" s="576">
        <v>13170</v>
      </c>
      <c r="G43" s="596">
        <f t="shared" si="5"/>
        <v>93803.325</v>
      </c>
      <c r="H43" s="602">
        <v>93803.325</v>
      </c>
      <c r="I43" s="602">
        <v>93803.325</v>
      </c>
      <c r="J43" s="597">
        <v>7.1225</v>
      </c>
      <c r="K43" s="598" t="s">
        <v>1218</v>
      </c>
      <c r="L43" s="856">
        <v>44898</v>
      </c>
      <c r="M43" s="856">
        <v>44904</v>
      </c>
      <c r="N43" s="715" t="s">
        <v>1790</v>
      </c>
      <c r="O43" s="283"/>
      <c r="P43" s="693" t="s">
        <v>1671</v>
      </c>
      <c r="Q43" s="919"/>
      <c r="R43" s="1401"/>
      <c r="S43" s="754"/>
      <c r="T43" s="992"/>
      <c r="U43" s="1465"/>
      <c r="V43" s="1209"/>
      <c r="W43" s="1210"/>
      <c r="X43" s="715"/>
      <c r="Y43" s="1474"/>
      <c r="Z43" s="1473"/>
      <c r="AA43" s="715"/>
      <c r="AB43" s="715"/>
      <c r="AC43" s="715"/>
      <c r="AD43" s="715"/>
      <c r="AE43" s="715"/>
      <c r="AF43" s="715"/>
      <c r="AG43" s="715"/>
      <c r="AH43" s="715"/>
      <c r="AI43" s="715"/>
      <c r="AJ43" s="715"/>
      <c r="AK43" s="992"/>
      <c r="AL43" s="715"/>
    </row>
    <row r="44" s="536" customFormat="1" ht="23.75" customHeight="1" spans="1:38">
      <c r="A44" s="1371"/>
      <c r="B44" s="546"/>
      <c r="C44" s="547"/>
      <c r="D44" s="546"/>
      <c r="E44" s="1248" t="s">
        <v>1791</v>
      </c>
      <c r="F44" s="576">
        <v>13911</v>
      </c>
      <c r="G44" s="596">
        <f t="shared" si="5"/>
        <v>99081.0975</v>
      </c>
      <c r="H44" s="596">
        <v>99081</v>
      </c>
      <c r="I44" s="596">
        <v>99081</v>
      </c>
      <c r="J44" s="597">
        <v>7.1225</v>
      </c>
      <c r="K44" s="598" t="s">
        <v>1218</v>
      </c>
      <c r="L44" s="856">
        <v>44916</v>
      </c>
      <c r="M44" s="856">
        <v>44920</v>
      </c>
      <c r="N44" s="715" t="s">
        <v>1792</v>
      </c>
      <c r="O44" s="1445"/>
      <c r="P44" s="693" t="s">
        <v>1656</v>
      </c>
      <c r="Q44" s="919"/>
      <c r="R44" s="1401"/>
      <c r="S44" s="754"/>
      <c r="T44" s="992"/>
      <c r="U44" s="1465"/>
      <c r="V44" s="1209"/>
      <c r="W44" s="1210"/>
      <c r="X44" s="715"/>
      <c r="Y44" s="1474"/>
      <c r="Z44" s="1473"/>
      <c r="AA44" s="715"/>
      <c r="AB44" s="715"/>
      <c r="AC44" s="715"/>
      <c r="AD44" s="715"/>
      <c r="AE44" s="715"/>
      <c r="AF44" s="715"/>
      <c r="AG44" s="715"/>
      <c r="AH44" s="715"/>
      <c r="AI44" s="715"/>
      <c r="AJ44" s="715"/>
      <c r="AK44" s="992"/>
      <c r="AL44" s="715"/>
    </row>
    <row r="45" s="536" customFormat="1" ht="23.75" customHeight="1" spans="1:38">
      <c r="A45" s="1371"/>
      <c r="B45" s="1190" t="s">
        <v>1124</v>
      </c>
      <c r="C45" s="1191">
        <f>SUM(C29:C43)</f>
        <v>652</v>
      </c>
      <c r="D45" s="1418"/>
      <c r="E45" s="1156"/>
      <c r="F45" s="1157" t="s">
        <v>1235</v>
      </c>
      <c r="G45" s="1158">
        <f>SUM(G29:G44)</f>
        <v>1371184.52625</v>
      </c>
      <c r="H45" s="1158">
        <f>SUM(H29:H44)</f>
        <v>1371184.45625</v>
      </c>
      <c r="I45" s="1158">
        <f>SUM(I29:I44)</f>
        <v>535490.82</v>
      </c>
      <c r="J45" s="1168"/>
      <c r="K45" s="610"/>
      <c r="L45" s="644"/>
      <c r="M45" s="644"/>
      <c r="N45" s="1446"/>
      <c r="O45" s="1447"/>
      <c r="P45" s="968"/>
      <c r="Q45" s="919"/>
      <c r="R45" s="1401"/>
      <c r="S45" s="754"/>
      <c r="T45" s="992"/>
      <c r="U45" s="1465"/>
      <c r="V45" s="1209"/>
      <c r="W45" s="1210"/>
      <c r="X45" s="715"/>
      <c r="Y45" s="1474"/>
      <c r="Z45" s="1473"/>
      <c r="AA45" s="715"/>
      <c r="AB45" s="715"/>
      <c r="AC45" s="715"/>
      <c r="AD45" s="715"/>
      <c r="AE45" s="715"/>
      <c r="AF45" s="715"/>
      <c r="AG45" s="715"/>
      <c r="AH45" s="715"/>
      <c r="AI45" s="715"/>
      <c r="AJ45" s="715"/>
      <c r="AK45" s="992"/>
      <c r="AL45" s="715"/>
    </row>
    <row r="46" s="1364" customFormat="1" ht="27.5" customHeight="1" spans="1:38">
      <c r="A46" s="1419"/>
      <c r="B46" s="1192"/>
      <c r="C46" s="1150"/>
      <c r="D46" s="1420"/>
      <c r="E46" s="1198"/>
      <c r="F46" s="1157" t="s">
        <v>1236</v>
      </c>
      <c r="G46" s="1199">
        <f>G45/6520000</f>
        <v>0.210304375191718</v>
      </c>
      <c r="H46" s="1199">
        <f>H45/6520000</f>
        <v>0.210304364455521</v>
      </c>
      <c r="I46" s="1199">
        <f>I45/6520000</f>
        <v>0.0821304938650307</v>
      </c>
      <c r="J46" s="747"/>
      <c r="K46" s="858"/>
      <c r="L46" s="1135"/>
      <c r="M46" s="1135"/>
      <c r="N46" s="1015"/>
      <c r="O46" s="727"/>
      <c r="P46" s="746"/>
      <c r="Q46" s="747"/>
      <c r="R46" s="747"/>
      <c r="S46" s="653"/>
      <c r="T46" s="653"/>
      <c r="U46" s="1184"/>
      <c r="V46" s="1184"/>
      <c r="W46" s="1185"/>
      <c r="X46" s="727"/>
      <c r="Y46" s="777"/>
      <c r="Z46" s="727"/>
      <c r="AA46" s="727"/>
      <c r="AB46" s="727"/>
      <c r="AC46" s="727"/>
      <c r="AD46" s="727"/>
      <c r="AE46" s="727"/>
      <c r="AF46" s="727"/>
      <c r="AG46" s="727"/>
      <c r="AH46" s="727"/>
      <c r="AI46" s="727"/>
      <c r="AJ46" s="727"/>
      <c r="AK46" s="727" t="s">
        <v>293</v>
      </c>
      <c r="AL46" s="727"/>
    </row>
    <row r="47" s="1364" customFormat="1" ht="20.75" customHeight="1" spans="1:38">
      <c r="A47" s="1421" t="s">
        <v>1793</v>
      </c>
      <c r="B47" s="664" t="s">
        <v>344</v>
      </c>
      <c r="C47" s="655">
        <v>233</v>
      </c>
      <c r="D47" s="724" t="s">
        <v>299</v>
      </c>
      <c r="E47" s="1161" t="s">
        <v>1794</v>
      </c>
      <c r="F47" s="969">
        <f>P47*Q47</f>
        <v>33852</v>
      </c>
      <c r="G47" s="577">
        <f>F47*J47</f>
        <v>241110.87</v>
      </c>
      <c r="H47" s="577">
        <f>F47*J47</f>
        <v>241110.87</v>
      </c>
      <c r="I47" s="577">
        <f>H47</f>
        <v>241110.87</v>
      </c>
      <c r="J47" s="819">
        <v>7.1225</v>
      </c>
      <c r="K47" s="610">
        <v>44851</v>
      </c>
      <c r="L47" s="633">
        <v>44912</v>
      </c>
      <c r="M47" s="633" t="s">
        <v>1795</v>
      </c>
      <c r="N47" s="1448"/>
      <c r="O47" s="597" t="s">
        <v>348</v>
      </c>
      <c r="P47" s="751">
        <v>91</v>
      </c>
      <c r="Q47" s="752">
        <v>372</v>
      </c>
      <c r="R47" s="747"/>
      <c r="S47" s="747"/>
      <c r="T47" s="747"/>
      <c r="U47" s="1184"/>
      <c r="V47" s="1184"/>
      <c r="W47" s="1185"/>
      <c r="X47" s="727"/>
      <c r="Y47" s="777"/>
      <c r="Z47" s="727"/>
      <c r="AA47" s="727"/>
      <c r="AB47" s="727"/>
      <c r="AC47" s="727"/>
      <c r="AD47" s="727"/>
      <c r="AE47" s="727"/>
      <c r="AF47" s="727"/>
      <c r="AG47" s="727"/>
      <c r="AH47" s="727"/>
      <c r="AI47" s="727"/>
      <c r="AJ47" s="1476"/>
      <c r="AK47" s="779"/>
      <c r="AL47" s="719"/>
    </row>
    <row r="48" s="1364" customFormat="1" ht="20.75" customHeight="1" spans="1:38">
      <c r="A48" s="1421"/>
      <c r="B48" s="664"/>
      <c r="C48" s="655"/>
      <c r="D48" s="724" t="s">
        <v>299</v>
      </c>
      <c r="E48" s="1161" t="s">
        <v>1796</v>
      </c>
      <c r="F48" s="969">
        <f t="shared" ref="F48:F53" si="6">P48*Q48</f>
        <v>33852</v>
      </c>
      <c r="G48" s="577">
        <f t="shared" ref="G48:G53" si="7">F48*J48</f>
        <v>241110.87</v>
      </c>
      <c r="H48" s="577">
        <f>F48*J48</f>
        <v>241110.87</v>
      </c>
      <c r="I48" s="577">
        <f>H48</f>
        <v>241110.87</v>
      </c>
      <c r="J48" s="819">
        <v>7.1225</v>
      </c>
      <c r="K48" s="610">
        <v>44851</v>
      </c>
      <c r="L48" s="633">
        <v>44912</v>
      </c>
      <c r="M48" s="633" t="s">
        <v>1795</v>
      </c>
      <c r="N48" s="1448"/>
      <c r="O48" s="597" t="s">
        <v>348</v>
      </c>
      <c r="P48" s="751">
        <v>91</v>
      </c>
      <c r="Q48" s="752">
        <v>372</v>
      </c>
      <c r="R48" s="747"/>
      <c r="S48" s="747"/>
      <c r="T48" s="747"/>
      <c r="U48" s="1184"/>
      <c r="V48" s="1184"/>
      <c r="W48" s="1185"/>
      <c r="X48" s="727"/>
      <c r="Y48" s="777"/>
      <c r="Z48" s="727"/>
      <c r="AA48" s="727"/>
      <c r="AB48" s="727"/>
      <c r="AC48" s="727"/>
      <c r="AD48" s="727"/>
      <c r="AE48" s="727"/>
      <c r="AF48" s="727"/>
      <c r="AG48" s="727"/>
      <c r="AH48" s="727"/>
      <c r="AI48" s="727"/>
      <c r="AJ48" s="1476"/>
      <c r="AK48" s="779"/>
      <c r="AL48" s="719"/>
    </row>
    <row r="49" s="1363" customFormat="1" ht="18.75" customHeight="1" spans="1:38">
      <c r="A49" s="1421"/>
      <c r="B49" s="664"/>
      <c r="C49" s="655"/>
      <c r="D49" s="724" t="s">
        <v>299</v>
      </c>
      <c r="E49" s="1161" t="s">
        <v>1797</v>
      </c>
      <c r="F49" s="969">
        <f t="shared" si="6"/>
        <v>33852</v>
      </c>
      <c r="G49" s="577">
        <f t="shared" si="7"/>
        <v>241110.87</v>
      </c>
      <c r="H49" s="577">
        <f>F49*J49</f>
        <v>241110.87</v>
      </c>
      <c r="I49" s="577">
        <f>H49</f>
        <v>241110.87</v>
      </c>
      <c r="J49" s="819">
        <v>7.1225</v>
      </c>
      <c r="K49" s="610">
        <v>44851</v>
      </c>
      <c r="L49" s="633">
        <v>44912</v>
      </c>
      <c r="M49" s="633" t="s">
        <v>1795</v>
      </c>
      <c r="N49" s="610"/>
      <c r="O49" s="597" t="s">
        <v>348</v>
      </c>
      <c r="P49" s="751">
        <v>91</v>
      </c>
      <c r="Q49" s="752">
        <v>372</v>
      </c>
      <c r="R49" s="1410"/>
      <c r="S49" s="1451"/>
      <c r="T49" s="1452"/>
      <c r="U49" s="1344"/>
      <c r="V49" s="1466"/>
      <c r="W49" s="1467"/>
      <c r="X49" s="1397"/>
      <c r="Y49" s="1475"/>
      <c r="Z49" s="1397"/>
      <c r="AA49" s="1397"/>
      <c r="AB49" s="1397"/>
      <c r="AC49" s="1397"/>
      <c r="AD49" s="1397"/>
      <c r="AE49" s="1397"/>
      <c r="AF49" s="1397"/>
      <c r="AG49" s="1397"/>
      <c r="AH49" s="1397"/>
      <c r="AI49" s="1397"/>
      <c r="AJ49" s="1477"/>
      <c r="AK49" s="1478"/>
      <c r="AL49" s="1398"/>
    </row>
    <row r="50" s="1363" customFormat="1" ht="18.75" customHeight="1" spans="1:38">
      <c r="A50" s="1421"/>
      <c r="B50" s="664"/>
      <c r="C50" s="655"/>
      <c r="D50" s="724" t="s">
        <v>299</v>
      </c>
      <c r="E50" s="1161" t="s">
        <v>1798</v>
      </c>
      <c r="F50" s="969">
        <f t="shared" si="6"/>
        <v>33852</v>
      </c>
      <c r="G50" s="577">
        <f t="shared" si="7"/>
        <v>241110.87</v>
      </c>
      <c r="H50" s="577">
        <f>F50*J50</f>
        <v>241110.87</v>
      </c>
      <c r="I50" s="577">
        <f>H50</f>
        <v>241110.87</v>
      </c>
      <c r="J50" s="819">
        <v>7.1225</v>
      </c>
      <c r="K50" s="610">
        <v>44851</v>
      </c>
      <c r="L50" s="633">
        <v>44912</v>
      </c>
      <c r="M50" s="633" t="s">
        <v>1795</v>
      </c>
      <c r="N50" s="610"/>
      <c r="O50" s="597" t="s">
        <v>348</v>
      </c>
      <c r="P50" s="751">
        <v>91</v>
      </c>
      <c r="Q50" s="752">
        <v>372</v>
      </c>
      <c r="R50" s="1410"/>
      <c r="S50" s="1451"/>
      <c r="T50" s="1452"/>
      <c r="U50" s="1344"/>
      <c r="V50" s="1466"/>
      <c r="W50" s="1467"/>
      <c r="X50" s="1397"/>
      <c r="Y50" s="1475"/>
      <c r="Z50" s="1397"/>
      <c r="AA50" s="1397"/>
      <c r="AB50" s="1397"/>
      <c r="AC50" s="1397"/>
      <c r="AD50" s="1397"/>
      <c r="AE50" s="1397"/>
      <c r="AF50" s="1397"/>
      <c r="AG50" s="1397"/>
      <c r="AH50" s="1397"/>
      <c r="AI50" s="1397"/>
      <c r="AJ50" s="1477"/>
      <c r="AK50" s="1478"/>
      <c r="AL50" s="1398"/>
    </row>
    <row r="51" s="1363" customFormat="1" ht="18.75" customHeight="1" spans="1:38">
      <c r="A51" s="1421"/>
      <c r="B51" s="664"/>
      <c r="C51" s="655"/>
      <c r="D51" s="724" t="s">
        <v>299</v>
      </c>
      <c r="E51" s="1161" t="s">
        <v>1799</v>
      </c>
      <c r="F51" s="969">
        <f t="shared" si="6"/>
        <v>33852</v>
      </c>
      <c r="G51" s="577">
        <f t="shared" si="7"/>
        <v>241110.87</v>
      </c>
      <c r="H51" s="577">
        <f>F51*J51</f>
        <v>241110.87</v>
      </c>
      <c r="I51" s="577">
        <f>H51</f>
        <v>241110.87</v>
      </c>
      <c r="J51" s="819">
        <v>7.1225</v>
      </c>
      <c r="K51" s="610">
        <v>44851</v>
      </c>
      <c r="L51" s="633">
        <v>44912</v>
      </c>
      <c r="M51" s="633" t="s">
        <v>1795</v>
      </c>
      <c r="N51" s="610"/>
      <c r="O51" s="597" t="s">
        <v>348</v>
      </c>
      <c r="P51" s="751">
        <v>91</v>
      </c>
      <c r="Q51" s="752">
        <v>372</v>
      </c>
      <c r="R51" s="1410"/>
      <c r="S51" s="1451"/>
      <c r="T51" s="1452"/>
      <c r="U51" s="1344"/>
      <c r="V51" s="1466"/>
      <c r="W51" s="1467"/>
      <c r="X51" s="1397"/>
      <c r="Y51" s="1475"/>
      <c r="Z51" s="1397"/>
      <c r="AA51" s="1397"/>
      <c r="AB51" s="1397"/>
      <c r="AC51" s="1397"/>
      <c r="AD51" s="1397"/>
      <c r="AE51" s="1397"/>
      <c r="AF51" s="1397"/>
      <c r="AG51" s="1397"/>
      <c r="AH51" s="1397"/>
      <c r="AI51" s="1397"/>
      <c r="AJ51" s="1477"/>
      <c r="AK51" s="1478"/>
      <c r="AL51" s="1398"/>
    </row>
    <row r="52" s="1363" customFormat="1" ht="18.75" customHeight="1" spans="1:38">
      <c r="A52" s="1421"/>
      <c r="B52" s="664"/>
      <c r="C52" s="655"/>
      <c r="D52" s="724"/>
      <c r="E52" s="572"/>
      <c r="F52" s="969"/>
      <c r="G52" s="577"/>
      <c r="H52" s="577"/>
      <c r="I52" s="577"/>
      <c r="J52" s="819"/>
      <c r="K52" s="1261"/>
      <c r="L52" s="1261"/>
      <c r="M52" s="1261"/>
      <c r="N52" s="1449"/>
      <c r="O52" s="597"/>
      <c r="P52" s="751"/>
      <c r="Q52" s="752"/>
      <c r="R52" s="1410"/>
      <c r="S52" s="1451"/>
      <c r="T52" s="1452"/>
      <c r="U52" s="1344"/>
      <c r="V52" s="1466"/>
      <c r="W52" s="1467"/>
      <c r="X52" s="1397"/>
      <c r="Y52" s="1475"/>
      <c r="Z52" s="1397"/>
      <c r="AA52" s="1397"/>
      <c r="AB52" s="1397"/>
      <c r="AC52" s="1397"/>
      <c r="AD52" s="1397"/>
      <c r="AE52" s="1397"/>
      <c r="AF52" s="1397"/>
      <c r="AG52" s="1397"/>
      <c r="AH52" s="1397"/>
      <c r="AI52" s="1397"/>
      <c r="AJ52" s="1477"/>
      <c r="AK52" s="1478"/>
      <c r="AL52" s="1398"/>
    </row>
    <row r="53" s="1363" customFormat="1" ht="18.75" customHeight="1" spans="1:38">
      <c r="A53" s="1421"/>
      <c r="B53" s="664"/>
      <c r="C53" s="655"/>
      <c r="D53" s="724" t="s">
        <v>299</v>
      </c>
      <c r="E53" s="1161" t="s">
        <v>1800</v>
      </c>
      <c r="F53" s="969">
        <f t="shared" si="6"/>
        <v>41250</v>
      </c>
      <c r="G53" s="577">
        <f t="shared" si="7"/>
        <v>293803.125</v>
      </c>
      <c r="H53" s="577">
        <f>F53*J53</f>
        <v>293803.125</v>
      </c>
      <c r="I53" s="577">
        <f>H53</f>
        <v>293803.125</v>
      </c>
      <c r="J53" s="819">
        <v>7.1225</v>
      </c>
      <c r="K53" s="610">
        <v>44910</v>
      </c>
      <c r="L53" s="633">
        <v>44912</v>
      </c>
      <c r="M53" s="633" t="s">
        <v>1801</v>
      </c>
      <c r="N53" s="610"/>
      <c r="O53" s="250" t="s">
        <v>1622</v>
      </c>
      <c r="P53" s="751">
        <v>55</v>
      </c>
      <c r="Q53" s="752">
        <v>750</v>
      </c>
      <c r="R53" s="1410"/>
      <c r="S53" s="1451"/>
      <c r="T53" s="1452"/>
      <c r="U53" s="1344"/>
      <c r="V53" s="1466"/>
      <c r="W53" s="1467"/>
      <c r="X53" s="1397"/>
      <c r="Y53" s="1475"/>
      <c r="Z53" s="1397"/>
      <c r="AA53" s="1397"/>
      <c r="AB53" s="1397"/>
      <c r="AC53" s="1397"/>
      <c r="AD53" s="1397"/>
      <c r="AE53" s="1397"/>
      <c r="AF53" s="1397"/>
      <c r="AG53" s="1397"/>
      <c r="AH53" s="1397"/>
      <c r="AI53" s="1397"/>
      <c r="AJ53" s="1477"/>
      <c r="AK53" s="1478"/>
      <c r="AL53" s="1398"/>
    </row>
    <row r="54" s="1363" customFormat="1" ht="18.75" customHeight="1" spans="1:38">
      <c r="A54" s="1421"/>
      <c r="B54" s="664"/>
      <c r="C54" s="655"/>
      <c r="D54" s="724"/>
      <c r="E54" s="1303"/>
      <c r="F54" s="969"/>
      <c r="G54" s="577"/>
      <c r="H54" s="577"/>
      <c r="I54" s="577"/>
      <c r="J54" s="819"/>
      <c r="K54" s="610"/>
      <c r="L54" s="633"/>
      <c r="M54" s="633"/>
      <c r="N54" s="1449"/>
      <c r="O54" s="597"/>
      <c r="P54" s="751"/>
      <c r="Q54" s="752"/>
      <c r="R54" s="1410"/>
      <c r="S54" s="1451"/>
      <c r="T54" s="1452"/>
      <c r="U54" s="1344"/>
      <c r="V54" s="1466"/>
      <c r="W54" s="1467"/>
      <c r="X54" s="1397"/>
      <c r="Y54" s="1475"/>
      <c r="Z54" s="1397"/>
      <c r="AA54" s="1397"/>
      <c r="AB54" s="1397"/>
      <c r="AC54" s="1397"/>
      <c r="AD54" s="1397"/>
      <c r="AE54" s="1397"/>
      <c r="AF54" s="1397"/>
      <c r="AG54" s="1397"/>
      <c r="AH54" s="1397"/>
      <c r="AI54" s="1397"/>
      <c r="AJ54" s="1477"/>
      <c r="AK54" s="1478"/>
      <c r="AL54" s="1398"/>
    </row>
    <row r="55" s="1363" customFormat="1" ht="18.75" customHeight="1" spans="1:38">
      <c r="A55" s="1421"/>
      <c r="B55" s="1422" t="s">
        <v>1802</v>
      </c>
      <c r="C55" s="1423">
        <v>233</v>
      </c>
      <c r="D55" s="1424"/>
      <c r="E55" s="1435"/>
      <c r="F55" s="1436" t="s">
        <v>1235</v>
      </c>
      <c r="G55" s="1437">
        <f>SUM(G47:G54)</f>
        <v>1499357.475</v>
      </c>
      <c r="H55" s="1437">
        <f>SUM(H47:H54)</f>
        <v>1499357.475</v>
      </c>
      <c r="I55" s="1437">
        <f>SUM(I47:I54)</f>
        <v>1499357.475</v>
      </c>
      <c r="J55" s="819"/>
      <c r="K55" s="610"/>
      <c r="L55" s="633"/>
      <c r="M55" s="633"/>
      <c r="N55" s="1449"/>
      <c r="O55" s="597"/>
      <c r="P55" s="751"/>
      <c r="Q55" s="752"/>
      <c r="R55" s="1410"/>
      <c r="S55" s="1451"/>
      <c r="T55" s="1452"/>
      <c r="U55" s="1344"/>
      <c r="V55" s="1466"/>
      <c r="W55" s="1467"/>
      <c r="X55" s="1397"/>
      <c r="Y55" s="1475"/>
      <c r="Z55" s="1397"/>
      <c r="AA55" s="1397"/>
      <c r="AB55" s="1397"/>
      <c r="AC55" s="1397"/>
      <c r="AD55" s="1397"/>
      <c r="AE55" s="1397"/>
      <c r="AF55" s="1397"/>
      <c r="AG55" s="1397"/>
      <c r="AH55" s="1397"/>
      <c r="AI55" s="1397"/>
      <c r="AJ55" s="1477"/>
      <c r="AK55" s="1478"/>
      <c r="AL55" s="1398"/>
    </row>
    <row r="56" s="536" customFormat="1" ht="21.55" customHeight="1" spans="1:38">
      <c r="A56" s="1421"/>
      <c r="B56" s="1422"/>
      <c r="C56" s="1423"/>
      <c r="D56" s="1425"/>
      <c r="E56" s="1428"/>
      <c r="F56" s="1436" t="s">
        <v>1236</v>
      </c>
      <c r="G56" s="1438">
        <f>G55/C55/10000</f>
        <v>0.64350106223176</v>
      </c>
      <c r="H56" s="1438">
        <f>H55/C55/10000</f>
        <v>0.64350106223176</v>
      </c>
      <c r="I56" s="1438">
        <f>I55/C55/10000</f>
        <v>0.64350106223176</v>
      </c>
      <c r="J56" s="819"/>
      <c r="K56" s="610"/>
      <c r="L56" s="1354"/>
      <c r="M56" s="1261"/>
      <c r="N56" s="1013"/>
      <c r="O56" s="597"/>
      <c r="P56" s="568"/>
      <c r="Q56" s="1240"/>
      <c r="R56" s="1453"/>
      <c r="S56" s="1454"/>
      <c r="T56" s="1452"/>
      <c r="U56" s="715"/>
      <c r="V56" s="1211"/>
      <c r="W56" s="1182"/>
      <c r="X56" s="715"/>
      <c r="Y56" s="764"/>
      <c r="Z56" s="715"/>
      <c r="AA56" s="715"/>
      <c r="AB56" s="715"/>
      <c r="AC56" s="715"/>
      <c r="AD56" s="715"/>
      <c r="AE56" s="715"/>
      <c r="AF56" s="715"/>
      <c r="AG56" s="715"/>
      <c r="AH56" s="715"/>
      <c r="AI56" s="715"/>
      <c r="AJ56" s="1477"/>
      <c r="AK56" s="1479"/>
      <c r="AL56" s="546"/>
    </row>
    <row r="57" s="536" customFormat="1" ht="21.55" customHeight="1" spans="1:38">
      <c r="A57" s="1421"/>
      <c r="B57" s="825" t="s">
        <v>509</v>
      </c>
      <c r="C57" s="655">
        <v>338</v>
      </c>
      <c r="D57" s="1426" t="s">
        <v>274</v>
      </c>
      <c r="E57" s="561" t="s">
        <v>1803</v>
      </c>
      <c r="F57" s="969">
        <v>14722</v>
      </c>
      <c r="G57" s="577"/>
      <c r="H57" s="577"/>
      <c r="I57" s="577"/>
      <c r="J57" s="819">
        <v>7.1225</v>
      </c>
      <c r="K57" s="598"/>
      <c r="L57" s="708"/>
      <c r="M57" s="708"/>
      <c r="N57" s="715" t="s">
        <v>1804</v>
      </c>
      <c r="O57" s="597"/>
      <c r="P57" s="568"/>
      <c r="Q57" s="1240"/>
      <c r="R57" s="1453"/>
      <c r="S57" s="1342"/>
      <c r="T57" s="1204"/>
      <c r="U57" s="715"/>
      <c r="V57" s="1211"/>
      <c r="W57" s="1182"/>
      <c r="X57" s="715"/>
      <c r="Y57" s="764"/>
      <c r="Z57" s="715"/>
      <c r="AA57" s="715"/>
      <c r="AB57" s="715"/>
      <c r="AC57" s="715"/>
      <c r="AD57" s="715"/>
      <c r="AE57" s="715"/>
      <c r="AF57" s="715"/>
      <c r="AG57" s="715"/>
      <c r="AH57" s="715"/>
      <c r="AI57" s="715"/>
      <c r="AJ57" s="715"/>
      <c r="AK57" s="1294"/>
      <c r="AL57" s="715"/>
    </row>
    <row r="58" s="536" customFormat="1" ht="21.55" customHeight="1" spans="1:38">
      <c r="A58" s="1421"/>
      <c r="B58" s="825"/>
      <c r="C58" s="655"/>
      <c r="D58" s="1229"/>
      <c r="E58" s="561"/>
      <c r="F58" s="576"/>
      <c r="G58" s="577"/>
      <c r="H58" s="577"/>
      <c r="I58" s="577"/>
      <c r="J58" s="819">
        <v>7.1225</v>
      </c>
      <c r="K58" s="598"/>
      <c r="L58" s="625"/>
      <c r="M58" s="625"/>
      <c r="N58" s="1013"/>
      <c r="O58" s="250"/>
      <c r="P58" s="751"/>
      <c r="Q58" s="1455"/>
      <c r="R58" s="756"/>
      <c r="S58" s="1456"/>
      <c r="T58" s="1457"/>
      <c r="U58" s="542"/>
      <c r="V58" s="1468"/>
      <c r="W58" s="1469"/>
      <c r="X58" s="715"/>
      <c r="Y58" s="744"/>
      <c r="Z58" s="715"/>
      <c r="AA58" s="715"/>
      <c r="AB58" s="715"/>
      <c r="AC58" s="715"/>
      <c r="AD58" s="715"/>
      <c r="AE58" s="715"/>
      <c r="AF58" s="715"/>
      <c r="AG58" s="715"/>
      <c r="AH58" s="715"/>
      <c r="AI58" s="715"/>
      <c r="AJ58" s="715"/>
      <c r="AK58" s="568"/>
      <c r="AL58" s="715"/>
    </row>
    <row r="59" s="1363" customFormat="1" ht="22.5" customHeight="1" spans="1:38">
      <c r="A59" s="1427"/>
      <c r="B59" s="1422" t="s">
        <v>1802</v>
      </c>
      <c r="C59" s="1423">
        <v>338</v>
      </c>
      <c r="D59" s="1428"/>
      <c r="E59" s="1435"/>
      <c r="F59" s="1439" t="s">
        <v>1235</v>
      </c>
      <c r="G59" s="1440">
        <f>SUM(G57:G58)</f>
        <v>0</v>
      </c>
      <c r="H59" s="1440">
        <f>SUM(H57:H58)</f>
        <v>0</v>
      </c>
      <c r="I59" s="1440">
        <f>SUM(I57:I58)</f>
        <v>0</v>
      </c>
      <c r="J59" s="819"/>
      <c r="K59" s="1234"/>
      <c r="L59" s="708"/>
      <c r="M59" s="708"/>
      <c r="N59" s="715"/>
      <c r="O59" s="597"/>
      <c r="P59" s="568"/>
      <c r="Q59" s="1458"/>
      <c r="R59" s="756"/>
      <c r="S59" s="1459"/>
      <c r="T59" s="1460"/>
      <c r="U59" s="1470"/>
      <c r="V59" s="1471"/>
      <c r="W59" s="1472"/>
      <c r="X59" s="1397"/>
      <c r="Y59" s="1475"/>
      <c r="Z59" s="1397"/>
      <c r="AA59" s="1397"/>
      <c r="AB59" s="1397"/>
      <c r="AC59" s="1397"/>
      <c r="AD59" s="1397"/>
      <c r="AE59" s="1397"/>
      <c r="AF59" s="1397"/>
      <c r="AG59" s="1397"/>
      <c r="AH59" s="1397"/>
      <c r="AI59" s="1397"/>
      <c r="AJ59" s="715"/>
      <c r="AK59" s="561"/>
      <c r="AL59" s="1397"/>
    </row>
    <row r="60" s="1363" customFormat="1" ht="22.5" customHeight="1" spans="1:38">
      <c r="A60" s="1427"/>
      <c r="B60" s="1422"/>
      <c r="C60" s="1423"/>
      <c r="D60" s="1429"/>
      <c r="E60" s="1428"/>
      <c r="F60" s="1439" t="s">
        <v>1236</v>
      </c>
      <c r="G60" s="1441">
        <f>G59/C59/10000</f>
        <v>0</v>
      </c>
      <c r="H60" s="1441">
        <f>H59/C59/10000</f>
        <v>0</v>
      </c>
      <c r="I60" s="1441">
        <f>I59/C59/10000</f>
        <v>0</v>
      </c>
      <c r="J60" s="819"/>
      <c r="K60" s="1234"/>
      <c r="L60" s="708"/>
      <c r="M60" s="708"/>
      <c r="N60" s="715"/>
      <c r="O60" s="597"/>
      <c r="P60" s="568"/>
      <c r="Q60" s="1458"/>
      <c r="R60" s="756"/>
      <c r="S60" s="1459"/>
      <c r="T60" s="1460"/>
      <c r="U60" s="1470"/>
      <c r="V60" s="1471"/>
      <c r="W60" s="1472"/>
      <c r="X60" s="1397"/>
      <c r="Y60" s="1475"/>
      <c r="Z60" s="1397"/>
      <c r="AA60" s="1397"/>
      <c r="AB60" s="1397"/>
      <c r="AC60" s="1397"/>
      <c r="AD60" s="1397"/>
      <c r="AE60" s="1397"/>
      <c r="AF60" s="1397"/>
      <c r="AG60" s="1397"/>
      <c r="AH60" s="1397"/>
      <c r="AI60" s="1397"/>
      <c r="AJ60" s="715"/>
      <c r="AK60" s="561"/>
      <c r="AL60" s="1397"/>
    </row>
    <row r="61" s="1363" customFormat="1" ht="22.5" customHeight="1" spans="1:38">
      <c r="A61" s="1427"/>
      <c r="B61" s="1188" t="s">
        <v>1145</v>
      </c>
      <c r="C61" s="1430">
        <v>214</v>
      </c>
      <c r="D61" s="705" t="s">
        <v>1699</v>
      </c>
      <c r="E61" s="561" t="s">
        <v>1700</v>
      </c>
      <c r="F61" s="969">
        <v>39385</v>
      </c>
      <c r="G61" s="577"/>
      <c r="H61" s="577"/>
      <c r="I61" s="577">
        <f>F61*J61</f>
        <v>280519.6625</v>
      </c>
      <c r="J61" s="819">
        <v>7.1225</v>
      </c>
      <c r="K61" s="1234" t="s">
        <v>1251</v>
      </c>
      <c r="L61" s="708">
        <v>44861</v>
      </c>
      <c r="M61" s="708">
        <v>44900</v>
      </c>
      <c r="N61" s="715" t="s">
        <v>1805</v>
      </c>
      <c r="O61" s="597"/>
      <c r="P61" s="568"/>
      <c r="Q61" s="1458"/>
      <c r="R61" s="756"/>
      <c r="S61" s="1461"/>
      <c r="T61" s="1462"/>
      <c r="U61" s="1397"/>
      <c r="V61" s="1466"/>
      <c r="W61" s="1467"/>
      <c r="X61" s="1397"/>
      <c r="Y61" s="1475"/>
      <c r="Z61" s="1397"/>
      <c r="AA61" s="1397"/>
      <c r="AB61" s="1397"/>
      <c r="AC61" s="1397"/>
      <c r="AD61" s="1397"/>
      <c r="AE61" s="1397"/>
      <c r="AF61" s="1397"/>
      <c r="AG61" s="1397"/>
      <c r="AH61" s="1397"/>
      <c r="AI61" s="1397"/>
      <c r="AJ61" s="715"/>
      <c r="AK61" s="561"/>
      <c r="AL61" s="1397"/>
    </row>
    <row r="62" s="1363" customFormat="1" ht="21.55" customHeight="1" spans="1:38">
      <c r="A62" s="1427"/>
      <c r="B62" s="1188"/>
      <c r="C62" s="1431"/>
      <c r="D62" s="568" t="s">
        <v>267</v>
      </c>
      <c r="E62" s="1229" t="s">
        <v>1705</v>
      </c>
      <c r="F62" s="969">
        <v>47403</v>
      </c>
      <c r="G62" s="577"/>
      <c r="H62" s="577"/>
      <c r="I62" s="577">
        <f>F62*J62</f>
        <v>337627.8675</v>
      </c>
      <c r="J62" s="819">
        <v>7.1225</v>
      </c>
      <c r="K62" s="756" t="s">
        <v>203</v>
      </c>
      <c r="L62" s="1261">
        <v>44894</v>
      </c>
      <c r="M62" s="1261">
        <v>44903</v>
      </c>
      <c r="N62" s="715" t="s">
        <v>1806</v>
      </c>
      <c r="O62" s="1450"/>
      <c r="P62" s="568"/>
      <c r="Q62" s="1463"/>
      <c r="R62" s="1453"/>
      <c r="S62" s="1461"/>
      <c r="T62" s="1462"/>
      <c r="U62" s="1397"/>
      <c r="V62" s="1466"/>
      <c r="W62" s="1467"/>
      <c r="X62" s="1397"/>
      <c r="Y62" s="1475"/>
      <c r="Z62" s="1397"/>
      <c r="AA62" s="1397"/>
      <c r="AB62" s="1397"/>
      <c r="AC62" s="1397"/>
      <c r="AD62" s="1397"/>
      <c r="AE62" s="1397"/>
      <c r="AF62" s="1397"/>
      <c r="AG62" s="1397"/>
      <c r="AH62" s="1397"/>
      <c r="AI62" s="1397"/>
      <c r="AJ62" s="715"/>
      <c r="AK62" s="561"/>
      <c r="AL62" s="1397"/>
    </row>
    <row r="63" s="1363" customFormat="1" ht="21.55" customHeight="1" spans="1:38">
      <c r="A63" s="1427"/>
      <c r="B63" s="1188"/>
      <c r="C63" s="1431"/>
      <c r="D63" s="971" t="s">
        <v>355</v>
      </c>
      <c r="E63" s="1155" t="s">
        <v>1807</v>
      </c>
      <c r="F63" s="969">
        <v>152700</v>
      </c>
      <c r="G63" s="577">
        <f>F63*J63</f>
        <v>1087605.75</v>
      </c>
      <c r="H63" s="737">
        <f>G63</f>
        <v>1087605.75</v>
      </c>
      <c r="I63" s="577"/>
      <c r="J63" s="819">
        <v>7.1225</v>
      </c>
      <c r="K63" s="598">
        <v>44919</v>
      </c>
      <c r="L63" s="708">
        <v>44922</v>
      </c>
      <c r="M63" s="708">
        <v>44930</v>
      </c>
      <c r="N63" s="715" t="s">
        <v>1808</v>
      </c>
      <c r="O63" s="597">
        <v>5907</v>
      </c>
      <c r="P63" s="568">
        <v>250</v>
      </c>
      <c r="Q63" s="1463">
        <v>700</v>
      </c>
      <c r="R63" s="1464"/>
      <c r="S63" s="1461"/>
      <c r="T63" s="1462"/>
      <c r="U63" s="1397"/>
      <c r="V63" s="1466"/>
      <c r="W63" s="1467"/>
      <c r="X63" s="1397"/>
      <c r="Y63" s="1475"/>
      <c r="Z63" s="1397"/>
      <c r="AA63" s="1397"/>
      <c r="AB63" s="1397"/>
      <c r="AC63" s="1397"/>
      <c r="AD63" s="1397"/>
      <c r="AE63" s="1397"/>
      <c r="AF63" s="1397"/>
      <c r="AG63" s="1397"/>
      <c r="AH63" s="1397"/>
      <c r="AI63" s="1397"/>
      <c r="AJ63" s="715"/>
      <c r="AK63" s="561"/>
      <c r="AL63" s="1397"/>
    </row>
    <row r="64" s="1363" customFormat="1" ht="21.55" customHeight="1" spans="1:38">
      <c r="A64" s="1427"/>
      <c r="B64" s="1188"/>
      <c r="C64" s="1431"/>
      <c r="D64" s="568" t="s">
        <v>267</v>
      </c>
      <c r="E64" s="1155" t="s">
        <v>1809</v>
      </c>
      <c r="F64" s="969">
        <v>26636</v>
      </c>
      <c r="G64" s="577">
        <f>F64*J64</f>
        <v>189714.91</v>
      </c>
      <c r="H64" s="577">
        <f>G64</f>
        <v>189714.91</v>
      </c>
      <c r="I64" s="577"/>
      <c r="J64" s="819">
        <v>7.1225</v>
      </c>
      <c r="K64" s="756" t="s">
        <v>203</v>
      </c>
      <c r="L64" s="708">
        <v>44922</v>
      </c>
      <c r="M64" s="708" t="s">
        <v>1810</v>
      </c>
      <c r="N64" s="715" t="s">
        <v>1811</v>
      </c>
      <c r="O64" s="250"/>
      <c r="P64" s="568"/>
      <c r="Q64" s="1240"/>
      <c r="R64" s="1464"/>
      <c r="S64" s="1461"/>
      <c r="T64" s="1462"/>
      <c r="U64" s="1397"/>
      <c r="V64" s="1466"/>
      <c r="W64" s="1467"/>
      <c r="X64" s="1397"/>
      <c r="Y64" s="1475"/>
      <c r="Z64" s="1397"/>
      <c r="AA64" s="1397"/>
      <c r="AB64" s="1397"/>
      <c r="AC64" s="1397"/>
      <c r="AD64" s="1397"/>
      <c r="AE64" s="1397"/>
      <c r="AF64" s="1397"/>
      <c r="AG64" s="1397"/>
      <c r="AH64" s="1397"/>
      <c r="AI64" s="1397"/>
      <c r="AJ64" s="715"/>
      <c r="AK64" s="561"/>
      <c r="AL64" s="1397"/>
    </row>
    <row r="65" s="1363" customFormat="1" ht="21.55" customHeight="1" spans="1:38">
      <c r="A65" s="1427"/>
      <c r="B65" s="1422" t="s">
        <v>1802</v>
      </c>
      <c r="C65" s="1423">
        <v>214</v>
      </c>
      <c r="D65" s="1428"/>
      <c r="E65" s="1435"/>
      <c r="F65" s="1439" t="s">
        <v>1235</v>
      </c>
      <c r="G65" s="1440">
        <f>SUM(G61:G64)</f>
        <v>1277320.66</v>
      </c>
      <c r="H65" s="1440">
        <f>SUM(H61:H64)</f>
        <v>1277320.66</v>
      </c>
      <c r="I65" s="1440">
        <f>SUM(I61:I64)</f>
        <v>618147.53</v>
      </c>
      <c r="J65" s="819"/>
      <c r="K65" s="1343"/>
      <c r="L65" s="1261"/>
      <c r="M65" s="1356"/>
      <c r="N65" s="542"/>
      <c r="O65" s="250"/>
      <c r="P65" s="568"/>
      <c r="Q65" s="1240"/>
      <c r="R65" s="1464"/>
      <c r="S65" s="1461"/>
      <c r="T65" s="1462"/>
      <c r="U65" s="1397"/>
      <c r="V65" s="1466"/>
      <c r="W65" s="1467"/>
      <c r="X65" s="1489"/>
      <c r="Y65" s="1493"/>
      <c r="Z65" s="1397"/>
      <c r="AA65" s="1397"/>
      <c r="AB65" s="1397"/>
      <c r="AC65" s="1397"/>
      <c r="AD65" s="1397"/>
      <c r="AE65" s="1397"/>
      <c r="AF65" s="1397"/>
      <c r="AG65" s="1397"/>
      <c r="AH65" s="1397"/>
      <c r="AI65" s="1397"/>
      <c r="AJ65" s="1496"/>
      <c r="AK65" s="1498"/>
      <c r="AL65" s="1499"/>
    </row>
    <row r="66" s="1363" customFormat="1" ht="24" customHeight="1" spans="1:38">
      <c r="A66" s="1427"/>
      <c r="B66" s="1422"/>
      <c r="C66" s="1423"/>
      <c r="D66" s="1429"/>
      <c r="E66" s="1428"/>
      <c r="F66" s="1439" t="s">
        <v>1236</v>
      </c>
      <c r="G66" s="1441">
        <f>G65/C65/10000</f>
        <v>0.596878813084112</v>
      </c>
      <c r="H66" s="1441">
        <f>H65/C65/10000</f>
        <v>0.596878813084112</v>
      </c>
      <c r="I66" s="1441">
        <f>I65/C65/10000</f>
        <v>0.288853985981308</v>
      </c>
      <c r="J66" s="819"/>
      <c r="K66" s="1182"/>
      <c r="L66" s="625"/>
      <c r="M66" s="736"/>
      <c r="N66" s="1012"/>
      <c r="O66" s="715"/>
      <c r="P66" s="716"/>
      <c r="Q66" s="1032"/>
      <c r="R66" s="1486"/>
      <c r="S66" s="1486"/>
      <c r="T66" s="1487"/>
      <c r="U66" s="992"/>
      <c r="V66" s="992"/>
      <c r="W66" s="1182"/>
      <c r="X66" s="1218"/>
      <c r="Y66" s="1494"/>
      <c r="Z66" s="715"/>
      <c r="AA66" s="715"/>
      <c r="AB66" s="715"/>
      <c r="AC66" s="715"/>
      <c r="AD66" s="715"/>
      <c r="AE66" s="715"/>
      <c r="AF66" s="715"/>
      <c r="AG66" s="715"/>
      <c r="AH66" s="715"/>
      <c r="AI66" s="715"/>
      <c r="AJ66" s="1496"/>
      <c r="AK66" s="1500"/>
      <c r="AL66" s="1500"/>
    </row>
    <row r="67" s="1363" customFormat="1" ht="24" customHeight="1" spans="1:38">
      <c r="A67" s="1427"/>
      <c r="B67" s="666" t="s">
        <v>1540</v>
      </c>
      <c r="C67" s="543" t="s">
        <v>1125</v>
      </c>
      <c r="D67" s="715" t="s">
        <v>1812</v>
      </c>
      <c r="E67" s="715" t="s">
        <v>1813</v>
      </c>
      <c r="F67" s="576">
        <v>6586</v>
      </c>
      <c r="G67" s="577">
        <f>F67*J67</f>
        <v>46908.785</v>
      </c>
      <c r="H67" s="577">
        <f>F67*J67</f>
        <v>46908.785</v>
      </c>
      <c r="I67" s="839"/>
      <c r="J67" s="819">
        <v>7.1225</v>
      </c>
      <c r="K67" s="1182">
        <v>44920</v>
      </c>
      <c r="L67" s="708">
        <v>44918</v>
      </c>
      <c r="M67" s="736"/>
      <c r="N67" s="1012"/>
      <c r="O67" s="715"/>
      <c r="P67" s="716"/>
      <c r="Q67" s="1032"/>
      <c r="R67" s="1486"/>
      <c r="S67" s="1486"/>
      <c r="T67" s="1487"/>
      <c r="U67" s="992"/>
      <c r="V67" s="992"/>
      <c r="W67" s="1182"/>
      <c r="X67" s="1218"/>
      <c r="Y67" s="1494"/>
      <c r="Z67" s="715"/>
      <c r="AA67" s="715"/>
      <c r="AB67" s="715"/>
      <c r="AC67" s="715"/>
      <c r="AD67" s="715"/>
      <c r="AE67" s="715"/>
      <c r="AF67" s="715"/>
      <c r="AG67" s="715"/>
      <c r="AH67" s="715"/>
      <c r="AI67" s="715"/>
      <c r="AJ67" s="1496"/>
      <c r="AK67" s="1500"/>
      <c r="AL67" s="1500"/>
    </row>
    <row r="68" s="1364" customFormat="1" ht="32.5" customHeight="1" spans="1:38">
      <c r="A68" s="1421"/>
      <c r="B68" s="1190" t="s">
        <v>1124</v>
      </c>
      <c r="C68" s="1191">
        <f>C55+C59+C65</f>
        <v>785</v>
      </c>
      <c r="D68" s="1144"/>
      <c r="E68" s="1144"/>
      <c r="F68" s="1159" t="s">
        <v>1235</v>
      </c>
      <c r="G68" s="1230">
        <f>G55+G59+G65+G67</f>
        <v>2823586.92</v>
      </c>
      <c r="H68" s="1230">
        <f>H55+H59+H65+H67</f>
        <v>2823586.92</v>
      </c>
      <c r="I68" s="1230">
        <f>I55+I59+I65</f>
        <v>2117505.005</v>
      </c>
      <c r="J68" s="808"/>
      <c r="K68" s="809"/>
      <c r="L68" s="821"/>
      <c r="M68" s="996"/>
      <c r="N68" s="997"/>
      <c r="O68" s="727"/>
      <c r="P68" s="652"/>
      <c r="Q68" s="653"/>
      <c r="R68" s="809"/>
      <c r="S68" s="809">
        <v>0</v>
      </c>
      <c r="T68" s="809">
        <v>0</v>
      </c>
      <c r="U68" s="1184"/>
      <c r="V68" s="1184"/>
      <c r="W68" s="1185"/>
      <c r="X68" s="1490"/>
      <c r="Y68" s="1495"/>
      <c r="Z68" s="727"/>
      <c r="AA68" s="727"/>
      <c r="AB68" s="727"/>
      <c r="AC68" s="727"/>
      <c r="AD68" s="727"/>
      <c r="AE68" s="727"/>
      <c r="AF68" s="727"/>
      <c r="AG68" s="727"/>
      <c r="AH68" s="727"/>
      <c r="AI68" s="727"/>
      <c r="AJ68" s="1497"/>
      <c r="AK68" s="1501" t="s">
        <v>325</v>
      </c>
      <c r="AL68" s="1501"/>
    </row>
    <row r="69" s="1364" customFormat="1" ht="32.5" customHeight="1" spans="1:38">
      <c r="A69" s="1480"/>
      <c r="B69" s="1192"/>
      <c r="C69" s="1150"/>
      <c r="D69" s="1144"/>
      <c r="E69" s="1144"/>
      <c r="F69" s="1159" t="s">
        <v>1236</v>
      </c>
      <c r="G69" s="1160">
        <f>G68/7850000</f>
        <v>0.359692601273885</v>
      </c>
      <c r="H69" s="1160">
        <f>H68/7850000</f>
        <v>0.359692601273885</v>
      </c>
      <c r="I69" s="1160">
        <f>I68/7850000</f>
        <v>0.269745860509554</v>
      </c>
      <c r="J69" s="808"/>
      <c r="K69" s="809"/>
      <c r="L69" s="821"/>
      <c r="M69" s="996"/>
      <c r="N69" s="997"/>
      <c r="O69" s="727"/>
      <c r="P69" s="652"/>
      <c r="Q69" s="653"/>
      <c r="R69" s="809"/>
      <c r="S69" s="809"/>
      <c r="T69" s="809"/>
      <c r="U69" s="1184"/>
      <c r="V69" s="1184"/>
      <c r="W69" s="1185"/>
      <c r="X69" s="1094"/>
      <c r="Y69" s="1094"/>
      <c r="Z69" s="1094"/>
      <c r="AA69" s="1094"/>
      <c r="AB69" s="1094"/>
      <c r="AC69" s="1094"/>
      <c r="AD69" s="1094"/>
      <c r="AE69" s="1094"/>
      <c r="AF69" s="1094"/>
      <c r="AG69" s="1094"/>
      <c r="AH69" s="1094"/>
      <c r="AI69" s="1094"/>
      <c r="AJ69" s="1094"/>
      <c r="AK69" s="1094"/>
      <c r="AL69" s="1094"/>
    </row>
    <row r="70" s="1365" customFormat="1" ht="30" customHeight="1" spans="1:38">
      <c r="A70" s="1367" t="s">
        <v>1163</v>
      </c>
      <c r="B70" s="1367"/>
      <c r="C70" s="1380">
        <f>C27+C45+C68</f>
        <v>2208</v>
      </c>
      <c r="D70" s="1378"/>
      <c r="E70" s="1378"/>
      <c r="F70" s="1378" t="s">
        <v>14</v>
      </c>
      <c r="G70" s="1481">
        <f>G27+G45+G68</f>
        <v>10524223.46125</v>
      </c>
      <c r="H70" s="1481">
        <f>H27+H45+H68</f>
        <v>10524223.39125</v>
      </c>
      <c r="I70" s="1481">
        <f>I27+I45+I68</f>
        <v>4334076.465</v>
      </c>
      <c r="J70" s="1378"/>
      <c r="K70" s="1378"/>
      <c r="L70" s="1483"/>
      <c r="M70" s="1483"/>
      <c r="N70" s="1485"/>
      <c r="O70" s="1378"/>
      <c r="P70" s="1380"/>
      <c r="Q70" s="1378"/>
      <c r="R70" s="1378"/>
      <c r="S70" s="1378"/>
      <c r="T70" s="1378"/>
      <c r="U70" s="1378"/>
      <c r="V70" s="1378"/>
      <c r="W70" s="1491"/>
      <c r="X70" s="1492"/>
      <c r="Y70" s="1492"/>
      <c r="Z70" s="1492"/>
      <c r="AA70" s="1492"/>
      <c r="AB70" s="1492"/>
      <c r="AC70" s="1492"/>
      <c r="AD70" s="1492"/>
      <c r="AE70" s="1492"/>
      <c r="AF70" s="1492"/>
      <c r="AG70" s="1492"/>
      <c r="AH70" s="1492"/>
      <c r="AI70" s="1492"/>
      <c r="AJ70" s="1492"/>
      <c r="AK70" s="1492"/>
      <c r="AL70" s="1492"/>
    </row>
    <row r="71" s="1365" customFormat="1" ht="30" customHeight="1" spans="1:38">
      <c r="A71" s="1367"/>
      <c r="B71" s="1367"/>
      <c r="C71" s="1380"/>
      <c r="D71" s="1378"/>
      <c r="E71" s="1378"/>
      <c r="F71" s="1378" t="s">
        <v>1236</v>
      </c>
      <c r="G71" s="1482">
        <f>G70/(C70*10000)</f>
        <v>0.476640555310235</v>
      </c>
      <c r="H71" s="1482">
        <f>H70/22080000</f>
        <v>0.476640552139946</v>
      </c>
      <c r="I71" s="1482">
        <f>I70/22080000</f>
        <v>0.196289694972826</v>
      </c>
      <c r="J71" s="1378"/>
      <c r="K71" s="1378"/>
      <c r="L71" s="1483"/>
      <c r="M71" s="1483"/>
      <c r="N71" s="1485"/>
      <c r="O71" s="1378"/>
      <c r="P71" s="1378"/>
      <c r="Q71" s="1378"/>
      <c r="R71" s="1378"/>
      <c r="S71" s="1378"/>
      <c r="T71" s="1378"/>
      <c r="U71" s="1378"/>
      <c r="V71" s="1378"/>
      <c r="W71" s="1378"/>
      <c r="X71" s="1492"/>
      <c r="Y71" s="1492"/>
      <c r="Z71" s="1492"/>
      <c r="AA71" s="1492"/>
      <c r="AB71" s="1492"/>
      <c r="AC71" s="1492"/>
      <c r="AD71" s="1492"/>
      <c r="AE71" s="1492"/>
      <c r="AF71" s="1492"/>
      <c r="AG71" s="1492"/>
      <c r="AH71" s="1492"/>
      <c r="AI71" s="1492"/>
      <c r="AJ71" s="1492"/>
      <c r="AK71" s="1492"/>
      <c r="AL71" s="1492"/>
    </row>
    <row r="72" s="417" customFormat="1" spans="2:38">
      <c r="B72" s="1090"/>
      <c r="C72" s="878"/>
      <c r="D72" s="1090"/>
      <c r="E72" s="1090"/>
      <c r="F72" s="1090"/>
      <c r="G72" s="850"/>
      <c r="H72" s="850"/>
      <c r="I72" s="850"/>
      <c r="J72" s="1090"/>
      <c r="K72" s="1090"/>
      <c r="L72" s="896"/>
      <c r="M72" s="896"/>
      <c r="N72" s="885"/>
      <c r="O72" s="1090"/>
      <c r="P72" s="878"/>
      <c r="Q72" s="1090"/>
      <c r="R72" s="1090"/>
      <c r="S72" s="1090"/>
      <c r="T72" s="1090"/>
      <c r="U72" s="1090"/>
      <c r="V72" s="1090"/>
      <c r="W72" s="1242"/>
      <c r="X72" s="1090"/>
      <c r="Y72" s="1090"/>
      <c r="Z72" s="1090"/>
      <c r="AA72" s="1090"/>
      <c r="AB72" s="1090"/>
      <c r="AC72" s="1090"/>
      <c r="AD72" s="1090"/>
      <c r="AE72" s="1090"/>
      <c r="AF72" s="1090"/>
      <c r="AG72" s="1090"/>
      <c r="AH72" s="1090"/>
      <c r="AI72" s="1090"/>
      <c r="AJ72" s="1090"/>
      <c r="AK72" s="1090"/>
      <c r="AL72" s="1090"/>
    </row>
    <row r="73" s="417" customFormat="1" spans="2:38">
      <c r="B73" s="1090"/>
      <c r="C73" s="878"/>
      <c r="D73" s="1090"/>
      <c r="E73" s="1090" t="s">
        <v>139</v>
      </c>
      <c r="F73" s="1090"/>
      <c r="G73" s="880"/>
      <c r="H73" s="880"/>
      <c r="I73" s="880"/>
      <c r="J73" s="1090"/>
      <c r="K73" s="1090"/>
      <c r="L73" s="896"/>
      <c r="M73" s="896"/>
      <c r="N73" s="885"/>
      <c r="O73" s="1090" t="s">
        <v>140</v>
      </c>
      <c r="P73" s="878"/>
      <c r="Q73" s="1090"/>
      <c r="R73" s="1090"/>
      <c r="S73" s="1488"/>
      <c r="T73" s="1090"/>
      <c r="U73" s="1488"/>
      <c r="V73" s="1090"/>
      <c r="W73" s="1242"/>
      <c r="X73" s="1090"/>
      <c r="Y73" s="1090"/>
      <c r="Z73" s="1090"/>
      <c r="AA73" s="1090"/>
      <c r="AB73" s="1090"/>
      <c r="AC73" s="1090"/>
      <c r="AD73" s="1090"/>
      <c r="AE73" s="1090"/>
      <c r="AF73" s="1090"/>
      <c r="AG73" s="1090"/>
      <c r="AH73" s="1090"/>
      <c r="AI73" s="1090"/>
      <c r="AJ73" s="1090"/>
      <c r="AK73" s="1090"/>
      <c r="AL73" s="1090"/>
    </row>
    <row r="74" s="417" customFormat="1" spans="1:38">
      <c r="A74" s="875" t="s">
        <v>1814</v>
      </c>
      <c r="B74" s="875"/>
      <c r="C74" s="875"/>
      <c r="D74" s="875"/>
      <c r="E74" s="875"/>
      <c r="F74" s="1090"/>
      <c r="G74" s="850"/>
      <c r="H74" s="850"/>
      <c r="I74" s="850"/>
      <c r="J74" s="1090"/>
      <c r="K74" s="1090"/>
      <c r="L74" s="896"/>
      <c r="M74" s="896"/>
      <c r="N74" s="885"/>
      <c r="O74" s="876"/>
      <c r="P74" s="878"/>
      <c r="Q74" s="1090"/>
      <c r="R74" s="1090"/>
      <c r="S74" s="1488"/>
      <c r="T74" s="1090"/>
      <c r="U74" s="1488"/>
      <c r="V74" s="1090"/>
      <c r="W74" s="1242"/>
      <c r="X74" s="1090"/>
      <c r="Y74" s="1090"/>
      <c r="Z74" s="1090"/>
      <c r="AA74" s="1090"/>
      <c r="AB74" s="1090"/>
      <c r="AC74" s="1090"/>
      <c r="AD74" s="1090"/>
      <c r="AE74" s="1090"/>
      <c r="AF74" s="1090"/>
      <c r="AG74" s="1090"/>
      <c r="AH74" s="1090"/>
      <c r="AI74" s="1090"/>
      <c r="AJ74" s="1090"/>
      <c r="AK74" s="1090"/>
      <c r="AL74" s="1090"/>
    </row>
    <row r="75" s="417" customFormat="1" spans="1:38">
      <c r="A75" s="875" t="s">
        <v>1285</v>
      </c>
      <c r="B75" s="875"/>
      <c r="C75" s="875"/>
      <c r="D75" s="875"/>
      <c r="E75" s="875"/>
      <c r="F75" s="1090"/>
      <c r="G75" s="850"/>
      <c r="H75" s="850"/>
      <c r="I75" s="850"/>
      <c r="J75" s="1090"/>
      <c r="K75" s="1090"/>
      <c r="L75" s="896"/>
      <c r="M75" s="896"/>
      <c r="N75" s="885"/>
      <c r="O75" s="876"/>
      <c r="P75" s="878"/>
      <c r="Q75" s="1090"/>
      <c r="R75" s="1090"/>
      <c r="S75" s="1488"/>
      <c r="T75" s="1090"/>
      <c r="U75" s="1488"/>
      <c r="V75" s="1090"/>
      <c r="W75" s="1242"/>
      <c r="X75" s="1090"/>
      <c r="Y75" s="1090"/>
      <c r="Z75" s="1090"/>
      <c r="AA75" s="1090"/>
      <c r="AB75" s="1090"/>
      <c r="AC75" s="1090"/>
      <c r="AD75" s="1090"/>
      <c r="AE75" s="1090"/>
      <c r="AF75" s="1090"/>
      <c r="AG75" s="1090"/>
      <c r="AH75" s="1090"/>
      <c r="AI75" s="1090"/>
      <c r="AJ75" s="1090"/>
      <c r="AK75" s="1090"/>
      <c r="AL75" s="1090"/>
    </row>
    <row r="76" s="417" customFormat="1" spans="1:38">
      <c r="A76" s="875" t="s">
        <v>1815</v>
      </c>
      <c r="B76" s="875"/>
      <c r="C76" s="875"/>
      <c r="D76" s="875"/>
      <c r="E76" s="875"/>
      <c r="F76" s="1090"/>
      <c r="G76" s="850"/>
      <c r="H76" s="850"/>
      <c r="I76" s="850"/>
      <c r="J76" s="1090"/>
      <c r="K76" s="1090"/>
      <c r="L76" s="896"/>
      <c r="M76" s="896"/>
      <c r="N76" s="885"/>
      <c r="O76" s="876"/>
      <c r="P76" s="878"/>
      <c r="Q76" s="1090"/>
      <c r="R76" s="1090"/>
      <c r="S76" s="1488"/>
      <c r="T76" s="1090"/>
      <c r="U76" s="1488"/>
      <c r="V76" s="1090"/>
      <c r="W76" s="1242"/>
      <c r="X76" s="1090"/>
      <c r="Y76" s="1090"/>
      <c r="Z76" s="1090"/>
      <c r="AA76" s="1090"/>
      <c r="AB76" s="1090"/>
      <c r="AC76" s="1090"/>
      <c r="AD76" s="1090"/>
      <c r="AE76" s="1090"/>
      <c r="AF76" s="1090"/>
      <c r="AG76" s="1090"/>
      <c r="AH76" s="1090"/>
      <c r="AI76" s="1090"/>
      <c r="AJ76" s="1090"/>
      <c r="AK76" s="1090"/>
      <c r="AL76" s="1090"/>
    </row>
    <row r="77" s="417" customFormat="1" spans="1:38">
      <c r="A77" s="875" t="s">
        <v>1816</v>
      </c>
      <c r="B77" s="875"/>
      <c r="C77" s="875"/>
      <c r="D77" s="875"/>
      <c r="E77" s="875"/>
      <c r="F77" s="1090"/>
      <c r="G77" s="850"/>
      <c r="H77" s="850"/>
      <c r="I77" s="850"/>
      <c r="J77" s="1484"/>
      <c r="K77" s="1090"/>
      <c r="L77" s="896"/>
      <c r="M77" s="896"/>
      <c r="N77" s="885"/>
      <c r="O77" s="876"/>
      <c r="P77" s="878"/>
      <c r="Q77" s="1090"/>
      <c r="R77" s="1090"/>
      <c r="S77" s="1488"/>
      <c r="T77" s="1090"/>
      <c r="U77" s="1488"/>
      <c r="V77" s="1090"/>
      <c r="W77" s="1242"/>
      <c r="X77" s="1090"/>
      <c r="Y77" s="1090"/>
      <c r="Z77" s="1090"/>
      <c r="AA77" s="1090"/>
      <c r="AB77" s="1090"/>
      <c r="AC77" s="1090"/>
      <c r="AD77" s="1090"/>
      <c r="AE77" s="1090"/>
      <c r="AF77" s="1090"/>
      <c r="AG77" s="1090"/>
      <c r="AH77" s="1090"/>
      <c r="AI77" s="1090"/>
      <c r="AJ77" s="1090"/>
      <c r="AK77" s="1090"/>
      <c r="AL77" s="1090"/>
    </row>
    <row r="78" s="417" customFormat="1" spans="1:38">
      <c r="A78" s="875" t="s">
        <v>1817</v>
      </c>
      <c r="B78" s="876"/>
      <c r="C78" s="876"/>
      <c r="D78" s="876"/>
      <c r="E78" s="876"/>
      <c r="F78" s="1090"/>
      <c r="G78" s="850"/>
      <c r="H78" s="850"/>
      <c r="I78" s="850"/>
      <c r="J78" s="1090"/>
      <c r="K78" s="1090"/>
      <c r="L78" s="896"/>
      <c r="M78" s="896"/>
      <c r="N78" s="885"/>
      <c r="O78" s="876"/>
      <c r="P78" s="878"/>
      <c r="Q78" s="1090"/>
      <c r="R78" s="1090"/>
      <c r="S78" s="1488"/>
      <c r="T78" s="1090"/>
      <c r="U78" s="1488"/>
      <c r="V78" s="1090"/>
      <c r="W78" s="1242"/>
      <c r="X78" s="1090"/>
      <c r="Y78" s="1090"/>
      <c r="Z78" s="1090"/>
      <c r="AA78" s="1090"/>
      <c r="AB78" s="1090"/>
      <c r="AC78" s="1090"/>
      <c r="AD78" s="1090"/>
      <c r="AE78" s="1090"/>
      <c r="AF78" s="1090"/>
      <c r="AG78" s="1090"/>
      <c r="AH78" s="1090"/>
      <c r="AI78" s="1090"/>
      <c r="AJ78" s="1090"/>
      <c r="AK78" s="1090"/>
      <c r="AL78" s="1090"/>
    </row>
    <row r="79" s="417" customFormat="1" spans="1:38">
      <c r="A79" s="875" t="s">
        <v>1818</v>
      </c>
      <c r="B79" s="876"/>
      <c r="C79" s="876"/>
      <c r="D79" s="876"/>
      <c r="E79" s="876"/>
      <c r="F79" s="1090"/>
      <c r="G79" s="850"/>
      <c r="H79" s="850"/>
      <c r="I79" s="850"/>
      <c r="J79" s="877"/>
      <c r="K79" s="877"/>
      <c r="L79" s="896"/>
      <c r="M79" s="896"/>
      <c r="N79" s="887"/>
      <c r="O79" s="876"/>
      <c r="P79" s="878"/>
      <c r="Q79" s="877"/>
      <c r="R79" s="877"/>
      <c r="S79" s="877"/>
      <c r="T79" s="877"/>
      <c r="U79" s="1488"/>
      <c r="V79" s="877"/>
      <c r="W79" s="1242"/>
      <c r="X79" s="877"/>
      <c r="Y79" s="877"/>
      <c r="Z79" s="877"/>
      <c r="AA79" s="877"/>
      <c r="AB79" s="877"/>
      <c r="AC79" s="877"/>
      <c r="AD79" s="877"/>
      <c r="AE79" s="877"/>
      <c r="AF79" s="877"/>
      <c r="AG79" s="877"/>
      <c r="AH79" s="877"/>
      <c r="AI79" s="877"/>
      <c r="AJ79" s="877"/>
      <c r="AK79" s="877"/>
      <c r="AL79" s="877"/>
    </row>
    <row r="80" s="417" customFormat="1" spans="1:38">
      <c r="A80" s="876"/>
      <c r="B80" s="876"/>
      <c r="C80" s="876"/>
      <c r="D80" s="876"/>
      <c r="E80" s="876"/>
      <c r="F80" s="877"/>
      <c r="G80" s="850"/>
      <c r="H80" s="850"/>
      <c r="I80" s="850"/>
      <c r="J80" s="877"/>
      <c r="K80" s="877"/>
      <c r="L80" s="896"/>
      <c r="M80" s="896"/>
      <c r="N80" s="887"/>
      <c r="O80" s="876"/>
      <c r="P80" s="878"/>
      <c r="Q80" s="877"/>
      <c r="R80" s="877"/>
      <c r="S80" s="877"/>
      <c r="T80" s="877"/>
      <c r="U80" s="877"/>
      <c r="V80" s="877"/>
      <c r="W80" s="1242"/>
      <c r="X80" s="877"/>
      <c r="Y80" s="877"/>
      <c r="Z80" s="877"/>
      <c r="AA80" s="877"/>
      <c r="AB80" s="877"/>
      <c r="AC80" s="877"/>
      <c r="AD80" s="877"/>
      <c r="AE80" s="877"/>
      <c r="AF80" s="877"/>
      <c r="AG80" s="877"/>
      <c r="AH80" s="877"/>
      <c r="AI80" s="877"/>
      <c r="AJ80" s="877"/>
      <c r="AK80" s="877"/>
      <c r="AL80" s="877"/>
    </row>
    <row r="81" s="417" customFormat="1" spans="2:38">
      <c r="B81" s="877"/>
      <c r="C81" s="878"/>
      <c r="D81" s="877"/>
      <c r="E81" s="877"/>
      <c r="F81" s="877"/>
      <c r="G81" s="850"/>
      <c r="H81" s="850"/>
      <c r="I81" s="850"/>
      <c r="J81" s="877"/>
      <c r="K81" s="877"/>
      <c r="L81" s="896"/>
      <c r="M81" s="896"/>
      <c r="N81" s="887"/>
      <c r="O81" s="877"/>
      <c r="P81" s="878"/>
      <c r="Q81" s="877"/>
      <c r="R81" s="877"/>
      <c r="S81" s="877"/>
      <c r="T81" s="877"/>
      <c r="U81" s="877"/>
      <c r="V81" s="877"/>
      <c r="W81" s="1242"/>
      <c r="X81" s="877"/>
      <c r="Y81" s="877"/>
      <c r="Z81" s="877"/>
      <c r="AA81" s="877"/>
      <c r="AB81" s="877"/>
      <c r="AC81" s="877"/>
      <c r="AD81" s="877"/>
      <c r="AE81" s="877"/>
      <c r="AF81" s="877"/>
      <c r="AG81" s="877"/>
      <c r="AH81" s="877"/>
      <c r="AI81" s="877"/>
      <c r="AJ81" s="877"/>
      <c r="AK81" s="877"/>
      <c r="AL81" s="877"/>
    </row>
  </sheetData>
  <sheetProtection formatCells="0" insertHyperlinks="0" autoFilter="0"/>
  <mergeCells count="40">
    <mergeCell ref="A1:Q1"/>
    <mergeCell ref="A3:A28"/>
    <mergeCell ref="A29:A46"/>
    <mergeCell ref="A47:A69"/>
    <mergeCell ref="B3:B15"/>
    <mergeCell ref="B16:B21"/>
    <mergeCell ref="B23:B26"/>
    <mergeCell ref="B27:B28"/>
    <mergeCell ref="B29:B37"/>
    <mergeCell ref="B38:B40"/>
    <mergeCell ref="B41:B42"/>
    <mergeCell ref="B43:B44"/>
    <mergeCell ref="B45:B46"/>
    <mergeCell ref="B47:B54"/>
    <mergeCell ref="B55:B56"/>
    <mergeCell ref="B57:B58"/>
    <mergeCell ref="B59:B60"/>
    <mergeCell ref="B61:B64"/>
    <mergeCell ref="B65:B66"/>
    <mergeCell ref="B68:B69"/>
    <mergeCell ref="C3:C15"/>
    <mergeCell ref="C16:C21"/>
    <mergeCell ref="C23:C26"/>
    <mergeCell ref="C27:C28"/>
    <mergeCell ref="C29:C37"/>
    <mergeCell ref="C38:C40"/>
    <mergeCell ref="C41:C42"/>
    <mergeCell ref="C43:C44"/>
    <mergeCell ref="C45:C46"/>
    <mergeCell ref="C47:C54"/>
    <mergeCell ref="C55:C56"/>
    <mergeCell ref="C57:C58"/>
    <mergeCell ref="C59:C60"/>
    <mergeCell ref="C61:C64"/>
    <mergeCell ref="C65:C66"/>
    <mergeCell ref="C68:C69"/>
    <mergeCell ref="C70:C71"/>
    <mergeCell ref="D41:D42"/>
    <mergeCell ref="D43:D44"/>
    <mergeCell ref="A70:B71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8"/>
  <dimension ref="A1:T143"/>
  <sheetViews>
    <sheetView workbookViewId="0">
      <selection activeCell="H127" sqref="H127"/>
    </sheetView>
  </sheetViews>
  <sheetFormatPr defaultColWidth="9" defaultRowHeight="13.5"/>
  <cols>
    <col min="1" max="1" width="6.425" customWidth="1"/>
    <col min="2" max="2" width="10.4416666666667" customWidth="1"/>
    <col min="3" max="3" width="8.375" customWidth="1"/>
    <col min="4" max="4" width="8.58333333333333" customWidth="1"/>
    <col min="5" max="5" width="18.975" customWidth="1"/>
    <col min="6" max="6" width="14.6166666666667" customWidth="1"/>
    <col min="7" max="7" width="12.625" customWidth="1"/>
    <col min="8" max="8" width="15.375" customWidth="1"/>
    <col min="9" max="9" width="18" customWidth="1"/>
    <col min="10" max="10" width="14.625" customWidth="1"/>
    <col min="11" max="11" width="9.25833333333333"/>
    <col min="12" max="12" width="9.64166666666667" customWidth="1"/>
    <col min="13" max="13" width="8.75833333333333" customWidth="1"/>
    <col min="14" max="14" width="7.38333333333333" customWidth="1"/>
    <col min="15" max="15" width="71.375" style="12" customWidth="1"/>
    <col min="16" max="16" width="14.0333333333333" customWidth="1"/>
    <col min="17" max="17" width="9" style="510"/>
    <col min="18" max="18" width="13.125"/>
  </cols>
  <sheetData>
    <row r="1" s="10" customFormat="1" ht="21.65" customHeight="1" spans="1:19">
      <c r="A1" s="1094" t="s">
        <v>1819</v>
      </c>
      <c r="B1" s="1094"/>
      <c r="C1" s="1094"/>
      <c r="D1" s="1094"/>
      <c r="E1" s="1094"/>
      <c r="F1" s="1094"/>
      <c r="G1" s="1094"/>
      <c r="H1" s="1094"/>
      <c r="I1" s="1094"/>
      <c r="J1" s="1094"/>
      <c r="K1" s="1094"/>
      <c r="L1" s="1094"/>
      <c r="M1" s="1102"/>
      <c r="N1" s="1102"/>
      <c r="O1" s="1016"/>
      <c r="P1" s="1094"/>
      <c r="Q1" s="1094"/>
      <c r="R1" s="1094"/>
      <c r="S1" s="651"/>
    </row>
    <row r="2" s="10" customFormat="1" ht="30" spans="1:19">
      <c r="A2" s="537" t="s">
        <v>1092</v>
      </c>
      <c r="B2" s="537" t="s">
        <v>1820</v>
      </c>
      <c r="C2" s="538" t="s">
        <v>1093</v>
      </c>
      <c r="D2" s="539" t="s">
        <v>1821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1097</v>
      </c>
      <c r="N2" s="619" t="s">
        <v>1214</v>
      </c>
      <c r="O2" s="727" t="s">
        <v>1215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827" t="s">
        <v>1823</v>
      </c>
      <c r="B3" s="705" t="s">
        <v>1824</v>
      </c>
      <c r="C3" s="715" t="s">
        <v>1825</v>
      </c>
      <c r="D3" s="716">
        <v>155</v>
      </c>
      <c r="E3" s="572" t="s">
        <v>157</v>
      </c>
      <c r="F3" s="572" t="s">
        <v>1826</v>
      </c>
      <c r="G3" s="722">
        <v>50339</v>
      </c>
      <c r="H3" s="603">
        <f t="shared" ref="H3:H6" si="0">G3*K3</f>
        <v>361373.6132</v>
      </c>
      <c r="I3" s="603"/>
      <c r="J3" s="567"/>
      <c r="K3" s="597">
        <v>7.1788</v>
      </c>
      <c r="L3" s="682">
        <v>45191</v>
      </c>
      <c r="M3" s="682"/>
      <c r="N3" s="644"/>
      <c r="O3" s="622" t="s">
        <v>1827</v>
      </c>
      <c r="P3" s="635" t="s">
        <v>401</v>
      </c>
      <c r="Q3" s="635" t="s">
        <v>1671</v>
      </c>
      <c r="R3" s="667"/>
      <c r="S3" s="577"/>
    </row>
    <row r="4" s="10" customFormat="1" ht="16.5" spans="1:19">
      <c r="A4" s="827"/>
      <c r="B4" s="541"/>
      <c r="C4" s="715"/>
      <c r="D4" s="716"/>
      <c r="E4" s="572" t="s">
        <v>1722</v>
      </c>
      <c r="F4" s="572" t="s">
        <v>1828</v>
      </c>
      <c r="G4" s="722">
        <v>58000.2</v>
      </c>
      <c r="H4" s="603">
        <f t="shared" si="0"/>
        <v>416371.83576</v>
      </c>
      <c r="I4" s="603"/>
      <c r="J4" s="567"/>
      <c r="K4" s="597">
        <v>7.1788</v>
      </c>
      <c r="L4" s="682">
        <v>45179</v>
      </c>
      <c r="M4" s="682">
        <v>45180</v>
      </c>
      <c r="N4" s="644">
        <v>45183</v>
      </c>
      <c r="O4" s="622" t="s">
        <v>1829</v>
      </c>
      <c r="P4" s="635" t="s">
        <v>1830</v>
      </c>
      <c r="Q4" s="635" t="s">
        <v>1671</v>
      </c>
      <c r="R4" s="655"/>
      <c r="S4" s="577"/>
    </row>
    <row r="5" s="10" customFormat="1" ht="16.5" spans="1:19">
      <c r="A5" s="827"/>
      <c r="B5" s="541"/>
      <c r="C5" s="715"/>
      <c r="D5" s="716"/>
      <c r="E5" s="572" t="s">
        <v>1722</v>
      </c>
      <c r="F5" s="572" t="s">
        <v>1831</v>
      </c>
      <c r="G5" s="722">
        <v>53665.8</v>
      </c>
      <c r="H5" s="603">
        <f t="shared" si="0"/>
        <v>385256.04504</v>
      </c>
      <c r="I5" s="603"/>
      <c r="J5" s="567"/>
      <c r="K5" s="597">
        <v>7.1788</v>
      </c>
      <c r="L5" s="682">
        <v>45191</v>
      </c>
      <c r="M5" s="682"/>
      <c r="N5" s="644">
        <v>45183</v>
      </c>
      <c r="O5" s="622" t="s">
        <v>1832</v>
      </c>
      <c r="P5" s="635" t="s">
        <v>1830</v>
      </c>
      <c r="Q5" s="635" t="s">
        <v>1671</v>
      </c>
      <c r="R5" s="655"/>
      <c r="S5" s="577"/>
    </row>
    <row r="6" s="10" customFormat="1" ht="16.5" spans="1:19">
      <c r="A6" s="827"/>
      <c r="B6" s="541"/>
      <c r="C6" s="715"/>
      <c r="D6" s="716"/>
      <c r="E6" s="572" t="s">
        <v>1542</v>
      </c>
      <c r="F6" s="572" t="s">
        <v>1833</v>
      </c>
      <c r="G6" s="722">
        <v>10113</v>
      </c>
      <c r="H6" s="603">
        <f t="shared" si="0"/>
        <v>72599.2044</v>
      </c>
      <c r="I6" s="603"/>
      <c r="J6" s="567"/>
      <c r="K6" s="597">
        <v>7.1788</v>
      </c>
      <c r="L6" s="572" t="s">
        <v>1834</v>
      </c>
      <c r="M6" s="682"/>
      <c r="N6" s="644"/>
      <c r="O6" s="622" t="s">
        <v>1835</v>
      </c>
      <c r="P6" s="635" t="s">
        <v>1836</v>
      </c>
      <c r="Q6" s="635" t="s">
        <v>1659</v>
      </c>
      <c r="R6" s="664"/>
      <c r="S6" s="577"/>
    </row>
    <row r="7" s="10" customFormat="1" ht="16.5" spans="1:19">
      <c r="A7" s="827"/>
      <c r="B7" s="541"/>
      <c r="C7" s="715"/>
      <c r="D7" s="716"/>
      <c r="E7" s="572" t="s">
        <v>157</v>
      </c>
      <c r="F7" s="572" t="s">
        <v>1837</v>
      </c>
      <c r="G7" s="722"/>
      <c r="H7" s="603"/>
      <c r="I7" s="603"/>
      <c r="J7" s="567">
        <v>582063</v>
      </c>
      <c r="K7" s="597">
        <v>7.1788</v>
      </c>
      <c r="L7" s="1067"/>
      <c r="M7" s="682"/>
      <c r="N7" s="644"/>
      <c r="O7" s="622" t="s">
        <v>1838</v>
      </c>
      <c r="P7" s="635"/>
      <c r="Q7" s="635"/>
      <c r="R7" s="664"/>
      <c r="S7" s="577"/>
    </row>
    <row r="8" s="10" customFormat="1" ht="16.5" spans="1:19">
      <c r="A8" s="827"/>
      <c r="B8" s="541"/>
      <c r="C8" s="715"/>
      <c r="D8" s="716"/>
      <c r="E8" s="572" t="s">
        <v>157</v>
      </c>
      <c r="F8" s="572" t="s">
        <v>1839</v>
      </c>
      <c r="G8" s="722"/>
      <c r="H8" s="603"/>
      <c r="I8" s="603"/>
      <c r="J8" s="567">
        <v>295888</v>
      </c>
      <c r="K8" s="597">
        <v>7.1788</v>
      </c>
      <c r="L8" s="1067"/>
      <c r="M8" s="682"/>
      <c r="N8" s="644"/>
      <c r="O8" s="622" t="s">
        <v>1838</v>
      </c>
      <c r="P8" s="635"/>
      <c r="Q8" s="635"/>
      <c r="R8" s="664"/>
      <c r="S8" s="577"/>
    </row>
    <row r="9" s="10" customFormat="1" ht="16.5" spans="1:19">
      <c r="A9" s="827"/>
      <c r="B9" s="541"/>
      <c r="C9" s="715"/>
      <c r="D9" s="716"/>
      <c r="E9" s="572" t="s">
        <v>1722</v>
      </c>
      <c r="F9" s="572" t="s">
        <v>1840</v>
      </c>
      <c r="G9" s="722"/>
      <c r="H9" s="603"/>
      <c r="I9" s="603"/>
      <c r="J9" s="567">
        <v>255407</v>
      </c>
      <c r="K9" s="597">
        <v>7.1788</v>
      </c>
      <c r="L9" s="1067"/>
      <c r="M9" s="682"/>
      <c r="N9" s="644"/>
      <c r="O9" s="622" t="s">
        <v>1841</v>
      </c>
      <c r="P9" s="635"/>
      <c r="Q9" s="635"/>
      <c r="R9" s="664"/>
      <c r="S9" s="577"/>
    </row>
    <row r="10" s="10" customFormat="1" ht="16.5" spans="1:19">
      <c r="A10" s="827"/>
      <c r="B10" s="541"/>
      <c r="C10" s="715"/>
      <c r="D10" s="716"/>
      <c r="E10" s="572" t="s">
        <v>1722</v>
      </c>
      <c r="F10" s="572" t="s">
        <v>1842</v>
      </c>
      <c r="G10" s="722"/>
      <c r="H10" s="603"/>
      <c r="I10" s="603"/>
      <c r="J10" s="567">
        <v>300158</v>
      </c>
      <c r="K10" s="597">
        <v>7.1788</v>
      </c>
      <c r="L10" s="1067"/>
      <c r="M10" s="682"/>
      <c r="N10" s="644"/>
      <c r="O10" s="622" t="s">
        <v>1843</v>
      </c>
      <c r="P10" s="635"/>
      <c r="Q10" s="635"/>
      <c r="R10" s="664"/>
      <c r="S10" s="577"/>
    </row>
    <row r="11" s="10" customFormat="1" ht="16.5" spans="1:19">
      <c r="A11" s="827"/>
      <c r="B11" s="669"/>
      <c r="C11" s="715" t="s">
        <v>224</v>
      </c>
      <c r="D11" s="716">
        <v>150</v>
      </c>
      <c r="E11" s="561" t="s">
        <v>1844</v>
      </c>
      <c r="F11" s="571" t="s">
        <v>1845</v>
      </c>
      <c r="G11" s="722">
        <v>43000</v>
      </c>
      <c r="H11" s="567">
        <f t="shared" ref="H11:H15" si="1">G11*K11</f>
        <v>308688.4</v>
      </c>
      <c r="I11" s="600"/>
      <c r="J11" s="602"/>
      <c r="K11" s="597">
        <v>7.1788</v>
      </c>
      <c r="L11" s="682">
        <v>45192</v>
      </c>
      <c r="M11" s="644"/>
      <c r="N11" s="644"/>
      <c r="O11" s="622" t="s">
        <v>1846</v>
      </c>
      <c r="P11" s="635" t="s">
        <v>1847</v>
      </c>
      <c r="Q11" s="572" t="s">
        <v>1671</v>
      </c>
      <c r="R11" s="656" t="s">
        <v>1848</v>
      </c>
      <c r="S11" s="577"/>
    </row>
    <row r="12" s="10" customFormat="1" ht="16.5" spans="1:19">
      <c r="A12" s="827"/>
      <c r="B12" s="669"/>
      <c r="C12" s="715"/>
      <c r="D12" s="716"/>
      <c r="E12" s="561" t="s">
        <v>408</v>
      </c>
      <c r="F12" s="571" t="s">
        <v>1849</v>
      </c>
      <c r="G12" s="722">
        <v>15041</v>
      </c>
      <c r="H12" s="567">
        <f t="shared" si="1"/>
        <v>107976.3308</v>
      </c>
      <c r="I12" s="600"/>
      <c r="J12" s="602"/>
      <c r="K12" s="597">
        <v>7.1788</v>
      </c>
      <c r="L12" s="682" t="s">
        <v>1218</v>
      </c>
      <c r="M12" s="644"/>
      <c r="N12" s="644"/>
      <c r="O12" s="622" t="s">
        <v>1850</v>
      </c>
      <c r="P12" s="635" t="s">
        <v>1851</v>
      </c>
      <c r="Q12" s="655" t="s">
        <v>1656</v>
      </c>
      <c r="R12" s="656"/>
      <c r="S12" s="577"/>
    </row>
    <row r="13" s="10" customFormat="1" ht="16.5" spans="1:19">
      <c r="A13" s="827"/>
      <c r="B13" s="669"/>
      <c r="C13" s="715"/>
      <c r="D13" s="716"/>
      <c r="E13" s="561" t="s">
        <v>1852</v>
      </c>
      <c r="F13" s="568" t="s">
        <v>1853</v>
      </c>
      <c r="G13" s="722">
        <v>6729</v>
      </c>
      <c r="H13" s="567">
        <f t="shared" si="1"/>
        <v>48306.1452</v>
      </c>
      <c r="I13" s="1099"/>
      <c r="J13" s="694"/>
      <c r="K13" s="597">
        <v>7.1788</v>
      </c>
      <c r="L13" s="682">
        <v>45156</v>
      </c>
      <c r="M13" s="644"/>
      <c r="N13" s="644"/>
      <c r="O13" s="622" t="s">
        <v>1854</v>
      </c>
      <c r="P13" s="635" t="s">
        <v>1855</v>
      </c>
      <c r="Q13" s="655" t="s">
        <v>1656</v>
      </c>
      <c r="R13" s="664"/>
      <c r="S13" s="577"/>
    </row>
    <row r="14" s="10" customFormat="1" ht="16.5" spans="1:19">
      <c r="A14" s="827"/>
      <c r="B14" s="669"/>
      <c r="C14" s="715"/>
      <c r="D14" s="716"/>
      <c r="E14" s="561" t="s">
        <v>400</v>
      </c>
      <c r="F14" s="571" t="s">
        <v>1856</v>
      </c>
      <c r="G14" s="722">
        <v>97686</v>
      </c>
      <c r="H14" s="567">
        <f t="shared" si="1"/>
        <v>701268.2568</v>
      </c>
      <c r="I14" s="600"/>
      <c r="J14" s="602"/>
      <c r="K14" s="597">
        <v>7.1788</v>
      </c>
      <c r="L14" s="682">
        <v>45192</v>
      </c>
      <c r="M14" s="645"/>
      <c r="N14" s="645"/>
      <c r="O14" s="706" t="s">
        <v>1857</v>
      </c>
      <c r="P14" s="623" t="s">
        <v>1858</v>
      </c>
      <c r="Q14" s="655" t="s">
        <v>1859</v>
      </c>
      <c r="R14" s="664"/>
      <c r="S14" s="577"/>
    </row>
    <row r="15" s="10" customFormat="1" ht="16.5" spans="1:19">
      <c r="A15" s="827"/>
      <c r="B15" s="669"/>
      <c r="C15" s="715"/>
      <c r="D15" s="716"/>
      <c r="E15" s="244" t="s">
        <v>1860</v>
      </c>
      <c r="F15" s="244" t="s">
        <v>1861</v>
      </c>
      <c r="G15" s="722">
        <v>78324</v>
      </c>
      <c r="H15" s="567">
        <f t="shared" si="1"/>
        <v>562272.3312</v>
      </c>
      <c r="I15" s="819"/>
      <c r="J15" s="819"/>
      <c r="K15" s="597">
        <v>7.1788</v>
      </c>
      <c r="L15" s="682">
        <v>45213</v>
      </c>
      <c r="M15" s="819"/>
      <c r="N15" s="570"/>
      <c r="O15" s="1237" t="s">
        <v>1862</v>
      </c>
      <c r="P15" s="623" t="s">
        <v>1863</v>
      </c>
      <c r="Q15" s="642" t="s">
        <v>1864</v>
      </c>
      <c r="R15" s="664"/>
      <c r="S15" s="577"/>
    </row>
    <row r="16" s="10" customFormat="1" ht="16.5" spans="1:19">
      <c r="A16" s="827"/>
      <c r="B16" s="669"/>
      <c r="C16" s="715"/>
      <c r="D16" s="716"/>
      <c r="E16" s="244"/>
      <c r="F16" s="244"/>
      <c r="G16" s="591"/>
      <c r="H16" s="567"/>
      <c r="I16" s="570"/>
      <c r="J16" s="570"/>
      <c r="K16" s="597"/>
      <c r="L16" s="682"/>
      <c r="M16" s="570"/>
      <c r="N16" s="570"/>
      <c r="O16" s="1237"/>
      <c r="P16" s="691"/>
      <c r="Q16" s="572"/>
      <c r="R16" s="664"/>
      <c r="S16" s="577"/>
    </row>
    <row r="17" s="10" customFormat="1" ht="22.5" customHeight="1" spans="1:19">
      <c r="A17" s="827"/>
      <c r="B17" s="541"/>
      <c r="C17" s="548" t="s">
        <v>1124</v>
      </c>
      <c r="D17" s="578">
        <v>305</v>
      </c>
      <c r="E17" s="1062"/>
      <c r="F17" s="572"/>
      <c r="G17" s="1097" t="s">
        <v>1235</v>
      </c>
      <c r="H17" s="732">
        <f t="shared" ref="H17:J17" si="2">SUM(H3:H16)</f>
        <v>2964112.1624</v>
      </c>
      <c r="I17" s="732">
        <f t="shared" si="2"/>
        <v>0</v>
      </c>
      <c r="J17" s="732">
        <f t="shared" si="2"/>
        <v>1433516</v>
      </c>
      <c r="K17" s="614"/>
      <c r="L17" s="598"/>
      <c r="M17" s="645"/>
      <c r="N17" s="645"/>
      <c r="O17" s="622"/>
      <c r="P17" s="632"/>
      <c r="Q17" s="655"/>
      <c r="R17" s="656"/>
      <c r="S17" s="657"/>
    </row>
    <row r="18" s="10" customFormat="1" ht="22.5" customHeight="1" spans="1:19">
      <c r="A18" s="827"/>
      <c r="B18" s="541"/>
      <c r="C18" s="548"/>
      <c r="D18" s="582"/>
      <c r="E18" s="582"/>
      <c r="F18" s="583"/>
      <c r="G18" s="584" t="s">
        <v>1236</v>
      </c>
      <c r="H18" s="585">
        <f t="shared" ref="H18:J18" si="3">H17/3050000</f>
        <v>0.971840053245901</v>
      </c>
      <c r="I18" s="585">
        <f t="shared" si="3"/>
        <v>0</v>
      </c>
      <c r="J18" s="585">
        <f t="shared" si="3"/>
        <v>0.470005245901639</v>
      </c>
      <c r="K18" s="611"/>
      <c r="L18" s="612"/>
      <c r="M18" s="941"/>
      <c r="N18" s="941"/>
      <c r="O18" s="624"/>
      <c r="P18" s="632"/>
      <c r="Q18" s="655"/>
      <c r="R18" s="656"/>
      <c r="S18" s="657"/>
    </row>
    <row r="19" s="10" customFormat="1" ht="32.85" customHeight="1" spans="1:19">
      <c r="A19" s="827"/>
      <c r="B19" s="553" t="s">
        <v>1820</v>
      </c>
      <c r="C19" s="554" t="s">
        <v>1093</v>
      </c>
      <c r="D19" s="555" t="s">
        <v>1821</v>
      </c>
      <c r="E19" s="555" t="s">
        <v>1822</v>
      </c>
      <c r="F19" s="588" t="s">
        <v>1095</v>
      </c>
      <c r="G19" s="589" t="s">
        <v>362</v>
      </c>
      <c r="H19" s="590" t="s">
        <v>1865</v>
      </c>
      <c r="I19" s="590"/>
      <c r="J19" s="590"/>
      <c r="K19" s="590" t="s">
        <v>1866</v>
      </c>
      <c r="L19" s="615" t="s">
        <v>1098</v>
      </c>
      <c r="M19" s="590" t="s">
        <v>1867</v>
      </c>
      <c r="N19" s="646"/>
      <c r="O19" s="624"/>
      <c r="P19" s="632"/>
      <c r="Q19" s="655"/>
      <c r="R19" s="656"/>
      <c r="S19" s="657"/>
    </row>
    <row r="20" s="10" customFormat="1" ht="22.9" customHeight="1" spans="1:19">
      <c r="A20" s="827"/>
      <c r="B20" s="541" t="s">
        <v>1868</v>
      </c>
      <c r="C20" s="670" t="s">
        <v>1825</v>
      </c>
      <c r="D20" s="557"/>
      <c r="E20" s="572" t="s">
        <v>1869</v>
      </c>
      <c r="F20" s="250" t="s">
        <v>1870</v>
      </c>
      <c r="G20" s="562">
        <v>119944</v>
      </c>
      <c r="H20" s="567">
        <f>G20*K20</f>
        <v>861053.9872</v>
      </c>
      <c r="I20" s="603"/>
      <c r="J20" s="567"/>
      <c r="K20" s="597">
        <v>7.1788</v>
      </c>
      <c r="L20" s="598">
        <v>45229</v>
      </c>
      <c r="M20" s="645"/>
      <c r="N20" s="645"/>
      <c r="O20" s="937" t="s">
        <v>1871</v>
      </c>
      <c r="P20" s="635"/>
      <c r="Q20" s="635"/>
      <c r="R20" s="667"/>
      <c r="S20" s="657"/>
    </row>
    <row r="21" s="10" customFormat="1" ht="20.65" customHeight="1" spans="1:19">
      <c r="A21" s="827"/>
      <c r="B21" s="541"/>
      <c r="C21" s="556" t="s">
        <v>224</v>
      </c>
      <c r="D21" s="557"/>
      <c r="E21" s="561" t="s">
        <v>400</v>
      </c>
      <c r="F21" s="571" t="s">
        <v>1872</v>
      </c>
      <c r="G21" s="722">
        <v>99501</v>
      </c>
      <c r="H21" s="567">
        <f>G21*K21</f>
        <v>714297.7788</v>
      </c>
      <c r="I21" s="600"/>
      <c r="J21" s="602"/>
      <c r="K21" s="597">
        <v>7.1788</v>
      </c>
      <c r="L21" s="598"/>
      <c r="M21" s="645"/>
      <c r="N21" s="645"/>
      <c r="O21" s="706" t="s">
        <v>1873</v>
      </c>
      <c r="P21" s="623" t="s">
        <v>1858</v>
      </c>
      <c r="Q21" s="655" t="s">
        <v>1859</v>
      </c>
      <c r="R21" s="910"/>
      <c r="S21" s="657"/>
    </row>
    <row r="22" s="10" customFormat="1" ht="16.5" spans="1:19">
      <c r="A22" s="827"/>
      <c r="B22" s="541"/>
      <c r="C22" s="556"/>
      <c r="D22" s="557"/>
      <c r="E22" s="561"/>
      <c r="F22" s="571"/>
      <c r="G22" s="722"/>
      <c r="H22" s="567"/>
      <c r="I22" s="600"/>
      <c r="J22" s="602"/>
      <c r="K22" s="597">
        <v>7.1788</v>
      </c>
      <c r="L22" s="572"/>
      <c r="M22" s="645"/>
      <c r="N22" s="645"/>
      <c r="O22" s="706"/>
      <c r="P22" s="623"/>
      <c r="Q22" s="655"/>
      <c r="R22" s="910"/>
      <c r="S22" s="657"/>
    </row>
    <row r="23" s="10" customFormat="1" ht="16.5" spans="1:19">
      <c r="A23" s="827"/>
      <c r="B23" s="672"/>
      <c r="C23" s="551" t="s">
        <v>1874</v>
      </c>
      <c r="D23" s="551"/>
      <c r="E23" s="551"/>
      <c r="F23" s="551"/>
      <c r="G23" s="551"/>
      <c r="H23" s="675"/>
      <c r="I23" s="600"/>
      <c r="J23" s="602"/>
      <c r="K23" s="614"/>
      <c r="L23" s="682"/>
      <c r="M23" s="645"/>
      <c r="N23" s="645"/>
      <c r="O23" s="622"/>
      <c r="P23" s="570"/>
      <c r="Q23" s="570"/>
      <c r="R23" s="656"/>
      <c r="S23" s="657"/>
    </row>
    <row r="24" s="10" customFormat="1" ht="16.5" spans="1:19">
      <c r="A24" s="827"/>
      <c r="B24" s="541" t="s">
        <v>1875</v>
      </c>
      <c r="C24" s="556" t="s">
        <v>1825</v>
      </c>
      <c r="D24" s="557"/>
      <c r="E24" s="572" t="s">
        <v>1876</v>
      </c>
      <c r="F24" s="568" t="s">
        <v>1877</v>
      </c>
      <c r="G24" s="591">
        <v>25000</v>
      </c>
      <c r="H24" s="567">
        <f>G24*K24</f>
        <v>179470</v>
      </c>
      <c r="I24" s="603"/>
      <c r="J24" s="567"/>
      <c r="K24" s="597">
        <v>7.1788</v>
      </c>
      <c r="L24" s="708"/>
      <c r="M24" s="644"/>
      <c r="N24" s="644"/>
      <c r="O24" s="994" t="s">
        <v>1878</v>
      </c>
      <c r="P24" s="635" t="s">
        <v>1830</v>
      </c>
      <c r="Q24" s="655"/>
      <c r="R24" s="656"/>
      <c r="S24" s="657"/>
    </row>
    <row r="25" s="10" customFormat="1" ht="16.5" spans="1:19">
      <c r="A25" s="827"/>
      <c r="B25" s="541"/>
      <c r="C25" s="556"/>
      <c r="D25" s="557"/>
      <c r="E25" s="572" t="s">
        <v>936</v>
      </c>
      <c r="F25" s="568" t="s">
        <v>1879</v>
      </c>
      <c r="G25" s="1359">
        <v>260000</v>
      </c>
      <c r="H25" s="567">
        <f t="shared" ref="H25:H36" si="4">G25*K25</f>
        <v>1866488</v>
      </c>
      <c r="I25" s="603"/>
      <c r="J25" s="567"/>
      <c r="K25" s="597">
        <v>7.1788</v>
      </c>
      <c r="L25" s="708"/>
      <c r="M25" s="644"/>
      <c r="N25" s="644"/>
      <c r="O25" s="994" t="s">
        <v>1880</v>
      </c>
      <c r="P25" s="635"/>
      <c r="Q25" s="655"/>
      <c r="R25" s="656" t="s">
        <v>1881</v>
      </c>
      <c r="S25" s="657"/>
    </row>
    <row r="26" s="10" customFormat="1" ht="16.5" spans="1:19">
      <c r="A26" s="827"/>
      <c r="B26" s="541"/>
      <c r="C26" s="556"/>
      <c r="D26" s="557"/>
      <c r="E26" s="572" t="s">
        <v>1869</v>
      </c>
      <c r="F26" s="250" t="s">
        <v>1882</v>
      </c>
      <c r="G26" s="591">
        <v>50000</v>
      </c>
      <c r="H26" s="567">
        <f t="shared" si="4"/>
        <v>358940</v>
      </c>
      <c r="I26" s="603"/>
      <c r="J26" s="567"/>
      <c r="K26" s="597">
        <v>7.1788</v>
      </c>
      <c r="L26" s="598"/>
      <c r="M26" s="644"/>
      <c r="N26" s="644"/>
      <c r="O26" s="994" t="s">
        <v>1883</v>
      </c>
      <c r="P26" s="635"/>
      <c r="Q26" s="655"/>
      <c r="R26" s="656"/>
      <c r="S26" s="657"/>
    </row>
    <row r="27" s="10" customFormat="1" ht="16.5" spans="1:19">
      <c r="A27" s="827"/>
      <c r="B27" s="541"/>
      <c r="C27" s="556"/>
      <c r="D27" s="557"/>
      <c r="E27" s="572" t="s">
        <v>1884</v>
      </c>
      <c r="F27" s="250" t="s">
        <v>1885</v>
      </c>
      <c r="G27" s="562">
        <v>900</v>
      </c>
      <c r="H27" s="567">
        <f t="shared" si="4"/>
        <v>6460.92</v>
      </c>
      <c r="I27" s="603"/>
      <c r="J27" s="567"/>
      <c r="K27" s="597">
        <v>7.1788</v>
      </c>
      <c r="L27" s="598"/>
      <c r="M27" s="645"/>
      <c r="N27" s="645"/>
      <c r="O27" s="937" t="s">
        <v>1886</v>
      </c>
      <c r="P27" s="635"/>
      <c r="Q27" s="759"/>
      <c r="R27" s="656"/>
      <c r="S27" s="657"/>
    </row>
    <row r="28" s="10" customFormat="1" ht="16.5" spans="1:19">
      <c r="A28" s="827"/>
      <c r="B28" s="541"/>
      <c r="C28" s="670"/>
      <c r="D28" s="557"/>
      <c r="E28" s="572" t="s">
        <v>201</v>
      </c>
      <c r="F28" s="250" t="s">
        <v>1887</v>
      </c>
      <c r="G28" s="562">
        <v>40000</v>
      </c>
      <c r="H28" s="567">
        <f t="shared" si="4"/>
        <v>287152</v>
      </c>
      <c r="I28" s="603"/>
      <c r="J28" s="567"/>
      <c r="K28" s="597">
        <v>7.1788</v>
      </c>
      <c r="L28" s="598"/>
      <c r="M28" s="645"/>
      <c r="N28" s="645"/>
      <c r="O28" s="937" t="s">
        <v>1888</v>
      </c>
      <c r="P28" s="642" t="s">
        <v>1889</v>
      </c>
      <c r="Q28" s="759" t="s">
        <v>1671</v>
      </c>
      <c r="R28" s="656"/>
      <c r="S28" s="657"/>
    </row>
    <row r="29" s="10" customFormat="1" ht="16.5" spans="1:19">
      <c r="A29" s="827"/>
      <c r="B29" s="541"/>
      <c r="C29" s="671" t="s">
        <v>224</v>
      </c>
      <c r="D29" s="557"/>
      <c r="E29" s="561" t="s">
        <v>1890</v>
      </c>
      <c r="F29" s="571" t="s">
        <v>1891</v>
      </c>
      <c r="G29" s="765">
        <v>480000</v>
      </c>
      <c r="H29" s="567">
        <f t="shared" si="4"/>
        <v>3445824</v>
      </c>
      <c r="I29" s="600"/>
      <c r="J29" s="602"/>
      <c r="K29" s="597">
        <v>7.1788</v>
      </c>
      <c r="L29" s="598" t="s">
        <v>1218</v>
      </c>
      <c r="M29" s="645"/>
      <c r="N29" s="645"/>
      <c r="O29" s="706" t="s">
        <v>1892</v>
      </c>
      <c r="P29" s="945"/>
      <c r="Q29" s="579" t="s">
        <v>1893</v>
      </c>
      <c r="R29" s="656"/>
      <c r="S29" s="577"/>
    </row>
    <row r="30" s="10" customFormat="1" ht="16.5" spans="1:19">
      <c r="A30" s="827"/>
      <c r="B30" s="541"/>
      <c r="C30" s="671"/>
      <c r="D30" s="557"/>
      <c r="E30" s="561" t="s">
        <v>464</v>
      </c>
      <c r="F30" s="571" t="s">
        <v>1180</v>
      </c>
      <c r="G30" s="722">
        <v>45000</v>
      </c>
      <c r="H30" s="567">
        <f t="shared" si="4"/>
        <v>323046</v>
      </c>
      <c r="I30" s="600"/>
      <c r="J30" s="602"/>
      <c r="K30" s="597">
        <v>7.1788</v>
      </c>
      <c r="L30" s="682"/>
      <c r="M30" s="644"/>
      <c r="N30" s="644"/>
      <c r="O30" s="622" t="s">
        <v>1894</v>
      </c>
      <c r="P30" s="635"/>
      <c r="Q30" s="572"/>
      <c r="R30" s="656"/>
      <c r="S30" s="577"/>
    </row>
    <row r="31" s="10" customFormat="1" ht="16.5" spans="1:19">
      <c r="A31" s="827"/>
      <c r="B31" s="541"/>
      <c r="C31" s="671"/>
      <c r="D31" s="557"/>
      <c r="E31" s="903" t="s">
        <v>1895</v>
      </c>
      <c r="F31" s="571" t="s">
        <v>1896</v>
      </c>
      <c r="G31" s="786">
        <v>80000</v>
      </c>
      <c r="H31" s="567">
        <f t="shared" si="4"/>
        <v>574304</v>
      </c>
      <c r="I31" s="1039"/>
      <c r="J31" s="766"/>
      <c r="K31" s="597">
        <v>7.1788</v>
      </c>
      <c r="L31" s="638"/>
      <c r="M31" s="644"/>
      <c r="N31" s="644"/>
      <c r="O31" s="1072" t="s">
        <v>1897</v>
      </c>
      <c r="P31" s="1043"/>
      <c r="Q31" s="579"/>
      <c r="R31" s="656"/>
      <c r="S31" s="577"/>
    </row>
    <row r="32" s="10" customFormat="1" ht="16.5" spans="1:19">
      <c r="A32" s="827"/>
      <c r="B32" s="541"/>
      <c r="C32" s="671"/>
      <c r="D32" s="557"/>
      <c r="E32" s="561" t="s">
        <v>1898</v>
      </c>
      <c r="F32" s="741" t="s">
        <v>1899</v>
      </c>
      <c r="G32" s="722">
        <v>70000</v>
      </c>
      <c r="H32" s="567">
        <f t="shared" si="4"/>
        <v>502516</v>
      </c>
      <c r="I32" s="600"/>
      <c r="J32" s="602"/>
      <c r="K32" s="597">
        <v>7.1788</v>
      </c>
      <c r="L32" s="682"/>
      <c r="M32" s="644"/>
      <c r="N32" s="644"/>
      <c r="O32" s="622" t="s">
        <v>1900</v>
      </c>
      <c r="P32" s="635"/>
      <c r="Q32" s="572"/>
      <c r="R32" s="656"/>
      <c r="S32" s="577"/>
    </row>
    <row r="33" s="10" customFormat="1" ht="16.5" spans="1:19">
      <c r="A33" s="827"/>
      <c r="B33" s="541"/>
      <c r="C33" s="671"/>
      <c r="D33" s="557"/>
      <c r="E33" s="244" t="s">
        <v>1901</v>
      </c>
      <c r="F33" s="571" t="s">
        <v>1902</v>
      </c>
      <c r="G33" s="591">
        <v>1000000</v>
      </c>
      <c r="H33" s="567"/>
      <c r="I33" s="600"/>
      <c r="J33" s="602"/>
      <c r="K33" s="597">
        <v>7.1788</v>
      </c>
      <c r="L33" s="707"/>
      <c r="M33" s="644"/>
      <c r="N33" s="644"/>
      <c r="O33" s="626" t="s">
        <v>1903</v>
      </c>
      <c r="P33" s="635"/>
      <c r="Q33" s="572"/>
      <c r="R33" s="656"/>
      <c r="S33" s="577"/>
    </row>
    <row r="34" s="10" customFormat="1" ht="16.5" spans="1:19">
      <c r="A34" s="827"/>
      <c r="B34" s="541"/>
      <c r="C34" s="671"/>
      <c r="D34" s="557"/>
      <c r="E34" s="244" t="s">
        <v>1904</v>
      </c>
      <c r="F34" s="571" t="s">
        <v>1905</v>
      </c>
      <c r="G34" s="1359">
        <v>98205</v>
      </c>
      <c r="H34" s="567">
        <f t="shared" si="4"/>
        <v>704994.054</v>
      </c>
      <c r="I34" s="600"/>
      <c r="J34" s="602"/>
      <c r="K34" s="597">
        <v>7.1788</v>
      </c>
      <c r="L34" s="707"/>
      <c r="M34" s="644"/>
      <c r="N34" s="644"/>
      <c r="O34" s="626" t="s">
        <v>1906</v>
      </c>
      <c r="P34" s="635"/>
      <c r="Q34" s="759" t="s">
        <v>1859</v>
      </c>
      <c r="R34" s="656"/>
      <c r="S34" s="577"/>
    </row>
    <row r="35" s="10" customFormat="1" ht="33" spans="1:19">
      <c r="A35" s="827"/>
      <c r="B35" s="541"/>
      <c r="C35" s="671"/>
      <c r="D35" s="557"/>
      <c r="E35" s="244" t="s">
        <v>1907</v>
      </c>
      <c r="F35" s="571" t="s">
        <v>1908</v>
      </c>
      <c r="G35" s="591">
        <v>50687</v>
      </c>
      <c r="H35" s="567">
        <f t="shared" si="4"/>
        <v>363871.8356</v>
      </c>
      <c r="I35" s="600"/>
      <c r="J35" s="602"/>
      <c r="K35" s="597">
        <v>7.1788</v>
      </c>
      <c r="L35" s="707"/>
      <c r="M35" s="644"/>
      <c r="N35" s="644"/>
      <c r="O35" s="626" t="s">
        <v>1909</v>
      </c>
      <c r="P35" s="635" t="s">
        <v>1910</v>
      </c>
      <c r="Q35" s="759" t="s">
        <v>1671</v>
      </c>
      <c r="R35" s="656"/>
      <c r="S35" s="577"/>
    </row>
    <row r="36" s="10" customFormat="1" ht="16.5" spans="1:19">
      <c r="A36" s="827"/>
      <c r="B36" s="541"/>
      <c r="C36" s="1246"/>
      <c r="D36" s="557"/>
      <c r="E36" s="244" t="s">
        <v>408</v>
      </c>
      <c r="F36" s="244" t="s">
        <v>1911</v>
      </c>
      <c r="G36" s="591">
        <v>109545</v>
      </c>
      <c r="H36" s="567">
        <f t="shared" si="4"/>
        <v>786401.646</v>
      </c>
      <c r="I36" s="570"/>
      <c r="J36" s="570"/>
      <c r="K36" s="597">
        <v>7.1788</v>
      </c>
      <c r="L36" s="570"/>
      <c r="M36" s="570"/>
      <c r="N36" s="570"/>
      <c r="O36" s="691" t="s">
        <v>1912</v>
      </c>
      <c r="P36" s="642"/>
      <c r="Q36" s="759" t="s">
        <v>1859</v>
      </c>
      <c r="R36" s="945"/>
      <c r="S36" s="577"/>
    </row>
    <row r="37" s="10" customFormat="1" ht="16.5" spans="1:19">
      <c r="A37" s="1069"/>
      <c r="B37" s="541"/>
      <c r="C37" s="712" t="s">
        <v>1874</v>
      </c>
      <c r="D37" s="712"/>
      <c r="E37" s="712"/>
      <c r="F37" s="712"/>
      <c r="G37" s="712"/>
      <c r="H37" s="675">
        <f>SUM(H20:I36)</f>
        <v>10974820.2216</v>
      </c>
      <c r="I37" s="732"/>
      <c r="J37" s="732"/>
      <c r="K37" s="733"/>
      <c r="L37" s="598"/>
      <c r="M37" s="645"/>
      <c r="N37" s="645"/>
      <c r="O37" s="706"/>
      <c r="P37" s="642"/>
      <c r="Q37" s="557"/>
      <c r="R37" s="556"/>
      <c r="S37" s="1105"/>
    </row>
    <row r="38" s="10" customFormat="1" ht="33.55" customHeight="1" spans="1:19">
      <c r="A38" s="537" t="s">
        <v>1092</v>
      </c>
      <c r="B38" s="537" t="s">
        <v>1820</v>
      </c>
      <c r="C38" s="538" t="s">
        <v>1093</v>
      </c>
      <c r="D38" s="539" t="s">
        <v>1821</v>
      </c>
      <c r="E38" s="539" t="s">
        <v>1822</v>
      </c>
      <c r="F38" s="558" t="s">
        <v>1095</v>
      </c>
      <c r="G38" s="559" t="s">
        <v>362</v>
      </c>
      <c r="H38" s="560" t="s">
        <v>1716</v>
      </c>
      <c r="I38" s="560" t="s">
        <v>1717</v>
      </c>
      <c r="J38" s="560" t="s">
        <v>1718</v>
      </c>
      <c r="K38" s="594" t="s">
        <v>1866</v>
      </c>
      <c r="L38" s="595" t="s">
        <v>1098</v>
      </c>
      <c r="M38" s="619" t="s">
        <v>1097</v>
      </c>
      <c r="N38" s="619" t="s">
        <v>1214</v>
      </c>
      <c r="O38" s="727" t="s">
        <v>1215</v>
      </c>
      <c r="P38" s="621" t="s">
        <v>7</v>
      </c>
      <c r="Q38" s="652" t="s">
        <v>8</v>
      </c>
      <c r="R38" s="653" t="s">
        <v>9</v>
      </c>
      <c r="S38" s="654" t="s">
        <v>1291</v>
      </c>
    </row>
    <row r="39" s="10" customFormat="1" ht="16.5" spans="1:20">
      <c r="A39" s="568" t="s">
        <v>1913</v>
      </c>
      <c r="B39" s="541" t="s">
        <v>1824</v>
      </c>
      <c r="C39" s="556" t="s">
        <v>1248</v>
      </c>
      <c r="D39" s="557">
        <v>100</v>
      </c>
      <c r="E39" s="541" t="s">
        <v>299</v>
      </c>
      <c r="F39" s="764" t="s">
        <v>1914</v>
      </c>
      <c r="G39" s="762">
        <v>31850</v>
      </c>
      <c r="H39" s="567">
        <f t="shared" ref="H39:H41" si="5">G39*K39</f>
        <v>228644.78</v>
      </c>
      <c r="I39" s="577"/>
      <c r="J39" s="577"/>
      <c r="K39" s="597">
        <v>7.1788</v>
      </c>
      <c r="L39" s="708" t="s">
        <v>1915</v>
      </c>
      <c r="M39" s="636" t="s">
        <v>621</v>
      </c>
      <c r="N39" s="966"/>
      <c r="O39" s="740" t="s">
        <v>1916</v>
      </c>
      <c r="P39" s="250"/>
      <c r="Q39" s="751"/>
      <c r="R39" s="752"/>
      <c r="S39" s="750"/>
      <c r="T39" s="1022"/>
    </row>
    <row r="40" s="10" customFormat="1" ht="18.75" customHeight="1" spans="1:20">
      <c r="A40" s="568"/>
      <c r="B40" s="541"/>
      <c r="C40" s="556"/>
      <c r="D40" s="557"/>
      <c r="E40" s="541"/>
      <c r="F40" s="764" t="s">
        <v>1917</v>
      </c>
      <c r="G40" s="576">
        <v>41250</v>
      </c>
      <c r="H40" s="567">
        <f t="shared" si="5"/>
        <v>296125.5</v>
      </c>
      <c r="I40" s="766"/>
      <c r="J40" s="766"/>
      <c r="K40" s="597">
        <v>7.1788</v>
      </c>
      <c r="L40" s="708" t="s">
        <v>1918</v>
      </c>
      <c r="M40" s="636" t="s">
        <v>621</v>
      </c>
      <c r="N40" s="966"/>
      <c r="O40" s="740" t="s">
        <v>1919</v>
      </c>
      <c r="P40" s="572"/>
      <c r="Q40" s="572"/>
      <c r="R40" s="752"/>
      <c r="S40" s="753"/>
      <c r="T40" s="1022"/>
    </row>
    <row r="41" s="10" customFormat="1" ht="18.75" customHeight="1" spans="1:20">
      <c r="A41" s="568"/>
      <c r="B41" s="541"/>
      <c r="C41" s="670"/>
      <c r="D41" s="968"/>
      <c r="E41" s="672"/>
      <c r="F41" s="764" t="s">
        <v>1920</v>
      </c>
      <c r="G41" s="725">
        <v>39480</v>
      </c>
      <c r="H41" s="567">
        <f t="shared" si="5"/>
        <v>283419.024</v>
      </c>
      <c r="I41" s="577"/>
      <c r="J41" s="577"/>
      <c r="K41" s="597">
        <v>7.1788</v>
      </c>
      <c r="L41" s="708" t="s">
        <v>1251</v>
      </c>
      <c r="M41" s="636" t="s">
        <v>621</v>
      </c>
      <c r="N41" s="966"/>
      <c r="O41" s="740" t="s">
        <v>1921</v>
      </c>
      <c r="P41" s="572"/>
      <c r="Q41" s="572"/>
      <c r="R41" s="752"/>
      <c r="S41" s="753"/>
      <c r="T41" s="1022"/>
    </row>
    <row r="42" s="10" customFormat="1" ht="18.75" customHeight="1" spans="1:20">
      <c r="A42" s="568"/>
      <c r="B42" s="541"/>
      <c r="C42" s="714" t="s">
        <v>1922</v>
      </c>
      <c r="D42" s="655">
        <v>85</v>
      </c>
      <c r="E42" s="571" t="s">
        <v>1169</v>
      </c>
      <c r="F42" s="568" t="s">
        <v>1923</v>
      </c>
      <c r="G42" s="722">
        <v>47000</v>
      </c>
      <c r="H42" s="567"/>
      <c r="I42" s="577"/>
      <c r="J42" s="735">
        <f>G42*K42</f>
        <v>339137.9</v>
      </c>
      <c r="K42" s="597">
        <v>7.2157</v>
      </c>
      <c r="L42" s="598"/>
      <c r="M42" s="638"/>
      <c r="N42" s="645"/>
      <c r="O42" s="740" t="s">
        <v>1924</v>
      </c>
      <c r="P42" s="572"/>
      <c r="Q42" s="572"/>
      <c r="R42" s="752"/>
      <c r="S42" s="753"/>
      <c r="T42" s="1022"/>
    </row>
    <row r="43" s="10" customFormat="1" ht="18.75" customHeight="1" spans="1:20">
      <c r="A43" s="568"/>
      <c r="B43" s="541"/>
      <c r="C43" s="714"/>
      <c r="D43" s="655"/>
      <c r="E43" s="715" t="s">
        <v>1925</v>
      </c>
      <c r="F43" s="571" t="s">
        <v>1926</v>
      </c>
      <c r="G43" s="969">
        <v>2514.17</v>
      </c>
      <c r="H43" s="567">
        <f t="shared" ref="H43:H50" si="6">G43*K43</f>
        <v>18048.723596</v>
      </c>
      <c r="I43" s="735"/>
      <c r="J43" s="735"/>
      <c r="K43" s="597">
        <v>7.1788</v>
      </c>
      <c r="L43" s="598" t="s">
        <v>1927</v>
      </c>
      <c r="M43" s="638"/>
      <c r="N43" s="644"/>
      <c r="O43" s="740" t="s">
        <v>1928</v>
      </c>
      <c r="P43" s="572"/>
      <c r="Q43" s="572"/>
      <c r="R43" s="752"/>
      <c r="S43" s="753"/>
      <c r="T43" s="1022"/>
    </row>
    <row r="44" s="10" customFormat="1" ht="18.75" customHeight="1" spans="1:20">
      <c r="A44" s="568"/>
      <c r="B44" s="541"/>
      <c r="C44" s="666" t="s">
        <v>209</v>
      </c>
      <c r="D44" s="557"/>
      <c r="E44" s="715" t="s">
        <v>1298</v>
      </c>
      <c r="F44" s="571"/>
      <c r="G44" s="969"/>
      <c r="H44" s="567">
        <v>1377.38</v>
      </c>
      <c r="I44" s="567">
        <v>1377.38</v>
      </c>
      <c r="J44" s="567">
        <v>1377.38</v>
      </c>
      <c r="K44" s="597">
        <v>7.1788</v>
      </c>
      <c r="L44" s="598" t="s">
        <v>1218</v>
      </c>
      <c r="M44" s="638">
        <v>45176</v>
      </c>
      <c r="N44" s="633" t="s">
        <v>1125</v>
      </c>
      <c r="O44" s="740"/>
      <c r="P44" s="572"/>
      <c r="Q44" s="572"/>
      <c r="R44" s="752"/>
      <c r="S44" s="753"/>
      <c r="T44" s="1022"/>
    </row>
    <row r="45" s="10" customFormat="1" ht="16.5" spans="1:19">
      <c r="A45" s="250"/>
      <c r="B45" s="541"/>
      <c r="C45" s="556"/>
      <c r="D45" s="557">
        <v>309</v>
      </c>
      <c r="E45" s="561" t="s">
        <v>274</v>
      </c>
      <c r="F45" s="724" t="s">
        <v>1929</v>
      </c>
      <c r="G45" s="725">
        <v>16000</v>
      </c>
      <c r="H45" s="567">
        <f t="shared" si="6"/>
        <v>114860.8</v>
      </c>
      <c r="I45" s="735">
        <v>114860.8</v>
      </c>
      <c r="J45" s="735">
        <v>114860.8</v>
      </c>
      <c r="K45" s="597">
        <v>7.1788</v>
      </c>
      <c r="L45" s="598" t="s">
        <v>1218</v>
      </c>
      <c r="M45" s="625">
        <v>45171</v>
      </c>
      <c r="N45" s="625">
        <v>45177</v>
      </c>
      <c r="O45" s="740" t="s">
        <v>1930</v>
      </c>
      <c r="P45" s="744"/>
      <c r="Q45" s="572"/>
      <c r="R45" s="744"/>
      <c r="S45" s="754"/>
    </row>
    <row r="46" s="10" customFormat="1" ht="18.75" customHeight="1" spans="1:20">
      <c r="A46" s="568"/>
      <c r="B46" s="541"/>
      <c r="C46" s="556"/>
      <c r="D46" s="557"/>
      <c r="E46" s="571" t="s">
        <v>286</v>
      </c>
      <c r="F46" s="724" t="s">
        <v>1931</v>
      </c>
      <c r="G46" s="725">
        <v>31420</v>
      </c>
      <c r="H46" s="567">
        <f t="shared" si="6"/>
        <v>225557.896</v>
      </c>
      <c r="I46" s="735"/>
      <c r="J46" s="735"/>
      <c r="K46" s="597">
        <v>7.1788</v>
      </c>
      <c r="L46" s="250" t="s">
        <v>1932</v>
      </c>
      <c r="M46" s="625">
        <v>45184</v>
      </c>
      <c r="N46" s="625">
        <v>45187</v>
      </c>
      <c r="O46" s="740" t="s">
        <v>1933</v>
      </c>
      <c r="P46" s="572"/>
      <c r="Q46" s="572"/>
      <c r="R46" s="752"/>
      <c r="S46" s="753"/>
      <c r="T46" s="1022"/>
    </row>
    <row r="47" s="10" customFormat="1" ht="18.75" customHeight="1" spans="1:20">
      <c r="A47" s="568"/>
      <c r="B47" s="541"/>
      <c r="C47" s="556"/>
      <c r="D47" s="557"/>
      <c r="E47" s="571" t="s">
        <v>1934</v>
      </c>
      <c r="F47" s="904" t="s">
        <v>1935</v>
      </c>
      <c r="G47" s="722">
        <v>70000</v>
      </c>
      <c r="H47" s="567">
        <f t="shared" si="6"/>
        <v>502516</v>
      </c>
      <c r="I47" s="735"/>
      <c r="J47" s="735"/>
      <c r="K47" s="597">
        <v>7.1788</v>
      </c>
      <c r="L47" s="598" t="s">
        <v>1218</v>
      </c>
      <c r="M47" s="625">
        <v>45190</v>
      </c>
      <c r="N47" s="966" t="s">
        <v>621</v>
      </c>
      <c r="O47" s="740" t="s">
        <v>1936</v>
      </c>
      <c r="P47" s="572"/>
      <c r="Q47" s="572"/>
      <c r="R47" s="752"/>
      <c r="S47" s="753"/>
      <c r="T47" s="1022"/>
    </row>
    <row r="48" s="10" customFormat="1" ht="32.25" customHeight="1" spans="1:20">
      <c r="A48" s="568"/>
      <c r="B48" s="541"/>
      <c r="C48" s="556"/>
      <c r="D48" s="557"/>
      <c r="E48" s="571" t="s">
        <v>256</v>
      </c>
      <c r="F48" s="904" t="s">
        <v>1937</v>
      </c>
      <c r="G48" s="722">
        <v>31000</v>
      </c>
      <c r="H48" s="567">
        <f t="shared" si="6"/>
        <v>222542.8</v>
      </c>
      <c r="I48" s="735">
        <v>222542.8</v>
      </c>
      <c r="J48" s="735"/>
      <c r="K48" s="597">
        <v>7.1788</v>
      </c>
      <c r="L48" s="598" t="s">
        <v>1218</v>
      </c>
      <c r="M48" s="625">
        <v>45176</v>
      </c>
      <c r="N48" s="625">
        <v>45178</v>
      </c>
      <c r="O48" s="740" t="s">
        <v>1938</v>
      </c>
      <c r="P48" s="572"/>
      <c r="Q48" s="572"/>
      <c r="R48" s="752"/>
      <c r="S48" s="753"/>
      <c r="T48" s="1022"/>
    </row>
    <row r="49" s="10" customFormat="1" ht="32.25" customHeight="1" spans="1:20">
      <c r="A49" s="568"/>
      <c r="B49" s="541"/>
      <c r="C49" s="556"/>
      <c r="D49" s="557"/>
      <c r="E49" s="571" t="s">
        <v>256</v>
      </c>
      <c r="F49" s="904" t="s">
        <v>50</v>
      </c>
      <c r="G49" s="722">
        <v>30000</v>
      </c>
      <c r="H49" s="567">
        <f t="shared" si="6"/>
        <v>215364</v>
      </c>
      <c r="I49" s="735"/>
      <c r="J49" s="735"/>
      <c r="K49" s="597">
        <v>7.1788</v>
      </c>
      <c r="L49" s="598" t="s">
        <v>1218</v>
      </c>
      <c r="M49" s="625"/>
      <c r="N49" s="625"/>
      <c r="O49" s="740" t="s">
        <v>1939</v>
      </c>
      <c r="P49" s="572"/>
      <c r="Q49" s="572"/>
      <c r="R49" s="752"/>
      <c r="S49" s="753"/>
      <c r="T49" s="1022"/>
    </row>
    <row r="50" s="10" customFormat="1" ht="18.75" customHeight="1" spans="1:19">
      <c r="A50" s="568"/>
      <c r="B50" s="721"/>
      <c r="C50" s="556"/>
      <c r="D50" s="557"/>
      <c r="E50" s="571" t="s">
        <v>1408</v>
      </c>
      <c r="F50" s="724" t="s">
        <v>1940</v>
      </c>
      <c r="G50" s="725">
        <v>30000</v>
      </c>
      <c r="H50" s="567">
        <f t="shared" si="6"/>
        <v>215364</v>
      </c>
      <c r="I50" s="735"/>
      <c r="J50" s="735"/>
      <c r="K50" s="597">
        <v>7.1788</v>
      </c>
      <c r="L50" s="598" t="s">
        <v>1218</v>
      </c>
      <c r="M50" s="625">
        <v>45181</v>
      </c>
      <c r="N50" s="966" t="s">
        <v>621</v>
      </c>
      <c r="O50" s="740" t="s">
        <v>1941</v>
      </c>
      <c r="P50" s="250"/>
      <c r="Q50" s="751"/>
      <c r="R50" s="755"/>
      <c r="S50" s="756"/>
    </row>
    <row r="51" s="10" customFormat="1" ht="18.75" customHeight="1" spans="1:20">
      <c r="A51" s="568"/>
      <c r="B51" s="541"/>
      <c r="C51" s="556"/>
      <c r="D51" s="557"/>
      <c r="E51" s="571" t="s">
        <v>1408</v>
      </c>
      <c r="F51" s="904" t="s">
        <v>1942</v>
      </c>
      <c r="G51" s="722">
        <v>30000</v>
      </c>
      <c r="H51" s="567">
        <v>213849</v>
      </c>
      <c r="I51" s="735"/>
      <c r="J51" s="735"/>
      <c r="K51" s="597">
        <v>7.1788</v>
      </c>
      <c r="L51" s="598" t="s">
        <v>1218</v>
      </c>
      <c r="M51" s="636" t="s">
        <v>621</v>
      </c>
      <c r="N51" s="966"/>
      <c r="O51" s="740" t="s">
        <v>1943</v>
      </c>
      <c r="P51" s="572"/>
      <c r="Q51" s="572"/>
      <c r="R51" s="752"/>
      <c r="S51" s="753"/>
      <c r="T51" s="1022"/>
    </row>
    <row r="52" s="10" customFormat="1" ht="18.75" customHeight="1" spans="1:20">
      <c r="A52" s="568"/>
      <c r="B52" s="541"/>
      <c r="C52" s="556"/>
      <c r="D52" s="557"/>
      <c r="E52" s="561" t="s">
        <v>1944</v>
      </c>
      <c r="F52" s="250"/>
      <c r="G52" s="725"/>
      <c r="H52" s="596">
        <v>72686</v>
      </c>
      <c r="I52" s="735"/>
      <c r="J52" s="735"/>
      <c r="K52" s="597">
        <v>7.1788</v>
      </c>
      <c r="L52" s="598" t="s">
        <v>1218</v>
      </c>
      <c r="M52" s="625">
        <v>45184</v>
      </c>
      <c r="N52" s="645"/>
      <c r="O52" s="740" t="s">
        <v>1945</v>
      </c>
      <c r="P52" s="572"/>
      <c r="Q52" s="572"/>
      <c r="R52" s="752"/>
      <c r="S52" s="753"/>
      <c r="T52" s="1022"/>
    </row>
    <row r="53" s="10" customFormat="1" ht="18.75" customHeight="1" spans="1:20">
      <c r="A53" s="568"/>
      <c r="B53" s="541"/>
      <c r="C53" s="666" t="s">
        <v>1437</v>
      </c>
      <c r="D53" s="759">
        <v>45</v>
      </c>
      <c r="E53" s="715"/>
      <c r="F53" s="571"/>
      <c r="G53" s="969"/>
      <c r="H53" s="596"/>
      <c r="I53" s="577"/>
      <c r="J53" s="735"/>
      <c r="K53" s="597"/>
      <c r="L53" s="598"/>
      <c r="M53" s="638"/>
      <c r="N53" s="638"/>
      <c r="O53" s="740"/>
      <c r="P53" s="572"/>
      <c r="Q53" s="572"/>
      <c r="R53" s="752"/>
      <c r="S53" s="753"/>
      <c r="T53" s="1022"/>
    </row>
    <row r="54" s="10" customFormat="1" ht="18.75" customHeight="1" spans="1:20">
      <c r="A54" s="568"/>
      <c r="B54" s="541"/>
      <c r="C54" s="666" t="s">
        <v>1124</v>
      </c>
      <c r="D54" s="759">
        <f t="shared" ref="D54:J54" si="7">SUM(D39:D53)</f>
        <v>539</v>
      </c>
      <c r="E54" s="715"/>
      <c r="F54" s="571"/>
      <c r="G54" s="726" t="s">
        <v>1235</v>
      </c>
      <c r="H54" s="675">
        <f t="shared" si="7"/>
        <v>2610355.903596</v>
      </c>
      <c r="I54" s="567">
        <f t="shared" si="7"/>
        <v>338780.98</v>
      </c>
      <c r="J54" s="567">
        <f t="shared" si="7"/>
        <v>455376.08</v>
      </c>
      <c r="K54" s="614"/>
      <c r="L54" s="598"/>
      <c r="M54" s="644"/>
      <c r="N54" s="644"/>
      <c r="O54" s="740"/>
      <c r="P54" s="572"/>
      <c r="Q54" s="572"/>
      <c r="R54" s="752"/>
      <c r="S54" s="753"/>
      <c r="T54" s="1022"/>
    </row>
    <row r="55" s="10" customFormat="1" ht="18.75" customHeight="1" spans="1:20">
      <c r="A55" s="568"/>
      <c r="B55" s="541"/>
      <c r="C55" s="670"/>
      <c r="D55" s="968"/>
      <c r="E55" s="715"/>
      <c r="F55" s="571"/>
      <c r="G55" s="969" t="s">
        <v>1236</v>
      </c>
      <c r="H55" s="970">
        <f t="shared" ref="H55:J55" si="8">H54/5390000</f>
        <v>0.48429608601039</v>
      </c>
      <c r="I55" s="970">
        <f t="shared" si="8"/>
        <v>0.0628536141001855</v>
      </c>
      <c r="J55" s="970">
        <f t="shared" si="8"/>
        <v>0.0844853580705009</v>
      </c>
      <c r="K55" s="614"/>
      <c r="L55" s="598"/>
      <c r="M55" s="644"/>
      <c r="N55" s="644"/>
      <c r="O55" s="740"/>
      <c r="P55" s="572"/>
      <c r="Q55" s="572"/>
      <c r="R55" s="752"/>
      <c r="S55" s="753"/>
      <c r="T55" s="1022"/>
    </row>
    <row r="56" s="10" customFormat="1" ht="30" spans="1:19">
      <c r="A56" s="250"/>
      <c r="B56" s="553" t="s">
        <v>1820</v>
      </c>
      <c r="C56" s="554" t="s">
        <v>1946</v>
      </c>
      <c r="D56" s="555" t="s">
        <v>1821</v>
      </c>
      <c r="E56" s="555" t="s">
        <v>1822</v>
      </c>
      <c r="F56" s="588" t="s">
        <v>1095</v>
      </c>
      <c r="G56" s="589" t="s">
        <v>362</v>
      </c>
      <c r="H56" s="590" t="s">
        <v>1865</v>
      </c>
      <c r="I56" s="590"/>
      <c r="J56" s="590"/>
      <c r="K56" s="590" t="s">
        <v>1866</v>
      </c>
      <c r="L56" s="615" t="s">
        <v>1098</v>
      </c>
      <c r="M56" s="590" t="s">
        <v>1867</v>
      </c>
      <c r="N56" s="646"/>
      <c r="O56" s="740"/>
      <c r="P56" s="744"/>
      <c r="Q56" s="572"/>
      <c r="R56" s="744"/>
      <c r="S56" s="754"/>
    </row>
    <row r="57" s="10" customFormat="1" ht="16.5" spans="1:19">
      <c r="A57" s="250"/>
      <c r="B57" s="541" t="s">
        <v>1947</v>
      </c>
      <c r="C57" s="542" t="s">
        <v>1248</v>
      </c>
      <c r="D57" s="543" t="s">
        <v>1125</v>
      </c>
      <c r="E57" s="705" t="s">
        <v>299</v>
      </c>
      <c r="F57" s="764" t="s">
        <v>1948</v>
      </c>
      <c r="G57" s="762">
        <v>31850</v>
      </c>
      <c r="H57" s="567">
        <f t="shared" ref="H57:H61" si="9">G57*K57</f>
        <v>228644.78</v>
      </c>
      <c r="I57" s="577"/>
      <c r="J57" s="577"/>
      <c r="K57" s="597">
        <v>7.1788</v>
      </c>
      <c r="L57" s="708" t="s">
        <v>1949</v>
      </c>
      <c r="M57" s="636" t="s">
        <v>1950</v>
      </c>
      <c r="N57" s="975"/>
      <c r="O57" s="1201" t="s">
        <v>1951</v>
      </c>
      <c r="P57" s="744"/>
      <c r="Q57" s="572"/>
      <c r="R57" s="744"/>
      <c r="S57" s="754"/>
    </row>
    <row r="58" s="10" customFormat="1" ht="16.5" spans="1:19">
      <c r="A58" s="250"/>
      <c r="B58" s="541"/>
      <c r="C58" s="544"/>
      <c r="D58" s="545"/>
      <c r="E58" s="541"/>
      <c r="F58" s="764" t="s">
        <v>1952</v>
      </c>
      <c r="G58" s="762">
        <v>31850</v>
      </c>
      <c r="H58" s="567">
        <f t="shared" si="9"/>
        <v>228644.78</v>
      </c>
      <c r="I58" s="577"/>
      <c r="J58" s="577"/>
      <c r="K58" s="597">
        <v>7.1788</v>
      </c>
      <c r="L58" s="708" t="s">
        <v>1949</v>
      </c>
      <c r="M58" s="636" t="s">
        <v>1950</v>
      </c>
      <c r="N58" s="975"/>
      <c r="O58" s="1360"/>
      <c r="P58" s="744"/>
      <c r="Q58" s="572"/>
      <c r="R58" s="744"/>
      <c r="S58" s="754"/>
    </row>
    <row r="59" s="10" customFormat="1" ht="16.5" spans="1:19">
      <c r="A59" s="250"/>
      <c r="B59" s="541"/>
      <c r="C59" s="544"/>
      <c r="D59" s="545"/>
      <c r="E59" s="541"/>
      <c r="F59" s="764" t="s">
        <v>1953</v>
      </c>
      <c r="G59" s="762">
        <v>31850</v>
      </c>
      <c r="H59" s="567">
        <f t="shared" si="9"/>
        <v>228644.78</v>
      </c>
      <c r="I59" s="577"/>
      <c r="J59" s="577"/>
      <c r="K59" s="597">
        <v>7.1788</v>
      </c>
      <c r="L59" s="708" t="s">
        <v>1949</v>
      </c>
      <c r="M59" s="636" t="s">
        <v>1950</v>
      </c>
      <c r="N59" s="975"/>
      <c r="O59" s="771"/>
      <c r="P59" s="744"/>
      <c r="Q59" s="572"/>
      <c r="R59" s="744"/>
      <c r="S59" s="754"/>
    </row>
    <row r="60" s="10" customFormat="1" ht="16.5" spans="1:19">
      <c r="A60" s="250"/>
      <c r="B60" s="541"/>
      <c r="C60" s="544"/>
      <c r="D60" s="545"/>
      <c r="E60" s="672"/>
      <c r="F60" s="763" t="s">
        <v>1954</v>
      </c>
      <c r="G60" s="725">
        <v>39480</v>
      </c>
      <c r="H60" s="567">
        <f t="shared" si="9"/>
        <v>283419.024</v>
      </c>
      <c r="I60" s="735"/>
      <c r="J60" s="735"/>
      <c r="K60" s="597">
        <v>7.1788</v>
      </c>
      <c r="L60" s="708" t="s">
        <v>1251</v>
      </c>
      <c r="M60" s="636" t="s">
        <v>1950</v>
      </c>
      <c r="N60" s="975"/>
      <c r="O60" s="740" t="s">
        <v>1955</v>
      </c>
      <c r="P60" s="744"/>
      <c r="Q60" s="572"/>
      <c r="R60" s="744"/>
      <c r="S60" s="754"/>
    </row>
    <row r="61" s="10" customFormat="1" ht="16.5" spans="1:19">
      <c r="A61" s="250"/>
      <c r="B61" s="541"/>
      <c r="C61" s="544"/>
      <c r="D61" s="545"/>
      <c r="E61" s="655" t="s">
        <v>246</v>
      </c>
      <c r="F61" s="561" t="s">
        <v>1956</v>
      </c>
      <c r="G61" s="725">
        <v>19330</v>
      </c>
      <c r="H61" s="567">
        <f t="shared" si="9"/>
        <v>138766.204</v>
      </c>
      <c r="I61" s="735"/>
      <c r="J61" s="735"/>
      <c r="K61" s="597">
        <v>7.1788</v>
      </c>
      <c r="L61" s="598" t="s">
        <v>1218</v>
      </c>
      <c r="M61" s="636" t="s">
        <v>621</v>
      </c>
      <c r="N61" s="975"/>
      <c r="O61" s="740" t="s">
        <v>1957</v>
      </c>
      <c r="P61" s="744"/>
      <c r="Q61" s="572"/>
      <c r="R61" s="744"/>
      <c r="S61" s="754"/>
    </row>
    <row r="62" s="10" customFormat="1" ht="16.5" spans="1:19">
      <c r="A62" s="250"/>
      <c r="B62" s="541"/>
      <c r="C62" s="542" t="s">
        <v>1922</v>
      </c>
      <c r="D62" s="545"/>
      <c r="E62" s="571"/>
      <c r="F62" s="724"/>
      <c r="G62" s="725"/>
      <c r="H62" s="567"/>
      <c r="I62" s="735"/>
      <c r="J62" s="735"/>
      <c r="K62" s="597"/>
      <c r="L62" s="598"/>
      <c r="M62" s="636"/>
      <c r="N62" s="975"/>
      <c r="O62" s="740"/>
      <c r="P62" s="744"/>
      <c r="Q62" s="572"/>
      <c r="R62" s="744"/>
      <c r="S62" s="754"/>
    </row>
    <row r="63" s="10" customFormat="1" ht="16.5" spans="1:19">
      <c r="A63" s="250"/>
      <c r="B63" s="541"/>
      <c r="C63" s="542" t="s">
        <v>209</v>
      </c>
      <c r="D63" s="545"/>
      <c r="E63" s="561" t="s">
        <v>274</v>
      </c>
      <c r="F63" s="724" t="s">
        <v>1958</v>
      </c>
      <c r="G63" s="725">
        <v>11000</v>
      </c>
      <c r="H63" s="567">
        <f t="shared" ref="H63:H80" si="10">G63*K63</f>
        <v>78966.8</v>
      </c>
      <c r="I63" s="735"/>
      <c r="J63" s="735"/>
      <c r="K63" s="597">
        <v>7.1788</v>
      </c>
      <c r="L63" s="598" t="s">
        <v>1218</v>
      </c>
      <c r="M63" s="636" t="s">
        <v>621</v>
      </c>
      <c r="N63" s="966"/>
      <c r="O63" s="740" t="s">
        <v>1959</v>
      </c>
      <c r="P63" s="744"/>
      <c r="Q63" s="572"/>
      <c r="R63" s="744"/>
      <c r="S63" s="754"/>
    </row>
    <row r="64" s="10" customFormat="1" ht="16.5" spans="1:19">
      <c r="A64" s="250"/>
      <c r="B64" s="541"/>
      <c r="C64" s="544"/>
      <c r="D64" s="545"/>
      <c r="E64" s="571" t="s">
        <v>1934</v>
      </c>
      <c r="F64" s="904" t="s">
        <v>1960</v>
      </c>
      <c r="G64" s="722">
        <v>130000</v>
      </c>
      <c r="H64" s="567">
        <f t="shared" si="10"/>
        <v>933244</v>
      </c>
      <c r="I64" s="735"/>
      <c r="J64" s="735"/>
      <c r="K64" s="597">
        <v>7.1788</v>
      </c>
      <c r="L64" s="598" t="s">
        <v>1961</v>
      </c>
      <c r="M64" s="636" t="s">
        <v>1950</v>
      </c>
      <c r="N64" s="975"/>
      <c r="O64" s="740"/>
      <c r="P64" s="744"/>
      <c r="Q64" s="572"/>
      <c r="R64" s="744"/>
      <c r="S64" s="754"/>
    </row>
    <row r="65" s="10" customFormat="1" ht="18.75" customHeight="1" spans="1:19">
      <c r="A65" s="568"/>
      <c r="B65" s="541"/>
      <c r="C65" s="568" t="s">
        <v>1437</v>
      </c>
      <c r="D65" s="547"/>
      <c r="E65" s="568"/>
      <c r="F65" s="568"/>
      <c r="G65" s="568"/>
      <c r="H65" s="596"/>
      <c r="I65" s="766"/>
      <c r="J65" s="766"/>
      <c r="K65" s="597"/>
      <c r="L65" s="598"/>
      <c r="M65" s="682"/>
      <c r="N65" s="976"/>
      <c r="O65" s="740"/>
      <c r="P65" s="250"/>
      <c r="Q65" s="751"/>
      <c r="R65" s="755"/>
      <c r="S65" s="756"/>
    </row>
    <row r="66" s="10" customFormat="1" ht="18.75" customHeight="1" spans="1:19">
      <c r="A66" s="568"/>
      <c r="B66" s="672"/>
      <c r="C66" s="757" t="s">
        <v>1874</v>
      </c>
      <c r="D66" s="758"/>
      <c r="E66" s="758"/>
      <c r="F66" s="758"/>
      <c r="G66" s="760"/>
      <c r="H66" s="761"/>
      <c r="I66" s="766"/>
      <c r="J66" s="766"/>
      <c r="K66" s="597"/>
      <c r="L66" s="598"/>
      <c r="M66" s="682"/>
      <c r="N66" s="976"/>
      <c r="O66" s="740"/>
      <c r="P66" s="250"/>
      <c r="Q66" s="751"/>
      <c r="R66" s="755"/>
      <c r="S66" s="756"/>
    </row>
    <row r="67" s="10" customFormat="1" ht="18.75" customHeight="1" spans="1:19">
      <c r="A67" s="568"/>
      <c r="B67" s="564" t="s">
        <v>1875</v>
      </c>
      <c r="C67" s="664" t="s">
        <v>1248</v>
      </c>
      <c r="D67" s="557" t="s">
        <v>1125</v>
      </c>
      <c r="E67" s="655" t="s">
        <v>1405</v>
      </c>
      <c r="F67" s="561" t="s">
        <v>1962</v>
      </c>
      <c r="G67" s="725">
        <v>20000</v>
      </c>
      <c r="H67" s="567">
        <f t="shared" si="10"/>
        <v>143576</v>
      </c>
      <c r="I67" s="735"/>
      <c r="J67" s="735"/>
      <c r="K67" s="597">
        <v>7.1788</v>
      </c>
      <c r="L67" s="598" t="s">
        <v>1218</v>
      </c>
      <c r="M67" s="636" t="s">
        <v>621</v>
      </c>
      <c r="N67" s="975"/>
      <c r="O67" s="740" t="s">
        <v>1963</v>
      </c>
      <c r="P67" s="250"/>
      <c r="Q67" s="751"/>
      <c r="R67" s="755"/>
      <c r="S67" s="756"/>
    </row>
    <row r="68" s="10" customFormat="1" ht="18.75" customHeight="1" spans="1:19">
      <c r="A68" s="568"/>
      <c r="B68" s="721"/>
      <c r="C68" s="664" t="s">
        <v>1922</v>
      </c>
      <c r="D68" s="557"/>
      <c r="E68" s="571" t="s">
        <v>1169</v>
      </c>
      <c r="F68" s="904" t="s">
        <v>1964</v>
      </c>
      <c r="G68" s="722">
        <v>30000</v>
      </c>
      <c r="H68" s="567">
        <f t="shared" si="10"/>
        <v>215364</v>
      </c>
      <c r="I68" s="735"/>
      <c r="J68" s="735"/>
      <c r="K68" s="597">
        <v>7.1788</v>
      </c>
      <c r="L68" s="598" t="s">
        <v>1218</v>
      </c>
      <c r="M68" s="636" t="s">
        <v>621</v>
      </c>
      <c r="N68" s="975"/>
      <c r="O68" s="740" t="s">
        <v>1963</v>
      </c>
      <c r="P68" s="250"/>
      <c r="Q68" s="751"/>
      <c r="R68" s="755"/>
      <c r="S68" s="756"/>
    </row>
    <row r="69" s="10" customFormat="1" ht="18.75" customHeight="1" spans="1:19">
      <c r="A69" s="568"/>
      <c r="B69" s="721"/>
      <c r="C69" s="664"/>
      <c r="D69" s="557"/>
      <c r="E69" s="571" t="s">
        <v>324</v>
      </c>
      <c r="F69" s="904" t="s">
        <v>1965</v>
      </c>
      <c r="G69" s="722">
        <v>31416</v>
      </c>
      <c r="H69" s="567">
        <f t="shared" si="10"/>
        <v>225529.1808</v>
      </c>
      <c r="I69" s="735"/>
      <c r="J69" s="735"/>
      <c r="K69" s="597">
        <v>7.1788</v>
      </c>
      <c r="L69" s="598" t="s">
        <v>1966</v>
      </c>
      <c r="M69" s="636" t="s">
        <v>621</v>
      </c>
      <c r="N69" s="975"/>
      <c r="O69" s="740" t="s">
        <v>1963</v>
      </c>
      <c r="P69" s="250"/>
      <c r="Q69" s="751"/>
      <c r="R69" s="755"/>
      <c r="S69" s="756"/>
    </row>
    <row r="70" s="10" customFormat="1" ht="18.75" customHeight="1" spans="1:19">
      <c r="A70" s="568"/>
      <c r="B70" s="721"/>
      <c r="C70" s="664"/>
      <c r="D70" s="557"/>
      <c r="E70" s="571" t="s">
        <v>167</v>
      </c>
      <c r="F70" s="904" t="s">
        <v>1967</v>
      </c>
      <c r="G70" s="722">
        <v>20000</v>
      </c>
      <c r="H70" s="567">
        <f t="shared" si="10"/>
        <v>143576</v>
      </c>
      <c r="I70" s="735"/>
      <c r="J70" s="735"/>
      <c r="K70" s="597">
        <v>7.1788</v>
      </c>
      <c r="L70" s="598" t="s">
        <v>1218</v>
      </c>
      <c r="M70" s="636" t="s">
        <v>621</v>
      </c>
      <c r="N70" s="975"/>
      <c r="O70" s="740" t="s">
        <v>1963</v>
      </c>
      <c r="P70" s="250"/>
      <c r="Q70" s="751"/>
      <c r="R70" s="755"/>
      <c r="S70" s="756"/>
    </row>
    <row r="71" s="10" customFormat="1" ht="18.75" customHeight="1" spans="1:19">
      <c r="A71" s="568"/>
      <c r="B71" s="721"/>
      <c r="C71" s="664"/>
      <c r="D71" s="557"/>
      <c r="E71" s="571" t="s">
        <v>165</v>
      </c>
      <c r="F71" s="904" t="s">
        <v>1968</v>
      </c>
      <c r="G71" s="722">
        <v>20000</v>
      </c>
      <c r="H71" s="567">
        <f t="shared" si="10"/>
        <v>143576</v>
      </c>
      <c r="I71" s="735"/>
      <c r="J71" s="735"/>
      <c r="K71" s="597">
        <v>7.1788</v>
      </c>
      <c r="L71" s="598" t="s">
        <v>1218</v>
      </c>
      <c r="M71" s="636" t="s">
        <v>621</v>
      </c>
      <c r="N71" s="975"/>
      <c r="O71" s="740" t="s">
        <v>1963</v>
      </c>
      <c r="P71" s="250"/>
      <c r="Q71" s="751"/>
      <c r="R71" s="755"/>
      <c r="S71" s="756"/>
    </row>
    <row r="72" s="10" customFormat="1" ht="18.75" customHeight="1" spans="1:19">
      <c r="A72" s="568"/>
      <c r="B72" s="721"/>
      <c r="C72" s="664"/>
      <c r="D72" s="557"/>
      <c r="E72" s="571" t="s">
        <v>1969</v>
      </c>
      <c r="F72" s="904" t="s">
        <v>1926</v>
      </c>
      <c r="G72" s="722">
        <v>7000</v>
      </c>
      <c r="H72" s="567">
        <f t="shared" si="10"/>
        <v>50251.6</v>
      </c>
      <c r="I72" s="735"/>
      <c r="J72" s="735"/>
      <c r="K72" s="597">
        <v>7.1788</v>
      </c>
      <c r="L72" s="598" t="s">
        <v>1218</v>
      </c>
      <c r="M72" s="636" t="s">
        <v>621</v>
      </c>
      <c r="N72" s="975"/>
      <c r="O72" s="740" t="s">
        <v>1970</v>
      </c>
      <c r="P72" s="250"/>
      <c r="Q72" s="751"/>
      <c r="R72" s="755"/>
      <c r="S72" s="756"/>
    </row>
    <row r="73" s="10" customFormat="1" ht="18.75" customHeight="1" spans="1:19">
      <c r="A73" s="568"/>
      <c r="B73" s="721"/>
      <c r="C73" s="556" t="s">
        <v>209</v>
      </c>
      <c r="D73" s="557"/>
      <c r="E73" s="561" t="s">
        <v>274</v>
      </c>
      <c r="F73" s="724" t="s">
        <v>1971</v>
      </c>
      <c r="G73" s="725">
        <v>50000</v>
      </c>
      <c r="H73" s="567">
        <f t="shared" si="10"/>
        <v>356415</v>
      </c>
      <c r="I73" s="735"/>
      <c r="J73" s="735"/>
      <c r="K73" s="597">
        <v>7.1283</v>
      </c>
      <c r="L73" s="598" t="s">
        <v>1218</v>
      </c>
      <c r="M73" s="636" t="s">
        <v>621</v>
      </c>
      <c r="N73" s="966"/>
      <c r="O73" s="740" t="s">
        <v>1972</v>
      </c>
      <c r="P73" s="250"/>
      <c r="Q73" s="751"/>
      <c r="R73" s="755"/>
      <c r="S73" s="756"/>
    </row>
    <row r="74" s="10" customFormat="1" ht="18.75" customHeight="1" spans="1:19">
      <c r="A74" s="568"/>
      <c r="B74" s="721"/>
      <c r="C74" s="556"/>
      <c r="D74" s="557"/>
      <c r="E74" s="571" t="s">
        <v>1934</v>
      </c>
      <c r="F74" s="731" t="s">
        <v>1973</v>
      </c>
      <c r="G74" s="725">
        <v>400000</v>
      </c>
      <c r="H74" s="567">
        <f t="shared" si="10"/>
        <v>2851320</v>
      </c>
      <c r="I74" s="735"/>
      <c r="J74" s="735"/>
      <c r="K74" s="597">
        <v>7.1283</v>
      </c>
      <c r="L74" s="598"/>
      <c r="M74" s="636"/>
      <c r="N74" s="966"/>
      <c r="O74" s="740"/>
      <c r="P74" s="250"/>
      <c r="Q74" s="751"/>
      <c r="R74" s="755"/>
      <c r="S74" s="756"/>
    </row>
    <row r="75" s="10" customFormat="1" ht="18.75" customHeight="1" spans="1:19">
      <c r="A75" s="568"/>
      <c r="B75" s="721"/>
      <c r="C75" s="556"/>
      <c r="D75" s="557"/>
      <c r="E75" s="571" t="s">
        <v>1974</v>
      </c>
      <c r="F75" s="904" t="s">
        <v>1975</v>
      </c>
      <c r="G75" s="722">
        <v>30000</v>
      </c>
      <c r="H75" s="567">
        <f t="shared" si="10"/>
        <v>215364</v>
      </c>
      <c r="I75" s="735"/>
      <c r="J75" s="735"/>
      <c r="K75" s="597">
        <v>7.1788</v>
      </c>
      <c r="L75" s="598" t="s">
        <v>1966</v>
      </c>
      <c r="M75" s="636" t="s">
        <v>621</v>
      </c>
      <c r="N75" s="975"/>
      <c r="O75" s="740" t="s">
        <v>1963</v>
      </c>
      <c r="P75" s="250"/>
      <c r="Q75" s="751"/>
      <c r="R75" s="755"/>
      <c r="S75" s="756"/>
    </row>
    <row r="76" s="10" customFormat="1" ht="18.75" customHeight="1" spans="1:19">
      <c r="A76" s="568"/>
      <c r="B76" s="721"/>
      <c r="C76" s="556"/>
      <c r="D76" s="557"/>
      <c r="E76" s="571" t="s">
        <v>1408</v>
      </c>
      <c r="F76" s="724" t="s">
        <v>1976</v>
      </c>
      <c r="G76" s="725">
        <v>30000</v>
      </c>
      <c r="H76" s="567">
        <f t="shared" si="10"/>
        <v>215364</v>
      </c>
      <c r="I76" s="735"/>
      <c r="J76" s="735"/>
      <c r="K76" s="597">
        <v>7.1788</v>
      </c>
      <c r="L76" s="598" t="s">
        <v>1218</v>
      </c>
      <c r="M76" s="636" t="s">
        <v>621</v>
      </c>
      <c r="N76" s="975"/>
      <c r="O76" s="740" t="s">
        <v>1977</v>
      </c>
      <c r="P76" s="250"/>
      <c r="Q76" s="751"/>
      <c r="R76" s="755"/>
      <c r="S76" s="756"/>
    </row>
    <row r="77" s="10" customFormat="1" ht="18.75" customHeight="1" spans="1:19">
      <c r="A77" s="568"/>
      <c r="B77" s="721"/>
      <c r="C77" s="556"/>
      <c r="D77" s="557"/>
      <c r="E77" s="571" t="s">
        <v>1978</v>
      </c>
      <c r="F77" s="904" t="s">
        <v>1979</v>
      </c>
      <c r="G77" s="722">
        <v>33000</v>
      </c>
      <c r="H77" s="567">
        <f t="shared" si="10"/>
        <v>236900.4</v>
      </c>
      <c r="I77" s="735"/>
      <c r="J77" s="735"/>
      <c r="K77" s="597">
        <v>7.1788</v>
      </c>
      <c r="L77" s="598" t="s">
        <v>1218</v>
      </c>
      <c r="M77" s="636" t="s">
        <v>621</v>
      </c>
      <c r="N77" s="975"/>
      <c r="O77" s="740" t="s">
        <v>1963</v>
      </c>
      <c r="P77" s="250"/>
      <c r="Q77" s="751"/>
      <c r="R77" s="755"/>
      <c r="S77" s="756"/>
    </row>
    <row r="78" s="10" customFormat="1" ht="18.75" customHeight="1" spans="1:19">
      <c r="A78" s="568"/>
      <c r="B78" s="721"/>
      <c r="C78" s="556"/>
      <c r="D78" s="557"/>
      <c r="E78" s="571" t="s">
        <v>1483</v>
      </c>
      <c r="F78" s="1107" t="s">
        <v>1980</v>
      </c>
      <c r="G78" s="722">
        <v>30000</v>
      </c>
      <c r="H78" s="567">
        <f t="shared" si="10"/>
        <v>215364</v>
      </c>
      <c r="I78" s="735"/>
      <c r="J78" s="735"/>
      <c r="K78" s="597">
        <v>7.1788</v>
      </c>
      <c r="L78" s="598" t="s">
        <v>1218</v>
      </c>
      <c r="M78" s="636" t="s">
        <v>621</v>
      </c>
      <c r="N78" s="975"/>
      <c r="O78" s="740" t="s">
        <v>1963</v>
      </c>
      <c r="P78" s="250"/>
      <c r="Q78" s="751"/>
      <c r="R78" s="755"/>
      <c r="S78" s="756"/>
    </row>
    <row r="79" s="10" customFormat="1" ht="18.75" customHeight="1" spans="1:19">
      <c r="A79" s="568"/>
      <c r="B79" s="721"/>
      <c r="C79" s="556"/>
      <c r="D79" s="557"/>
      <c r="E79" s="571" t="s">
        <v>1418</v>
      </c>
      <c r="F79" s="1055" t="s">
        <v>1981</v>
      </c>
      <c r="G79" s="722">
        <v>13000</v>
      </c>
      <c r="H79" s="567">
        <f t="shared" si="10"/>
        <v>93324.4</v>
      </c>
      <c r="I79" s="735"/>
      <c r="J79" s="735"/>
      <c r="K79" s="597">
        <v>7.1788</v>
      </c>
      <c r="L79" s="598" t="s">
        <v>1218</v>
      </c>
      <c r="M79" s="636" t="s">
        <v>621</v>
      </c>
      <c r="N79" s="975"/>
      <c r="O79" s="740" t="s">
        <v>1963</v>
      </c>
      <c r="P79" s="250"/>
      <c r="Q79" s="751"/>
      <c r="R79" s="755"/>
      <c r="S79" s="756"/>
    </row>
    <row r="80" s="10" customFormat="1" ht="16.5" spans="1:19">
      <c r="A80" s="568"/>
      <c r="B80" s="721"/>
      <c r="C80" s="716" t="s">
        <v>1437</v>
      </c>
      <c r="D80" s="557"/>
      <c r="E80" s="542" t="s">
        <v>1340</v>
      </c>
      <c r="F80" s="971" t="s">
        <v>1982</v>
      </c>
      <c r="G80" s="725">
        <v>30000</v>
      </c>
      <c r="H80" s="567">
        <f t="shared" si="10"/>
        <v>215364</v>
      </c>
      <c r="I80" s="577"/>
      <c r="J80" s="735"/>
      <c r="K80" s="597">
        <v>7.1788</v>
      </c>
      <c r="L80" s="708" t="s">
        <v>1251</v>
      </c>
      <c r="M80" s="636" t="s">
        <v>621</v>
      </c>
      <c r="N80" s="975"/>
      <c r="O80" s="740" t="s">
        <v>1983</v>
      </c>
      <c r="P80" s="623"/>
      <c r="Q80" s="655"/>
      <c r="R80" s="656"/>
      <c r="S80" s="754"/>
    </row>
    <row r="81" s="10" customFormat="1" ht="16.5" spans="1:19">
      <c r="A81" s="568"/>
      <c r="B81" s="673"/>
      <c r="C81" s="652" t="s">
        <v>1874</v>
      </c>
      <c r="D81" s="652"/>
      <c r="E81" s="652"/>
      <c r="F81" s="652"/>
      <c r="G81" s="652"/>
      <c r="H81" s="782">
        <f>SUM(H57:H80)</f>
        <v>7441618.9488</v>
      </c>
      <c r="I81" s="782"/>
      <c r="J81" s="782"/>
      <c r="K81" s="614"/>
      <c r="L81" s="610"/>
      <c r="M81" s="644"/>
      <c r="N81" s="644"/>
      <c r="O81" s="1013"/>
      <c r="P81" s="623"/>
      <c r="Q81" s="655"/>
      <c r="R81" s="656"/>
      <c r="S81" s="754"/>
    </row>
    <row r="82" s="536" customFormat="1" ht="38.95" customHeight="1" spans="1:19">
      <c r="A82" s="537" t="s">
        <v>1092</v>
      </c>
      <c r="B82" s="537" t="s">
        <v>1820</v>
      </c>
      <c r="C82" s="538" t="s">
        <v>1946</v>
      </c>
      <c r="D82" s="539" t="s">
        <v>1821</v>
      </c>
      <c r="E82" s="539" t="s">
        <v>1822</v>
      </c>
      <c r="F82" s="558" t="s">
        <v>1095</v>
      </c>
      <c r="G82" s="559" t="s">
        <v>362</v>
      </c>
      <c r="H82" s="560" t="s">
        <v>1716</v>
      </c>
      <c r="I82" s="560" t="s">
        <v>1717</v>
      </c>
      <c r="J82" s="560" t="s">
        <v>1718</v>
      </c>
      <c r="K82" s="594" t="s">
        <v>1096</v>
      </c>
      <c r="L82" s="595" t="s">
        <v>1098</v>
      </c>
      <c r="M82" s="619" t="s">
        <v>1097</v>
      </c>
      <c r="N82" s="619" t="s">
        <v>1214</v>
      </c>
      <c r="O82" s="1015" t="s">
        <v>1215</v>
      </c>
      <c r="P82" s="621" t="s">
        <v>7</v>
      </c>
      <c r="Q82" s="652" t="s">
        <v>8</v>
      </c>
      <c r="R82" s="653" t="s">
        <v>9</v>
      </c>
      <c r="S82" s="654" t="s">
        <v>1291</v>
      </c>
    </row>
    <row r="83" s="536" customFormat="1" ht="18.75" customHeight="1" spans="1:19">
      <c r="A83" s="564" t="s">
        <v>1984</v>
      </c>
      <c r="B83" s="568" t="s">
        <v>1824</v>
      </c>
      <c r="C83" s="666" t="s">
        <v>38</v>
      </c>
      <c r="D83" s="759">
        <v>149</v>
      </c>
      <c r="E83" s="250" t="s">
        <v>143</v>
      </c>
      <c r="F83" s="673" t="s">
        <v>1985</v>
      </c>
      <c r="G83" s="978">
        <v>11900</v>
      </c>
      <c r="H83" s="577">
        <f>G83*K83</f>
        <v>85427.72</v>
      </c>
      <c r="I83" s="577"/>
      <c r="J83" s="567"/>
      <c r="K83" s="597">
        <v>7.1788</v>
      </c>
      <c r="L83" s="633"/>
      <c r="M83" s="633"/>
      <c r="N83" s="1135"/>
      <c r="O83" s="937"/>
      <c r="P83" s="987"/>
      <c r="Q83" s="655"/>
      <c r="R83" s="664"/>
      <c r="S83" s="577"/>
    </row>
    <row r="84" s="10" customFormat="1" ht="16.5" spans="1:19">
      <c r="A84" s="721"/>
      <c r="B84" s="541"/>
      <c r="C84" s="250"/>
      <c r="D84" s="545"/>
      <c r="E84" s="547" t="s">
        <v>1224</v>
      </c>
      <c r="F84" s="715" t="s">
        <v>1986</v>
      </c>
      <c r="G84" s="715">
        <v>185875</v>
      </c>
      <c r="H84" s="839">
        <f>G84*K84</f>
        <v>1334359.45</v>
      </c>
      <c r="I84" s="839"/>
      <c r="J84" s="839"/>
      <c r="K84" s="597">
        <v>7.1788</v>
      </c>
      <c r="L84" s="598"/>
      <c r="M84" s="598"/>
      <c r="N84" s="863"/>
      <c r="O84" s="997"/>
      <c r="P84" s="727"/>
      <c r="Q84" s="652"/>
      <c r="R84" s="727"/>
      <c r="S84" s="727"/>
    </row>
    <row r="85" s="10" customFormat="1" ht="16.5" spans="1:19">
      <c r="A85" s="721"/>
      <c r="B85" s="705"/>
      <c r="C85" s="670"/>
      <c r="D85" s="557"/>
      <c r="E85" s="572"/>
      <c r="F85" s="1126"/>
      <c r="G85" s="725"/>
      <c r="H85" s="567"/>
      <c r="I85" s="567"/>
      <c r="J85" s="567"/>
      <c r="K85" s="597">
        <v>7.1788</v>
      </c>
      <c r="L85" s="625"/>
      <c r="M85" s="645"/>
      <c r="N85" s="645"/>
      <c r="O85" s="937"/>
      <c r="P85" s="727"/>
      <c r="Q85" s="652"/>
      <c r="R85" s="727"/>
      <c r="S85" s="727"/>
    </row>
    <row r="86" s="10" customFormat="1" ht="19" customHeight="1" spans="1:19">
      <c r="A86" s="721"/>
      <c r="B86" s="568"/>
      <c r="C86" s="666" t="s">
        <v>1987</v>
      </c>
      <c r="D86" s="759">
        <v>41</v>
      </c>
      <c r="E86" s="250"/>
      <c r="F86" s="568"/>
      <c r="G86" s="969"/>
      <c r="H86" s="596"/>
      <c r="I86" s="596"/>
      <c r="J86" s="603"/>
      <c r="K86" s="597">
        <v>7.1788</v>
      </c>
      <c r="L86" s="598"/>
      <c r="M86" s="598"/>
      <c r="N86" s="1044"/>
      <c r="O86" s="1057"/>
      <c r="P86" s="572"/>
      <c r="Q86" s="874"/>
      <c r="R86" s="625"/>
      <c r="S86" s="631"/>
    </row>
    <row r="87" s="10" customFormat="1" ht="19" customHeight="1" spans="1:19">
      <c r="A87" s="721"/>
      <c r="B87" s="776"/>
      <c r="C87" s="664" t="s">
        <v>509</v>
      </c>
      <c r="D87" s="655">
        <v>180</v>
      </c>
      <c r="E87" s="787" t="s">
        <v>1988</v>
      </c>
      <c r="F87" s="788" t="s">
        <v>1989</v>
      </c>
      <c r="G87" s="1002"/>
      <c r="H87" s="577">
        <v>986760</v>
      </c>
      <c r="I87" s="981"/>
      <c r="J87" s="603"/>
      <c r="K87" s="597">
        <v>7.1788</v>
      </c>
      <c r="L87" s="598"/>
      <c r="M87" s="598"/>
      <c r="N87" s="625"/>
      <c r="O87" s="1009" t="s">
        <v>1990</v>
      </c>
      <c r="P87" s="642"/>
      <c r="Q87" s="655"/>
      <c r="R87" s="664"/>
      <c r="S87" s="577"/>
    </row>
    <row r="88" s="10" customFormat="1" ht="19" customHeight="1" spans="1:19">
      <c r="A88" s="721"/>
      <c r="B88" s="776"/>
      <c r="C88" s="664"/>
      <c r="D88" s="655"/>
      <c r="E88" s="250" t="s">
        <v>1991</v>
      </c>
      <c r="F88" s="250" t="s">
        <v>1992</v>
      </c>
      <c r="G88" s="1002">
        <v>60000</v>
      </c>
      <c r="H88" s="577"/>
      <c r="I88" s="981"/>
      <c r="J88" s="603"/>
      <c r="K88" s="597">
        <v>7.1788</v>
      </c>
      <c r="L88" s="598"/>
      <c r="M88" s="598"/>
      <c r="N88" s="625"/>
      <c r="O88" s="1009"/>
      <c r="P88" s="642"/>
      <c r="Q88" s="655"/>
      <c r="R88" s="664"/>
      <c r="S88" s="577"/>
    </row>
    <row r="89" s="10" customFormat="1" ht="19" customHeight="1" spans="1:19">
      <c r="A89" s="721"/>
      <c r="B89" s="776"/>
      <c r="C89" s="664"/>
      <c r="D89" s="655"/>
      <c r="E89" s="572"/>
      <c r="F89" s="250"/>
      <c r="G89" s="1002"/>
      <c r="H89" s="567"/>
      <c r="I89" s="981"/>
      <c r="J89" s="596"/>
      <c r="K89" s="597">
        <v>7.1788</v>
      </c>
      <c r="L89" s="598"/>
      <c r="M89" s="598"/>
      <c r="N89" s="625"/>
      <c r="O89" s="1009"/>
      <c r="P89" s="572"/>
      <c r="Q89" s="874"/>
      <c r="R89" s="625"/>
      <c r="S89" s="631"/>
    </row>
    <row r="90" s="10" customFormat="1" ht="19" customHeight="1" spans="1:19">
      <c r="A90" s="721"/>
      <c r="B90" s="776"/>
      <c r="C90" s="664"/>
      <c r="D90" s="655"/>
      <c r="E90" s="788"/>
      <c r="F90" s="568"/>
      <c r="G90" s="979"/>
      <c r="H90" s="567"/>
      <c r="I90" s="567"/>
      <c r="J90" s="602"/>
      <c r="K90" s="597">
        <v>7.1788</v>
      </c>
      <c r="L90" s="598"/>
      <c r="M90" s="645"/>
      <c r="N90" s="1113"/>
      <c r="O90" s="740"/>
      <c r="P90" s="572"/>
      <c r="Q90" s="874"/>
      <c r="R90" s="625"/>
      <c r="S90" s="631"/>
    </row>
    <row r="91" s="10" customFormat="1" ht="16.5" spans="1:19">
      <c r="A91" s="721"/>
      <c r="B91" s="776"/>
      <c r="C91" s="666" t="s">
        <v>1393</v>
      </c>
      <c r="D91" s="759">
        <v>170</v>
      </c>
      <c r="E91" s="788" t="s">
        <v>660</v>
      </c>
      <c r="F91" s="568" t="s">
        <v>1993</v>
      </c>
      <c r="G91" s="979"/>
      <c r="H91" s="567"/>
      <c r="I91" s="567"/>
      <c r="J91" s="602"/>
      <c r="K91" s="597"/>
      <c r="L91" s="598"/>
      <c r="M91" s="645"/>
      <c r="N91" s="1080"/>
      <c r="O91" s="740" t="s">
        <v>1994</v>
      </c>
      <c r="P91" s="572" t="s">
        <v>1995</v>
      </c>
      <c r="Q91" s="874"/>
      <c r="R91" s="664"/>
      <c r="S91" s="577"/>
    </row>
    <row r="92" s="10" customFormat="1" ht="16.5" spans="1:19">
      <c r="A92" s="721"/>
      <c r="B92" s="776"/>
      <c r="C92" s="666"/>
      <c r="D92" s="759"/>
      <c r="E92" s="787" t="s">
        <v>267</v>
      </c>
      <c r="F92" s="788" t="s">
        <v>1996</v>
      </c>
      <c r="G92" s="722">
        <v>41360</v>
      </c>
      <c r="H92" s="567">
        <f t="shared" ref="H92:H94" si="11">G92*K92</f>
        <v>296915.168</v>
      </c>
      <c r="I92" s="596"/>
      <c r="J92" s="788"/>
      <c r="K92" s="597">
        <v>7.1788</v>
      </c>
      <c r="L92" s="856"/>
      <c r="M92" s="1082"/>
      <c r="N92" s="1083"/>
      <c r="O92" s="937" t="s">
        <v>1997</v>
      </c>
      <c r="P92" s="572"/>
      <c r="Q92" s="874"/>
      <c r="R92" s="664"/>
      <c r="S92" s="577"/>
    </row>
    <row r="93" s="10" customFormat="1" ht="16.5" spans="1:19">
      <c r="A93" s="721"/>
      <c r="B93" s="776"/>
      <c r="C93" s="556"/>
      <c r="D93" s="557"/>
      <c r="E93" s="1078" t="s">
        <v>258</v>
      </c>
      <c r="F93" s="788" t="s">
        <v>1998</v>
      </c>
      <c r="G93" s="979">
        <v>32760</v>
      </c>
      <c r="H93" s="567">
        <f t="shared" si="11"/>
        <v>235177.488</v>
      </c>
      <c r="I93" s="577">
        <f>G93*K93</f>
        <v>235177.488</v>
      </c>
      <c r="J93" s="577"/>
      <c r="K93" s="597">
        <v>7.1788</v>
      </c>
      <c r="L93" s="856">
        <v>45128</v>
      </c>
      <c r="M93" s="1081">
        <v>45178</v>
      </c>
      <c r="N93" s="1081">
        <v>45184</v>
      </c>
      <c r="O93" s="740" t="s">
        <v>1999</v>
      </c>
      <c r="P93" s="572"/>
      <c r="Q93" s="874"/>
      <c r="R93" s="664"/>
      <c r="S93" s="577"/>
    </row>
    <row r="94" s="10" customFormat="1" ht="16.5" spans="1:19">
      <c r="A94" s="721"/>
      <c r="B94" s="776"/>
      <c r="C94" s="556"/>
      <c r="D94" s="557"/>
      <c r="E94" s="716" t="s">
        <v>2000</v>
      </c>
      <c r="F94" s="716" t="s">
        <v>2001</v>
      </c>
      <c r="G94" s="722">
        <v>26529</v>
      </c>
      <c r="H94" s="567">
        <f t="shared" si="11"/>
        <v>190446.3852</v>
      </c>
      <c r="I94" s="787"/>
      <c r="J94" s="788"/>
      <c r="K94" s="597">
        <v>7.1788</v>
      </c>
      <c r="L94" s="856">
        <v>45199</v>
      </c>
      <c r="M94" s="596"/>
      <c r="N94" s="1061"/>
      <c r="O94" s="937" t="s">
        <v>2002</v>
      </c>
      <c r="P94" s="572"/>
      <c r="Q94" s="874"/>
      <c r="R94" s="664"/>
      <c r="S94" s="577"/>
    </row>
    <row r="95" s="10" customFormat="1" ht="16.5" spans="1:19">
      <c r="A95" s="721"/>
      <c r="B95" s="776"/>
      <c r="C95" s="556"/>
      <c r="D95" s="557"/>
      <c r="E95" s="788" t="s">
        <v>2003</v>
      </c>
      <c r="F95" s="788" t="s">
        <v>2004</v>
      </c>
      <c r="G95" s="1079"/>
      <c r="H95" s="567"/>
      <c r="I95" s="567"/>
      <c r="J95" s="577">
        <v>260939</v>
      </c>
      <c r="K95" s="597">
        <v>7.1788</v>
      </c>
      <c r="L95" s="856" t="s">
        <v>1218</v>
      </c>
      <c r="M95" s="1081">
        <v>45160</v>
      </c>
      <c r="N95" s="1061">
        <v>45170</v>
      </c>
      <c r="O95" s="937" t="s">
        <v>2005</v>
      </c>
      <c r="P95" s="572"/>
      <c r="Q95" s="874"/>
      <c r="R95" s="664"/>
      <c r="S95" s="577"/>
    </row>
    <row r="96" s="10" customFormat="1" ht="16.5" spans="1:19">
      <c r="A96" s="721"/>
      <c r="B96" s="776"/>
      <c r="C96" s="670"/>
      <c r="D96" s="968"/>
      <c r="E96" s="570"/>
      <c r="O96" s="1361"/>
      <c r="P96" s="572"/>
      <c r="Q96" s="874"/>
      <c r="R96" s="664"/>
      <c r="S96" s="577"/>
    </row>
    <row r="97" s="10" customFormat="1" ht="16.5" spans="1:19">
      <c r="A97" s="721"/>
      <c r="B97" s="568"/>
      <c r="C97" s="777" t="s">
        <v>1124</v>
      </c>
      <c r="D97" s="778">
        <f>D83+D86+D87+D91</f>
        <v>540</v>
      </c>
      <c r="E97" s="980"/>
      <c r="F97" s="727"/>
      <c r="G97" s="795" t="s">
        <v>1235</v>
      </c>
      <c r="H97" s="804">
        <f>SUM(H83:H94)</f>
        <v>3129086.2112</v>
      </c>
      <c r="I97" s="804">
        <f>SUM(I83:I93)</f>
        <v>235177.488</v>
      </c>
      <c r="J97" s="804">
        <f>SUM(J83:J93)</f>
        <v>0</v>
      </c>
      <c r="K97" s="808"/>
      <c r="L97" s="809"/>
      <c r="M97" s="821"/>
      <c r="N97" s="821"/>
      <c r="O97" s="1063"/>
      <c r="P97" s="727"/>
      <c r="Q97" s="652"/>
      <c r="R97" s="653"/>
      <c r="S97" s="809"/>
    </row>
    <row r="98" s="10" customFormat="1" ht="16.5" spans="1:19">
      <c r="A98" s="721"/>
      <c r="B98" s="568"/>
      <c r="C98" s="779"/>
      <c r="D98" s="746"/>
      <c r="E98" s="652"/>
      <c r="F98" s="727"/>
      <c r="G98" s="795" t="s">
        <v>1236</v>
      </c>
      <c r="H98" s="796">
        <f>H97/5700000</f>
        <v>0.548962493192982</v>
      </c>
      <c r="I98" s="796">
        <f>I97/3500000</f>
        <v>0.067193568</v>
      </c>
      <c r="J98" s="796">
        <f>J97/3500000</f>
        <v>0</v>
      </c>
      <c r="K98" s="808"/>
      <c r="L98" s="809"/>
      <c r="M98" s="821"/>
      <c r="N98" s="996"/>
      <c r="O98" s="997"/>
      <c r="P98" s="727"/>
      <c r="Q98" s="652"/>
      <c r="R98" s="653"/>
      <c r="S98" s="809"/>
    </row>
    <row r="99" s="10" customFormat="1" ht="30" spans="1:19">
      <c r="A99" s="721"/>
      <c r="B99" s="553" t="s">
        <v>1820</v>
      </c>
      <c r="C99" s="554" t="s">
        <v>1093</v>
      </c>
      <c r="D99" s="555" t="s">
        <v>1821</v>
      </c>
      <c r="E99" s="555" t="s">
        <v>1822</v>
      </c>
      <c r="F99" s="588" t="s">
        <v>1095</v>
      </c>
      <c r="G99" s="589" t="s">
        <v>362</v>
      </c>
      <c r="H99" s="590" t="s">
        <v>1865</v>
      </c>
      <c r="I99" s="810" t="s">
        <v>1717</v>
      </c>
      <c r="J99" s="810" t="s">
        <v>1718</v>
      </c>
      <c r="K99" s="590" t="s">
        <v>1866</v>
      </c>
      <c r="L99" s="615" t="s">
        <v>1098</v>
      </c>
      <c r="M99" s="590" t="s">
        <v>1867</v>
      </c>
      <c r="N99" s="646"/>
      <c r="O99" s="997"/>
      <c r="P99" s="727"/>
      <c r="Q99" s="652"/>
      <c r="R99" s="727"/>
      <c r="S99" s="727"/>
    </row>
    <row r="100" s="10" customFormat="1" ht="16.5" spans="1:19">
      <c r="A100" s="721"/>
      <c r="B100" s="541" t="s">
        <v>1947</v>
      </c>
      <c r="C100" s="250" t="s">
        <v>38</v>
      </c>
      <c r="D100" s="545" t="s">
        <v>1125</v>
      </c>
      <c r="E100" s="547"/>
      <c r="F100" s="715"/>
      <c r="G100" s="715"/>
      <c r="H100" s="839"/>
      <c r="I100" s="839"/>
      <c r="J100" s="839"/>
      <c r="K100" s="597">
        <v>7.1788</v>
      </c>
      <c r="L100" s="598"/>
      <c r="M100" s="598"/>
      <c r="N100" s="863"/>
      <c r="O100" s="997"/>
      <c r="P100" s="727"/>
      <c r="Q100" s="652"/>
      <c r="R100" s="727"/>
      <c r="S100" s="727"/>
    </row>
    <row r="101" s="10" customFormat="1" ht="16.5" spans="1:19">
      <c r="A101" s="721"/>
      <c r="B101" s="541"/>
      <c r="C101" s="564" t="s">
        <v>1987</v>
      </c>
      <c r="D101" s="545"/>
      <c r="E101" s="673"/>
      <c r="F101" s="250"/>
      <c r="G101" s="562"/>
      <c r="H101" s="596"/>
      <c r="I101" s="981"/>
      <c r="J101" s="603"/>
      <c r="K101" s="597">
        <v>7.1788</v>
      </c>
      <c r="L101" s="598"/>
      <c r="M101" s="598"/>
      <c r="N101" s="736"/>
      <c r="O101" s="1009"/>
      <c r="P101" s="727"/>
      <c r="Q101" s="652"/>
      <c r="R101" s="727"/>
      <c r="S101" s="727"/>
    </row>
    <row r="102" s="10" customFormat="1" ht="16.5" spans="1:19">
      <c r="A102" s="721"/>
      <c r="B102" s="541"/>
      <c r="C102" s="564" t="s">
        <v>509</v>
      </c>
      <c r="D102" s="545"/>
      <c r="E102" s="250" t="s">
        <v>1232</v>
      </c>
      <c r="F102" s="250" t="s">
        <v>2006</v>
      </c>
      <c r="G102" s="562">
        <v>148560</v>
      </c>
      <c r="H102" s="596">
        <f>G102*K102</f>
        <v>1066482.528</v>
      </c>
      <c r="I102" s="981"/>
      <c r="J102" s="603"/>
      <c r="K102" s="597">
        <v>7.1788</v>
      </c>
      <c r="L102" s="598" t="s">
        <v>2007</v>
      </c>
      <c r="M102" s="598" t="s">
        <v>199</v>
      </c>
      <c r="N102" s="625"/>
      <c r="O102" s="1009" t="s">
        <v>2008</v>
      </c>
      <c r="P102" s="727"/>
      <c r="Q102" s="652"/>
      <c r="R102" s="727"/>
      <c r="S102" s="727"/>
    </row>
    <row r="103" s="10" customFormat="1" ht="16.5" spans="1:19">
      <c r="A103" s="721"/>
      <c r="B103" s="541"/>
      <c r="C103" s="721"/>
      <c r="D103" s="545"/>
      <c r="E103" s="787" t="s">
        <v>2009</v>
      </c>
      <c r="F103" s="788" t="s">
        <v>2010</v>
      </c>
      <c r="G103" s="1002"/>
      <c r="H103" s="567">
        <v>3199896</v>
      </c>
      <c r="I103" s="851"/>
      <c r="J103" s="788"/>
      <c r="K103" s="597">
        <v>7.1788</v>
      </c>
      <c r="L103" s="856"/>
      <c r="M103" s="596"/>
      <c r="N103" s="603"/>
      <c r="O103" s="937" t="s">
        <v>2011</v>
      </c>
      <c r="P103" s="727"/>
      <c r="Q103" s="652"/>
      <c r="R103" s="727"/>
      <c r="S103" s="727"/>
    </row>
    <row r="104" s="10" customFormat="1" ht="16.5" spans="1:19">
      <c r="A104" s="721"/>
      <c r="B104" s="541"/>
      <c r="C104" s="721"/>
      <c r="D104" s="545"/>
      <c r="E104" s="787" t="s">
        <v>2009</v>
      </c>
      <c r="F104" s="788" t="s">
        <v>2012</v>
      </c>
      <c r="G104" s="1002"/>
      <c r="H104" s="567">
        <v>16520</v>
      </c>
      <c r="I104" s="851"/>
      <c r="J104" s="788"/>
      <c r="K104" s="597">
        <v>7.1788</v>
      </c>
      <c r="L104" s="856"/>
      <c r="M104" s="596"/>
      <c r="N104" s="605"/>
      <c r="O104" s="994" t="s">
        <v>2013</v>
      </c>
      <c r="P104" s="727"/>
      <c r="Q104" s="652"/>
      <c r="R104" s="727"/>
      <c r="S104" s="727"/>
    </row>
    <row r="105" s="10" customFormat="1" ht="16.5" spans="1:19">
      <c r="A105" s="721"/>
      <c r="B105" s="541"/>
      <c r="C105" s="721"/>
      <c r="D105" s="545"/>
      <c r="E105" s="787"/>
      <c r="F105" s="788"/>
      <c r="G105" s="722"/>
      <c r="H105" s="567"/>
      <c r="I105" s="851"/>
      <c r="J105" s="788"/>
      <c r="K105" s="597">
        <v>7.1788</v>
      </c>
      <c r="L105" s="856">
        <v>45163</v>
      </c>
      <c r="M105" s="596"/>
      <c r="N105" s="1083">
        <v>45163</v>
      </c>
      <c r="O105" s="994" t="s">
        <v>2014</v>
      </c>
      <c r="P105" s="727"/>
      <c r="Q105" s="652"/>
      <c r="R105" s="727"/>
      <c r="S105" s="727"/>
    </row>
    <row r="106" s="10" customFormat="1" ht="16.5" spans="1:19">
      <c r="A106" s="1066"/>
      <c r="B106" s="541"/>
      <c r="C106" s="564" t="s">
        <v>1393</v>
      </c>
      <c r="D106" s="545"/>
      <c r="E106" s="787" t="s">
        <v>2015</v>
      </c>
      <c r="F106" s="788" t="s">
        <v>2016</v>
      </c>
      <c r="G106" s="722">
        <v>45416</v>
      </c>
      <c r="H106" s="567">
        <f>G106*K106</f>
        <v>326032.3808</v>
      </c>
      <c r="I106" s="851"/>
      <c r="J106" s="788"/>
      <c r="K106" s="597">
        <v>7.1788</v>
      </c>
      <c r="L106" s="856"/>
      <c r="M106" s="596"/>
      <c r="N106" s="1083"/>
      <c r="O106" s="994" t="s">
        <v>2017</v>
      </c>
      <c r="P106" s="727"/>
      <c r="Q106" s="652"/>
      <c r="R106" s="727"/>
      <c r="S106" s="727"/>
    </row>
    <row r="107" s="10" customFormat="1" ht="16.5" spans="1:19">
      <c r="A107" s="1076"/>
      <c r="B107" s="541"/>
      <c r="C107" s="721"/>
      <c r="D107" s="545"/>
      <c r="E107" s="1078"/>
      <c r="F107" s="788"/>
      <c r="G107" s="979"/>
      <c r="H107" s="567"/>
      <c r="I107" s="570"/>
      <c r="J107" s="577"/>
      <c r="K107" s="597">
        <v>7.1788</v>
      </c>
      <c r="L107" s="967"/>
      <c r="M107" s="1081"/>
      <c r="N107" s="1081"/>
      <c r="O107" s="824"/>
      <c r="P107" s="727"/>
      <c r="Q107" s="652"/>
      <c r="R107" s="727"/>
      <c r="S107" s="727"/>
    </row>
    <row r="108" s="10" customFormat="1" ht="16.5" spans="1:19">
      <c r="A108" s="1076"/>
      <c r="B108" s="541"/>
      <c r="C108" s="721"/>
      <c r="D108" s="545"/>
      <c r="E108" s="1109"/>
      <c r="F108" s="716"/>
      <c r="G108" s="979"/>
      <c r="H108" s="567"/>
      <c r="I108" s="850"/>
      <c r="J108" s="839"/>
      <c r="K108" s="597">
        <v>7.1788</v>
      </c>
      <c r="L108" s="598"/>
      <c r="M108" s="598"/>
      <c r="N108" s="863"/>
      <c r="O108" s="1114"/>
      <c r="P108" s="727"/>
      <c r="Q108" s="652"/>
      <c r="R108" s="727"/>
      <c r="S108" s="727"/>
    </row>
    <row r="109" s="10" customFormat="1" ht="16.5" spans="1:19">
      <c r="A109" s="721"/>
      <c r="B109" s="541"/>
      <c r="C109" s="673"/>
      <c r="D109" s="545"/>
      <c r="E109" s="1078"/>
      <c r="F109" s="788"/>
      <c r="G109" s="979"/>
      <c r="H109" s="567"/>
      <c r="I109" s="577"/>
      <c r="J109" s="577"/>
      <c r="K109" s="597">
        <v>7.1788</v>
      </c>
      <c r="L109" s="967"/>
      <c r="M109" s="1081"/>
      <c r="N109" s="1081"/>
      <c r="O109" s="824"/>
      <c r="P109" s="727"/>
      <c r="Q109" s="652"/>
      <c r="R109" s="727"/>
      <c r="S109" s="727"/>
    </row>
    <row r="110" s="10" customFormat="1" ht="16.5" spans="1:19">
      <c r="A110" s="721"/>
      <c r="B110" s="672"/>
      <c r="C110" s="716" t="s">
        <v>1874</v>
      </c>
      <c r="D110" s="716"/>
      <c r="E110" s="716"/>
      <c r="F110" s="716"/>
      <c r="G110" s="716"/>
      <c r="H110" s="804"/>
      <c r="I110" s="839"/>
      <c r="J110" s="839"/>
      <c r="K110" s="597">
        <v>7.1788</v>
      </c>
      <c r="L110" s="598"/>
      <c r="M110" s="598"/>
      <c r="N110" s="863"/>
      <c r="O110" s="997"/>
      <c r="P110" s="727"/>
      <c r="Q110" s="652"/>
      <c r="R110" s="727"/>
      <c r="S110" s="727"/>
    </row>
    <row r="111" s="10" customFormat="1" ht="16.5" spans="1:19">
      <c r="A111" s="1076"/>
      <c r="B111" s="564" t="s">
        <v>1875</v>
      </c>
      <c r="C111" s="250" t="s">
        <v>38</v>
      </c>
      <c r="D111" s="545" t="s">
        <v>1125</v>
      </c>
      <c r="E111" s="572" t="s">
        <v>152</v>
      </c>
      <c r="F111" s="250" t="s">
        <v>2018</v>
      </c>
      <c r="G111" s="725">
        <v>40000</v>
      </c>
      <c r="H111" s="567">
        <f>G111*K111</f>
        <v>287152</v>
      </c>
      <c r="I111" s="567"/>
      <c r="J111" s="567"/>
      <c r="K111" s="597">
        <v>7.1788</v>
      </c>
      <c r="L111" s="625" t="s">
        <v>1218</v>
      </c>
      <c r="M111" s="598"/>
      <c r="N111" s="863"/>
      <c r="O111" s="937" t="s">
        <v>2019</v>
      </c>
      <c r="P111" s="727"/>
      <c r="Q111" s="652"/>
      <c r="R111" s="727"/>
      <c r="S111" s="727" t="s">
        <v>10</v>
      </c>
    </row>
    <row r="112" s="10" customFormat="1" ht="16.5" spans="1:19">
      <c r="A112" s="1076"/>
      <c r="B112" s="721"/>
      <c r="C112" s="250"/>
      <c r="D112" s="545"/>
      <c r="E112" s="572" t="s">
        <v>143</v>
      </c>
      <c r="F112" s="250" t="s">
        <v>2020</v>
      </c>
      <c r="G112" s="725">
        <v>40000</v>
      </c>
      <c r="H112" s="567">
        <f t="shared" ref="H112:H127" si="12">G112*K112</f>
        <v>287152</v>
      </c>
      <c r="I112" s="567"/>
      <c r="J112" s="567"/>
      <c r="K112" s="597">
        <v>7.1788</v>
      </c>
      <c r="L112" s="625"/>
      <c r="M112" s="598"/>
      <c r="N112" s="863"/>
      <c r="O112" s="937"/>
      <c r="P112" s="727"/>
      <c r="Q112" s="652"/>
      <c r="R112" s="727"/>
      <c r="S112" s="727"/>
    </row>
    <row r="113" s="10" customFormat="1" ht="16.5" spans="1:19">
      <c r="A113" s="1076"/>
      <c r="B113" s="721"/>
      <c r="C113" s="250"/>
      <c r="D113" s="545"/>
      <c r="E113" s="572" t="s">
        <v>212</v>
      </c>
      <c r="F113" s="250" t="s">
        <v>2021</v>
      </c>
      <c r="G113" s="765">
        <v>450000</v>
      </c>
      <c r="H113" s="567">
        <f t="shared" si="12"/>
        <v>3230460</v>
      </c>
      <c r="I113" s="567"/>
      <c r="J113" s="567"/>
      <c r="K113" s="597">
        <v>7.1788</v>
      </c>
      <c r="L113" s="625"/>
      <c r="M113" s="598"/>
      <c r="N113" s="863"/>
      <c r="O113" s="937" t="s">
        <v>2022</v>
      </c>
      <c r="P113" s="727"/>
      <c r="Q113" s="652"/>
      <c r="R113" s="727"/>
      <c r="S113" s="727"/>
    </row>
    <row r="114" s="10" customFormat="1" ht="16.5" spans="1:19">
      <c r="A114" s="1076"/>
      <c r="B114" s="721"/>
      <c r="C114" s="250"/>
      <c r="D114" s="545"/>
      <c r="E114" s="572" t="s">
        <v>1121</v>
      </c>
      <c r="F114" s="250"/>
      <c r="G114" s="725">
        <v>35000</v>
      </c>
      <c r="H114" s="567">
        <f t="shared" si="12"/>
        <v>251258</v>
      </c>
      <c r="I114" s="567"/>
      <c r="J114" s="567"/>
      <c r="K114" s="597">
        <v>7.1788</v>
      </c>
      <c r="L114" s="625"/>
      <c r="M114" s="598"/>
      <c r="N114" s="863"/>
      <c r="O114" s="937"/>
      <c r="P114" s="727"/>
      <c r="Q114" s="652"/>
      <c r="R114" s="727"/>
      <c r="S114" s="727"/>
    </row>
    <row r="115" s="10" customFormat="1" ht="16.5" spans="1:19">
      <c r="A115" s="1076"/>
      <c r="B115" s="721"/>
      <c r="C115" s="564" t="s">
        <v>1987</v>
      </c>
      <c r="D115" s="545"/>
      <c r="E115" s="579" t="s">
        <v>2023</v>
      </c>
      <c r="F115" s="250"/>
      <c r="G115" s="725"/>
      <c r="H115" s="567">
        <f t="shared" si="12"/>
        <v>0</v>
      </c>
      <c r="I115" s="567"/>
      <c r="J115" s="567"/>
      <c r="K115" s="597">
        <v>7.1788</v>
      </c>
      <c r="L115" s="625"/>
      <c r="M115" s="598"/>
      <c r="N115" s="863"/>
      <c r="O115" s="994"/>
      <c r="P115" s="727"/>
      <c r="Q115" s="652"/>
      <c r="R115" s="727"/>
      <c r="S115" s="727"/>
    </row>
    <row r="116" s="10" customFormat="1" ht="16.5" spans="1:19">
      <c r="A116" s="1066"/>
      <c r="B116" s="721"/>
      <c r="C116" s="673"/>
      <c r="D116" s="545"/>
      <c r="E116" s="547" t="s">
        <v>2024</v>
      </c>
      <c r="F116" s="727"/>
      <c r="G116" s="727">
        <v>35000</v>
      </c>
      <c r="H116" s="567">
        <f t="shared" si="12"/>
        <v>251258</v>
      </c>
      <c r="I116" s="804"/>
      <c r="J116" s="804"/>
      <c r="K116" s="597">
        <v>7.1788</v>
      </c>
      <c r="L116" s="854"/>
      <c r="M116" s="854"/>
      <c r="N116" s="863"/>
      <c r="O116" s="997"/>
      <c r="P116" s="727"/>
      <c r="Q116" s="652"/>
      <c r="R116" s="727"/>
      <c r="S116" s="727"/>
    </row>
    <row r="117" s="10" customFormat="1" ht="16.5" spans="1:19">
      <c r="A117" s="721"/>
      <c r="B117" s="721"/>
      <c r="C117" s="250" t="s">
        <v>509</v>
      </c>
      <c r="D117" s="545"/>
      <c r="E117" s="787" t="s">
        <v>2025</v>
      </c>
      <c r="F117" s="788" t="s">
        <v>1238</v>
      </c>
      <c r="G117" s="1002">
        <v>88961</v>
      </c>
      <c r="H117" s="567">
        <f t="shared" si="12"/>
        <v>638633.2268</v>
      </c>
      <c r="I117" s="851"/>
      <c r="J117" s="788"/>
      <c r="K117" s="597">
        <v>7.1788</v>
      </c>
      <c r="L117" s="856"/>
      <c r="M117" s="596" t="s">
        <v>199</v>
      </c>
      <c r="N117" s="605"/>
      <c r="O117" s="994" t="s">
        <v>2026</v>
      </c>
      <c r="P117" s="727"/>
      <c r="Q117" s="652"/>
      <c r="R117" s="727"/>
      <c r="S117" s="727"/>
    </row>
    <row r="118" s="10" customFormat="1" ht="16.5" spans="1:19">
      <c r="A118" s="721"/>
      <c r="B118" s="721"/>
      <c r="C118" s="250"/>
      <c r="D118" s="545"/>
      <c r="E118" s="787" t="s">
        <v>284</v>
      </c>
      <c r="F118" s="788" t="s">
        <v>2027</v>
      </c>
      <c r="G118" s="1002">
        <v>100000</v>
      </c>
      <c r="H118" s="567">
        <f t="shared" si="12"/>
        <v>717880</v>
      </c>
      <c r="I118" s="851"/>
      <c r="J118" s="788"/>
      <c r="K118" s="597">
        <v>7.1788</v>
      </c>
      <c r="L118" s="856"/>
      <c r="M118" s="596"/>
      <c r="N118" s="605"/>
      <c r="O118" s="994" t="s">
        <v>2028</v>
      </c>
      <c r="P118" s="727"/>
      <c r="Q118" s="652"/>
      <c r="R118" s="727"/>
      <c r="S118" s="727"/>
    </row>
    <row r="119" s="10" customFormat="1" ht="16.5" spans="1:19">
      <c r="A119" s="721"/>
      <c r="B119" s="721"/>
      <c r="C119" s="250"/>
      <c r="D119" s="545"/>
      <c r="E119" s="787" t="s">
        <v>2029</v>
      </c>
      <c r="F119" s="788"/>
      <c r="G119" s="722">
        <v>4948</v>
      </c>
      <c r="H119" s="567">
        <f t="shared" si="12"/>
        <v>35520.7024</v>
      </c>
      <c r="I119" s="851"/>
      <c r="J119" s="788"/>
      <c r="K119" s="597">
        <v>7.1788</v>
      </c>
      <c r="L119" s="856"/>
      <c r="M119" s="596"/>
      <c r="N119" s="605"/>
      <c r="O119" s="994" t="s">
        <v>2030</v>
      </c>
      <c r="P119" s="727"/>
      <c r="Q119" s="652"/>
      <c r="R119" s="727"/>
      <c r="S119" s="727"/>
    </row>
    <row r="120" s="10" customFormat="1" ht="16.5" spans="1:19">
      <c r="A120" s="721"/>
      <c r="B120" s="721"/>
      <c r="C120" s="250"/>
      <c r="D120" s="545"/>
      <c r="E120" s="787" t="s">
        <v>1232</v>
      </c>
      <c r="F120" s="788"/>
      <c r="G120" s="722">
        <v>350000</v>
      </c>
      <c r="H120" s="567">
        <f t="shared" si="12"/>
        <v>2512580</v>
      </c>
      <c r="I120" s="851"/>
      <c r="J120" s="788"/>
      <c r="K120" s="597">
        <v>7.1788</v>
      </c>
      <c r="L120" s="856"/>
      <c r="M120" s="596"/>
      <c r="N120" s="605"/>
      <c r="O120" s="994"/>
      <c r="P120" s="727"/>
      <c r="Q120" s="652"/>
      <c r="R120" s="727"/>
      <c r="S120" s="727"/>
    </row>
    <row r="121" s="10" customFormat="1" ht="16.5" spans="1:19">
      <c r="A121" s="721"/>
      <c r="B121" s="721"/>
      <c r="C121" s="250"/>
      <c r="D121" s="545"/>
      <c r="E121" s="787" t="s">
        <v>2031</v>
      </c>
      <c r="F121" s="788" t="s">
        <v>2032</v>
      </c>
      <c r="G121" s="722">
        <v>82718</v>
      </c>
      <c r="H121" s="567">
        <f t="shared" si="12"/>
        <v>593815.9784</v>
      </c>
      <c r="I121" s="851"/>
      <c r="J121" s="788"/>
      <c r="K121" s="597">
        <v>7.1788</v>
      </c>
      <c r="L121" s="856"/>
      <c r="M121" s="596"/>
      <c r="N121" s="605"/>
      <c r="O121" s="994" t="s">
        <v>2033</v>
      </c>
      <c r="P121" s="727"/>
      <c r="Q121" s="652"/>
      <c r="R121" s="727"/>
      <c r="S121" s="727"/>
    </row>
    <row r="122" s="10" customFormat="1" ht="16.5" spans="1:19">
      <c r="A122" s="721"/>
      <c r="B122" s="721"/>
      <c r="C122" s="250"/>
      <c r="D122" s="545"/>
      <c r="E122" s="787" t="s">
        <v>2034</v>
      </c>
      <c r="F122" s="788" t="s">
        <v>2035</v>
      </c>
      <c r="G122" s="722">
        <v>25000</v>
      </c>
      <c r="H122" s="567">
        <f t="shared" si="12"/>
        <v>179470</v>
      </c>
      <c r="I122" s="851"/>
      <c r="J122" s="788"/>
      <c r="K122" s="597">
        <v>7.1788</v>
      </c>
      <c r="L122" s="856">
        <v>45167</v>
      </c>
      <c r="M122" s="596"/>
      <c r="N122" s="605"/>
      <c r="O122" s="994" t="s">
        <v>2036</v>
      </c>
      <c r="P122" s="727"/>
      <c r="Q122" s="652"/>
      <c r="R122" s="727"/>
      <c r="S122" s="727"/>
    </row>
    <row r="123" s="10" customFormat="1" ht="16.5" spans="1:19">
      <c r="A123" s="1076"/>
      <c r="B123" s="721"/>
      <c r="C123" s="721" t="s">
        <v>1393</v>
      </c>
      <c r="D123" s="545"/>
      <c r="E123" s="787" t="s">
        <v>841</v>
      </c>
      <c r="F123" s="788" t="s">
        <v>2037</v>
      </c>
      <c r="G123" s="722">
        <v>23225</v>
      </c>
      <c r="H123" s="567">
        <f t="shared" si="12"/>
        <v>166727.63</v>
      </c>
      <c r="I123" s="851"/>
      <c r="J123" s="788"/>
      <c r="K123" s="597">
        <v>7.1788</v>
      </c>
      <c r="L123" s="856"/>
      <c r="M123" s="596"/>
      <c r="N123" s="605"/>
      <c r="O123" s="994" t="s">
        <v>2038</v>
      </c>
      <c r="P123" s="727"/>
      <c r="Q123" s="652"/>
      <c r="R123" s="727"/>
      <c r="S123" s="727"/>
    </row>
    <row r="124" s="10" customFormat="1" ht="16.5" spans="1:19">
      <c r="A124" s="1076"/>
      <c r="B124" s="721"/>
      <c r="C124" s="721"/>
      <c r="D124" s="545"/>
      <c r="E124" s="787" t="s">
        <v>355</v>
      </c>
      <c r="F124" s="788"/>
      <c r="G124" s="722">
        <v>80000</v>
      </c>
      <c r="H124" s="567">
        <f t="shared" si="12"/>
        <v>574304</v>
      </c>
      <c r="I124" s="851"/>
      <c r="J124" s="788"/>
      <c r="K124" s="597">
        <v>7.1788</v>
      </c>
      <c r="L124" s="856"/>
      <c r="M124" s="596"/>
      <c r="N124" s="605"/>
      <c r="O124" s="994" t="s">
        <v>2039</v>
      </c>
      <c r="P124" s="727"/>
      <c r="Q124" s="652"/>
      <c r="R124" s="727"/>
      <c r="S124" s="727"/>
    </row>
    <row r="125" s="10" customFormat="1" ht="16.5" spans="1:19">
      <c r="A125" s="1076"/>
      <c r="B125" s="721"/>
      <c r="C125" s="721"/>
      <c r="D125" s="545"/>
      <c r="E125" s="787" t="s">
        <v>663</v>
      </c>
      <c r="F125" s="788"/>
      <c r="G125" s="722">
        <v>80000</v>
      </c>
      <c r="H125" s="567">
        <f t="shared" si="12"/>
        <v>574304</v>
      </c>
      <c r="I125" s="851"/>
      <c r="J125" s="788"/>
      <c r="K125" s="597">
        <v>7.1788</v>
      </c>
      <c r="L125" s="856"/>
      <c r="M125" s="596"/>
      <c r="N125" s="605"/>
      <c r="O125" s="994" t="s">
        <v>2040</v>
      </c>
      <c r="P125" s="727"/>
      <c r="Q125" s="652"/>
      <c r="R125" s="727"/>
      <c r="S125" s="727"/>
    </row>
    <row r="126" s="10" customFormat="1" ht="16.5" spans="1:19">
      <c r="A126" s="1076"/>
      <c r="B126" s="721"/>
      <c r="C126" s="721"/>
      <c r="D126" s="545"/>
      <c r="E126" s="787" t="s">
        <v>150</v>
      </c>
      <c r="F126" s="788" t="s">
        <v>2041</v>
      </c>
      <c r="G126" s="765">
        <v>100000</v>
      </c>
      <c r="H126" s="567">
        <f t="shared" si="12"/>
        <v>717880</v>
      </c>
      <c r="I126" s="851"/>
      <c r="J126" s="788"/>
      <c r="K126" s="597">
        <v>7.1788</v>
      </c>
      <c r="L126" s="856"/>
      <c r="M126" s="596"/>
      <c r="N126" s="605"/>
      <c r="O126" s="937"/>
      <c r="P126" s="727"/>
      <c r="Q126" s="652"/>
      <c r="R126" s="727"/>
      <c r="S126" s="727"/>
    </row>
    <row r="127" s="10" customFormat="1" ht="16.5" spans="1:19">
      <c r="A127" s="1066"/>
      <c r="B127" s="721"/>
      <c r="C127" s="721"/>
      <c r="D127" s="545"/>
      <c r="E127" s="787" t="s">
        <v>1051</v>
      </c>
      <c r="F127" s="788" t="s">
        <v>2042</v>
      </c>
      <c r="G127" s="722">
        <v>14800</v>
      </c>
      <c r="H127" s="567">
        <f t="shared" si="12"/>
        <v>106246.24</v>
      </c>
      <c r="I127" s="851"/>
      <c r="J127" s="788"/>
      <c r="K127" s="597">
        <v>7.1788</v>
      </c>
      <c r="L127" s="598" t="s">
        <v>1218</v>
      </c>
      <c r="M127" s="596"/>
      <c r="N127" s="605"/>
      <c r="O127" s="1044" t="s">
        <v>2043</v>
      </c>
      <c r="P127" s="727"/>
      <c r="Q127" s="652"/>
      <c r="R127" s="727"/>
      <c r="S127" s="727"/>
    </row>
    <row r="128" s="10" customFormat="1" ht="16.5" spans="1:19">
      <c r="A128" s="673"/>
      <c r="B128" s="673"/>
      <c r="C128" s="652" t="s">
        <v>1874</v>
      </c>
      <c r="D128" s="652"/>
      <c r="E128" s="652"/>
      <c r="F128" s="652"/>
      <c r="G128" s="652"/>
      <c r="H128" s="804">
        <f>SUM(H100:H127)</f>
        <v>15733572.6864</v>
      </c>
      <c r="I128" s="804"/>
      <c r="J128" s="804"/>
      <c r="K128" s="928"/>
      <c r="L128" s="854"/>
      <c r="M128" s="854"/>
      <c r="N128" s="863"/>
      <c r="O128" s="997"/>
      <c r="P128" s="727"/>
      <c r="Q128" s="652"/>
      <c r="R128" s="727"/>
      <c r="S128" s="727"/>
    </row>
    <row r="129" s="1065" customFormat="1" ht="9.6" customHeight="1" spans="1:19">
      <c r="A129" s="1085"/>
      <c r="B129" s="1085"/>
      <c r="C129" s="1086"/>
      <c r="D129" s="1087"/>
      <c r="E129" s="1087"/>
      <c r="F129" s="1088"/>
      <c r="G129" s="1088"/>
      <c r="H129" s="1089"/>
      <c r="I129" s="1089"/>
      <c r="J129" s="1089"/>
      <c r="K129" s="1088"/>
      <c r="L129" s="1088"/>
      <c r="M129" s="1091"/>
      <c r="N129" s="1092"/>
      <c r="O129" s="1093"/>
      <c r="P129" s="1088"/>
      <c r="Q129" s="1087"/>
      <c r="R129" s="1088"/>
      <c r="S129" s="1088"/>
    </row>
    <row r="130" s="10" customFormat="1" ht="16.5" spans="1:19">
      <c r="A130" s="738" t="s">
        <v>2044</v>
      </c>
      <c r="B130" s="780"/>
      <c r="C130" s="780"/>
      <c r="D130" s="652">
        <f t="shared" ref="D130:J130" si="13">D17+D54+D97</f>
        <v>1384</v>
      </c>
      <c r="E130" s="652"/>
      <c r="F130" s="727"/>
      <c r="G130" s="727" t="s">
        <v>1235</v>
      </c>
      <c r="H130" s="804">
        <f t="shared" si="13"/>
        <v>8703554.277196</v>
      </c>
      <c r="I130" s="804">
        <f t="shared" si="13"/>
        <v>573958.468</v>
      </c>
      <c r="J130" s="804">
        <f t="shared" si="13"/>
        <v>1888892.08</v>
      </c>
      <c r="K130" s="727"/>
      <c r="L130" s="727"/>
      <c r="M130" s="854"/>
      <c r="N130" s="854"/>
      <c r="O130" s="1015"/>
      <c r="P130" s="727"/>
      <c r="Q130" s="652"/>
      <c r="R130" s="727"/>
      <c r="S130" s="727"/>
    </row>
    <row r="131" s="10" customFormat="1" ht="16.5" spans="1:19">
      <c r="A131" s="780"/>
      <c r="B131" s="780"/>
      <c r="C131" s="780"/>
      <c r="D131" s="652"/>
      <c r="E131" s="652"/>
      <c r="F131" s="727"/>
      <c r="G131" s="727" t="s">
        <v>1236</v>
      </c>
      <c r="H131" s="796">
        <f>H130/(D130*10000)</f>
        <v>0.628869528699133</v>
      </c>
      <c r="I131" s="796">
        <f>I130/(D130*10000)</f>
        <v>0.0414709875722543</v>
      </c>
      <c r="J131" s="796">
        <f>J130/(D130*10000)</f>
        <v>0.136480641618497</v>
      </c>
      <c r="K131" s="727"/>
      <c r="L131" s="727"/>
      <c r="M131" s="854"/>
      <c r="N131" s="854"/>
      <c r="O131" s="1015"/>
      <c r="P131" s="727"/>
      <c r="Q131" s="727"/>
      <c r="R131" s="727"/>
      <c r="S131" s="727"/>
    </row>
    <row r="132" s="10" customFormat="1" ht="16.5" spans="1:19">
      <c r="A132" s="536"/>
      <c r="B132" s="536"/>
      <c r="C132" s="836"/>
      <c r="D132" s="837"/>
      <c r="E132" s="837"/>
      <c r="F132" s="836"/>
      <c r="G132" s="836"/>
      <c r="H132" s="850"/>
      <c r="I132" s="850"/>
      <c r="J132" s="850"/>
      <c r="K132" s="836"/>
      <c r="L132" s="836"/>
      <c r="M132" s="870"/>
      <c r="N132" s="870"/>
      <c r="O132" s="1016"/>
      <c r="P132" s="836"/>
      <c r="Q132" s="837"/>
      <c r="R132" s="836"/>
      <c r="S132" s="836"/>
    </row>
    <row r="133" s="10" customFormat="1" ht="16.5" spans="1:19">
      <c r="A133" s="536"/>
      <c r="B133" s="536"/>
      <c r="C133" s="836"/>
      <c r="D133" s="837"/>
      <c r="E133" s="837"/>
      <c r="F133" s="836" t="s">
        <v>139</v>
      </c>
      <c r="G133" s="836"/>
      <c r="H133" s="880"/>
      <c r="I133" s="880"/>
      <c r="J133" s="880"/>
      <c r="K133" s="836"/>
      <c r="L133" s="836"/>
      <c r="M133" s="870"/>
      <c r="N133" s="870"/>
      <c r="O133" s="1016"/>
      <c r="P133" s="836" t="s">
        <v>140</v>
      </c>
      <c r="Q133" s="837"/>
      <c r="R133" s="836"/>
      <c r="S133" s="836"/>
    </row>
    <row r="134" s="10" customFormat="1" ht="16.5" spans="1:19">
      <c r="A134" s="875" t="s">
        <v>1814</v>
      </c>
      <c r="B134" s="875"/>
      <c r="C134" s="875"/>
      <c r="D134" s="875"/>
      <c r="E134" s="875"/>
      <c r="F134" s="881"/>
      <c r="G134" s="1090"/>
      <c r="H134" s="850"/>
      <c r="I134" s="850"/>
      <c r="J134" s="850"/>
      <c r="K134" s="836"/>
      <c r="L134" s="836"/>
      <c r="M134" s="870"/>
      <c r="N134" s="870"/>
      <c r="O134" s="1016"/>
      <c r="P134" s="894"/>
      <c r="Q134" s="837"/>
      <c r="R134" s="836"/>
      <c r="S134" s="836"/>
    </row>
    <row r="135" s="10" customFormat="1" ht="16.5" spans="1:19">
      <c r="A135" s="875" t="s">
        <v>2045</v>
      </c>
      <c r="B135" s="875"/>
      <c r="C135" s="875"/>
      <c r="D135" s="875"/>
      <c r="E135" s="875"/>
      <c r="F135" s="875"/>
      <c r="G135" s="1090"/>
      <c r="J135" s="850"/>
      <c r="K135" s="836"/>
      <c r="L135" s="836"/>
      <c r="M135" s="870"/>
      <c r="N135" s="870"/>
      <c r="O135" s="1016"/>
      <c r="P135" s="894"/>
      <c r="Q135" s="837"/>
      <c r="R135" s="836"/>
      <c r="S135" s="836"/>
    </row>
    <row r="136" s="10" customFormat="1" ht="16.5" spans="1:19">
      <c r="A136" s="875" t="s">
        <v>2046</v>
      </c>
      <c r="B136" s="875"/>
      <c r="C136" s="875"/>
      <c r="D136" s="875"/>
      <c r="E136" s="875"/>
      <c r="F136" s="875"/>
      <c r="G136" s="1090"/>
      <c r="H136" s="850"/>
      <c r="I136" s="850"/>
      <c r="J136" s="850"/>
      <c r="K136" s="892"/>
      <c r="L136" s="836"/>
      <c r="M136" s="870"/>
      <c r="N136" s="870"/>
      <c r="O136" s="1016"/>
      <c r="P136" s="894"/>
      <c r="Q136" s="837"/>
      <c r="R136" s="836"/>
      <c r="S136" s="836"/>
    </row>
    <row r="137" s="10" customFormat="1" ht="16.5" spans="1:19">
      <c r="A137" s="875" t="s">
        <v>2047</v>
      </c>
      <c r="B137" s="875"/>
      <c r="C137" s="875"/>
      <c r="D137" s="875"/>
      <c r="E137" s="875"/>
      <c r="F137" s="875"/>
      <c r="G137" s="1090"/>
      <c r="H137" s="850"/>
      <c r="I137" s="850"/>
      <c r="J137" s="850"/>
      <c r="K137" s="836"/>
      <c r="L137" s="836"/>
      <c r="M137" s="870"/>
      <c r="N137" s="870"/>
      <c r="O137" s="1016"/>
      <c r="P137" s="894"/>
      <c r="Q137" s="837"/>
      <c r="R137" s="836"/>
      <c r="S137" s="836"/>
    </row>
    <row r="138" s="10" customFormat="1" ht="16.5" spans="1:19">
      <c r="A138" s="875"/>
      <c r="B138" s="875"/>
      <c r="C138" s="876"/>
      <c r="D138" s="876"/>
      <c r="E138" s="876"/>
      <c r="F138" s="876"/>
      <c r="G138" s="1090"/>
      <c r="H138" s="850"/>
      <c r="I138" s="850"/>
      <c r="J138" s="850"/>
      <c r="K138" s="893"/>
      <c r="L138" s="893"/>
      <c r="M138" s="870"/>
      <c r="N138" s="870"/>
      <c r="O138" s="1021"/>
      <c r="P138" s="894"/>
      <c r="Q138" s="837"/>
      <c r="R138" s="893"/>
      <c r="S138" s="893"/>
    </row>
    <row r="139" ht="16.5" spans="1:19">
      <c r="A139" s="875"/>
      <c r="B139" s="875"/>
      <c r="C139" s="876"/>
      <c r="D139" s="876"/>
      <c r="E139" s="876"/>
      <c r="F139" s="876"/>
      <c r="G139" s="1090"/>
      <c r="H139" s="850"/>
      <c r="I139" s="850"/>
      <c r="J139" s="850"/>
      <c r="K139" s="877"/>
      <c r="L139" s="877"/>
      <c r="M139" s="896"/>
      <c r="N139" s="896"/>
      <c r="O139" s="887"/>
      <c r="P139" s="876"/>
      <c r="Q139" s="878"/>
      <c r="R139" s="877"/>
      <c r="S139" s="877"/>
    </row>
    <row r="140" ht="16.5" spans="1:19">
      <c r="A140" s="417"/>
      <c r="B140" s="417"/>
      <c r="C140" s="877"/>
      <c r="D140" s="878"/>
      <c r="E140" s="878"/>
      <c r="F140" s="877"/>
      <c r="G140" s="877"/>
      <c r="H140" s="850"/>
      <c r="I140" s="850"/>
      <c r="J140" s="850"/>
      <c r="K140" s="877"/>
      <c r="L140" s="877"/>
      <c r="M140" s="896"/>
      <c r="N140" s="896"/>
      <c r="O140" s="887"/>
      <c r="P140" s="877"/>
      <c r="Q140" s="878"/>
      <c r="R140" s="877"/>
      <c r="S140" s="877"/>
    </row>
    <row r="141" ht="16.5" spans="1:19">
      <c r="A141" s="417"/>
      <c r="B141" s="417"/>
      <c r="C141" s="417"/>
      <c r="D141" s="879"/>
      <c r="E141" s="879"/>
      <c r="F141" s="417"/>
      <c r="G141" s="417"/>
      <c r="H141" s="880"/>
      <c r="I141" s="880"/>
      <c r="J141" s="880"/>
      <c r="K141" s="417"/>
      <c r="L141" s="417"/>
      <c r="M141" s="898"/>
      <c r="N141" s="898"/>
      <c r="O141" s="888"/>
      <c r="P141" s="417"/>
      <c r="Q141" s="900"/>
      <c r="R141" s="417"/>
      <c r="S141" s="417"/>
    </row>
    <row r="143" spans="12:12">
      <c r="L143" s="265"/>
    </row>
  </sheetData>
  <sheetProtection formatCells="0" insertHyperlinks="0" autoFilter="0"/>
  <mergeCells count="97">
    <mergeCell ref="A1:R1"/>
    <mergeCell ref="I19:J19"/>
    <mergeCell ref="M19:N19"/>
    <mergeCell ref="C23:G23"/>
    <mergeCell ref="C37:G37"/>
    <mergeCell ref="M39:N39"/>
    <mergeCell ref="M40:N40"/>
    <mergeCell ref="M41:N41"/>
    <mergeCell ref="M51:N51"/>
    <mergeCell ref="I56:J56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C66:G66"/>
    <mergeCell ref="M66:N66"/>
    <mergeCell ref="M67:N67"/>
    <mergeCell ref="M68:N68"/>
    <mergeCell ref="M69:N69"/>
    <mergeCell ref="M70:N70"/>
    <mergeCell ref="M71:N71"/>
    <mergeCell ref="M72:N72"/>
    <mergeCell ref="M73:N73"/>
    <mergeCell ref="M75:N75"/>
    <mergeCell ref="M76:N76"/>
    <mergeCell ref="M77:N77"/>
    <mergeCell ref="M78:N78"/>
    <mergeCell ref="M79:N79"/>
    <mergeCell ref="M80:N80"/>
    <mergeCell ref="C81:G81"/>
    <mergeCell ref="M99:N99"/>
    <mergeCell ref="C110:G110"/>
    <mergeCell ref="C128:G128"/>
    <mergeCell ref="A3:A37"/>
    <mergeCell ref="A39:A81"/>
    <mergeCell ref="A83:A128"/>
    <mergeCell ref="B3:B18"/>
    <mergeCell ref="B20:B23"/>
    <mergeCell ref="B24:B37"/>
    <mergeCell ref="B39:B55"/>
    <mergeCell ref="B57:B66"/>
    <mergeCell ref="B67:B81"/>
    <mergeCell ref="B83:B98"/>
    <mergeCell ref="B100:B110"/>
    <mergeCell ref="B111:B128"/>
    <mergeCell ref="C3:C10"/>
    <mergeCell ref="C11:C16"/>
    <mergeCell ref="C17:C18"/>
    <mergeCell ref="C21:C22"/>
    <mergeCell ref="C24:C28"/>
    <mergeCell ref="C29:C36"/>
    <mergeCell ref="C39:C41"/>
    <mergeCell ref="C42:C43"/>
    <mergeCell ref="C44:C52"/>
    <mergeCell ref="C54:C55"/>
    <mergeCell ref="C57:C61"/>
    <mergeCell ref="C63:C64"/>
    <mergeCell ref="C68:C72"/>
    <mergeCell ref="C73:C79"/>
    <mergeCell ref="C83:C85"/>
    <mergeCell ref="C87:C90"/>
    <mergeCell ref="C91:C96"/>
    <mergeCell ref="C97:C98"/>
    <mergeCell ref="C102:C105"/>
    <mergeCell ref="C106:C109"/>
    <mergeCell ref="C111:C114"/>
    <mergeCell ref="C115:C116"/>
    <mergeCell ref="C117:C122"/>
    <mergeCell ref="C123:C127"/>
    <mergeCell ref="D3:D10"/>
    <mergeCell ref="D11:D16"/>
    <mergeCell ref="D17:D18"/>
    <mergeCell ref="D20:D22"/>
    <mergeCell ref="D24:D36"/>
    <mergeCell ref="D39:D41"/>
    <mergeCell ref="D42:D43"/>
    <mergeCell ref="D45:D52"/>
    <mergeCell ref="D54:D55"/>
    <mergeCell ref="D57:D65"/>
    <mergeCell ref="D67:D80"/>
    <mergeCell ref="D83:D85"/>
    <mergeCell ref="D87:D90"/>
    <mergeCell ref="D91:D96"/>
    <mergeCell ref="D97:D98"/>
    <mergeCell ref="D100:D109"/>
    <mergeCell ref="D111:D127"/>
    <mergeCell ref="D130:D131"/>
    <mergeCell ref="E39:E41"/>
    <mergeCell ref="E57:E60"/>
    <mergeCell ref="O57:O59"/>
    <mergeCell ref="A130:C131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9"/>
  <dimension ref="A1:W67"/>
  <sheetViews>
    <sheetView workbookViewId="0">
      <pane ySplit="2" topLeftCell="A47" activePane="bottomLeft" state="frozen"/>
      <selection/>
      <selection pane="bottomLeft" activeCell="H49" sqref="H49"/>
    </sheetView>
  </sheetViews>
  <sheetFormatPr defaultColWidth="9" defaultRowHeight="13.5"/>
  <cols>
    <col min="3" max="3" width="10.0666666666667" customWidth="1"/>
    <col min="4" max="4" width="16.1083333333333" customWidth="1"/>
    <col min="5" max="5" width="20.0583333333333" style="1329" customWidth="1"/>
    <col min="6" max="6" width="11.6666666666667" customWidth="1"/>
    <col min="7" max="7" width="17.575" customWidth="1"/>
    <col min="8" max="8" width="15.1916666666667" customWidth="1"/>
    <col min="9" max="9" width="15.4166666666667" customWidth="1"/>
    <col min="11" max="11" width="11.9416666666667" customWidth="1"/>
    <col min="14" max="14" width="45.7166666666667" customWidth="1"/>
    <col min="17" max="17" width="13.125"/>
    <col min="19" max="19" width="13.2583333333333" customWidth="1"/>
    <col min="23" max="23" width="13.5" customWidth="1"/>
  </cols>
  <sheetData>
    <row r="1" s="10" customFormat="1" ht="21.65" customHeight="1" spans="1:23">
      <c r="A1" s="1094" t="s">
        <v>2048</v>
      </c>
      <c r="B1" s="1094"/>
      <c r="C1" s="1094"/>
      <c r="D1" s="1094"/>
      <c r="E1" s="1331"/>
      <c r="F1" s="1094"/>
      <c r="G1" s="1094"/>
      <c r="H1" s="1094"/>
      <c r="I1" s="1094"/>
      <c r="J1" s="1094"/>
      <c r="K1" s="1094"/>
      <c r="L1" s="1102"/>
      <c r="M1" s="1102"/>
      <c r="N1" s="1016"/>
      <c r="O1" s="1094"/>
      <c r="P1" s="1094"/>
      <c r="Q1" s="1094"/>
      <c r="R1" s="651"/>
      <c r="S1" s="651"/>
      <c r="T1" s="651"/>
      <c r="U1" s="651"/>
      <c r="V1" s="836"/>
      <c r="W1" s="1177"/>
    </row>
    <row r="2" s="10" customFormat="1" ht="30" spans="1:23">
      <c r="A2" s="780" t="s">
        <v>1092</v>
      </c>
      <c r="B2" s="1144" t="s">
        <v>1093</v>
      </c>
      <c r="C2" s="1145" t="s">
        <v>1821</v>
      </c>
      <c r="D2" s="1145" t="s">
        <v>1822</v>
      </c>
      <c r="E2" s="1332" t="s">
        <v>1095</v>
      </c>
      <c r="F2" s="1153" t="s">
        <v>362</v>
      </c>
      <c r="G2" s="1154" t="s">
        <v>1716</v>
      </c>
      <c r="H2" s="1154" t="s">
        <v>1717</v>
      </c>
      <c r="I2" s="1154" t="s">
        <v>1718</v>
      </c>
      <c r="J2" s="1164" t="s">
        <v>1096</v>
      </c>
      <c r="K2" s="1165" t="s">
        <v>1098</v>
      </c>
      <c r="L2" s="1166" t="s">
        <v>1097</v>
      </c>
      <c r="M2" s="1166" t="s">
        <v>1214</v>
      </c>
      <c r="N2" s="727" t="s">
        <v>1215</v>
      </c>
      <c r="O2" s="621" t="s">
        <v>7</v>
      </c>
      <c r="P2" s="652" t="s">
        <v>8</v>
      </c>
      <c r="Q2" s="653" t="s">
        <v>9</v>
      </c>
      <c r="R2" s="654" t="s">
        <v>1291</v>
      </c>
      <c r="S2" s="654" t="s">
        <v>13</v>
      </c>
      <c r="T2" s="1170" t="s">
        <v>14</v>
      </c>
      <c r="U2" s="1178" t="s">
        <v>15</v>
      </c>
      <c r="V2" s="1179" t="s">
        <v>1100</v>
      </c>
      <c r="W2" s="1180" t="s">
        <v>1101</v>
      </c>
    </row>
    <row r="3" s="10" customFormat="1" ht="16.5" spans="1:23">
      <c r="A3" s="721" t="s">
        <v>2049</v>
      </c>
      <c r="B3" s="671" t="s">
        <v>1825</v>
      </c>
      <c r="C3" s="557">
        <v>46</v>
      </c>
      <c r="D3" s="716" t="s">
        <v>2050</v>
      </c>
      <c r="E3" s="1197" t="s">
        <v>2051</v>
      </c>
      <c r="F3" s="1002">
        <v>2310</v>
      </c>
      <c r="G3" s="603">
        <f>F3*J3</f>
        <v>16048.725</v>
      </c>
      <c r="H3" s="603">
        <v>16049</v>
      </c>
      <c r="I3" s="603">
        <v>16049</v>
      </c>
      <c r="J3" s="819">
        <v>6.9475</v>
      </c>
      <c r="K3" s="610">
        <v>44935</v>
      </c>
      <c r="L3" s="644">
        <v>44932</v>
      </c>
      <c r="M3" s="644">
        <v>44944</v>
      </c>
      <c r="N3" s="706" t="s">
        <v>2052</v>
      </c>
      <c r="O3" s="731"/>
      <c r="P3" s="655"/>
      <c r="Q3" s="664"/>
      <c r="R3" s="602"/>
      <c r="S3" s="602"/>
      <c r="T3" s="1172"/>
      <c r="U3" s="715"/>
      <c r="V3" s="715"/>
      <c r="W3" s="1182"/>
    </row>
    <row r="4" s="10" customFormat="1" ht="16.5" spans="1:23">
      <c r="A4" s="1147"/>
      <c r="B4" s="1146"/>
      <c r="C4" s="545"/>
      <c r="D4" s="250" t="s">
        <v>1722</v>
      </c>
      <c r="E4" s="648" t="s">
        <v>1723</v>
      </c>
      <c r="F4" s="1002"/>
      <c r="G4" s="596"/>
      <c r="H4" s="603"/>
      <c r="I4" s="603">
        <v>192307.5</v>
      </c>
      <c r="J4" s="819">
        <v>6.9475</v>
      </c>
      <c r="K4" s="598"/>
      <c r="L4" s="856"/>
      <c r="M4" s="856">
        <v>44563</v>
      </c>
      <c r="N4" s="1030" t="s">
        <v>2053</v>
      </c>
      <c r="O4" s="1275"/>
      <c r="P4" s="716"/>
      <c r="Q4" s="715"/>
      <c r="R4" s="602"/>
      <c r="S4" s="602"/>
      <c r="T4" s="1172"/>
      <c r="U4" s="715"/>
      <c r="V4" s="715"/>
      <c r="W4" s="1182"/>
    </row>
    <row r="5" s="10" customFormat="1" ht="16.5" spans="1:23">
      <c r="A5" s="1147"/>
      <c r="B5" s="1146"/>
      <c r="C5" s="545"/>
      <c r="D5" s="250" t="s">
        <v>157</v>
      </c>
      <c r="E5" s="648" t="s">
        <v>2054</v>
      </c>
      <c r="F5" s="1002"/>
      <c r="G5" s="603"/>
      <c r="H5" s="603"/>
      <c r="I5" s="603">
        <v>540476.6675</v>
      </c>
      <c r="J5" s="819">
        <v>6.9475</v>
      </c>
      <c r="L5" s="644"/>
      <c r="M5" s="644">
        <v>44567</v>
      </c>
      <c r="N5" s="1030" t="s">
        <v>2053</v>
      </c>
      <c r="O5" s="1026"/>
      <c r="P5" s="716"/>
      <c r="Q5" s="715"/>
      <c r="R5" s="602"/>
      <c r="S5" s="602"/>
      <c r="T5" s="1172"/>
      <c r="U5" s="715"/>
      <c r="V5" s="715"/>
      <c r="W5" s="1182"/>
    </row>
    <row r="6" s="10" customFormat="1" ht="16.5" spans="1:23">
      <c r="A6" s="1147"/>
      <c r="B6" s="1146"/>
      <c r="C6" s="545"/>
      <c r="D6" s="572" t="s">
        <v>2055</v>
      </c>
      <c r="E6" s="1197" t="s">
        <v>2056</v>
      </c>
      <c r="F6" s="1002">
        <v>2992</v>
      </c>
      <c r="G6" s="603">
        <f>F6*J7</f>
        <v>20786.92</v>
      </c>
      <c r="H6" s="603">
        <v>20787</v>
      </c>
      <c r="I6" s="603">
        <v>20787</v>
      </c>
      <c r="J6" s="819">
        <v>6.9475</v>
      </c>
      <c r="K6" s="598" t="s">
        <v>1218</v>
      </c>
      <c r="L6" s="644">
        <v>44939</v>
      </c>
      <c r="M6" s="644">
        <v>44947</v>
      </c>
      <c r="N6" s="1030" t="s">
        <v>2057</v>
      </c>
      <c r="O6" s="1026"/>
      <c r="P6" s="716"/>
      <c r="Q6" s="715"/>
      <c r="R6" s="602"/>
      <c r="S6" s="602"/>
      <c r="T6" s="1172"/>
      <c r="U6" s="715"/>
      <c r="V6" s="715"/>
      <c r="W6" s="1182"/>
    </row>
    <row r="7" s="10" customFormat="1" ht="16.5" spans="1:23">
      <c r="A7" s="1147"/>
      <c r="B7" s="1146"/>
      <c r="C7" s="545"/>
      <c r="D7" s="572" t="s">
        <v>161</v>
      </c>
      <c r="E7" s="568" t="s">
        <v>2058</v>
      </c>
      <c r="F7" s="1002"/>
      <c r="G7" s="603"/>
      <c r="H7" s="603"/>
      <c r="I7" s="603">
        <v>174833</v>
      </c>
      <c r="J7" s="819">
        <v>6.9475</v>
      </c>
      <c r="K7" s="598"/>
      <c r="L7" s="644"/>
      <c r="M7" s="644"/>
      <c r="N7" s="706" t="s">
        <v>2053</v>
      </c>
      <c r="O7" s="1026"/>
      <c r="P7" s="716"/>
      <c r="Q7" s="715"/>
      <c r="R7" s="602"/>
      <c r="S7" s="602"/>
      <c r="T7" s="1172"/>
      <c r="U7" s="715"/>
      <c r="V7" s="715"/>
      <c r="W7" s="1182"/>
    </row>
    <row r="8" s="10" customFormat="1" ht="16.5" spans="1:23">
      <c r="A8" s="721"/>
      <c r="B8" s="1246"/>
      <c r="C8" s="968"/>
      <c r="D8" s="250" t="s">
        <v>1391</v>
      </c>
      <c r="E8" s="788" t="s">
        <v>1744</v>
      </c>
      <c r="F8" s="576"/>
      <c r="G8" s="596"/>
      <c r="H8" s="603"/>
      <c r="I8" s="603">
        <v>339442</v>
      </c>
      <c r="J8" s="819">
        <v>6.9475</v>
      </c>
      <c r="K8" s="598"/>
      <c r="L8" s="645">
        <v>44923</v>
      </c>
      <c r="M8" s="645">
        <v>44565</v>
      </c>
      <c r="N8" s="706" t="s">
        <v>2053</v>
      </c>
      <c r="O8" s="1336"/>
      <c r="P8" s="655"/>
      <c r="Q8" s="664"/>
      <c r="R8" s="602"/>
      <c r="S8" s="602"/>
      <c r="T8" s="1172"/>
      <c r="U8" s="715"/>
      <c r="V8" s="715"/>
      <c r="W8" s="1182"/>
    </row>
    <row r="9" s="10" customFormat="1" ht="16.5" spans="1:23">
      <c r="A9" s="721"/>
      <c r="B9" s="671" t="s">
        <v>224</v>
      </c>
      <c r="C9" s="557">
        <v>54</v>
      </c>
      <c r="D9" s="250" t="s">
        <v>53</v>
      </c>
      <c r="E9" s="568" t="s">
        <v>1729</v>
      </c>
      <c r="F9" s="562"/>
      <c r="G9" s="603"/>
      <c r="H9" s="603"/>
      <c r="I9" s="596">
        <v>285334.4725</v>
      </c>
      <c r="J9" s="819">
        <v>6.9475</v>
      </c>
      <c r="K9" s="610"/>
      <c r="L9" s="855">
        <v>45287</v>
      </c>
      <c r="M9" s="855">
        <v>44563</v>
      </c>
      <c r="N9" s="706" t="s">
        <v>2053</v>
      </c>
      <c r="O9" s="903"/>
      <c r="P9" s="716"/>
      <c r="Q9" s="715"/>
      <c r="R9" s="602"/>
      <c r="S9" s="602"/>
      <c r="T9" s="1172"/>
      <c r="U9" s="715"/>
      <c r="V9" s="715"/>
      <c r="W9" s="1182"/>
    </row>
    <row r="10" s="10" customFormat="1" ht="17.25" spans="1:23">
      <c r="A10" s="721"/>
      <c r="B10" s="671"/>
      <c r="C10" s="557"/>
      <c r="D10" s="1330" t="s">
        <v>400</v>
      </c>
      <c r="E10" s="568" t="s">
        <v>1782</v>
      </c>
      <c r="F10" s="562"/>
      <c r="G10" s="603"/>
      <c r="H10" s="603"/>
      <c r="I10" s="596">
        <v>118668</v>
      </c>
      <c r="J10" s="819">
        <v>6.9475</v>
      </c>
      <c r="K10" s="610"/>
      <c r="L10" s="855"/>
      <c r="M10" s="645">
        <v>44562</v>
      </c>
      <c r="N10" s="706" t="s">
        <v>2053</v>
      </c>
      <c r="O10" s="903"/>
      <c r="P10" s="716"/>
      <c r="Q10" s="715"/>
      <c r="R10" s="602"/>
      <c r="S10" s="602"/>
      <c r="T10" s="1172"/>
      <c r="U10" s="715"/>
      <c r="V10" s="715"/>
      <c r="W10" s="1182"/>
    </row>
    <row r="11" s="10" customFormat="1" ht="16.5" spans="1:23">
      <c r="A11" s="721"/>
      <c r="B11" s="671"/>
      <c r="C11" s="557"/>
      <c r="D11" s="250" t="s">
        <v>283</v>
      </c>
      <c r="E11" s="568" t="s">
        <v>1727</v>
      </c>
      <c r="F11" s="562"/>
      <c r="G11" s="596"/>
      <c r="H11" s="596"/>
      <c r="I11" s="596">
        <v>261681</v>
      </c>
      <c r="J11" s="819">
        <v>6.9475</v>
      </c>
      <c r="K11" s="610"/>
      <c r="L11" s="855">
        <v>45287</v>
      </c>
      <c r="M11" s="855">
        <v>44929</v>
      </c>
      <c r="N11" s="706" t="s">
        <v>2053</v>
      </c>
      <c r="O11" s="903"/>
      <c r="P11" s="716"/>
      <c r="Q11" s="715"/>
      <c r="R11" s="602"/>
      <c r="S11" s="602"/>
      <c r="T11" s="1172"/>
      <c r="U11" s="715"/>
      <c r="V11" s="715"/>
      <c r="W11" s="1182"/>
    </row>
    <row r="12" s="10" customFormat="1" ht="16.5" spans="1:23">
      <c r="A12" s="721"/>
      <c r="B12" s="671"/>
      <c r="C12" s="557"/>
      <c r="D12" s="250" t="s">
        <v>283</v>
      </c>
      <c r="E12" s="1197" t="s">
        <v>2059</v>
      </c>
      <c r="F12" s="562">
        <v>100</v>
      </c>
      <c r="G12" s="596">
        <f t="shared" ref="G12:G17" si="0">F12*J12</f>
        <v>694.75</v>
      </c>
      <c r="H12" s="860">
        <v>695</v>
      </c>
      <c r="I12" s="596">
        <v>695</v>
      </c>
      <c r="J12" s="819">
        <v>6.9475</v>
      </c>
      <c r="K12" s="610"/>
      <c r="L12" s="855"/>
      <c r="M12" s="855"/>
      <c r="N12" s="706" t="s">
        <v>2060</v>
      </c>
      <c r="O12" s="903"/>
      <c r="P12" s="716"/>
      <c r="Q12" s="715"/>
      <c r="R12" s="602"/>
      <c r="S12" s="602"/>
      <c r="T12" s="1172"/>
      <c r="U12" s="715"/>
      <c r="V12" s="715"/>
      <c r="W12" s="1182"/>
    </row>
    <row r="13" s="10" customFormat="1" ht="16.5" spans="1:23">
      <c r="A13" s="721"/>
      <c r="B13" s="671"/>
      <c r="C13" s="557"/>
      <c r="D13" s="250" t="s">
        <v>840</v>
      </c>
      <c r="E13" s="1197" t="s">
        <v>2061</v>
      </c>
      <c r="F13" s="562">
        <v>37525</v>
      </c>
      <c r="G13" s="596">
        <f t="shared" si="0"/>
        <v>260704.9375</v>
      </c>
      <c r="H13" s="860">
        <f>F13*J13</f>
        <v>260704.9375</v>
      </c>
      <c r="I13" s="596"/>
      <c r="J13" s="819">
        <v>6.9475</v>
      </c>
      <c r="K13" s="598" t="s">
        <v>1218</v>
      </c>
      <c r="L13" s="855">
        <v>44957</v>
      </c>
      <c r="M13" s="855">
        <v>44965</v>
      </c>
      <c r="N13" s="1325" t="s">
        <v>228</v>
      </c>
      <c r="O13" s="903"/>
      <c r="P13" s="716"/>
      <c r="Q13" s="715"/>
      <c r="R13" s="602"/>
      <c r="S13" s="602"/>
      <c r="T13" s="1172"/>
      <c r="U13" s="715"/>
      <c r="V13" s="715"/>
      <c r="W13" s="1182"/>
    </row>
    <row r="14" s="10" customFormat="1" ht="16.5" spans="1:23">
      <c r="A14" s="721"/>
      <c r="B14" s="671"/>
      <c r="C14" s="557"/>
      <c r="D14" s="561" t="s">
        <v>2062</v>
      </c>
      <c r="E14" s="1197" t="s">
        <v>1508</v>
      </c>
      <c r="F14" s="722">
        <v>25950</v>
      </c>
      <c r="G14" s="603">
        <f t="shared" si="0"/>
        <v>180287.625</v>
      </c>
      <c r="H14" s="735">
        <v>180287.625</v>
      </c>
      <c r="I14" s="603">
        <v>180287.625</v>
      </c>
      <c r="J14" s="819">
        <v>6.9475</v>
      </c>
      <c r="K14" s="598" t="s">
        <v>1218</v>
      </c>
      <c r="L14" s="598">
        <v>44929</v>
      </c>
      <c r="M14" s="855">
        <v>44933</v>
      </c>
      <c r="N14" s="1325" t="s">
        <v>228</v>
      </c>
      <c r="O14" s="572" t="s">
        <v>2063</v>
      </c>
      <c r="P14" s="623" t="s">
        <v>1656</v>
      </c>
      <c r="Q14" s="744"/>
      <c r="R14" s="602"/>
      <c r="S14" s="602"/>
      <c r="T14" s="1172"/>
      <c r="U14" s="715"/>
      <c r="V14" s="715"/>
      <c r="W14" s="1182"/>
    </row>
    <row r="15" s="10" customFormat="1" ht="16.5" spans="1:23">
      <c r="A15" s="721"/>
      <c r="B15" s="671"/>
      <c r="C15" s="557"/>
      <c r="D15" s="715" t="s">
        <v>1038</v>
      </c>
      <c r="E15" s="1197" t="s">
        <v>2064</v>
      </c>
      <c r="F15" s="722">
        <v>31502</v>
      </c>
      <c r="G15" s="603">
        <f t="shared" si="0"/>
        <v>218860.145</v>
      </c>
      <c r="H15" s="577">
        <v>218860.145</v>
      </c>
      <c r="I15" s="577">
        <v>218860.145</v>
      </c>
      <c r="J15" s="819">
        <v>6.9475</v>
      </c>
      <c r="K15" s="598">
        <v>44915</v>
      </c>
      <c r="L15" s="598">
        <v>44936</v>
      </c>
      <c r="M15" s="855">
        <v>44937</v>
      </c>
      <c r="N15" s="1325" t="s">
        <v>228</v>
      </c>
      <c r="O15" s="744"/>
      <c r="P15" s="623" t="s">
        <v>1671</v>
      </c>
      <c r="Q15" s="945"/>
      <c r="R15" s="744"/>
      <c r="S15" s="744"/>
      <c r="T15" s="744"/>
      <c r="U15" s="744"/>
      <c r="V15" s="744"/>
      <c r="W15" s="744"/>
    </row>
    <row r="16" s="10" customFormat="1" ht="16.5" spans="1:23">
      <c r="A16" s="721"/>
      <c r="B16" s="671"/>
      <c r="C16" s="557"/>
      <c r="D16" s="715" t="s">
        <v>335</v>
      </c>
      <c r="E16" s="1197" t="s">
        <v>1712</v>
      </c>
      <c r="F16" s="722">
        <v>35843</v>
      </c>
      <c r="G16" s="603">
        <f t="shared" si="0"/>
        <v>249019.2425</v>
      </c>
      <c r="H16" s="577">
        <v>249019.2425</v>
      </c>
      <c r="I16" s="577">
        <v>249019.2425</v>
      </c>
      <c r="J16" s="819">
        <v>6.9475</v>
      </c>
      <c r="K16" s="598">
        <v>44910</v>
      </c>
      <c r="L16" s="598">
        <v>44929</v>
      </c>
      <c r="M16" s="855">
        <v>44937</v>
      </c>
      <c r="N16" s="1325" t="s">
        <v>228</v>
      </c>
      <c r="P16" s="623" t="s">
        <v>1671</v>
      </c>
      <c r="Q16" s="744"/>
      <c r="R16" s="754"/>
      <c r="S16" s="744"/>
      <c r="T16" s="992"/>
      <c r="U16" s="608"/>
      <c r="V16" s="1209"/>
      <c r="W16" s="1210"/>
    </row>
    <row r="17" s="10" customFormat="1" ht="16.5" spans="1:23">
      <c r="A17" s="721"/>
      <c r="B17" s="1194"/>
      <c r="C17" s="557"/>
      <c r="D17" s="715" t="s">
        <v>638</v>
      </c>
      <c r="E17" s="1197" t="s">
        <v>2065</v>
      </c>
      <c r="F17" s="722">
        <v>16455</v>
      </c>
      <c r="G17" s="603">
        <f t="shared" si="0"/>
        <v>114321.1125</v>
      </c>
      <c r="H17" s="603">
        <f>G17</f>
        <v>114321.1125</v>
      </c>
      <c r="I17" s="735"/>
      <c r="J17" s="819">
        <v>6.9475</v>
      </c>
      <c r="K17" s="598" t="s">
        <v>1218</v>
      </c>
      <c r="L17" s="598">
        <v>44956</v>
      </c>
      <c r="M17" s="855">
        <v>44961</v>
      </c>
      <c r="N17" s="706" t="s">
        <v>2066</v>
      </c>
      <c r="O17" s="1337" t="s">
        <v>2067</v>
      </c>
      <c r="P17" s="623" t="s">
        <v>2068</v>
      </c>
      <c r="Q17" s="656"/>
      <c r="R17" s="754"/>
      <c r="S17" s="744"/>
      <c r="T17" s="992"/>
      <c r="U17" s="608"/>
      <c r="V17" s="1209"/>
      <c r="W17" s="1210"/>
    </row>
    <row r="18" s="10" customFormat="1" ht="16.5" spans="1:23">
      <c r="A18" s="1147"/>
      <c r="B18" s="1244" t="s">
        <v>1124</v>
      </c>
      <c r="C18" s="1149">
        <f>SUM(C3:C16)</f>
        <v>100</v>
      </c>
      <c r="D18" s="1150"/>
      <c r="E18" s="1333"/>
      <c r="F18" s="1159" t="s">
        <v>1235</v>
      </c>
      <c r="G18" s="1158">
        <f>SUM(G3:G17)</f>
        <v>1060723.4575</v>
      </c>
      <c r="H18" s="1158">
        <f>SUM(H3:H17)</f>
        <v>1060724.0625</v>
      </c>
      <c r="I18" s="1158">
        <f>SUM(I3:I17)</f>
        <v>2598440.6525</v>
      </c>
      <c r="J18" s="1168"/>
      <c r="K18" s="610"/>
      <c r="L18" s="645"/>
      <c r="M18" s="645"/>
      <c r="N18" s="706"/>
      <c r="O18" s="642"/>
      <c r="P18" s="655"/>
      <c r="Q18" s="664"/>
      <c r="R18" s="602"/>
      <c r="S18" s="1340"/>
      <c r="T18" s="1172"/>
      <c r="U18" s="715"/>
      <c r="V18" s="715"/>
      <c r="W18" s="1182"/>
    </row>
    <row r="19" s="10" customFormat="1" ht="16.5" spans="1:23">
      <c r="A19" s="1151"/>
      <c r="B19" s="1244"/>
      <c r="C19" s="1149"/>
      <c r="D19" s="1149"/>
      <c r="E19" s="1334"/>
      <c r="F19" s="1159" t="s">
        <v>1236</v>
      </c>
      <c r="G19" s="1160">
        <f>G18/1000000</f>
        <v>1.0607234575</v>
      </c>
      <c r="H19" s="1160">
        <f>H18/1000000</f>
        <v>1.0607240625</v>
      </c>
      <c r="I19" s="1160">
        <f>I18/1000000</f>
        <v>2.5984406525</v>
      </c>
      <c r="J19" s="1168"/>
      <c r="K19" s="858"/>
      <c r="L19" s="821"/>
      <c r="M19" s="821"/>
      <c r="N19" s="1015"/>
      <c r="O19" s="804"/>
      <c r="P19" s="652"/>
      <c r="Q19" s="653"/>
      <c r="R19" s="809"/>
      <c r="S19" s="809">
        <v>0</v>
      </c>
      <c r="T19" s="809">
        <v>0</v>
      </c>
      <c r="U19" s="1184"/>
      <c r="V19" s="1184"/>
      <c r="W19" s="1185"/>
    </row>
    <row r="20" s="10" customFormat="1" ht="16.5" spans="1:23">
      <c r="A20" s="541" t="s">
        <v>2069</v>
      </c>
      <c r="B20" s="664" t="s">
        <v>1248</v>
      </c>
      <c r="C20" s="557">
        <v>125</v>
      </c>
      <c r="D20" s="561" t="s">
        <v>299</v>
      </c>
      <c r="E20" s="1335" t="s">
        <v>2070</v>
      </c>
      <c r="F20" s="969">
        <f>P20*Q20</f>
        <v>52290</v>
      </c>
      <c r="G20" s="577">
        <f t="shared" ref="G20:I20" si="1">J20*F20</f>
        <v>363284.775</v>
      </c>
      <c r="H20" s="577">
        <v>363284.775</v>
      </c>
      <c r="I20" s="577">
        <v>363284.775</v>
      </c>
      <c r="J20" s="819">
        <v>6.9475</v>
      </c>
      <c r="K20" s="610">
        <v>44923</v>
      </c>
      <c r="L20" s="645">
        <v>44929</v>
      </c>
      <c r="M20" s="645">
        <v>44932</v>
      </c>
      <c r="N20" s="715" t="s">
        <v>2071</v>
      </c>
      <c r="O20" s="597" t="s">
        <v>817</v>
      </c>
      <c r="P20" s="751">
        <v>315</v>
      </c>
      <c r="Q20" s="752">
        <v>166</v>
      </c>
      <c r="R20" s="992"/>
      <c r="S20" s="1341"/>
      <c r="T20" s="1204"/>
      <c r="U20" s="1344"/>
      <c r="V20" s="1211"/>
      <c r="W20" s="1182"/>
    </row>
    <row r="21" s="10" customFormat="1" ht="18.75" customHeight="1" spans="1:23">
      <c r="A21" s="541"/>
      <c r="B21" s="664" t="s">
        <v>1437</v>
      </c>
      <c r="C21" s="655">
        <v>39</v>
      </c>
      <c r="D21" s="716" t="s">
        <v>165</v>
      </c>
      <c r="E21" s="568" t="s">
        <v>1787</v>
      </c>
      <c r="F21" s="722">
        <v>37495</v>
      </c>
      <c r="G21" s="603"/>
      <c r="H21" s="577"/>
      <c r="I21" s="577">
        <v>267058.1375</v>
      </c>
      <c r="J21" s="819">
        <v>6.9475</v>
      </c>
      <c r="K21" s="598" t="s">
        <v>1218</v>
      </c>
      <c r="L21" s="856">
        <v>44923</v>
      </c>
      <c r="M21" s="645">
        <v>44931</v>
      </c>
      <c r="N21" s="715" t="s">
        <v>1788</v>
      </c>
      <c r="O21" s="572"/>
      <c r="P21" s="623" t="s">
        <v>1671</v>
      </c>
      <c r="Q21" s="656"/>
      <c r="R21" s="754"/>
      <c r="S21" s="754"/>
      <c r="T21" s="992"/>
      <c r="U21" s="608"/>
      <c r="V21" s="1209"/>
      <c r="W21" s="1210"/>
    </row>
    <row r="22" s="10" customFormat="1" ht="18.75" customHeight="1" spans="1:23">
      <c r="A22" s="541"/>
      <c r="B22" s="664"/>
      <c r="C22" s="655"/>
      <c r="D22" s="716"/>
      <c r="E22" s="1197" t="s">
        <v>2072</v>
      </c>
      <c r="F22" s="722">
        <v>47430</v>
      </c>
      <c r="G22" s="603">
        <f t="shared" ref="G22:G30" si="2">F22*J22</f>
        <v>329519.925</v>
      </c>
      <c r="H22" s="577">
        <v>329519.925</v>
      </c>
      <c r="I22" s="577">
        <v>329519.925</v>
      </c>
      <c r="J22" s="819">
        <v>6.9475</v>
      </c>
      <c r="K22" s="598" t="s">
        <v>1218</v>
      </c>
      <c r="L22" s="645">
        <v>44938</v>
      </c>
      <c r="M22" s="645">
        <v>44941</v>
      </c>
      <c r="N22" s="1338" t="s">
        <v>2073</v>
      </c>
      <c r="O22" s="572"/>
      <c r="P22" s="623" t="s">
        <v>1671</v>
      </c>
      <c r="Q22" s="656"/>
      <c r="R22" s="754"/>
      <c r="S22" s="754"/>
      <c r="T22" s="992"/>
      <c r="U22" s="608"/>
      <c r="V22" s="1209"/>
      <c r="W22" s="1210"/>
    </row>
    <row r="23" s="10" customFormat="1" ht="18.75" customHeight="1" spans="1:23">
      <c r="A23" s="541"/>
      <c r="B23" s="664"/>
      <c r="C23" s="655"/>
      <c r="D23" s="716"/>
      <c r="E23" s="1197" t="s">
        <v>2074</v>
      </c>
      <c r="F23" s="722">
        <v>22230</v>
      </c>
      <c r="G23" s="603">
        <f t="shared" si="2"/>
        <v>154442.925</v>
      </c>
      <c r="H23" s="577">
        <v>154442.925</v>
      </c>
      <c r="I23" s="577">
        <v>154442.925</v>
      </c>
      <c r="J23" s="819">
        <v>6.9475</v>
      </c>
      <c r="K23" s="598" t="s">
        <v>1218</v>
      </c>
      <c r="L23" s="645">
        <v>44938</v>
      </c>
      <c r="M23" s="645">
        <v>44941</v>
      </c>
      <c r="N23" s="1339"/>
      <c r="O23" s="572" t="s">
        <v>2075</v>
      </c>
      <c r="P23" s="623" t="s">
        <v>1671</v>
      </c>
      <c r="Q23" s="656"/>
      <c r="R23" s="754"/>
      <c r="S23" s="754"/>
      <c r="T23" s="992"/>
      <c r="U23" s="608"/>
      <c r="V23" s="1209"/>
      <c r="W23" s="1210"/>
    </row>
    <row r="24" s="10" customFormat="1" ht="18.75" customHeight="1" spans="1:23">
      <c r="A24" s="669"/>
      <c r="B24" s="664" t="s">
        <v>209</v>
      </c>
      <c r="C24" s="759">
        <v>108</v>
      </c>
      <c r="D24" s="568" t="s">
        <v>274</v>
      </c>
      <c r="E24" s="1197" t="s">
        <v>1803</v>
      </c>
      <c r="F24" s="969">
        <v>14722</v>
      </c>
      <c r="G24" s="577">
        <f t="shared" si="2"/>
        <v>102281.095</v>
      </c>
      <c r="H24" s="577">
        <v>102281.095</v>
      </c>
      <c r="I24" s="577">
        <v>102281.095</v>
      </c>
      <c r="J24" s="819">
        <v>6.9475</v>
      </c>
      <c r="K24" s="598"/>
      <c r="L24" s="708">
        <v>44941</v>
      </c>
      <c r="M24" s="708">
        <v>44944</v>
      </c>
      <c r="N24" s="1214" t="s">
        <v>2076</v>
      </c>
      <c r="O24" s="597"/>
      <c r="P24" s="623" t="s">
        <v>1656</v>
      </c>
      <c r="Q24" s="1240"/>
      <c r="R24" s="756"/>
      <c r="S24" s="1342"/>
      <c r="T24" s="1204"/>
      <c r="U24" s="715"/>
      <c r="V24" s="1211"/>
      <c r="W24" s="1182"/>
    </row>
    <row r="25" s="10" customFormat="1" ht="18.75" customHeight="1" spans="1:23">
      <c r="A25" s="669"/>
      <c r="B25" s="664"/>
      <c r="C25" s="557"/>
      <c r="D25" s="715" t="s">
        <v>1408</v>
      </c>
      <c r="E25" s="1197" t="s">
        <v>2077</v>
      </c>
      <c r="F25" s="722">
        <v>14334</v>
      </c>
      <c r="G25" s="603">
        <f t="shared" si="2"/>
        <v>99585.465</v>
      </c>
      <c r="H25" s="577">
        <v>99585.465</v>
      </c>
      <c r="I25" s="577">
        <v>99585.465</v>
      </c>
      <c r="J25" s="819">
        <v>6.9475</v>
      </c>
      <c r="K25" s="598" t="s">
        <v>1218</v>
      </c>
      <c r="L25" s="645">
        <v>44936</v>
      </c>
      <c r="M25" s="645">
        <v>44941</v>
      </c>
      <c r="N25" s="715" t="s">
        <v>2078</v>
      </c>
      <c r="O25" s="623"/>
      <c r="P25" s="623" t="s">
        <v>1656</v>
      </c>
      <c r="Q25" s="656"/>
      <c r="R25" s="1343"/>
      <c r="S25" s="754"/>
      <c r="T25" s="754"/>
      <c r="U25" s="992"/>
      <c r="V25" s="992"/>
      <c r="W25" s="1182"/>
    </row>
    <row r="26" s="10" customFormat="1" ht="18.75" customHeight="1" spans="1:23">
      <c r="A26" s="669"/>
      <c r="B26" s="664"/>
      <c r="C26" s="557"/>
      <c r="D26" s="715" t="s">
        <v>1405</v>
      </c>
      <c r="E26" s="1197" t="s">
        <v>2079</v>
      </c>
      <c r="F26" s="722">
        <v>2105</v>
      </c>
      <c r="G26" s="603">
        <f t="shared" si="2"/>
        <v>14624.4875</v>
      </c>
      <c r="H26" s="577">
        <v>14624.4875</v>
      </c>
      <c r="I26" s="577"/>
      <c r="J26" s="819">
        <v>6.9475</v>
      </c>
      <c r="K26" s="598" t="s">
        <v>1218</v>
      </c>
      <c r="L26" s="645">
        <v>44931</v>
      </c>
      <c r="M26" s="645"/>
      <c r="N26" s="715" t="s">
        <v>2080</v>
      </c>
      <c r="O26" s="623"/>
      <c r="P26" s="623"/>
      <c r="Q26" s="656"/>
      <c r="R26" s="1343"/>
      <c r="S26" s="754"/>
      <c r="T26" s="754"/>
      <c r="U26" s="992"/>
      <c r="V26" s="992"/>
      <c r="W26" s="1182"/>
    </row>
    <row r="27" s="10" customFormat="1" ht="18.75" customHeight="1" spans="1:23">
      <c r="A27" s="669"/>
      <c r="B27" s="664"/>
      <c r="C27" s="557"/>
      <c r="D27" s="715" t="s">
        <v>174</v>
      </c>
      <c r="E27" s="1197" t="s">
        <v>2081</v>
      </c>
      <c r="F27" s="722">
        <v>39000</v>
      </c>
      <c r="G27" s="603">
        <f t="shared" si="2"/>
        <v>270952.5</v>
      </c>
      <c r="H27" s="577">
        <v>270952.5</v>
      </c>
      <c r="I27" s="577">
        <v>270952.5</v>
      </c>
      <c r="J27" s="819">
        <v>6.9475</v>
      </c>
      <c r="K27" s="598">
        <v>44920</v>
      </c>
      <c r="L27" s="708">
        <v>44941</v>
      </c>
      <c r="M27" s="708">
        <v>44944</v>
      </c>
      <c r="N27" s="1214" t="s">
        <v>2082</v>
      </c>
      <c r="O27" s="664"/>
      <c r="P27" s="623" t="s">
        <v>1671</v>
      </c>
      <c r="Q27" s="656"/>
      <c r="R27" s="1343"/>
      <c r="S27" s="754"/>
      <c r="T27" s="754"/>
      <c r="U27" s="992"/>
      <c r="V27" s="992"/>
      <c r="W27" s="1182"/>
    </row>
    <row r="28" s="10" customFormat="1" ht="46.5" customHeight="1" spans="1:23">
      <c r="A28" s="669"/>
      <c r="B28" s="664"/>
      <c r="C28" s="557"/>
      <c r="D28" s="715" t="s">
        <v>247</v>
      </c>
      <c r="E28" s="1197" t="s">
        <v>2083</v>
      </c>
      <c r="F28" s="722">
        <v>46137</v>
      </c>
      <c r="G28" s="603">
        <f t="shared" si="2"/>
        <v>320536.8075</v>
      </c>
      <c r="H28" s="577">
        <v>320536.8075</v>
      </c>
      <c r="I28" s="735">
        <v>320536.8075</v>
      </c>
      <c r="J28" s="819">
        <v>6.9475</v>
      </c>
      <c r="K28" s="598" t="s">
        <v>1218</v>
      </c>
      <c r="L28" s="644">
        <v>44943</v>
      </c>
      <c r="M28" s="645">
        <v>44945</v>
      </c>
      <c r="N28" s="1038"/>
      <c r="O28" s="664"/>
      <c r="P28" s="623" t="s">
        <v>1671</v>
      </c>
      <c r="Q28" s="656"/>
      <c r="R28" s="1343"/>
      <c r="S28" s="754"/>
      <c r="T28" s="754"/>
      <c r="U28" s="992"/>
      <c r="V28" s="992"/>
      <c r="W28" s="1182"/>
    </row>
    <row r="29" s="10" customFormat="1" ht="18.75" customHeight="1" spans="1:23">
      <c r="A29" s="669"/>
      <c r="B29" s="664"/>
      <c r="C29" s="557"/>
      <c r="D29" s="715" t="s">
        <v>175</v>
      </c>
      <c r="E29" s="1197" t="s">
        <v>2084</v>
      </c>
      <c r="F29" s="722">
        <v>22701</v>
      </c>
      <c r="G29" s="603">
        <f t="shared" si="2"/>
        <v>157715.1975</v>
      </c>
      <c r="H29" s="577">
        <v>157715.1975</v>
      </c>
      <c r="I29" s="735">
        <v>157715.1975</v>
      </c>
      <c r="J29" s="819">
        <v>6.9475</v>
      </c>
      <c r="K29" s="598" t="s">
        <v>1218</v>
      </c>
      <c r="L29" s="644">
        <v>44943</v>
      </c>
      <c r="M29" s="645">
        <v>44945</v>
      </c>
      <c r="N29" s="1325"/>
      <c r="O29" s="664"/>
      <c r="P29" s="623" t="s">
        <v>1656</v>
      </c>
      <c r="Q29" s="656"/>
      <c r="R29" s="1343"/>
      <c r="S29" s="754"/>
      <c r="T29" s="754"/>
      <c r="U29" s="992"/>
      <c r="V29" s="992"/>
      <c r="W29" s="1182"/>
    </row>
    <row r="30" s="10" customFormat="1" ht="18.75" customHeight="1" spans="1:23">
      <c r="A30" s="669"/>
      <c r="B30" s="664"/>
      <c r="C30" s="557"/>
      <c r="D30" s="715" t="s">
        <v>166</v>
      </c>
      <c r="E30" s="1197" t="s">
        <v>2085</v>
      </c>
      <c r="F30" s="722">
        <v>12000</v>
      </c>
      <c r="G30" s="603">
        <f t="shared" si="2"/>
        <v>83370</v>
      </c>
      <c r="H30" s="577">
        <v>83370</v>
      </c>
      <c r="I30" s="735">
        <v>83370</v>
      </c>
      <c r="J30" s="819">
        <v>6.9475</v>
      </c>
      <c r="K30" s="598" t="s">
        <v>1218</v>
      </c>
      <c r="L30" s="644">
        <v>44943</v>
      </c>
      <c r="M30" s="645">
        <v>44945</v>
      </c>
      <c r="N30" s="1325"/>
      <c r="O30" s="664"/>
      <c r="P30" s="623" t="s">
        <v>1656</v>
      </c>
      <c r="Q30" s="656"/>
      <c r="R30" s="1343"/>
      <c r="S30" s="754"/>
      <c r="T30" s="754"/>
      <c r="U30" s="992"/>
      <c r="V30" s="992"/>
      <c r="W30" s="1182"/>
    </row>
    <row r="31" s="10" customFormat="1" ht="16.5" spans="1:23">
      <c r="A31" s="541"/>
      <c r="B31" s="664" t="s">
        <v>1540</v>
      </c>
      <c r="C31" s="759">
        <v>28</v>
      </c>
      <c r="D31" s="715" t="s">
        <v>167</v>
      </c>
      <c r="E31" s="568" t="s">
        <v>1759</v>
      </c>
      <c r="F31" s="722">
        <v>33052</v>
      </c>
      <c r="G31" s="603"/>
      <c r="H31" s="577"/>
      <c r="I31" s="735">
        <v>235412.87</v>
      </c>
      <c r="J31" s="819">
        <v>6.9475</v>
      </c>
      <c r="K31" s="598" t="s">
        <v>1218</v>
      </c>
      <c r="L31" s="856">
        <v>44924</v>
      </c>
      <c r="M31" s="645">
        <v>44929</v>
      </c>
      <c r="N31" s="715" t="s">
        <v>1760</v>
      </c>
      <c r="O31" s="664"/>
      <c r="P31" s="623" t="s">
        <v>1671</v>
      </c>
      <c r="Q31" s="656"/>
      <c r="R31" s="1343"/>
      <c r="S31" s="754"/>
      <c r="T31" s="754"/>
      <c r="U31" s="992"/>
      <c r="V31" s="992"/>
      <c r="W31" s="1182"/>
    </row>
    <row r="32" s="10" customFormat="1" ht="16.5" spans="1:23">
      <c r="A32" s="541"/>
      <c r="B32" s="664"/>
      <c r="C32" s="557"/>
      <c r="D32" s="715" t="s">
        <v>1573</v>
      </c>
      <c r="E32" s="1324" t="s">
        <v>1779</v>
      </c>
      <c r="F32" s="722">
        <v>17248</v>
      </c>
      <c r="G32" s="603"/>
      <c r="H32" s="744"/>
      <c r="I32" s="735">
        <v>122848.88</v>
      </c>
      <c r="J32" s="819">
        <v>6.9475</v>
      </c>
      <c r="K32" s="598" t="s">
        <v>1218</v>
      </c>
      <c r="L32" s="856">
        <v>44924</v>
      </c>
      <c r="M32" s="645">
        <v>44933</v>
      </c>
      <c r="N32" s="715" t="s">
        <v>2086</v>
      </c>
      <c r="O32" s="572"/>
      <c r="P32" s="623" t="s">
        <v>1656</v>
      </c>
      <c r="Q32" s="945"/>
      <c r="R32" s="1343"/>
      <c r="S32" s="754"/>
      <c r="T32" s="754"/>
      <c r="U32" s="992"/>
      <c r="V32" s="992"/>
      <c r="W32" s="1182"/>
    </row>
    <row r="33" s="10" customFormat="1" ht="16.5" spans="1:23">
      <c r="A33" s="541"/>
      <c r="B33" s="664"/>
      <c r="C33" s="557"/>
      <c r="D33" s="715" t="s">
        <v>1358</v>
      </c>
      <c r="E33" s="1347" t="s">
        <v>2087</v>
      </c>
      <c r="F33" s="722">
        <v>17505</v>
      </c>
      <c r="G33" s="603">
        <f>F33*J33</f>
        <v>121615.9875</v>
      </c>
      <c r="H33" s="577">
        <v>121615.9875</v>
      </c>
      <c r="I33" s="735"/>
      <c r="J33" s="819">
        <v>6.9475</v>
      </c>
      <c r="K33" s="598" t="s">
        <v>1218</v>
      </c>
      <c r="L33" s="856">
        <v>44957</v>
      </c>
      <c r="M33" s="645">
        <v>44961</v>
      </c>
      <c r="N33" s="1325" t="s">
        <v>2088</v>
      </c>
      <c r="O33" s="572"/>
      <c r="P33" s="623" t="s">
        <v>1656</v>
      </c>
      <c r="Q33" s="945"/>
      <c r="R33" s="1343"/>
      <c r="S33" s="754"/>
      <c r="T33" s="754"/>
      <c r="U33" s="992"/>
      <c r="V33" s="992"/>
      <c r="W33" s="1182"/>
    </row>
    <row r="34" s="10" customFormat="1" ht="16.5" spans="1:23">
      <c r="A34" s="541"/>
      <c r="B34" s="664"/>
      <c r="C34" s="557"/>
      <c r="D34" s="543" t="s">
        <v>287</v>
      </c>
      <c r="E34" s="1197" t="s">
        <v>2089</v>
      </c>
      <c r="F34" s="722">
        <v>49634</v>
      </c>
      <c r="G34" s="603">
        <f>F34*J34</f>
        <v>344832.215</v>
      </c>
      <c r="H34" s="577">
        <v>344832.215</v>
      </c>
      <c r="I34" s="735">
        <v>344832</v>
      </c>
      <c r="J34" s="819">
        <v>6.9475</v>
      </c>
      <c r="K34" s="645">
        <v>44933</v>
      </c>
      <c r="L34" s="645">
        <v>44935</v>
      </c>
      <c r="M34" s="645"/>
      <c r="N34" s="715" t="s">
        <v>2090</v>
      </c>
      <c r="O34" s="623"/>
      <c r="P34" s="655"/>
      <c r="Q34" s="656"/>
      <c r="R34" s="1343"/>
      <c r="S34" s="754"/>
      <c r="T34" s="754"/>
      <c r="U34" s="992"/>
      <c r="V34" s="992"/>
      <c r="W34" s="1182"/>
    </row>
    <row r="35" s="10" customFormat="1" ht="16.5" spans="1:23">
      <c r="A35" s="541"/>
      <c r="B35" s="1190" t="s">
        <v>1124</v>
      </c>
      <c r="C35" s="1191">
        <f>SUM(C20:C34)</f>
        <v>300</v>
      </c>
      <c r="D35" s="1191"/>
      <c r="E35" s="1333"/>
      <c r="F35" s="1157" t="s">
        <v>1235</v>
      </c>
      <c r="G35" s="1158">
        <f>SUM(G20:G34)</f>
        <v>2362761.38</v>
      </c>
      <c r="H35" s="1158">
        <f>SUM(H20:H34)</f>
        <v>2362761.38</v>
      </c>
      <c r="I35" s="1158">
        <f>SUM(I20:I34)</f>
        <v>2851840.5775</v>
      </c>
      <c r="J35" s="1168"/>
      <c r="K35" s="610"/>
      <c r="L35" s="644"/>
      <c r="M35" s="644"/>
      <c r="N35" s="1013"/>
      <c r="O35" s="1200"/>
      <c r="P35" s="655"/>
      <c r="Q35" s="656"/>
      <c r="R35" s="754"/>
      <c r="S35" s="754"/>
      <c r="T35" s="992"/>
      <c r="U35" s="608"/>
      <c r="V35" s="1209"/>
      <c r="W35" s="1210"/>
    </row>
    <row r="36" s="10" customFormat="1" ht="16.5" spans="1:23">
      <c r="A36" s="672"/>
      <c r="B36" s="1192"/>
      <c r="C36" s="1150"/>
      <c r="D36" s="1150"/>
      <c r="E36" s="1333"/>
      <c r="F36" s="1157" t="s">
        <v>1236</v>
      </c>
      <c r="G36" s="1199">
        <f>G35/3000000</f>
        <v>0.787587126666667</v>
      </c>
      <c r="H36" s="1199">
        <f>H35/3000000</f>
        <v>0.787587126666667</v>
      </c>
      <c r="I36" s="1199">
        <f>I35/3000000</f>
        <v>0.950613525833334</v>
      </c>
      <c r="J36" s="747"/>
      <c r="K36" s="858"/>
      <c r="L36" s="1135"/>
      <c r="M36" s="1135"/>
      <c r="N36" s="1015"/>
      <c r="O36" s="727"/>
      <c r="P36" s="652"/>
      <c r="Q36" s="653"/>
      <c r="R36" s="653"/>
      <c r="S36" s="653"/>
      <c r="T36" s="653"/>
      <c r="U36" s="1184"/>
      <c r="V36" s="1184"/>
      <c r="W36" s="1185"/>
    </row>
    <row r="37" s="10" customFormat="1" ht="16.5" spans="1:23">
      <c r="A37" s="721" t="s">
        <v>2091</v>
      </c>
      <c r="B37" s="1264" t="s">
        <v>38</v>
      </c>
      <c r="C37" s="655">
        <v>100</v>
      </c>
      <c r="D37" s="250" t="s">
        <v>2092</v>
      </c>
      <c r="E37" s="1348"/>
      <c r="F37" s="1002">
        <v>30000</v>
      </c>
      <c r="G37" s="603"/>
      <c r="H37" s="603"/>
      <c r="I37" s="603"/>
      <c r="J37" s="819">
        <v>6.9475</v>
      </c>
      <c r="K37" s="610"/>
      <c r="L37" s="644"/>
      <c r="M37" s="644"/>
      <c r="N37" s="250" t="s">
        <v>2093</v>
      </c>
      <c r="O37" s="731"/>
      <c r="P37" s="655"/>
      <c r="Q37" s="664"/>
      <c r="R37" s="602"/>
      <c r="S37" s="602"/>
      <c r="T37" s="1172"/>
      <c r="U37" s="715"/>
      <c r="V37" s="715"/>
      <c r="W37" s="1182"/>
    </row>
    <row r="38" s="10" customFormat="1" ht="16.5" spans="1:23">
      <c r="A38" s="721"/>
      <c r="B38" s="1247"/>
      <c r="C38" s="655"/>
      <c r="D38" s="250" t="s">
        <v>844</v>
      </c>
      <c r="E38" s="1349"/>
      <c r="F38" s="576">
        <v>30000</v>
      </c>
      <c r="G38" s="596"/>
      <c r="H38" s="603"/>
      <c r="I38" s="603"/>
      <c r="J38" s="819">
        <v>6.9475</v>
      </c>
      <c r="K38" s="598"/>
      <c r="L38" s="645"/>
      <c r="M38" s="645"/>
      <c r="N38" s="250" t="s">
        <v>2094</v>
      </c>
      <c r="O38" s="1303"/>
      <c r="P38" s="1303"/>
      <c r="Q38" s="1303"/>
      <c r="R38" s="602"/>
      <c r="S38" s="1340"/>
      <c r="T38" s="1172"/>
      <c r="U38" s="715"/>
      <c r="V38" s="715"/>
      <c r="W38" s="1212"/>
    </row>
    <row r="39" s="536" customFormat="1" ht="16.5" spans="1:23">
      <c r="A39" s="721"/>
      <c r="B39" s="1345"/>
      <c r="C39" s="716"/>
      <c r="D39" s="250" t="s">
        <v>1745</v>
      </c>
      <c r="E39" s="568" t="s">
        <v>2095</v>
      </c>
      <c r="F39" s="576"/>
      <c r="G39" s="596">
        <v>40000</v>
      </c>
      <c r="H39" s="596">
        <v>40000</v>
      </c>
      <c r="I39" s="596"/>
      <c r="J39" s="597"/>
      <c r="K39" s="598"/>
      <c r="L39" s="856"/>
      <c r="M39" s="856"/>
      <c r="N39" s="250" t="s">
        <v>624</v>
      </c>
      <c r="O39" s="764"/>
      <c r="P39" s="764"/>
      <c r="Q39" s="764"/>
      <c r="R39" s="602"/>
      <c r="S39" s="1340"/>
      <c r="T39" s="1172"/>
      <c r="U39" s="715"/>
      <c r="V39" s="715"/>
      <c r="W39" s="1212"/>
    </row>
    <row r="40" s="10" customFormat="1" ht="16.5" spans="1:23">
      <c r="A40" s="721"/>
      <c r="B40" s="1247"/>
      <c r="C40" s="655"/>
      <c r="D40" s="250" t="s">
        <v>768</v>
      </c>
      <c r="E40" s="788" t="s">
        <v>1743</v>
      </c>
      <c r="F40" s="1002"/>
      <c r="G40" s="603"/>
      <c r="H40" s="603"/>
      <c r="I40" s="603">
        <v>227920</v>
      </c>
      <c r="J40" s="819">
        <v>6.9475</v>
      </c>
      <c r="K40" s="598"/>
      <c r="L40" s="645">
        <v>44925</v>
      </c>
      <c r="M40" s="645">
        <v>44564</v>
      </c>
      <c r="N40" s="250"/>
      <c r="O40" s="1303"/>
      <c r="P40" s="1303"/>
      <c r="Q40" s="1303"/>
      <c r="R40" s="602"/>
      <c r="S40" s="1340"/>
      <c r="T40" s="1172"/>
      <c r="U40" s="715"/>
      <c r="V40" s="715"/>
      <c r="W40" s="1212"/>
    </row>
    <row r="41" s="536" customFormat="1" ht="18.75" customHeight="1" spans="1:23">
      <c r="A41" s="564"/>
      <c r="B41" s="671"/>
      <c r="C41" s="655"/>
      <c r="D41" s="250" t="s">
        <v>143</v>
      </c>
      <c r="E41" s="648" t="s">
        <v>1720</v>
      </c>
      <c r="F41" s="1002"/>
      <c r="G41" s="603"/>
      <c r="H41" s="603"/>
      <c r="I41" s="603">
        <v>584045</v>
      </c>
      <c r="J41" s="819">
        <v>6.9475</v>
      </c>
      <c r="K41" s="610"/>
      <c r="L41" s="644"/>
      <c r="M41" s="644">
        <v>44568</v>
      </c>
      <c r="N41" s="250"/>
      <c r="O41" s="731"/>
      <c r="P41" s="655"/>
      <c r="Q41" s="664"/>
      <c r="R41" s="602"/>
      <c r="S41" s="602"/>
      <c r="T41" s="1172"/>
      <c r="U41" s="715"/>
      <c r="V41" s="715"/>
      <c r="W41" s="1182"/>
    </row>
    <row r="42" s="10" customFormat="1" ht="16.5" spans="1:23">
      <c r="A42" s="721"/>
      <c r="B42" s="1247"/>
      <c r="C42" s="655"/>
      <c r="D42" s="250" t="s">
        <v>1745</v>
      </c>
      <c r="E42" s="788" t="s">
        <v>1746</v>
      </c>
      <c r="F42" s="576"/>
      <c r="G42" s="596"/>
      <c r="H42" s="603"/>
      <c r="I42" s="603">
        <v>249287.5</v>
      </c>
      <c r="J42" s="819">
        <v>6.9475</v>
      </c>
      <c r="K42" s="598"/>
      <c r="L42" s="645">
        <v>44925</v>
      </c>
      <c r="M42" s="625" t="s">
        <v>1747</v>
      </c>
      <c r="N42" s="250"/>
      <c r="O42" s="1303"/>
      <c r="P42" s="1303"/>
      <c r="Q42" s="1303"/>
      <c r="R42" s="602"/>
      <c r="S42" s="1340"/>
      <c r="T42" s="1172"/>
      <c r="U42" s="715"/>
      <c r="V42" s="715"/>
      <c r="W42" s="1212"/>
    </row>
    <row r="43" s="10" customFormat="1" ht="20.15" customHeight="1" spans="1:23">
      <c r="A43" s="721"/>
      <c r="B43" s="1247" t="s">
        <v>509</v>
      </c>
      <c r="C43" s="759">
        <v>107</v>
      </c>
      <c r="D43" s="250" t="s">
        <v>151</v>
      </c>
      <c r="E43" s="648" t="s">
        <v>1748</v>
      </c>
      <c r="F43" s="576"/>
      <c r="G43" s="603"/>
      <c r="H43" s="603"/>
      <c r="I43" s="603">
        <v>248048.185</v>
      </c>
      <c r="J43" s="819">
        <v>6.9475</v>
      </c>
      <c r="K43" s="598"/>
      <c r="L43" s="645">
        <v>44922</v>
      </c>
      <c r="M43" s="625" t="s">
        <v>2096</v>
      </c>
      <c r="N43" s="250"/>
      <c r="O43" s="706"/>
      <c r="P43" s="642"/>
      <c r="Q43" s="655"/>
      <c r="R43" s="664"/>
      <c r="S43" s="1340"/>
      <c r="T43" s="1172"/>
      <c r="U43" s="715"/>
      <c r="V43" s="715"/>
      <c r="W43" s="1212"/>
    </row>
    <row r="44" s="10" customFormat="1" ht="20.15" customHeight="1" spans="1:23">
      <c r="A44" s="721"/>
      <c r="B44" s="1264"/>
      <c r="C44" s="557"/>
      <c r="D44" s="250" t="s">
        <v>1699</v>
      </c>
      <c r="E44" s="648" t="s">
        <v>1700</v>
      </c>
      <c r="F44" s="576">
        <v>39385</v>
      </c>
      <c r="G44" s="603"/>
      <c r="H44" s="603"/>
      <c r="I44" s="1267">
        <v>283891.02</v>
      </c>
      <c r="J44" s="819">
        <v>7.2081</v>
      </c>
      <c r="K44" s="610" t="s">
        <v>1251</v>
      </c>
      <c r="L44" s="644">
        <v>45252</v>
      </c>
      <c r="M44" s="633" t="s">
        <v>2097</v>
      </c>
      <c r="N44" s="565" t="s">
        <v>2098</v>
      </c>
      <c r="O44" s="1072"/>
      <c r="P44" s="642"/>
      <c r="Q44" s="655"/>
      <c r="R44" s="664"/>
      <c r="S44" s="1340"/>
      <c r="T44" s="1172"/>
      <c r="U44" s="715"/>
      <c r="V44" s="715"/>
      <c r="W44" s="1212"/>
    </row>
    <row r="45" s="10" customFormat="1" ht="20.15" customHeight="1" spans="1:23">
      <c r="A45" s="721"/>
      <c r="B45" s="671"/>
      <c r="C45" s="557"/>
      <c r="D45" s="250" t="s">
        <v>2099</v>
      </c>
      <c r="E45" s="648" t="s">
        <v>1742</v>
      </c>
      <c r="F45" s="1002"/>
      <c r="G45" s="596"/>
      <c r="H45" s="603"/>
      <c r="I45" s="603">
        <v>440913</v>
      </c>
      <c r="J45" s="819">
        <v>6.9475</v>
      </c>
      <c r="K45" s="610"/>
      <c r="L45" s="644">
        <v>44924</v>
      </c>
      <c r="M45" s="644">
        <v>44566</v>
      </c>
      <c r="N45" s="250"/>
      <c r="O45" s="731"/>
      <c r="P45" s="655"/>
      <c r="Q45" s="664"/>
      <c r="R45" s="602"/>
      <c r="S45" s="602"/>
      <c r="T45" s="1172"/>
      <c r="U45" s="715"/>
      <c r="V45" s="715"/>
      <c r="W45" s="1182"/>
    </row>
    <row r="46" s="10" customFormat="1" ht="16.5" spans="1:23">
      <c r="A46" s="721"/>
      <c r="B46" s="664" t="s">
        <v>1393</v>
      </c>
      <c r="C46" s="655">
        <v>93</v>
      </c>
      <c r="D46" s="1127" t="s">
        <v>663</v>
      </c>
      <c r="E46" s="788" t="s">
        <v>2100</v>
      </c>
      <c r="F46" s="969">
        <v>31825</v>
      </c>
      <c r="G46" s="577">
        <f>F46*J46</f>
        <v>221104.1875</v>
      </c>
      <c r="H46" s="577">
        <f>G46</f>
        <v>221104.1875</v>
      </c>
      <c r="I46" s="577">
        <f>H46</f>
        <v>221104.1875</v>
      </c>
      <c r="J46" s="819">
        <v>6.9475</v>
      </c>
      <c r="K46" s="1234" t="s">
        <v>1251</v>
      </c>
      <c r="L46" s="1353"/>
      <c r="M46" s="708">
        <v>44946</v>
      </c>
      <c r="N46" s="715" t="s">
        <v>2101</v>
      </c>
      <c r="O46" s="597"/>
      <c r="P46" s="568"/>
      <c r="Q46" s="1326"/>
      <c r="R46" s="756"/>
      <c r="S46" s="1203"/>
      <c r="T46" s="1204"/>
      <c r="U46" s="715"/>
      <c r="V46" s="1211"/>
      <c r="W46" s="1182"/>
    </row>
    <row r="47" s="10" customFormat="1" ht="16.5" spans="1:23">
      <c r="A47" s="721"/>
      <c r="B47" s="664"/>
      <c r="C47" s="655"/>
      <c r="D47" s="1127" t="s">
        <v>355</v>
      </c>
      <c r="E47" s="788" t="s">
        <v>2102</v>
      </c>
      <c r="F47" s="969">
        <v>30800</v>
      </c>
      <c r="G47" s="577">
        <f>F47*J47</f>
        <v>213983</v>
      </c>
      <c r="H47" s="577">
        <f t="shared" ref="H47:H49" si="3">G47</f>
        <v>213983</v>
      </c>
      <c r="I47" s="577"/>
      <c r="J47" s="819">
        <v>6.9475</v>
      </c>
      <c r="K47" s="1234" t="s">
        <v>1251</v>
      </c>
      <c r="L47" s="1261"/>
      <c r="M47" s="1261" t="s">
        <v>2103</v>
      </c>
      <c r="N47" s="1214" t="s">
        <v>624</v>
      </c>
      <c r="O47" s="250"/>
      <c r="P47" s="568"/>
      <c r="Q47" s="1240"/>
      <c r="R47" s="756"/>
      <c r="S47" s="1203"/>
      <c r="T47" s="1204"/>
      <c r="U47" s="715"/>
      <c r="V47" s="1211"/>
      <c r="W47" s="1182"/>
    </row>
    <row r="48" s="10" customFormat="1" ht="16.5" spans="1:23">
      <c r="A48" s="721"/>
      <c r="B48" s="664"/>
      <c r="C48" s="655"/>
      <c r="D48" s="1127" t="s">
        <v>660</v>
      </c>
      <c r="E48" s="788" t="s">
        <v>2104</v>
      </c>
      <c r="F48" s="969">
        <v>7970</v>
      </c>
      <c r="G48" s="577">
        <f>F48*J48</f>
        <v>55371.575</v>
      </c>
      <c r="H48" s="577">
        <f t="shared" si="3"/>
        <v>55371.575</v>
      </c>
      <c r="I48" s="577">
        <f>H48</f>
        <v>55371.575</v>
      </c>
      <c r="J48" s="819">
        <v>6.9475</v>
      </c>
      <c r="K48" s="598">
        <v>44938</v>
      </c>
      <c r="L48" s="1354"/>
      <c r="M48" s="1261"/>
      <c r="N48" s="715" t="s">
        <v>2105</v>
      </c>
      <c r="O48" s="250"/>
      <c r="P48" s="568"/>
      <c r="Q48" s="1240"/>
      <c r="R48" s="756"/>
      <c r="S48" s="1203"/>
      <c r="T48" s="1204"/>
      <c r="U48" s="715"/>
      <c r="V48" s="1211"/>
      <c r="W48" s="1182"/>
    </row>
    <row r="49" s="10" customFormat="1" ht="16.5" spans="1:23">
      <c r="A49" s="721"/>
      <c r="B49" s="664"/>
      <c r="C49" s="655"/>
      <c r="D49" s="1127" t="s">
        <v>660</v>
      </c>
      <c r="E49" s="788" t="s">
        <v>2106</v>
      </c>
      <c r="F49" s="969">
        <v>45035</v>
      </c>
      <c r="G49" s="577">
        <f>F49*J49</f>
        <v>312880.6625</v>
      </c>
      <c r="H49" s="577">
        <f t="shared" si="3"/>
        <v>312880.6625</v>
      </c>
      <c r="I49" s="577">
        <f>H49</f>
        <v>312880.6625</v>
      </c>
      <c r="J49" s="819">
        <v>6.9475</v>
      </c>
      <c r="K49" s="598">
        <v>44938</v>
      </c>
      <c r="L49" s="1354"/>
      <c r="M49" s="1261"/>
      <c r="N49" s="715" t="s">
        <v>2105</v>
      </c>
      <c r="O49" s="597"/>
      <c r="P49" s="568"/>
      <c r="Q49" s="1240"/>
      <c r="R49" s="1343"/>
      <c r="S49" s="1203"/>
      <c r="T49" s="1204"/>
      <c r="U49" s="715"/>
      <c r="V49" s="1211"/>
      <c r="W49" s="1182"/>
    </row>
    <row r="50" s="10" customFormat="1" ht="16.5" spans="1:23">
      <c r="A50" s="721"/>
      <c r="B50" s="664"/>
      <c r="C50" s="655"/>
      <c r="D50" s="1346" t="s">
        <v>355</v>
      </c>
      <c r="E50" s="788" t="s">
        <v>1807</v>
      </c>
      <c r="F50" s="969"/>
      <c r="G50" s="577"/>
      <c r="H50" s="577"/>
      <c r="I50" s="577">
        <v>1060883</v>
      </c>
      <c r="J50" s="819">
        <v>6.9475</v>
      </c>
      <c r="K50" s="598"/>
      <c r="L50" s="708"/>
      <c r="M50" s="708"/>
      <c r="N50" s="715" t="s">
        <v>2107</v>
      </c>
      <c r="O50" s="597"/>
      <c r="P50" s="568"/>
      <c r="Q50" s="1240"/>
      <c r="R50" s="1343"/>
      <c r="S50" s="1203"/>
      <c r="T50" s="1204"/>
      <c r="U50" s="715"/>
      <c r="V50" s="1211"/>
      <c r="W50" s="1182"/>
    </row>
    <row r="51" s="10" customFormat="1" ht="16.5" spans="1:23">
      <c r="A51" s="721"/>
      <c r="B51" s="664"/>
      <c r="C51" s="655"/>
      <c r="D51" s="1217" t="s">
        <v>267</v>
      </c>
      <c r="E51" s="788" t="s">
        <v>1809</v>
      </c>
      <c r="F51" s="969"/>
      <c r="G51" s="577"/>
      <c r="H51" s="577"/>
      <c r="I51" s="577">
        <v>185054</v>
      </c>
      <c r="J51" s="819">
        <v>6.9475</v>
      </c>
      <c r="K51" s="598"/>
      <c r="L51" s="708"/>
      <c r="M51" s="1356">
        <v>44928</v>
      </c>
      <c r="N51" s="542"/>
      <c r="O51" s="250"/>
      <c r="P51" s="568"/>
      <c r="Q51" s="1240"/>
      <c r="R51" s="1343"/>
      <c r="S51" s="1203"/>
      <c r="T51" s="1204"/>
      <c r="U51" s="715"/>
      <c r="V51" s="1211"/>
      <c r="W51" s="1182"/>
    </row>
    <row r="52" s="10" customFormat="1" ht="16.5" spans="1:23">
      <c r="A52" s="721"/>
      <c r="B52" s="664"/>
      <c r="C52" s="655"/>
      <c r="D52" s="250" t="s">
        <v>1563</v>
      </c>
      <c r="E52" s="568" t="s">
        <v>1757</v>
      </c>
      <c r="F52" s="562"/>
      <c r="G52" s="603"/>
      <c r="H52" s="603"/>
      <c r="I52" s="603">
        <v>106837.5</v>
      </c>
      <c r="J52" s="819"/>
      <c r="K52" s="598"/>
      <c r="L52" s="598"/>
      <c r="M52" s="645">
        <v>44569</v>
      </c>
      <c r="N52" s="706"/>
      <c r="O52" s="250"/>
      <c r="P52" s="568"/>
      <c r="Q52" s="1240"/>
      <c r="R52" s="1343"/>
      <c r="S52" s="1203"/>
      <c r="T52" s="1204"/>
      <c r="U52" s="715"/>
      <c r="V52" s="1211"/>
      <c r="W52" s="1182"/>
    </row>
    <row r="53" s="10" customFormat="1" ht="17.25" spans="1:23">
      <c r="A53" s="721"/>
      <c r="B53" s="664"/>
      <c r="C53" s="655"/>
      <c r="D53" s="250" t="s">
        <v>1651</v>
      </c>
      <c r="E53" s="244" t="s">
        <v>1652</v>
      </c>
      <c r="F53" s="562">
        <v>23901</v>
      </c>
      <c r="G53" s="799"/>
      <c r="H53" s="799"/>
      <c r="I53" s="799">
        <v>170234</v>
      </c>
      <c r="J53" s="819">
        <v>7.2081</v>
      </c>
      <c r="K53" s="1355" t="s">
        <v>1218</v>
      </c>
      <c r="L53" s="645">
        <v>44894</v>
      </c>
      <c r="M53" s="645"/>
      <c r="N53" s="250" t="s">
        <v>2108</v>
      </c>
      <c r="O53" s="642"/>
      <c r="P53" s="655"/>
      <c r="Q53" s="664"/>
      <c r="R53" s="602"/>
      <c r="S53" s="1340"/>
      <c r="T53" s="1172"/>
      <c r="U53" s="715"/>
      <c r="V53" s="715"/>
      <c r="W53" s="1182"/>
    </row>
    <row r="54" s="10" customFormat="1" ht="16.5" spans="1:23">
      <c r="A54" s="721"/>
      <c r="B54" s="1144" t="s">
        <v>1124</v>
      </c>
      <c r="C54" s="1219">
        <f>SUM(C37:C48)</f>
        <v>300</v>
      </c>
      <c r="D54" s="1219"/>
      <c r="E54" s="1334"/>
      <c r="F54" s="1159" t="s">
        <v>1235</v>
      </c>
      <c r="G54" s="1230">
        <f>SUM(G37:G52)</f>
        <v>843339.425</v>
      </c>
      <c r="H54" s="1230">
        <f>SUM(H37:H53)</f>
        <v>843339.425</v>
      </c>
      <c r="I54" s="1230">
        <f>SUM(I37:I52)</f>
        <v>3976235.63</v>
      </c>
      <c r="J54" s="570"/>
      <c r="K54" s="809"/>
      <c r="L54" s="821"/>
      <c r="M54" s="996"/>
      <c r="N54" s="997"/>
      <c r="O54" s="727"/>
      <c r="P54" s="652"/>
      <c r="Q54" s="653"/>
      <c r="R54" s="809"/>
      <c r="S54" s="809">
        <v>0</v>
      </c>
      <c r="T54" s="809">
        <v>0</v>
      </c>
      <c r="U54" s="1184"/>
      <c r="V54" s="1184"/>
      <c r="W54" s="1185"/>
    </row>
    <row r="55" s="10" customFormat="1" ht="16.5" spans="1:23">
      <c r="A55" s="673"/>
      <c r="B55" s="1144"/>
      <c r="C55" s="1150"/>
      <c r="D55" s="1150"/>
      <c r="E55" s="1334"/>
      <c r="F55" s="1159" t="s">
        <v>1236</v>
      </c>
      <c r="G55" s="1160">
        <f t="shared" ref="G55:I55" si="4">G54/3000000</f>
        <v>0.281113141666667</v>
      </c>
      <c r="H55" s="1160">
        <f t="shared" si="4"/>
        <v>0.281113141666667</v>
      </c>
      <c r="I55" s="1160">
        <f t="shared" si="4"/>
        <v>1.32541187666667</v>
      </c>
      <c r="J55" s="808"/>
      <c r="K55" s="809"/>
      <c r="L55" s="821"/>
      <c r="M55" s="996"/>
      <c r="N55" s="997"/>
      <c r="O55" s="727"/>
      <c r="P55" s="652"/>
      <c r="Q55" s="653"/>
      <c r="R55" s="809"/>
      <c r="S55" s="809"/>
      <c r="T55" s="809"/>
      <c r="U55" s="1184"/>
      <c r="V55" s="1184"/>
      <c r="W55" s="1185"/>
    </row>
    <row r="56" s="10" customFormat="1" ht="16.5" spans="1:23">
      <c r="A56" s="780" t="s">
        <v>1163</v>
      </c>
      <c r="B56" s="780"/>
      <c r="C56" s="652">
        <f>C18+C35+C54</f>
        <v>700</v>
      </c>
      <c r="D56" s="652"/>
      <c r="E56" s="620"/>
      <c r="F56" s="727" t="s">
        <v>14</v>
      </c>
      <c r="G56" s="804">
        <f>G18+G35+G54</f>
        <v>4266824.2625</v>
      </c>
      <c r="H56" s="804">
        <f>H18+H35+H54</f>
        <v>4266824.8675</v>
      </c>
      <c r="I56" s="804">
        <f>I18+I35+I54</f>
        <v>9426516.86</v>
      </c>
      <c r="J56" s="727"/>
      <c r="K56" s="727"/>
      <c r="L56" s="854"/>
      <c r="M56" s="854"/>
      <c r="N56" s="1015"/>
      <c r="O56" s="727"/>
      <c r="P56" s="652"/>
      <c r="Q56" s="727"/>
      <c r="R56" s="727"/>
      <c r="S56" s="727"/>
      <c r="T56" s="727"/>
      <c r="U56" s="727"/>
      <c r="V56" s="727"/>
      <c r="W56" s="1185"/>
    </row>
    <row r="57" s="10" customFormat="1" ht="16.5" spans="1:23">
      <c r="A57" s="780"/>
      <c r="B57" s="780"/>
      <c r="C57" s="652"/>
      <c r="D57" s="652"/>
      <c r="E57" s="620"/>
      <c r="F57" s="727" t="s">
        <v>1236</v>
      </c>
      <c r="G57" s="796">
        <f>G56/(C56*10000)</f>
        <v>0.609546323214286</v>
      </c>
      <c r="H57" s="796">
        <f>H56/(C56*10000)</f>
        <v>0.609546409642857</v>
      </c>
      <c r="I57" s="796">
        <f>I56/(C56*10000)</f>
        <v>1.34664526571429</v>
      </c>
      <c r="J57" s="727"/>
      <c r="K57" s="727"/>
      <c r="L57" s="854"/>
      <c r="M57" s="854"/>
      <c r="N57" s="1015"/>
      <c r="O57" s="727"/>
      <c r="P57" s="727"/>
      <c r="Q57" s="727"/>
      <c r="R57" s="727"/>
      <c r="S57" s="727"/>
      <c r="T57" s="727"/>
      <c r="U57" s="727"/>
      <c r="V57" s="727"/>
      <c r="W57" s="727"/>
    </row>
    <row r="58" s="10" customFormat="1" ht="16.5" spans="1:23">
      <c r="A58" s="536"/>
      <c r="B58" s="836"/>
      <c r="C58" s="837"/>
      <c r="D58" s="837"/>
      <c r="E58" s="1350"/>
      <c r="F58" s="836"/>
      <c r="G58" s="850"/>
      <c r="H58" s="850"/>
      <c r="I58" s="850"/>
      <c r="J58" s="836"/>
      <c r="K58" s="836"/>
      <c r="L58" s="870"/>
      <c r="M58" s="870"/>
      <c r="N58" s="1016"/>
      <c r="O58" s="836"/>
      <c r="P58" s="837"/>
      <c r="Q58" s="836"/>
      <c r="R58" s="836"/>
      <c r="S58" s="836"/>
      <c r="T58" s="836"/>
      <c r="U58" s="836"/>
      <c r="V58" s="836"/>
      <c r="W58" s="1177"/>
    </row>
    <row r="59" s="10" customFormat="1" ht="16.5" spans="1:23">
      <c r="A59" s="536"/>
      <c r="B59" s="836"/>
      <c r="C59" s="837"/>
      <c r="D59" s="837"/>
      <c r="E59" s="1350" t="s">
        <v>139</v>
      </c>
      <c r="F59" s="836"/>
      <c r="G59" s="880"/>
      <c r="H59" s="880"/>
      <c r="I59" s="880"/>
      <c r="J59" s="836"/>
      <c r="K59" s="836"/>
      <c r="L59" s="870"/>
      <c r="M59" s="870"/>
      <c r="N59" s="1016"/>
      <c r="O59" s="836" t="s">
        <v>140</v>
      </c>
      <c r="P59" s="837"/>
      <c r="Q59" s="836"/>
      <c r="R59" s="836"/>
      <c r="S59" s="1241"/>
      <c r="T59" s="836"/>
      <c r="U59" s="1241"/>
      <c r="V59" s="836"/>
      <c r="W59" s="1177"/>
    </row>
    <row r="60" s="10" customFormat="1" ht="16.5" spans="1:23">
      <c r="A60" s="875" t="s">
        <v>1814</v>
      </c>
      <c r="B60" s="875"/>
      <c r="C60" s="875"/>
      <c r="D60" s="875"/>
      <c r="E60" s="1351"/>
      <c r="F60" s="1090"/>
      <c r="G60" s="850"/>
      <c r="H60" s="850"/>
      <c r="I60" s="850"/>
      <c r="J60" s="836"/>
      <c r="K60" s="836"/>
      <c r="L60" s="870"/>
      <c r="M60" s="870"/>
      <c r="N60" s="1016"/>
      <c r="O60" s="894"/>
      <c r="P60" s="837"/>
      <c r="Q60" s="836"/>
      <c r="R60" s="836"/>
      <c r="S60" s="1241"/>
      <c r="T60" s="836"/>
      <c r="U60" s="1241"/>
      <c r="V60" s="836"/>
      <c r="W60" s="1177"/>
    </row>
    <row r="61" s="10" customFormat="1" ht="16.5" spans="1:23">
      <c r="A61" s="875" t="s">
        <v>1285</v>
      </c>
      <c r="B61" s="875"/>
      <c r="C61" s="875"/>
      <c r="D61" s="875"/>
      <c r="E61" s="1351"/>
      <c r="F61" s="1090"/>
      <c r="G61" s="850"/>
      <c r="H61" s="850"/>
      <c r="I61" s="850"/>
      <c r="J61" s="836"/>
      <c r="K61" s="836"/>
      <c r="L61" s="870"/>
      <c r="M61" s="870"/>
      <c r="N61" s="1016"/>
      <c r="O61" s="894"/>
      <c r="P61" s="837"/>
      <c r="Q61" s="836"/>
      <c r="R61" s="836"/>
      <c r="S61" s="1241"/>
      <c r="T61" s="836"/>
      <c r="U61" s="1241"/>
      <c r="V61" s="836"/>
      <c r="W61" s="1177"/>
    </row>
    <row r="62" s="10" customFormat="1" ht="16.5" spans="1:23">
      <c r="A62" s="875" t="s">
        <v>1815</v>
      </c>
      <c r="B62" s="875"/>
      <c r="C62" s="875"/>
      <c r="D62" s="875"/>
      <c r="E62" s="1351"/>
      <c r="F62" s="1090"/>
      <c r="G62" s="850"/>
      <c r="H62" s="850"/>
      <c r="I62" s="850"/>
      <c r="J62" s="892"/>
      <c r="K62" s="836"/>
      <c r="L62" s="870"/>
      <c r="M62" s="870"/>
      <c r="N62" s="1016"/>
      <c r="O62" s="894"/>
      <c r="P62" s="837"/>
      <c r="Q62" s="836"/>
      <c r="R62" s="836"/>
      <c r="S62" s="1241"/>
      <c r="T62" s="836"/>
      <c r="U62" s="1241"/>
      <c r="V62" s="836"/>
      <c r="W62" s="1177"/>
    </row>
    <row r="63" s="10" customFormat="1" ht="16.5" spans="1:23">
      <c r="A63" s="875" t="s">
        <v>1816</v>
      </c>
      <c r="B63" s="875"/>
      <c r="C63" s="875"/>
      <c r="D63" s="875"/>
      <c r="E63" s="1351"/>
      <c r="F63" s="1090"/>
      <c r="G63" s="850"/>
      <c r="H63" s="850"/>
      <c r="I63" s="850"/>
      <c r="J63" s="836"/>
      <c r="K63" s="836"/>
      <c r="L63" s="870"/>
      <c r="M63" s="870"/>
      <c r="N63" s="1016"/>
      <c r="O63" s="894"/>
      <c r="P63" s="837"/>
      <c r="Q63" s="836"/>
      <c r="R63" s="836"/>
      <c r="S63" s="1241"/>
      <c r="T63" s="836"/>
      <c r="U63" s="1241"/>
      <c r="V63" s="836"/>
      <c r="W63" s="1177"/>
    </row>
    <row r="64" s="10" customFormat="1" ht="16.5" spans="1:23">
      <c r="A64" s="875" t="s">
        <v>1817</v>
      </c>
      <c r="B64" s="876"/>
      <c r="C64" s="876"/>
      <c r="D64" s="876"/>
      <c r="E64" s="1352"/>
      <c r="F64" s="1090"/>
      <c r="G64" s="850"/>
      <c r="H64" s="850"/>
      <c r="I64" s="850"/>
      <c r="J64" s="893"/>
      <c r="K64" s="893"/>
      <c r="L64" s="870"/>
      <c r="M64" s="870"/>
      <c r="N64" s="1021"/>
      <c r="O64" s="894"/>
      <c r="P64" s="837"/>
      <c r="Q64" s="893"/>
      <c r="R64" s="893"/>
      <c r="S64" s="893"/>
      <c r="T64" s="893"/>
      <c r="U64" s="1241"/>
      <c r="V64" s="893"/>
      <c r="W64" s="1177"/>
    </row>
    <row r="65" ht="16.5" spans="1:23">
      <c r="A65" s="875" t="s">
        <v>1818</v>
      </c>
      <c r="B65" s="876"/>
      <c r="C65" s="876"/>
      <c r="D65" s="876"/>
      <c r="E65" s="1352"/>
      <c r="F65" s="1090"/>
      <c r="G65" s="850"/>
      <c r="H65" s="850"/>
      <c r="I65" s="850"/>
      <c r="J65" s="877"/>
      <c r="K65" s="877"/>
      <c r="L65" s="896"/>
      <c r="M65" s="896"/>
      <c r="N65" s="887"/>
      <c r="O65" s="876"/>
      <c r="P65" s="878"/>
      <c r="Q65" s="877"/>
      <c r="R65" s="877"/>
      <c r="S65" s="877"/>
      <c r="T65" s="877"/>
      <c r="U65" s="877"/>
      <c r="V65" s="877"/>
      <c r="W65" s="1242"/>
    </row>
    <row r="66" ht="16.5" spans="1:23">
      <c r="A66" s="417"/>
      <c r="B66" s="877"/>
      <c r="C66" s="878"/>
      <c r="D66" s="878"/>
      <c r="E66" s="1357"/>
      <c r="F66" s="877"/>
      <c r="G66" s="850"/>
      <c r="H66" s="850"/>
      <c r="I66" s="850"/>
      <c r="J66" s="877"/>
      <c r="K66" s="877"/>
      <c r="L66" s="896"/>
      <c r="M66" s="896"/>
      <c r="N66" s="887"/>
      <c r="O66" s="877"/>
      <c r="P66" s="878"/>
      <c r="Q66" s="877"/>
      <c r="R66" s="877"/>
      <c r="S66" s="877"/>
      <c r="T66" s="877"/>
      <c r="U66" s="877"/>
      <c r="V66" s="877"/>
      <c r="W66" s="1242"/>
    </row>
    <row r="67" ht="16.5" spans="1:23">
      <c r="A67" s="417"/>
      <c r="B67" s="417"/>
      <c r="C67" s="879"/>
      <c r="D67" s="879"/>
      <c r="E67" s="1358"/>
      <c r="F67" s="417"/>
      <c r="G67" s="880"/>
      <c r="H67" s="880"/>
      <c r="I67" s="880"/>
      <c r="J67" s="417"/>
      <c r="K67" s="417"/>
      <c r="L67" s="898"/>
      <c r="M67" s="898"/>
      <c r="N67" s="888"/>
      <c r="O67" s="417"/>
      <c r="P67" s="879"/>
      <c r="Q67" s="417"/>
      <c r="R67" s="417"/>
      <c r="S67" s="417"/>
      <c r="T67" s="417"/>
      <c r="U67" s="417"/>
      <c r="V67" s="417"/>
      <c r="W67" s="1243"/>
    </row>
  </sheetData>
  <sheetProtection formatCells="0" insertHyperlinks="0" autoFilter="0"/>
  <mergeCells count="30">
    <mergeCell ref="A1:Q1"/>
    <mergeCell ref="A3:A19"/>
    <mergeCell ref="A20:A36"/>
    <mergeCell ref="A37:A55"/>
    <mergeCell ref="B3:B8"/>
    <mergeCell ref="B9:B16"/>
    <mergeCell ref="B18:B19"/>
    <mergeCell ref="B21:B23"/>
    <mergeCell ref="B24:B30"/>
    <mergeCell ref="B31:B34"/>
    <mergeCell ref="B35:B36"/>
    <mergeCell ref="B37:B42"/>
    <mergeCell ref="B43:B45"/>
    <mergeCell ref="B46:B53"/>
    <mergeCell ref="B54:B55"/>
    <mergeCell ref="C3:C8"/>
    <mergeCell ref="C9:C16"/>
    <mergeCell ref="C18:C19"/>
    <mergeCell ref="C21:C23"/>
    <mergeCell ref="C24:C30"/>
    <mergeCell ref="C31:C34"/>
    <mergeCell ref="C35:C36"/>
    <mergeCell ref="C37:C42"/>
    <mergeCell ref="C43:C45"/>
    <mergeCell ref="C46:C53"/>
    <mergeCell ref="C54:C55"/>
    <mergeCell ref="C56:C57"/>
    <mergeCell ref="D21:D23"/>
    <mergeCell ref="N22:N23"/>
    <mergeCell ref="A56:B57"/>
  </mergeCells>
  <pageMargins left="0.75" right="0.75" top="1" bottom="1" header="0.5" footer="0.5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0"/>
  <dimension ref="A1:X52"/>
  <sheetViews>
    <sheetView workbookViewId="0">
      <pane ySplit="2" topLeftCell="A67" activePane="bottomLeft" state="frozen"/>
      <selection/>
      <selection pane="bottomLeft" activeCell="F69" sqref="F69:F70"/>
    </sheetView>
  </sheetViews>
  <sheetFormatPr defaultColWidth="9" defaultRowHeight="13.5"/>
  <cols>
    <col min="2" max="2" width="8.375" customWidth="1"/>
    <col min="3" max="3" width="8.125" customWidth="1"/>
    <col min="4" max="4" width="15.2583333333333" customWidth="1"/>
    <col min="5" max="5" width="18.5" customWidth="1"/>
    <col min="6" max="6" width="10.7583333333333" customWidth="1"/>
    <col min="7" max="7" width="14.125" customWidth="1"/>
    <col min="8" max="8" width="15.975" customWidth="1"/>
    <col min="9" max="9" width="14.0583333333333" customWidth="1"/>
    <col min="11" max="11" width="12.375" customWidth="1"/>
    <col min="14" max="14" width="63.925" customWidth="1"/>
    <col min="15" max="15" width="12.7666666666667" customWidth="1"/>
    <col min="17" max="17" width="13.125"/>
    <col min="19" max="19" width="13.2583333333333" customWidth="1"/>
    <col min="23" max="23" width="13.5" customWidth="1"/>
  </cols>
  <sheetData>
    <row r="1" s="10" customFormat="1" ht="21.65" customHeight="1" spans="1:23">
      <c r="A1" s="1094" t="s">
        <v>2109</v>
      </c>
      <c r="B1" s="1094"/>
      <c r="C1" s="1094"/>
      <c r="D1" s="1094"/>
      <c r="E1" s="1094"/>
      <c r="F1" s="1094"/>
      <c r="G1" s="1094"/>
      <c r="H1" s="1094"/>
      <c r="I1" s="1094"/>
      <c r="J1" s="1094"/>
      <c r="K1" s="1094"/>
      <c r="L1" s="1102"/>
      <c r="M1" s="1102"/>
      <c r="N1" s="1016"/>
      <c r="O1" s="1094"/>
      <c r="P1" s="1094"/>
      <c r="Q1" s="1094"/>
      <c r="R1" s="651"/>
      <c r="S1" s="651"/>
      <c r="T1" s="651"/>
      <c r="U1" s="651"/>
      <c r="V1" s="836"/>
      <c r="W1" s="1177"/>
    </row>
    <row r="2" s="10" customFormat="1" ht="30" spans="1:23">
      <c r="A2" s="780" t="s">
        <v>1092</v>
      </c>
      <c r="B2" s="1144" t="s">
        <v>1093</v>
      </c>
      <c r="C2" s="1145" t="s">
        <v>1821</v>
      </c>
      <c r="D2" s="1145" t="s">
        <v>1822</v>
      </c>
      <c r="E2" s="1152" t="s">
        <v>1095</v>
      </c>
      <c r="F2" s="1153" t="s">
        <v>362</v>
      </c>
      <c r="G2" s="1154" t="s">
        <v>1716</v>
      </c>
      <c r="H2" s="1154" t="s">
        <v>1717</v>
      </c>
      <c r="I2" s="1154" t="s">
        <v>1718</v>
      </c>
      <c r="J2" s="1164" t="s">
        <v>1096</v>
      </c>
      <c r="K2" s="1165" t="s">
        <v>1098</v>
      </c>
      <c r="L2" s="1166" t="s">
        <v>1097</v>
      </c>
      <c r="M2" s="1166" t="s">
        <v>1214</v>
      </c>
      <c r="N2" s="727" t="s">
        <v>1215</v>
      </c>
      <c r="O2" s="621" t="s">
        <v>7</v>
      </c>
      <c r="P2" s="652" t="s">
        <v>8</v>
      </c>
      <c r="Q2" s="653" t="s">
        <v>9</v>
      </c>
      <c r="R2" s="654" t="s">
        <v>1291</v>
      </c>
      <c r="S2" s="654" t="s">
        <v>13</v>
      </c>
      <c r="T2" s="1170" t="s">
        <v>14</v>
      </c>
      <c r="U2" s="1178" t="s">
        <v>15</v>
      </c>
      <c r="V2" s="1179" t="s">
        <v>1100</v>
      </c>
      <c r="W2" s="1180" t="s">
        <v>1101</v>
      </c>
    </row>
    <row r="3" s="10" customFormat="1" ht="16.5" spans="1:23">
      <c r="A3" s="721" t="s">
        <v>1823</v>
      </c>
      <c r="B3" s="715" t="s">
        <v>1825</v>
      </c>
      <c r="C3" s="545">
        <v>49</v>
      </c>
      <c r="D3" s="250" t="s">
        <v>2110</v>
      </c>
      <c r="E3" s="1245" t="s">
        <v>2111</v>
      </c>
      <c r="F3" s="1002">
        <v>10356</v>
      </c>
      <c r="G3" s="603">
        <f t="shared" ref="G3:G6" si="0">F3*J3</f>
        <v>69894.7152</v>
      </c>
      <c r="H3" s="596">
        <v>69895</v>
      </c>
      <c r="I3" s="603"/>
      <c r="J3" s="614">
        <v>6.7492</v>
      </c>
      <c r="K3" s="598" t="s">
        <v>1218</v>
      </c>
      <c r="L3" s="644">
        <v>44970</v>
      </c>
      <c r="M3" s="644">
        <v>44990</v>
      </c>
      <c r="N3" s="1030" t="s">
        <v>2112</v>
      </c>
      <c r="O3" s="642"/>
      <c r="P3" s="655"/>
      <c r="Q3" s="664"/>
      <c r="R3" s="577"/>
      <c r="S3" s="577"/>
      <c r="T3" s="1171"/>
      <c r="U3" s="664"/>
      <c r="V3" s="664"/>
      <c r="W3" s="1181"/>
    </row>
    <row r="4" s="10" customFormat="1" ht="16.5" spans="1:23">
      <c r="A4" s="1147"/>
      <c r="B4" s="715"/>
      <c r="C4" s="545"/>
      <c r="D4" s="572" t="s">
        <v>145</v>
      </c>
      <c r="E4" s="1245" t="s">
        <v>2113</v>
      </c>
      <c r="F4" s="591">
        <v>17409.83</v>
      </c>
      <c r="G4" s="603">
        <f t="shared" si="0"/>
        <v>117502.424636</v>
      </c>
      <c r="H4" s="596">
        <v>117502</v>
      </c>
      <c r="I4" s="567"/>
      <c r="J4" s="614">
        <v>6.7492</v>
      </c>
      <c r="K4" s="598" t="s">
        <v>2114</v>
      </c>
      <c r="L4" s="645">
        <v>44981</v>
      </c>
      <c r="M4" s="644">
        <v>44990</v>
      </c>
      <c r="N4" s="706" t="s">
        <v>2115</v>
      </c>
      <c r="O4" s="635"/>
      <c r="P4" s="655"/>
      <c r="Q4" s="664"/>
      <c r="R4" s="577"/>
      <c r="S4" s="577"/>
      <c r="T4" s="1171"/>
      <c r="U4" s="664"/>
      <c r="V4" s="664"/>
      <c r="W4" s="1181"/>
    </row>
    <row r="5" s="10" customFormat="1" ht="16.5" spans="1:23">
      <c r="A5" s="1147"/>
      <c r="B5" s="715"/>
      <c r="C5" s="545"/>
      <c r="D5" s="572" t="s">
        <v>207</v>
      </c>
      <c r="E5" s="1245" t="s">
        <v>2116</v>
      </c>
      <c r="F5" s="591">
        <v>1194.13</v>
      </c>
      <c r="G5" s="603">
        <f t="shared" si="0"/>
        <v>8059.422196</v>
      </c>
      <c r="H5" s="596">
        <v>8059</v>
      </c>
      <c r="I5" s="567">
        <v>8059</v>
      </c>
      <c r="J5" s="614">
        <v>6.7492</v>
      </c>
      <c r="K5" s="598" t="s">
        <v>1218</v>
      </c>
      <c r="L5" s="644">
        <v>44981</v>
      </c>
      <c r="M5" s="644">
        <v>44983</v>
      </c>
      <c r="N5" s="1030" t="s">
        <v>2117</v>
      </c>
      <c r="O5" s="635"/>
      <c r="P5" s="655"/>
      <c r="Q5" s="664"/>
      <c r="R5" s="577"/>
      <c r="S5" s="577"/>
      <c r="T5" s="1171"/>
      <c r="U5" s="664"/>
      <c r="V5" s="664"/>
      <c r="W5" s="1181"/>
    </row>
    <row r="6" s="10" customFormat="1" ht="16.5" spans="1:23">
      <c r="A6" s="1147"/>
      <c r="B6" s="715"/>
      <c r="C6" s="545"/>
      <c r="D6" s="572" t="s">
        <v>2118</v>
      </c>
      <c r="E6" s="1245" t="s">
        <v>2119</v>
      </c>
      <c r="F6" s="591">
        <v>9900</v>
      </c>
      <c r="G6" s="603">
        <f t="shared" si="0"/>
        <v>66817.08</v>
      </c>
      <c r="H6" s="596">
        <v>88495</v>
      </c>
      <c r="I6" s="567">
        <v>66817</v>
      </c>
      <c r="J6" s="614">
        <v>6.7492</v>
      </c>
      <c r="K6" s="598" t="s">
        <v>1218</v>
      </c>
      <c r="L6" s="644">
        <v>44979</v>
      </c>
      <c r="M6" s="644">
        <v>44987</v>
      </c>
      <c r="N6" s="994" t="s">
        <v>2120</v>
      </c>
      <c r="O6" s="642"/>
      <c r="P6" s="655"/>
      <c r="Q6" s="664"/>
      <c r="R6" s="577"/>
      <c r="S6" s="577"/>
      <c r="T6" s="1171"/>
      <c r="U6" s="664"/>
      <c r="V6" s="664"/>
      <c r="W6" s="1181"/>
    </row>
    <row r="7" s="10" customFormat="1" ht="16.5" spans="1:23">
      <c r="A7" s="1147"/>
      <c r="B7" s="715"/>
      <c r="C7" s="545"/>
      <c r="D7" s="572" t="s">
        <v>197</v>
      </c>
      <c r="E7" s="568" t="s">
        <v>1725</v>
      </c>
      <c r="F7" s="591"/>
      <c r="G7" s="603"/>
      <c r="H7" s="596"/>
      <c r="I7" s="567">
        <v>261681</v>
      </c>
      <c r="J7" s="614">
        <v>6.7492</v>
      </c>
      <c r="K7" s="598"/>
      <c r="L7" s="644"/>
      <c r="M7" s="644"/>
      <c r="N7" s="706" t="s">
        <v>2121</v>
      </c>
      <c r="O7" s="642"/>
      <c r="P7" s="655"/>
      <c r="Q7" s="664"/>
      <c r="R7" s="577"/>
      <c r="S7" s="577"/>
      <c r="T7" s="1171"/>
      <c r="U7" s="664"/>
      <c r="V7" s="664"/>
      <c r="W7" s="1181"/>
    </row>
    <row r="8" s="10" customFormat="1" ht="16.5" spans="1:23">
      <c r="A8" s="721"/>
      <c r="B8" s="671" t="s">
        <v>224</v>
      </c>
      <c r="C8" s="759">
        <v>51</v>
      </c>
      <c r="D8" s="250" t="s">
        <v>840</v>
      </c>
      <c r="E8" s="571" t="s">
        <v>2061</v>
      </c>
      <c r="F8" s="562"/>
      <c r="G8" s="596"/>
      <c r="H8" s="860"/>
      <c r="I8" s="860">
        <v>260704.9375</v>
      </c>
      <c r="J8" s="614">
        <v>6.7492</v>
      </c>
      <c r="K8" s="598" t="s">
        <v>1218</v>
      </c>
      <c r="L8" s="855">
        <v>44957</v>
      </c>
      <c r="M8" s="855">
        <v>44965</v>
      </c>
      <c r="N8" s="706" t="s">
        <v>2122</v>
      </c>
      <c r="O8" s="724"/>
      <c r="P8" s="655"/>
      <c r="Q8" s="664"/>
      <c r="R8" s="577"/>
      <c r="S8" s="577"/>
      <c r="T8" s="1171"/>
      <c r="U8" s="664"/>
      <c r="V8" s="664"/>
      <c r="W8" s="1181"/>
    </row>
    <row r="9" s="10" customFormat="1" ht="16.5" spans="1:23">
      <c r="A9" s="721"/>
      <c r="B9" s="671"/>
      <c r="C9" s="557"/>
      <c r="D9" s="715" t="s">
        <v>638</v>
      </c>
      <c r="E9" s="571" t="s">
        <v>2065</v>
      </c>
      <c r="F9" s="722"/>
      <c r="G9" s="603"/>
      <c r="H9" s="596"/>
      <c r="I9" s="603">
        <v>114321</v>
      </c>
      <c r="J9" s="614">
        <v>6.7492</v>
      </c>
      <c r="K9" s="598" t="s">
        <v>1218</v>
      </c>
      <c r="L9" s="598">
        <v>44956</v>
      </c>
      <c r="M9" s="855">
        <v>44961</v>
      </c>
      <c r="N9" s="706" t="s">
        <v>2123</v>
      </c>
      <c r="O9" s="623"/>
      <c r="P9" s="623"/>
      <c r="Q9" s="656"/>
      <c r="R9" s="577"/>
      <c r="S9" s="577"/>
      <c r="T9" s="1171"/>
      <c r="U9" s="664"/>
      <c r="V9" s="664"/>
      <c r="W9" s="1181"/>
    </row>
    <row r="10" s="10" customFormat="1" ht="16.5" spans="1:23">
      <c r="A10" s="721"/>
      <c r="B10" s="671"/>
      <c r="C10" s="759"/>
      <c r="D10" s="572" t="s">
        <v>408</v>
      </c>
      <c r="E10" s="1245" t="s">
        <v>2124</v>
      </c>
      <c r="F10" s="725">
        <v>46235</v>
      </c>
      <c r="G10" s="567">
        <f t="shared" ref="G8:G13" si="1">F10*J10</f>
        <v>312049.262</v>
      </c>
      <c r="H10" s="596">
        <v>312049.262</v>
      </c>
      <c r="I10" s="567">
        <v>312049.262</v>
      </c>
      <c r="J10" s="614">
        <v>6.7492</v>
      </c>
      <c r="K10" s="598" t="s">
        <v>1218</v>
      </c>
      <c r="L10" s="644">
        <v>44972</v>
      </c>
      <c r="M10" s="644">
        <v>44979</v>
      </c>
      <c r="N10" s="937" t="s">
        <v>2125</v>
      </c>
      <c r="O10" s="724"/>
      <c r="P10" s="623" t="s">
        <v>1671</v>
      </c>
      <c r="Q10" s="664"/>
      <c r="R10" s="577"/>
      <c r="S10" s="577"/>
      <c r="T10" s="1171"/>
      <c r="U10" s="664"/>
      <c r="V10" s="664"/>
      <c r="W10" s="1181"/>
    </row>
    <row r="11" s="10" customFormat="1" ht="16.5" spans="1:23">
      <c r="A11" s="721"/>
      <c r="B11" s="671"/>
      <c r="C11" s="557"/>
      <c r="D11" s="715" t="s">
        <v>2126</v>
      </c>
      <c r="E11" s="1245" t="s">
        <v>2127</v>
      </c>
      <c r="F11" s="722">
        <v>40927</v>
      </c>
      <c r="G11" s="603">
        <f t="shared" si="1"/>
        <v>276224.5084</v>
      </c>
      <c r="H11" s="766">
        <v>276225</v>
      </c>
      <c r="I11" s="735"/>
      <c r="J11" s="614">
        <v>6.7492</v>
      </c>
      <c r="K11" s="598" t="s">
        <v>1218</v>
      </c>
      <c r="L11" s="644">
        <v>44979</v>
      </c>
      <c r="M11" s="645">
        <v>44987</v>
      </c>
      <c r="N11" s="706" t="s">
        <v>2128</v>
      </c>
      <c r="O11" s="623"/>
      <c r="P11" s="623" t="s">
        <v>1671</v>
      </c>
      <c r="Q11" s="656"/>
      <c r="R11" s="577"/>
      <c r="S11" s="577"/>
      <c r="T11" s="1171"/>
      <c r="U11" s="664"/>
      <c r="V11" s="664"/>
      <c r="W11" s="1181"/>
    </row>
    <row r="12" s="10" customFormat="1" ht="16.5" spans="1:23">
      <c r="A12" s="721"/>
      <c r="B12" s="671"/>
      <c r="C12" s="557"/>
      <c r="D12" s="250" t="s">
        <v>53</v>
      </c>
      <c r="E12" s="1245" t="s">
        <v>2129</v>
      </c>
      <c r="F12" s="725">
        <v>57277</v>
      </c>
      <c r="G12" s="567">
        <f t="shared" si="1"/>
        <v>386573.9284</v>
      </c>
      <c r="H12" s="596">
        <v>386573.9284</v>
      </c>
      <c r="I12" s="577"/>
      <c r="J12" s="614">
        <v>6.7492</v>
      </c>
      <c r="K12" s="598" t="s">
        <v>1218</v>
      </c>
      <c r="L12" s="625">
        <v>44981</v>
      </c>
      <c r="M12" s="644">
        <v>44986</v>
      </c>
      <c r="N12" s="706" t="s">
        <v>2130</v>
      </c>
      <c r="O12" s="623" t="s">
        <v>626</v>
      </c>
      <c r="P12" s="623" t="s">
        <v>2131</v>
      </c>
      <c r="Q12" s="945"/>
      <c r="R12" s="945"/>
      <c r="S12" s="945"/>
      <c r="T12" s="945"/>
      <c r="U12" s="945"/>
      <c r="V12" s="945"/>
      <c r="W12" s="945"/>
    </row>
    <row r="13" s="10" customFormat="1" ht="16.5" spans="1:23">
      <c r="A13" s="721"/>
      <c r="B13" s="671"/>
      <c r="C13" s="557"/>
      <c r="D13" s="250" t="s">
        <v>405</v>
      </c>
      <c r="E13" s="1245" t="s">
        <v>2132</v>
      </c>
      <c r="F13" s="725">
        <v>880</v>
      </c>
      <c r="G13" s="567">
        <f t="shared" si="1"/>
        <v>5939.296</v>
      </c>
      <c r="H13" s="567">
        <v>5939.296</v>
      </c>
      <c r="I13" s="577">
        <f>H13</f>
        <v>5939.296</v>
      </c>
      <c r="J13" s="614">
        <v>6.7492</v>
      </c>
      <c r="K13" s="598" t="s">
        <v>1218</v>
      </c>
      <c r="L13" s="625"/>
      <c r="M13" s="644"/>
      <c r="N13" s="706" t="s">
        <v>2060</v>
      </c>
      <c r="O13" s="623"/>
      <c r="P13" s="623"/>
      <c r="Q13" s="945"/>
      <c r="R13" s="945"/>
      <c r="S13" s="945"/>
      <c r="T13" s="945"/>
      <c r="U13" s="945"/>
      <c r="V13" s="945"/>
      <c r="W13" s="945"/>
    </row>
    <row r="14" s="10" customFormat="1" ht="16.5" spans="1:23">
      <c r="A14" s="1147"/>
      <c r="B14" s="1148" t="s">
        <v>1124</v>
      </c>
      <c r="C14" s="1149">
        <f>SUM(C3:C13)</f>
        <v>100</v>
      </c>
      <c r="D14" s="1150"/>
      <c r="E14" s="1156"/>
      <c r="F14" s="1157" t="s">
        <v>1235</v>
      </c>
      <c r="G14" s="1158">
        <f>SUM(G3:G13)</f>
        <v>1243060.636832</v>
      </c>
      <c r="H14" s="1158">
        <f>SUM(H3:H13)</f>
        <v>1264738.4864</v>
      </c>
      <c r="I14" s="1158">
        <f>SUM(I3:I13)</f>
        <v>1029571.4955</v>
      </c>
      <c r="J14" s="1168"/>
      <c r="K14" s="610"/>
      <c r="L14" s="644"/>
      <c r="M14" s="644"/>
      <c r="N14" s="1072"/>
      <c r="O14" s="640"/>
      <c r="P14" s="968"/>
      <c r="Q14" s="670"/>
      <c r="R14" s="766"/>
      <c r="S14" s="1173"/>
      <c r="T14" s="1174"/>
      <c r="U14" s="546"/>
      <c r="V14" s="546"/>
      <c r="W14" s="1183"/>
    </row>
    <row r="15" s="10" customFormat="1" ht="16.5" spans="1:23">
      <c r="A15" s="1151"/>
      <c r="B15" s="1148"/>
      <c r="C15" s="1149"/>
      <c r="D15" s="1149"/>
      <c r="E15" s="1144"/>
      <c r="F15" s="1159" t="s">
        <v>1236</v>
      </c>
      <c r="G15" s="1160">
        <f t="shared" ref="G15:I15" si="2">G14/1000000</f>
        <v>1.243060636832</v>
      </c>
      <c r="H15" s="796">
        <f t="shared" si="2"/>
        <v>1.2647384864</v>
      </c>
      <c r="I15" s="1160">
        <f t="shared" si="2"/>
        <v>1.0295714955</v>
      </c>
      <c r="J15" s="1168"/>
      <c r="K15" s="858"/>
      <c r="L15" s="821"/>
      <c r="M15" s="821"/>
      <c r="N15" s="1015"/>
      <c r="O15" s="804"/>
      <c r="P15" s="652"/>
      <c r="Q15" s="653"/>
      <c r="R15" s="809"/>
      <c r="S15" s="809">
        <v>0</v>
      </c>
      <c r="T15" s="809">
        <v>0</v>
      </c>
      <c r="U15" s="1184"/>
      <c r="V15" s="1184"/>
      <c r="W15" s="1185"/>
    </row>
    <row r="16" s="10" customFormat="1" ht="16.5" spans="1:24">
      <c r="A16" s="541" t="s">
        <v>1913</v>
      </c>
      <c r="B16" s="664" t="s">
        <v>1248</v>
      </c>
      <c r="C16" s="655">
        <v>74</v>
      </c>
      <c r="D16" s="716" t="s">
        <v>299</v>
      </c>
      <c r="E16" s="1161" t="s">
        <v>2133</v>
      </c>
      <c r="F16" s="762">
        <v>35035</v>
      </c>
      <c r="G16" s="567">
        <f>F16*J16</f>
        <v>236458.222</v>
      </c>
      <c r="H16" s="602">
        <v>236458.222</v>
      </c>
      <c r="I16" s="577">
        <v>236458.222</v>
      </c>
      <c r="J16" s="614">
        <v>6.7492</v>
      </c>
      <c r="K16" s="707">
        <v>44972</v>
      </c>
      <c r="L16" s="707">
        <v>44973</v>
      </c>
      <c r="M16" s="625">
        <v>44976</v>
      </c>
      <c r="N16" s="1214" t="s">
        <v>2134</v>
      </c>
      <c r="O16" s="597" t="s">
        <v>348</v>
      </c>
      <c r="P16" s="751">
        <v>91</v>
      </c>
      <c r="Q16" s="752">
        <v>385</v>
      </c>
      <c r="R16" s="1305"/>
      <c r="S16" s="1305"/>
      <c r="T16" s="1305"/>
      <c r="U16" s="1306"/>
      <c r="V16" s="1306"/>
      <c r="W16" s="1307"/>
      <c r="X16" s="1022"/>
    </row>
    <row r="17" s="10" customFormat="1" ht="16.5" spans="1:24">
      <c r="A17" s="541"/>
      <c r="B17" s="664"/>
      <c r="C17" s="655"/>
      <c r="D17" s="716" t="s">
        <v>299</v>
      </c>
      <c r="E17" s="1161" t="s">
        <v>2135</v>
      </c>
      <c r="F17" s="762">
        <v>35035</v>
      </c>
      <c r="G17" s="567">
        <f>F17*J17</f>
        <v>236458.222</v>
      </c>
      <c r="H17" s="602">
        <v>236458.222</v>
      </c>
      <c r="I17" s="577">
        <v>236458.222</v>
      </c>
      <c r="J17" s="614">
        <v>6.7492</v>
      </c>
      <c r="K17" s="707">
        <v>44972</v>
      </c>
      <c r="L17" s="707">
        <v>44973</v>
      </c>
      <c r="M17" s="625">
        <v>44976</v>
      </c>
      <c r="N17" s="1214" t="s">
        <v>2134</v>
      </c>
      <c r="O17" s="597" t="s">
        <v>348</v>
      </c>
      <c r="P17" s="751">
        <v>91</v>
      </c>
      <c r="Q17" s="752">
        <v>385</v>
      </c>
      <c r="R17" s="750"/>
      <c r="S17" s="1175"/>
      <c r="T17" s="1176"/>
      <c r="U17" s="1186"/>
      <c r="V17" s="1187"/>
      <c r="W17" s="1181"/>
      <c r="X17" s="1022"/>
    </row>
    <row r="18" s="10" customFormat="1" ht="16.5" spans="1:24">
      <c r="A18" s="541"/>
      <c r="B18" s="664"/>
      <c r="C18" s="655"/>
      <c r="D18" s="716" t="s">
        <v>299</v>
      </c>
      <c r="E18" s="1161" t="s">
        <v>2136</v>
      </c>
      <c r="F18" s="762">
        <v>33124</v>
      </c>
      <c r="G18" s="567">
        <f>F18*J18</f>
        <v>223560.5008</v>
      </c>
      <c r="H18" s="602">
        <v>223560.5008</v>
      </c>
      <c r="I18" s="577"/>
      <c r="J18" s="614">
        <v>6.7492</v>
      </c>
      <c r="K18" s="707">
        <v>44973</v>
      </c>
      <c r="L18" s="707">
        <v>44984</v>
      </c>
      <c r="M18" s="625">
        <v>44989</v>
      </c>
      <c r="N18" s="1214" t="s">
        <v>2137</v>
      </c>
      <c r="O18" s="597" t="s">
        <v>348</v>
      </c>
      <c r="P18" s="751">
        <v>91</v>
      </c>
      <c r="Q18" s="752">
        <v>360</v>
      </c>
      <c r="R18" s="750"/>
      <c r="S18" s="1175"/>
      <c r="T18" s="1176"/>
      <c r="U18" s="1186"/>
      <c r="V18" s="1187"/>
      <c r="W18" s="1181"/>
      <c r="X18" s="1022"/>
    </row>
    <row r="19" s="10" customFormat="1" ht="16.5" spans="1:24">
      <c r="A19" s="541"/>
      <c r="B19" s="664"/>
      <c r="C19" s="655"/>
      <c r="D19" s="716" t="s">
        <v>299</v>
      </c>
      <c r="E19" s="1161" t="s">
        <v>2138</v>
      </c>
      <c r="F19" s="762">
        <v>33124</v>
      </c>
      <c r="G19" s="567">
        <f>F19*J19</f>
        <v>223560.5008</v>
      </c>
      <c r="H19" s="602">
        <v>223560.5008</v>
      </c>
      <c r="I19" s="577"/>
      <c r="J19" s="614">
        <v>6.7492</v>
      </c>
      <c r="K19" s="707">
        <v>44973</v>
      </c>
      <c r="L19" s="707">
        <v>44984</v>
      </c>
      <c r="M19" s="625">
        <v>44989</v>
      </c>
      <c r="N19" s="1214" t="s">
        <v>2137</v>
      </c>
      <c r="O19" s="597" t="s">
        <v>348</v>
      </c>
      <c r="P19" s="751">
        <v>91</v>
      </c>
      <c r="Q19" s="752">
        <v>360</v>
      </c>
      <c r="R19" s="750"/>
      <c r="S19" s="1175"/>
      <c r="T19" s="1176"/>
      <c r="U19" s="1186"/>
      <c r="V19" s="1187"/>
      <c r="W19" s="1181"/>
      <c r="X19" s="1022"/>
    </row>
    <row r="20" s="10" customFormat="1" ht="16.5" spans="1:24">
      <c r="A20" s="669"/>
      <c r="B20" s="664" t="s">
        <v>1437</v>
      </c>
      <c r="C20" s="655">
        <v>25</v>
      </c>
      <c r="D20" s="716"/>
      <c r="E20" s="764"/>
      <c r="F20" s="762"/>
      <c r="G20" s="567"/>
      <c r="H20" s="577"/>
      <c r="I20" s="577"/>
      <c r="J20" s="614"/>
      <c r="K20" s="707"/>
      <c r="L20" s="707"/>
      <c r="M20" s="625"/>
      <c r="N20" s="1214"/>
      <c r="O20" s="597"/>
      <c r="P20" s="751"/>
      <c r="Q20" s="752"/>
      <c r="R20" s="750"/>
      <c r="S20" s="1175"/>
      <c r="T20" s="1176"/>
      <c r="U20" s="1186"/>
      <c r="V20" s="1187"/>
      <c r="W20" s="1181"/>
      <c r="X20" s="1022"/>
    </row>
    <row r="21" s="10" customFormat="1" ht="18.75" customHeight="1" spans="1:23">
      <c r="A21" s="669"/>
      <c r="B21" s="664" t="s">
        <v>209</v>
      </c>
      <c r="C21" s="655">
        <v>62</v>
      </c>
      <c r="D21" s="568" t="s">
        <v>274</v>
      </c>
      <c r="E21" s="1197" t="s">
        <v>2139</v>
      </c>
      <c r="F21" s="969">
        <v>41000</v>
      </c>
      <c r="G21" s="577">
        <f>F21*J21</f>
        <v>276717.2</v>
      </c>
      <c r="H21" s="577">
        <f>G21</f>
        <v>276717.2</v>
      </c>
      <c r="I21" s="577">
        <f>H21</f>
        <v>276717.2</v>
      </c>
      <c r="J21" s="614">
        <v>6.7492</v>
      </c>
      <c r="K21" s="598" t="s">
        <v>203</v>
      </c>
      <c r="L21" s="598">
        <v>44968</v>
      </c>
      <c r="M21" s="625">
        <v>44973</v>
      </c>
      <c r="N21" s="1214" t="s">
        <v>2140</v>
      </c>
      <c r="O21" s="561" t="s">
        <v>1000</v>
      </c>
      <c r="P21" s="751">
        <v>42</v>
      </c>
      <c r="Q21" s="752">
        <v>1131</v>
      </c>
      <c r="R21" s="756"/>
      <c r="S21" s="1203"/>
      <c r="T21" s="1204"/>
      <c r="U21" s="715"/>
      <c r="V21" s="1211"/>
      <c r="W21" s="1182"/>
    </row>
    <row r="22" s="10" customFormat="1" ht="18.75" customHeight="1" spans="1:23">
      <c r="A22" s="669"/>
      <c r="B22" s="664"/>
      <c r="C22" s="655"/>
      <c r="D22" s="568" t="s">
        <v>274</v>
      </c>
      <c r="E22" s="1197" t="s">
        <v>2141</v>
      </c>
      <c r="F22" s="969">
        <v>3511</v>
      </c>
      <c r="G22" s="577">
        <f>F22*J22</f>
        <v>23696.4412</v>
      </c>
      <c r="H22" s="577">
        <v>23696.4412</v>
      </c>
      <c r="I22" s="577">
        <v>23696.4412</v>
      </c>
      <c r="J22" s="614">
        <v>6.7492</v>
      </c>
      <c r="K22" s="598" t="s">
        <v>203</v>
      </c>
      <c r="L22" s="625">
        <v>44960</v>
      </c>
      <c r="M22" s="625">
        <v>44963</v>
      </c>
      <c r="N22" s="1214" t="s">
        <v>2142</v>
      </c>
      <c r="O22" s="250"/>
      <c r="P22" s="751"/>
      <c r="Q22" s="755"/>
      <c r="R22" s="756"/>
      <c r="S22" s="1203"/>
      <c r="T22" s="1204"/>
      <c r="U22" s="715"/>
      <c r="V22" s="1211"/>
      <c r="W22" s="1182"/>
    </row>
    <row r="23" s="10" customFormat="1" ht="18.75" customHeight="1" spans="1:23">
      <c r="A23" s="669"/>
      <c r="B23" s="664"/>
      <c r="C23" s="655"/>
      <c r="D23" s="568" t="s">
        <v>274</v>
      </c>
      <c r="E23" s="1197" t="s">
        <v>2143</v>
      </c>
      <c r="F23" s="576">
        <v>15204</v>
      </c>
      <c r="G23" s="577">
        <f>F23*J23</f>
        <v>102614.8368</v>
      </c>
      <c r="H23" s="577">
        <v>102614.8368</v>
      </c>
      <c r="I23" s="577">
        <v>102614.8368</v>
      </c>
      <c r="J23" s="614">
        <v>6.7492</v>
      </c>
      <c r="K23" s="598" t="s">
        <v>203</v>
      </c>
      <c r="L23" s="625">
        <v>44960</v>
      </c>
      <c r="M23" s="625">
        <v>44963</v>
      </c>
      <c r="N23" s="1214" t="s">
        <v>2142</v>
      </c>
      <c r="O23" s="250"/>
      <c r="P23" s="751"/>
      <c r="Q23" s="755"/>
      <c r="R23" s="756"/>
      <c r="S23" s="1203"/>
      <c r="T23" s="1204"/>
      <c r="U23" s="715"/>
      <c r="V23" s="1211"/>
      <c r="W23" s="1182"/>
    </row>
    <row r="24" s="536" customFormat="1" ht="29.6" customHeight="1" spans="1:23">
      <c r="A24" s="669"/>
      <c r="B24" s="715"/>
      <c r="C24" s="716"/>
      <c r="D24" s="568" t="s">
        <v>256</v>
      </c>
      <c r="E24" s="1197" t="s">
        <v>2144</v>
      </c>
      <c r="F24" s="969">
        <v>33425</v>
      </c>
      <c r="G24" s="602">
        <f>F24*J24</f>
        <v>225592.01</v>
      </c>
      <c r="H24" s="766">
        <f>G24</f>
        <v>225592.01</v>
      </c>
      <c r="I24" s="766">
        <f>H24</f>
        <v>225592.01</v>
      </c>
      <c r="J24" s="614">
        <v>6.7492</v>
      </c>
      <c r="K24" s="598" t="s">
        <v>1218</v>
      </c>
      <c r="L24" s="598">
        <v>44968</v>
      </c>
      <c r="M24" s="598">
        <v>44972</v>
      </c>
      <c r="N24" s="1214" t="s">
        <v>2145</v>
      </c>
      <c r="O24" s="597"/>
      <c r="P24" s="568"/>
      <c r="Q24" s="1326"/>
      <c r="R24" s="756"/>
      <c r="S24" s="1203"/>
      <c r="T24" s="1204"/>
      <c r="U24" s="715"/>
      <c r="V24" s="1211"/>
      <c r="W24" s="1182"/>
    </row>
    <row r="25" s="10" customFormat="1" ht="18.75" customHeight="1" spans="1:24">
      <c r="A25" s="669"/>
      <c r="B25" s="666" t="s">
        <v>1540</v>
      </c>
      <c r="C25" s="655">
        <v>39</v>
      </c>
      <c r="D25" s="715" t="s">
        <v>1358</v>
      </c>
      <c r="E25" s="1324" t="s">
        <v>2087</v>
      </c>
      <c r="F25" s="722">
        <v>17505</v>
      </c>
      <c r="G25" s="567"/>
      <c r="H25" s="602"/>
      <c r="I25" s="577">
        <v>121615.9875</v>
      </c>
      <c r="J25" s="819">
        <v>6.9475</v>
      </c>
      <c r="K25" s="598" t="s">
        <v>1218</v>
      </c>
      <c r="L25" s="856">
        <v>44957</v>
      </c>
      <c r="M25" s="645">
        <v>44961</v>
      </c>
      <c r="N25" s="1325" t="s">
        <v>2146</v>
      </c>
      <c r="O25" s="724"/>
      <c r="P25" s="1050"/>
      <c r="Q25" s="1327"/>
      <c r="R25" s="1051"/>
      <c r="S25" s="1239"/>
      <c r="T25" s="1176"/>
      <c r="U25" s="664"/>
      <c r="V25" s="1187"/>
      <c r="W25" s="1181"/>
      <c r="X25" s="1022"/>
    </row>
    <row r="26" s="10" customFormat="1" ht="19.6" customHeight="1" spans="1:24">
      <c r="A26" s="541"/>
      <c r="B26" s="556"/>
      <c r="C26" s="655"/>
      <c r="D26" s="715" t="s">
        <v>2147</v>
      </c>
      <c r="E26" s="1163" t="s">
        <v>2148</v>
      </c>
      <c r="F26" s="725">
        <v>3280</v>
      </c>
      <c r="G26" s="567">
        <f>F26*J26</f>
        <v>22137.376</v>
      </c>
      <c r="H26" s="602">
        <v>22137.376</v>
      </c>
      <c r="I26" s="735"/>
      <c r="J26" s="614">
        <v>6.7492</v>
      </c>
      <c r="K26" s="598" t="s">
        <v>1218</v>
      </c>
      <c r="L26" s="707">
        <v>44985</v>
      </c>
      <c r="M26" s="625">
        <v>44990</v>
      </c>
      <c r="N26" s="250" t="s">
        <v>2149</v>
      </c>
      <c r="O26" s="714" t="s">
        <v>2150</v>
      </c>
      <c r="P26" s="623"/>
      <c r="Q26" s="656"/>
      <c r="R26" s="733"/>
      <c r="S26" s="753"/>
      <c r="T26" s="753"/>
      <c r="U26" s="750"/>
      <c r="V26" s="750"/>
      <c r="W26" s="1181"/>
      <c r="X26" s="1022"/>
    </row>
    <row r="27" s="10" customFormat="1" ht="19.8" customHeight="1" spans="1:24">
      <c r="A27" s="541"/>
      <c r="B27" s="556"/>
      <c r="C27" s="655"/>
      <c r="D27" s="715" t="s">
        <v>1340</v>
      </c>
      <c r="E27" s="1310" t="s">
        <v>2151</v>
      </c>
      <c r="F27" s="725">
        <v>38640</v>
      </c>
      <c r="G27" s="567">
        <f>F27*J27</f>
        <v>260789.088</v>
      </c>
      <c r="H27" s="602">
        <v>260789.088</v>
      </c>
      <c r="I27" s="735"/>
      <c r="J27" s="614">
        <v>6.7492</v>
      </c>
      <c r="K27" s="707">
        <v>44982</v>
      </c>
      <c r="L27" s="707">
        <v>44985</v>
      </c>
      <c r="M27" s="625">
        <v>44986</v>
      </c>
      <c r="N27" s="971" t="s">
        <v>2152</v>
      </c>
      <c r="O27" s="572" t="s">
        <v>2075</v>
      </c>
      <c r="P27" s="623" t="s">
        <v>1671</v>
      </c>
      <c r="Q27" s="752">
        <v>230</v>
      </c>
      <c r="R27" s="733"/>
      <c r="S27" s="753"/>
      <c r="T27" s="753"/>
      <c r="U27" s="750"/>
      <c r="V27" s="750"/>
      <c r="W27" s="1181"/>
      <c r="X27" s="1022"/>
    </row>
    <row r="28" s="10" customFormat="1" ht="16.5" spans="1:24">
      <c r="A28" s="541"/>
      <c r="B28" s="556"/>
      <c r="C28" s="655"/>
      <c r="D28" s="715"/>
      <c r="E28" s="1310" t="s">
        <v>2153</v>
      </c>
      <c r="F28" s="725">
        <v>74046.6</v>
      </c>
      <c r="G28" s="567">
        <f>F28*J28</f>
        <v>499755.31272</v>
      </c>
      <c r="H28" s="602">
        <v>499755.31272</v>
      </c>
      <c r="I28" s="735"/>
      <c r="J28" s="614">
        <v>6.7492</v>
      </c>
      <c r="K28" s="707">
        <v>44977</v>
      </c>
      <c r="L28" s="707">
        <v>44982</v>
      </c>
      <c r="M28" s="625">
        <v>44986</v>
      </c>
      <c r="N28" s="904"/>
      <c r="O28" s="572" t="s">
        <v>2154</v>
      </c>
      <c r="P28" s="623" t="s">
        <v>2131</v>
      </c>
      <c r="Q28" s="752">
        <v>406</v>
      </c>
      <c r="R28" s="733"/>
      <c r="S28" s="753"/>
      <c r="T28" s="753"/>
      <c r="U28" s="750"/>
      <c r="V28" s="750"/>
      <c r="W28" s="1181"/>
      <c r="X28" s="1022"/>
    </row>
    <row r="29" s="10" customFormat="1" ht="16.5" spans="1:24">
      <c r="A29" s="541"/>
      <c r="B29" s="556"/>
      <c r="C29" s="655"/>
      <c r="D29" s="715" t="s">
        <v>287</v>
      </c>
      <c r="E29" s="1197" t="s">
        <v>2155</v>
      </c>
      <c r="F29" s="722">
        <v>12713</v>
      </c>
      <c r="G29" s="567">
        <f>F29*J29</f>
        <v>85802.5796</v>
      </c>
      <c r="H29" s="602">
        <v>85802.5796</v>
      </c>
      <c r="I29" s="735">
        <f>H29</f>
        <v>85802.5796</v>
      </c>
      <c r="J29" s="614">
        <v>6.7492</v>
      </c>
      <c r="K29" s="598" t="s">
        <v>1218</v>
      </c>
      <c r="L29" s="625">
        <v>44963</v>
      </c>
      <c r="M29" s="644"/>
      <c r="N29" s="1325" t="s">
        <v>2156</v>
      </c>
      <c r="O29" s="572"/>
      <c r="P29" s="623"/>
      <c r="Q29" s="656"/>
      <c r="R29" s="733"/>
      <c r="S29" s="753"/>
      <c r="T29" s="753"/>
      <c r="U29" s="750"/>
      <c r="V29" s="750"/>
      <c r="W29" s="1181"/>
      <c r="X29" s="1022"/>
    </row>
    <row r="30" s="10" customFormat="1" ht="16.5" spans="1:24">
      <c r="A30" s="541"/>
      <c r="B30" s="670"/>
      <c r="C30" s="655"/>
      <c r="D30" s="546" t="s">
        <v>1169</v>
      </c>
      <c r="E30" s="1197" t="s">
        <v>2157</v>
      </c>
      <c r="F30" s="722">
        <v>33518</v>
      </c>
      <c r="G30" s="567">
        <f>F30*J30</f>
        <v>226219.6856</v>
      </c>
      <c r="H30" s="602">
        <v>226219.6856</v>
      </c>
      <c r="I30" s="735"/>
      <c r="J30" s="614">
        <v>6.7492</v>
      </c>
      <c r="K30" s="598" t="s">
        <v>1218</v>
      </c>
      <c r="L30" s="707">
        <v>44984</v>
      </c>
      <c r="M30" s="625">
        <v>44988</v>
      </c>
      <c r="N30" s="1214" t="s">
        <v>2158</v>
      </c>
      <c r="O30" s="572"/>
      <c r="P30" s="623" t="s">
        <v>1671</v>
      </c>
      <c r="Q30" s="656"/>
      <c r="R30" s="733"/>
      <c r="S30" s="753"/>
      <c r="T30" s="753"/>
      <c r="U30" s="750"/>
      <c r="V30" s="750"/>
      <c r="W30" s="1181"/>
      <c r="X30" s="1022"/>
    </row>
    <row r="31" s="10" customFormat="1" ht="16.5" spans="1:23">
      <c r="A31" s="541"/>
      <c r="B31" s="1190" t="s">
        <v>1124</v>
      </c>
      <c r="C31" s="1149">
        <f>SUM(C16:C30)</f>
        <v>200</v>
      </c>
      <c r="D31" s="1191"/>
      <c r="E31" s="1198"/>
      <c r="F31" s="1157" t="s">
        <v>1235</v>
      </c>
      <c r="G31" s="1158">
        <f>SUM(G16:G30)</f>
        <v>2643361.97552</v>
      </c>
      <c r="H31" s="1158">
        <f>SUM(H16:H30)</f>
        <v>2643361.97552</v>
      </c>
      <c r="I31" s="1158">
        <f>SUM(I16:I30)</f>
        <v>1308955.4991</v>
      </c>
      <c r="J31" s="1168"/>
      <c r="K31" s="610"/>
      <c r="L31" s="644"/>
      <c r="M31" s="644"/>
      <c r="N31" s="1013"/>
      <c r="O31" s="1200"/>
      <c r="P31" s="655"/>
      <c r="Q31" s="656"/>
      <c r="R31" s="754"/>
      <c r="S31" s="754"/>
      <c r="T31" s="992"/>
      <c r="U31" s="608"/>
      <c r="V31" s="1209"/>
      <c r="W31" s="1210"/>
    </row>
    <row r="32" s="10" customFormat="1" ht="16.5" spans="1:23">
      <c r="A32" s="672"/>
      <c r="B32" s="1192"/>
      <c r="C32" s="1149"/>
      <c r="D32" s="1150"/>
      <c r="E32" s="1198"/>
      <c r="F32" s="1157" t="s">
        <v>1236</v>
      </c>
      <c r="G32" s="1199">
        <f>G31/2000000</f>
        <v>1.32168098776</v>
      </c>
      <c r="H32" s="1199">
        <f>H31/2000000</f>
        <v>1.32168098776</v>
      </c>
      <c r="I32" s="1199">
        <f>I31/2000000</f>
        <v>0.65447774955</v>
      </c>
      <c r="J32" s="747"/>
      <c r="K32" s="858"/>
      <c r="L32" s="1135"/>
      <c r="M32" s="1135"/>
      <c r="N32" s="1015"/>
      <c r="O32" s="727"/>
      <c r="P32" s="652"/>
      <c r="Q32" s="653"/>
      <c r="R32" s="653"/>
      <c r="S32" s="653"/>
      <c r="T32" s="653"/>
      <c r="U32" s="1184"/>
      <c r="V32" s="1184"/>
      <c r="W32" s="1185"/>
    </row>
    <row r="33" s="536" customFormat="1" ht="18.75" customHeight="1" spans="1:23">
      <c r="A33" s="564" t="s">
        <v>1984</v>
      </c>
      <c r="B33" s="1194" t="s">
        <v>38</v>
      </c>
      <c r="C33" s="655">
        <v>33</v>
      </c>
      <c r="D33" s="250" t="s">
        <v>2159</v>
      </c>
      <c r="E33" s="1155" t="s">
        <v>2160</v>
      </c>
      <c r="F33" s="591"/>
      <c r="G33" s="567">
        <v>17547</v>
      </c>
      <c r="H33" s="567">
        <v>17547</v>
      </c>
      <c r="I33" s="567">
        <v>17547</v>
      </c>
      <c r="J33" s="614">
        <v>6.7492</v>
      </c>
      <c r="K33" s="625"/>
      <c r="L33" s="645"/>
      <c r="M33" s="645"/>
      <c r="N33" s="572" t="s">
        <v>2161</v>
      </c>
      <c r="O33" s="731"/>
      <c r="P33" s="655"/>
      <c r="Q33" s="664"/>
      <c r="R33" s="577"/>
      <c r="S33" s="577"/>
      <c r="T33" s="1171"/>
      <c r="U33" s="664"/>
      <c r="V33" s="664"/>
      <c r="W33" s="1182"/>
    </row>
    <row r="34" s="10" customFormat="1" ht="19" customHeight="1" spans="1:23">
      <c r="A34" s="721"/>
      <c r="B34" s="1194"/>
      <c r="C34" s="655"/>
      <c r="D34" s="250" t="s">
        <v>1745</v>
      </c>
      <c r="E34" s="568" t="s">
        <v>1746</v>
      </c>
      <c r="F34" s="969">
        <v>35000</v>
      </c>
      <c r="G34" s="577"/>
      <c r="H34" s="577"/>
      <c r="I34" s="603">
        <v>249288</v>
      </c>
      <c r="J34" s="614">
        <v>7.1225</v>
      </c>
      <c r="K34" s="250"/>
      <c r="L34" s="598">
        <v>45290</v>
      </c>
      <c r="M34" s="625" t="s">
        <v>1036</v>
      </c>
      <c r="N34" s="625" t="s">
        <v>2162</v>
      </c>
      <c r="O34" s="640"/>
      <c r="P34" s="655"/>
      <c r="Q34" s="664"/>
      <c r="R34" s="577"/>
      <c r="S34" s="1205"/>
      <c r="T34" s="1171"/>
      <c r="U34" s="664"/>
      <c r="V34" s="664"/>
      <c r="W34" s="1212"/>
    </row>
    <row r="35" s="10" customFormat="1" ht="19" customHeight="1" spans="1:23">
      <c r="A35" s="721"/>
      <c r="B35" s="1247" t="s">
        <v>509</v>
      </c>
      <c r="C35" s="759">
        <v>36</v>
      </c>
      <c r="D35" s="250" t="s">
        <v>526</v>
      </c>
      <c r="E35" s="1197" t="s">
        <v>2163</v>
      </c>
      <c r="F35" s="969"/>
      <c r="G35" s="577">
        <v>248606</v>
      </c>
      <c r="H35" s="577">
        <f>G35</f>
        <v>248606</v>
      </c>
      <c r="I35" s="603"/>
      <c r="J35" s="614">
        <v>6.7492</v>
      </c>
      <c r="K35" s="250" t="s">
        <v>1251</v>
      </c>
      <c r="L35" s="598">
        <v>44979</v>
      </c>
      <c r="M35" s="821" t="s">
        <v>2164</v>
      </c>
      <c r="N35" s="625" t="s">
        <v>2165</v>
      </c>
      <c r="O35" s="642"/>
      <c r="P35" s="655"/>
      <c r="Q35" s="664"/>
      <c r="R35" s="577"/>
      <c r="S35" s="1205"/>
      <c r="T35" s="1171"/>
      <c r="U35" s="664"/>
      <c r="V35" s="664"/>
      <c r="W35" s="1212"/>
    </row>
    <row r="36" s="10" customFormat="1" ht="16.5" spans="1:23">
      <c r="A36" s="721"/>
      <c r="B36" s="1264"/>
      <c r="C36" s="557"/>
      <c r="D36" s="250" t="s">
        <v>1232</v>
      </c>
      <c r="E36" s="1163" t="s">
        <v>2166</v>
      </c>
      <c r="F36" s="725"/>
      <c r="G36" s="596">
        <v>278245</v>
      </c>
      <c r="H36" s="602">
        <f>G36</f>
        <v>278245</v>
      </c>
      <c r="I36" s="567"/>
      <c r="J36" s="614">
        <v>6.7492</v>
      </c>
      <c r="K36" s="625">
        <v>44985</v>
      </c>
      <c r="L36" s="645">
        <v>44985</v>
      </c>
      <c r="M36" s="625">
        <v>44993</v>
      </c>
      <c r="N36" s="572" t="s">
        <v>2167</v>
      </c>
      <c r="O36" s="731"/>
      <c r="P36" s="655"/>
      <c r="Q36" s="664"/>
      <c r="R36" s="577"/>
      <c r="S36" s="577"/>
      <c r="T36" s="1171"/>
      <c r="U36" s="664"/>
      <c r="V36" s="664"/>
      <c r="W36" s="1182"/>
    </row>
    <row r="37" s="929" customFormat="1" ht="16.5" spans="1:23">
      <c r="A37" s="541"/>
      <c r="B37" s="1215" t="s">
        <v>1393</v>
      </c>
      <c r="C37" s="1216">
        <v>31</v>
      </c>
      <c r="D37" s="851" t="s">
        <v>670</v>
      </c>
      <c r="E37" s="1311" t="s">
        <v>2168</v>
      </c>
      <c r="F37" s="1254">
        <v>45815</v>
      </c>
      <c r="G37" s="1207">
        <f>F37*J37</f>
        <v>309214.598</v>
      </c>
      <c r="H37" s="602">
        <f>G37</f>
        <v>309214.598</v>
      </c>
      <c r="I37" s="1207">
        <f>H37</f>
        <v>309214.598</v>
      </c>
      <c r="J37" s="614">
        <v>6.7492</v>
      </c>
      <c r="K37" s="1131">
        <v>44970</v>
      </c>
      <c r="L37" s="1139"/>
      <c r="M37" s="1139">
        <v>44983</v>
      </c>
      <c r="N37" s="1214" t="s">
        <v>2169</v>
      </c>
      <c r="O37" s="626"/>
      <c r="P37" s="816"/>
      <c r="Q37" s="1206"/>
      <c r="R37" s="714"/>
      <c r="S37" s="1207"/>
      <c r="T37" s="1208"/>
      <c r="U37" s="1213"/>
      <c r="V37" s="714"/>
      <c r="W37" s="1214"/>
    </row>
    <row r="38" s="10" customFormat="1" ht="16.5" spans="1:23">
      <c r="A38" s="721"/>
      <c r="B38" s="825"/>
      <c r="C38" s="557"/>
      <c r="D38" s="561" t="s">
        <v>267</v>
      </c>
      <c r="E38" s="1155" t="s">
        <v>2170</v>
      </c>
      <c r="F38" s="979">
        <v>35384</v>
      </c>
      <c r="G38" s="577">
        <f>F38*J38</f>
        <v>238813.6928</v>
      </c>
      <c r="H38" s="577">
        <f>G38</f>
        <v>238813.6928</v>
      </c>
      <c r="I38" s="577">
        <f>H38</f>
        <v>238813.6928</v>
      </c>
      <c r="J38" s="614">
        <v>6.7492</v>
      </c>
      <c r="K38" s="625">
        <v>44959</v>
      </c>
      <c r="L38" s="966">
        <v>44966</v>
      </c>
      <c r="M38" s="633">
        <v>44972</v>
      </c>
      <c r="N38" s="664" t="s">
        <v>2171</v>
      </c>
      <c r="O38" s="614"/>
      <c r="P38" s="571"/>
      <c r="Q38" s="1257"/>
      <c r="R38" s="733"/>
      <c r="S38" s="1239"/>
      <c r="T38" s="1176"/>
      <c r="U38" s="664"/>
      <c r="V38" s="1187"/>
      <c r="W38" s="1182"/>
    </row>
    <row r="39" s="10" customFormat="1" ht="16.5" spans="1:23">
      <c r="A39" s="721"/>
      <c r="B39" s="1190" t="s">
        <v>1124</v>
      </c>
      <c r="C39" s="1219">
        <f>SUM(C33:C38)</f>
        <v>100</v>
      </c>
      <c r="D39" s="1219"/>
      <c r="E39" s="1144"/>
      <c r="F39" s="1159" t="s">
        <v>1235</v>
      </c>
      <c r="G39" s="1230">
        <f>SUM(G33:G38)</f>
        <v>1092426.2908</v>
      </c>
      <c r="H39" s="1230">
        <f>SUM(H33:H38)</f>
        <v>1092426.2908</v>
      </c>
      <c r="I39" s="1230">
        <f>SUM(I33:I38)</f>
        <v>814863.2908</v>
      </c>
      <c r="J39" s="808"/>
      <c r="K39" s="809"/>
      <c r="L39" s="821"/>
      <c r="M39" s="996"/>
      <c r="N39" s="997"/>
      <c r="O39" s="727"/>
      <c r="P39" s="652"/>
      <c r="Q39" s="653"/>
      <c r="R39" s="809"/>
      <c r="S39" s="809">
        <v>0</v>
      </c>
      <c r="T39" s="809">
        <v>0</v>
      </c>
      <c r="U39" s="1184"/>
      <c r="V39" s="1184"/>
      <c r="W39" s="1185"/>
    </row>
    <row r="40" s="10" customFormat="1" ht="16.5" spans="1:23">
      <c r="A40" s="673"/>
      <c r="B40" s="1192"/>
      <c r="C40" s="1150"/>
      <c r="D40" s="1150"/>
      <c r="E40" s="1144"/>
      <c r="F40" s="1159" t="s">
        <v>1236</v>
      </c>
      <c r="G40" s="1160">
        <f>G39/1000000</f>
        <v>1.0924262908</v>
      </c>
      <c r="H40" s="1160">
        <f>H39/1000000</f>
        <v>1.0924262908</v>
      </c>
      <c r="I40" s="1160">
        <f t="shared" ref="G40:I40" si="3">I39/3000000</f>
        <v>0.271621096933333</v>
      </c>
      <c r="J40" s="808"/>
      <c r="K40" s="809"/>
      <c r="L40" s="821"/>
      <c r="M40" s="996"/>
      <c r="N40" s="997"/>
      <c r="O40" s="727"/>
      <c r="P40" s="652"/>
      <c r="Q40" s="653"/>
      <c r="R40" s="809"/>
      <c r="S40" s="809"/>
      <c r="T40" s="809"/>
      <c r="U40" s="1184"/>
      <c r="V40" s="1184"/>
      <c r="W40" s="1185"/>
    </row>
    <row r="41" s="10" customFormat="1" ht="16.5" spans="1:23">
      <c r="A41" s="780" t="s">
        <v>1163</v>
      </c>
      <c r="B41" s="780"/>
      <c r="C41" s="652">
        <f t="shared" ref="C41:I41" si="4">C14+C31+C39</f>
        <v>400</v>
      </c>
      <c r="D41" s="652"/>
      <c r="E41" s="727"/>
      <c r="F41" s="727" t="s">
        <v>14</v>
      </c>
      <c r="G41" s="804">
        <f t="shared" si="4"/>
        <v>4978848.903152</v>
      </c>
      <c r="H41" s="804">
        <f t="shared" si="4"/>
        <v>5000526.75272</v>
      </c>
      <c r="I41" s="804">
        <f t="shared" si="4"/>
        <v>3153390.2854</v>
      </c>
      <c r="J41" s="727"/>
      <c r="K41" s="727"/>
      <c r="L41" s="854"/>
      <c r="M41" s="854"/>
      <c r="N41" s="1015"/>
      <c r="O41" s="727"/>
      <c r="P41" s="652"/>
      <c r="Q41" s="727"/>
      <c r="R41" s="727"/>
      <c r="S41" s="727"/>
      <c r="T41" s="727"/>
      <c r="U41" s="727"/>
      <c r="V41" s="727"/>
      <c r="W41" s="1185"/>
    </row>
    <row r="42" s="10" customFormat="1" ht="16.5" spans="1:23">
      <c r="A42" s="780"/>
      <c r="B42" s="780"/>
      <c r="C42" s="652"/>
      <c r="D42" s="652"/>
      <c r="E42" s="727"/>
      <c r="F42" s="727" t="s">
        <v>1236</v>
      </c>
      <c r="G42" s="796">
        <f>G41/(C41*10000)</f>
        <v>1.244712225788</v>
      </c>
      <c r="H42" s="796">
        <f>H41/(C41*10000)</f>
        <v>1.25013168818</v>
      </c>
      <c r="I42" s="796">
        <f>I41/(C41*10000)</f>
        <v>0.78834757135</v>
      </c>
      <c r="J42" s="727"/>
      <c r="K42" s="727"/>
      <c r="L42" s="854"/>
      <c r="M42" s="854"/>
      <c r="N42" s="1015"/>
      <c r="O42" s="727"/>
      <c r="P42" s="727"/>
      <c r="Q42" s="727"/>
      <c r="R42" s="727"/>
      <c r="S42" s="727"/>
      <c r="T42" s="727"/>
      <c r="U42" s="727"/>
      <c r="V42" s="727"/>
      <c r="W42" s="727"/>
    </row>
    <row r="43" s="10" customFormat="1" ht="16.5" spans="1:23">
      <c r="A43" s="536"/>
      <c r="B43" s="836"/>
      <c r="C43" s="837"/>
      <c r="D43" s="837"/>
      <c r="E43" s="836"/>
      <c r="F43" s="836"/>
      <c r="G43" s="850"/>
      <c r="H43" s="850"/>
      <c r="I43" s="850"/>
      <c r="J43" s="836"/>
      <c r="K43" s="836"/>
      <c r="L43" s="870"/>
      <c r="M43" s="870"/>
      <c r="N43" s="1016"/>
      <c r="O43" s="836"/>
      <c r="P43" s="837"/>
      <c r="Q43" s="836"/>
      <c r="R43" s="836"/>
      <c r="S43" s="836"/>
      <c r="T43" s="836"/>
      <c r="U43" s="836"/>
      <c r="V43" s="836"/>
      <c r="W43" s="1177"/>
    </row>
    <row r="44" s="10" customFormat="1" ht="16.5" spans="1:23">
      <c r="A44" s="536"/>
      <c r="B44" s="836"/>
      <c r="C44" s="837"/>
      <c r="D44" s="837"/>
      <c r="E44" s="836" t="s">
        <v>139</v>
      </c>
      <c r="F44" s="836"/>
      <c r="G44" s="880">
        <f>G41+'2023.01'!G56</f>
        <v>9245673.165652</v>
      </c>
      <c r="H44" s="880"/>
      <c r="I44" s="880"/>
      <c r="J44" s="836"/>
      <c r="K44" s="836"/>
      <c r="L44" s="870"/>
      <c r="M44" s="870"/>
      <c r="O44" s="836" t="s">
        <v>140</v>
      </c>
      <c r="P44" s="837"/>
      <c r="Q44" s="836"/>
      <c r="R44" s="836"/>
      <c r="S44" s="1241"/>
      <c r="T44" s="836"/>
      <c r="U44" s="1241"/>
      <c r="V44" s="836"/>
      <c r="W44" s="1177"/>
    </row>
    <row r="45" s="10" customFormat="1" ht="16.5" spans="1:23">
      <c r="A45" s="875" t="s">
        <v>1814</v>
      </c>
      <c r="B45" s="875"/>
      <c r="C45" s="875"/>
      <c r="D45" s="875"/>
      <c r="E45" s="875"/>
      <c r="F45" s="1090"/>
      <c r="G45" s="1328">
        <f>G44/1100/10000</f>
        <v>0.840515742332</v>
      </c>
      <c r="H45" s="850"/>
      <c r="I45" s="850"/>
      <c r="J45" s="836"/>
      <c r="K45" s="836"/>
      <c r="L45" s="870"/>
      <c r="M45" s="870"/>
      <c r="N45" s="1016"/>
      <c r="O45" s="894"/>
      <c r="P45" s="837"/>
      <c r="Q45" s="836"/>
      <c r="R45" s="836"/>
      <c r="S45" s="1241"/>
      <c r="T45" s="836"/>
      <c r="U45" s="1241"/>
      <c r="V45" s="836"/>
      <c r="W45" s="1177"/>
    </row>
    <row r="46" s="10" customFormat="1" ht="16.5" spans="1:23">
      <c r="A46" s="875" t="s">
        <v>1285</v>
      </c>
      <c r="B46" s="875"/>
      <c r="C46" s="875"/>
      <c r="D46" s="875"/>
      <c r="E46" s="875"/>
      <c r="F46" s="1090"/>
      <c r="G46" s="850"/>
      <c r="H46" s="850"/>
      <c r="I46" s="850"/>
      <c r="J46" s="836"/>
      <c r="K46" s="836"/>
      <c r="L46" s="870"/>
      <c r="M46" s="870"/>
      <c r="N46" s="1016"/>
      <c r="O46" s="894"/>
      <c r="P46" s="837"/>
      <c r="Q46" s="836"/>
      <c r="R46" s="836"/>
      <c r="S46" s="1241"/>
      <c r="T46" s="836"/>
      <c r="U46" s="1241"/>
      <c r="V46" s="836"/>
      <c r="W46" s="1177"/>
    </row>
    <row r="47" s="10" customFormat="1" ht="16.5" spans="1:23">
      <c r="A47" s="875" t="s">
        <v>1815</v>
      </c>
      <c r="B47" s="875"/>
      <c r="C47" s="875"/>
      <c r="D47" s="875"/>
      <c r="E47" s="875"/>
      <c r="F47" s="1090"/>
      <c r="G47" s="850"/>
      <c r="H47" s="850"/>
      <c r="I47" s="850"/>
      <c r="J47" s="892"/>
      <c r="K47" s="836"/>
      <c r="L47" s="870"/>
      <c r="M47" s="870"/>
      <c r="N47" s="1016"/>
      <c r="O47" s="894"/>
      <c r="P47" s="837"/>
      <c r="Q47" s="836"/>
      <c r="R47" s="836"/>
      <c r="S47" s="1241"/>
      <c r="T47" s="836"/>
      <c r="U47" s="1241"/>
      <c r="V47" s="836"/>
      <c r="W47" s="1177"/>
    </row>
    <row r="48" s="10" customFormat="1" ht="16.5" spans="1:23">
      <c r="A48" s="875" t="s">
        <v>1816</v>
      </c>
      <c r="B48" s="875"/>
      <c r="C48" s="875"/>
      <c r="D48" s="875"/>
      <c r="E48" s="875"/>
      <c r="F48" s="1090"/>
      <c r="G48" s="850"/>
      <c r="H48" s="850"/>
      <c r="I48" s="850"/>
      <c r="J48" s="836"/>
      <c r="K48" s="836"/>
      <c r="L48" s="870"/>
      <c r="M48" s="870"/>
      <c r="N48" s="1016"/>
      <c r="O48" s="894"/>
      <c r="P48" s="837"/>
      <c r="Q48" s="836"/>
      <c r="R48" s="836"/>
      <c r="S48" s="1241"/>
      <c r="T48" s="836"/>
      <c r="U48" s="1241"/>
      <c r="V48" s="836"/>
      <c r="W48" s="1177"/>
    </row>
    <row r="49" s="10" customFormat="1" ht="16.5" spans="1:23">
      <c r="A49" s="875" t="s">
        <v>1817</v>
      </c>
      <c r="B49" s="876"/>
      <c r="C49" s="876"/>
      <c r="D49" s="876"/>
      <c r="E49" s="876"/>
      <c r="F49" s="1090"/>
      <c r="G49" s="850"/>
      <c r="H49" s="850"/>
      <c r="I49" s="850"/>
      <c r="J49" s="893"/>
      <c r="K49" s="893"/>
      <c r="L49" s="870"/>
      <c r="M49" s="870"/>
      <c r="N49" s="1021"/>
      <c r="O49" s="894"/>
      <c r="P49" s="837"/>
      <c r="Q49" s="893"/>
      <c r="R49" s="893"/>
      <c r="S49" s="893"/>
      <c r="T49" s="893"/>
      <c r="U49" s="1241"/>
      <c r="V49" s="893"/>
      <c r="W49" s="1177"/>
    </row>
    <row r="50" ht="16.5" spans="1:23">
      <c r="A50" s="875" t="s">
        <v>1818</v>
      </c>
      <c r="B50" s="876"/>
      <c r="C50" s="876"/>
      <c r="D50" s="876"/>
      <c r="E50" s="876"/>
      <c r="F50" s="1090"/>
      <c r="G50" s="850"/>
      <c r="H50" s="850"/>
      <c r="I50" s="850"/>
      <c r="J50" s="877"/>
      <c r="K50" s="877"/>
      <c r="L50" s="896"/>
      <c r="M50" s="896"/>
      <c r="N50" s="887"/>
      <c r="O50" s="876"/>
      <c r="P50" s="878"/>
      <c r="Q50" s="877"/>
      <c r="R50" s="877"/>
      <c r="S50" s="877"/>
      <c r="T50" s="877"/>
      <c r="U50" s="877"/>
      <c r="V50" s="877"/>
      <c r="W50" s="1242"/>
    </row>
    <row r="51" ht="16.5" spans="1:23">
      <c r="A51" s="417"/>
      <c r="B51" s="877"/>
      <c r="C51" s="878"/>
      <c r="D51" s="878"/>
      <c r="E51" s="877"/>
      <c r="F51" s="877"/>
      <c r="G51" s="850"/>
      <c r="H51" s="850"/>
      <c r="I51" s="850"/>
      <c r="J51" s="877"/>
      <c r="K51" s="877"/>
      <c r="L51" s="896"/>
      <c r="M51" s="896"/>
      <c r="N51" s="887"/>
      <c r="O51" s="877"/>
      <c r="P51" s="878"/>
      <c r="Q51" s="877"/>
      <c r="R51" s="877"/>
      <c r="S51" s="877"/>
      <c r="T51" s="877"/>
      <c r="U51" s="877"/>
      <c r="V51" s="877"/>
      <c r="W51" s="1242"/>
    </row>
    <row r="52" ht="16.5" spans="1:23">
      <c r="A52" s="417"/>
      <c r="B52" s="417"/>
      <c r="C52" s="879"/>
      <c r="D52" s="879"/>
      <c r="E52" s="417"/>
      <c r="F52" s="417"/>
      <c r="G52" s="880"/>
      <c r="H52" s="880"/>
      <c r="I52" s="880"/>
      <c r="J52" s="417"/>
      <c r="K52" s="417"/>
      <c r="L52" s="898"/>
      <c r="M52" s="898"/>
      <c r="N52" s="888"/>
      <c r="O52" s="417"/>
      <c r="P52" s="879"/>
      <c r="Q52" s="417"/>
      <c r="R52" s="417"/>
      <c r="S52" s="417"/>
      <c r="T52" s="417"/>
      <c r="U52" s="417"/>
      <c r="V52" s="417"/>
      <c r="W52" s="1243"/>
    </row>
  </sheetData>
  <sheetProtection formatCells="0" insertHyperlinks="0" autoFilter="0"/>
  <mergeCells count="30">
    <mergeCell ref="A1:Q1"/>
    <mergeCell ref="A3:A15"/>
    <mergeCell ref="A16:A32"/>
    <mergeCell ref="A33:A40"/>
    <mergeCell ref="B3:B7"/>
    <mergeCell ref="B8:B13"/>
    <mergeCell ref="B14:B15"/>
    <mergeCell ref="B16:B19"/>
    <mergeCell ref="B21:B24"/>
    <mergeCell ref="B25:B30"/>
    <mergeCell ref="B31:B32"/>
    <mergeCell ref="B33:B34"/>
    <mergeCell ref="B35:B36"/>
    <mergeCell ref="B37:B38"/>
    <mergeCell ref="B39:B40"/>
    <mergeCell ref="C3:C7"/>
    <mergeCell ref="C8:C13"/>
    <mergeCell ref="C14:C15"/>
    <mergeCell ref="C16:C19"/>
    <mergeCell ref="C21:C24"/>
    <mergeCell ref="C25:C30"/>
    <mergeCell ref="C31:C32"/>
    <mergeCell ref="C33:C34"/>
    <mergeCell ref="C35:C36"/>
    <mergeCell ref="C37:C38"/>
    <mergeCell ref="C39:C40"/>
    <mergeCell ref="C41:C42"/>
    <mergeCell ref="D27:D28"/>
    <mergeCell ref="N27:N28"/>
    <mergeCell ref="A41:B42"/>
  </mergeCells>
  <pageMargins left="0.75" right="0.75" top="1" bottom="1" header="0.5" footer="0.5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1"/>
  <dimension ref="A1:X88"/>
  <sheetViews>
    <sheetView workbookViewId="0">
      <pane ySplit="2" topLeftCell="A58" activePane="bottomLeft" state="frozen"/>
      <selection/>
      <selection pane="bottomLeft" activeCell="H30" sqref="H30"/>
    </sheetView>
  </sheetViews>
  <sheetFormatPr defaultColWidth="9" defaultRowHeight="13.5"/>
  <cols>
    <col min="2" max="2" width="8.375" customWidth="1"/>
    <col min="3" max="3" width="8.125" customWidth="1"/>
    <col min="4" max="4" width="20.7583333333333" customWidth="1"/>
    <col min="5" max="5" width="26.5" customWidth="1"/>
    <col min="6" max="6" width="10.7583333333333" customWidth="1"/>
    <col min="7" max="7" width="16.9833333333333" customWidth="1"/>
    <col min="8" max="8" width="15.625" customWidth="1"/>
    <col min="9" max="9" width="15" customWidth="1"/>
    <col min="10" max="10" width="12.625"/>
    <col min="11" max="11" width="16.625"/>
    <col min="12" max="12" width="24.0666666666667" customWidth="1"/>
    <col min="13" max="13" width="14.5333333333333" customWidth="1"/>
    <col min="14" max="14" width="69.6083333333333" style="510" customWidth="1"/>
    <col min="15" max="15" width="12.125" customWidth="1"/>
    <col min="16" max="16" width="19.8333333333333" style="510" customWidth="1"/>
    <col min="17" max="17" width="13.125"/>
    <col min="19" max="19" width="13.2583333333333" customWidth="1"/>
    <col min="23" max="23" width="15.5583333333333" customWidth="1"/>
  </cols>
  <sheetData>
    <row r="1" s="10" customFormat="1" ht="21.65" customHeight="1" spans="1:23">
      <c r="A1" s="1094" t="s">
        <v>2172</v>
      </c>
      <c r="B1" s="1094"/>
      <c r="C1" s="1094"/>
      <c r="D1" s="1094"/>
      <c r="E1" s="1094"/>
      <c r="F1" s="1094"/>
      <c r="G1" s="1094"/>
      <c r="H1" s="1094"/>
      <c r="I1" s="1094"/>
      <c r="J1" s="1094"/>
      <c r="K1" s="1094"/>
      <c r="L1" s="1102"/>
      <c r="M1" s="1102"/>
      <c r="N1" s="836"/>
      <c r="O1" s="1094"/>
      <c r="P1" s="1094"/>
      <c r="Q1" s="1094"/>
      <c r="R1" s="651"/>
      <c r="S1" s="651"/>
      <c r="T1" s="651"/>
      <c r="U1" s="651"/>
      <c r="V1" s="836"/>
      <c r="W1" s="1177"/>
    </row>
    <row r="2" s="10" customFormat="1" ht="30" spans="1:23">
      <c r="A2" s="780" t="s">
        <v>1092</v>
      </c>
      <c r="B2" s="1144" t="s">
        <v>1093</v>
      </c>
      <c r="C2" s="1145" t="s">
        <v>1821</v>
      </c>
      <c r="D2" s="1145" t="s">
        <v>1822</v>
      </c>
      <c r="E2" s="1152" t="s">
        <v>1095</v>
      </c>
      <c r="F2" s="1153" t="s">
        <v>362</v>
      </c>
      <c r="G2" s="1154" t="s">
        <v>1716</v>
      </c>
      <c r="H2" s="1154" t="s">
        <v>1717</v>
      </c>
      <c r="I2" s="1154" t="s">
        <v>1718</v>
      </c>
      <c r="J2" s="1164" t="s">
        <v>1096</v>
      </c>
      <c r="K2" s="1165" t="s">
        <v>1098</v>
      </c>
      <c r="L2" s="1166" t="s">
        <v>1097</v>
      </c>
      <c r="M2" s="1166" t="s">
        <v>1214</v>
      </c>
      <c r="N2" s="727" t="s">
        <v>1215</v>
      </c>
      <c r="O2" s="621" t="s">
        <v>7</v>
      </c>
      <c r="P2" s="652" t="s">
        <v>8</v>
      </c>
      <c r="Q2" s="653" t="s">
        <v>9</v>
      </c>
      <c r="R2" s="654" t="s">
        <v>1291</v>
      </c>
      <c r="S2" s="654" t="s">
        <v>13</v>
      </c>
      <c r="T2" s="1170" t="s">
        <v>14</v>
      </c>
      <c r="U2" s="1178" t="s">
        <v>15</v>
      </c>
      <c r="V2" s="1179" t="s">
        <v>1100</v>
      </c>
      <c r="W2" s="1180" t="s">
        <v>1101</v>
      </c>
    </row>
    <row r="3" s="10" customFormat="1" ht="16.5" spans="1:23">
      <c r="A3" s="721" t="s">
        <v>1823</v>
      </c>
      <c r="B3" s="715" t="s">
        <v>1825</v>
      </c>
      <c r="C3" s="716">
        <v>92</v>
      </c>
      <c r="D3" s="250" t="s">
        <v>161</v>
      </c>
      <c r="E3" s="1248" t="s">
        <v>2173</v>
      </c>
      <c r="F3" s="1002">
        <v>39717</v>
      </c>
      <c r="G3" s="603">
        <f t="shared" ref="G3:G9" si="0">F3*J3</f>
        <v>275635.98</v>
      </c>
      <c r="H3" s="603">
        <v>275636</v>
      </c>
      <c r="I3" s="603"/>
      <c r="J3" s="614">
        <v>6.94</v>
      </c>
      <c r="K3" s="598">
        <v>45014</v>
      </c>
      <c r="L3" s="644">
        <v>45014</v>
      </c>
      <c r="M3" s="644">
        <v>45019</v>
      </c>
      <c r="N3" s="564" t="s">
        <v>2174</v>
      </c>
      <c r="O3" s="642" t="s">
        <v>2175</v>
      </c>
      <c r="P3" s="655" t="s">
        <v>1671</v>
      </c>
      <c r="Q3" s="664"/>
      <c r="R3" s="577"/>
      <c r="S3" s="577"/>
      <c r="T3" s="1171"/>
      <c r="U3" s="664"/>
      <c r="V3" s="664"/>
      <c r="W3" s="1181"/>
    </row>
    <row r="4" s="10" customFormat="1" ht="16.5" spans="1:23">
      <c r="A4" s="721"/>
      <c r="B4" s="715"/>
      <c r="C4" s="716"/>
      <c r="D4" s="250" t="s">
        <v>161</v>
      </c>
      <c r="E4" s="1248" t="s">
        <v>2176</v>
      </c>
      <c r="F4" s="1002">
        <v>39717</v>
      </c>
      <c r="G4" s="603">
        <f t="shared" si="0"/>
        <v>275635.98</v>
      </c>
      <c r="H4" s="603">
        <v>275636</v>
      </c>
      <c r="I4" s="603"/>
      <c r="J4" s="614">
        <v>6.94</v>
      </c>
      <c r="K4" s="598">
        <v>45014</v>
      </c>
      <c r="L4" s="644">
        <v>45015</v>
      </c>
      <c r="M4" s="644">
        <v>45071</v>
      </c>
      <c r="N4" s="564" t="s">
        <v>2177</v>
      </c>
      <c r="O4" s="642" t="s">
        <v>2175</v>
      </c>
      <c r="P4" s="655" t="s">
        <v>1671</v>
      </c>
      <c r="Q4" s="664"/>
      <c r="R4" s="577"/>
      <c r="S4" s="577"/>
      <c r="T4" s="1171"/>
      <c r="U4" s="664"/>
      <c r="V4" s="664"/>
      <c r="W4" s="1181"/>
    </row>
    <row r="5" s="10" customFormat="1" ht="16.5" spans="1:23">
      <c r="A5" s="1147"/>
      <c r="B5" s="715"/>
      <c r="C5" s="716"/>
      <c r="D5" s="572" t="s">
        <v>145</v>
      </c>
      <c r="E5" s="1248" t="s">
        <v>2178</v>
      </c>
      <c r="F5" s="591">
        <v>51719.17</v>
      </c>
      <c r="G5" s="603">
        <f t="shared" si="0"/>
        <v>358931.0398</v>
      </c>
      <c r="H5" s="567">
        <v>358931</v>
      </c>
      <c r="I5" s="567"/>
      <c r="J5" s="614">
        <v>6.94</v>
      </c>
      <c r="K5" s="707">
        <v>45010</v>
      </c>
      <c r="L5" s="645">
        <v>45014</v>
      </c>
      <c r="M5" s="645">
        <v>45024</v>
      </c>
      <c r="N5" s="250" t="s">
        <v>2174</v>
      </c>
      <c r="O5" s="635" t="s">
        <v>2179</v>
      </c>
      <c r="P5" s="655" t="s">
        <v>1671</v>
      </c>
      <c r="Q5" s="664"/>
      <c r="R5" s="577"/>
      <c r="S5" s="577"/>
      <c r="T5" s="1171"/>
      <c r="U5" s="664"/>
      <c r="V5" s="664"/>
      <c r="W5" s="1181"/>
    </row>
    <row r="6" s="10" customFormat="1" ht="16.5" spans="1:23">
      <c r="A6" s="1147"/>
      <c r="B6" s="715"/>
      <c r="C6" s="716"/>
      <c r="D6" s="572" t="s">
        <v>1216</v>
      </c>
      <c r="E6" s="1248" t="s">
        <v>2180</v>
      </c>
      <c r="F6" s="591">
        <v>5500</v>
      </c>
      <c r="G6" s="603">
        <f t="shared" si="0"/>
        <v>38170</v>
      </c>
      <c r="H6" s="567">
        <v>38170</v>
      </c>
      <c r="I6" s="567">
        <v>38170</v>
      </c>
      <c r="J6" s="614">
        <v>6.94</v>
      </c>
      <c r="K6" s="707">
        <v>45005</v>
      </c>
      <c r="L6" s="644">
        <v>45001</v>
      </c>
      <c r="M6" s="644">
        <v>45009</v>
      </c>
      <c r="N6" s="564" t="s">
        <v>2181</v>
      </c>
      <c r="O6" s="635" t="s">
        <v>2182</v>
      </c>
      <c r="P6" s="655"/>
      <c r="Q6" s="664"/>
      <c r="R6" s="577"/>
      <c r="S6" s="577"/>
      <c r="T6" s="1171"/>
      <c r="U6" s="664"/>
      <c r="V6" s="664"/>
      <c r="W6" s="1181"/>
    </row>
    <row r="7" s="10" customFormat="1" ht="16.5" spans="1:23">
      <c r="A7" s="1147"/>
      <c r="B7" s="715"/>
      <c r="C7" s="716"/>
      <c r="D7" s="572" t="s">
        <v>368</v>
      </c>
      <c r="E7" s="1248" t="s">
        <v>2183</v>
      </c>
      <c r="F7" s="591">
        <v>1339.92</v>
      </c>
      <c r="G7" s="603">
        <f t="shared" si="0"/>
        <v>9299.0448</v>
      </c>
      <c r="H7" s="567">
        <v>9299</v>
      </c>
      <c r="I7" s="567">
        <v>9299</v>
      </c>
      <c r="J7" s="614">
        <v>6.94</v>
      </c>
      <c r="K7" s="707">
        <v>45010</v>
      </c>
      <c r="L7" s="644">
        <v>45005</v>
      </c>
      <c r="M7" s="644">
        <v>45012</v>
      </c>
      <c r="N7" s="564" t="s">
        <v>2184</v>
      </c>
      <c r="O7" s="635"/>
      <c r="P7" s="655"/>
      <c r="Q7" s="664"/>
      <c r="R7" s="577"/>
      <c r="S7" s="577"/>
      <c r="T7" s="1171"/>
      <c r="U7" s="664"/>
      <c r="V7" s="664"/>
      <c r="W7" s="1181"/>
    </row>
    <row r="8" s="10" customFormat="1" ht="16.5" spans="1:23">
      <c r="A8" s="1147"/>
      <c r="B8" s="715"/>
      <c r="C8" s="716"/>
      <c r="D8" s="572" t="s">
        <v>1876</v>
      </c>
      <c r="E8" s="1248" t="s">
        <v>2185</v>
      </c>
      <c r="F8" s="591">
        <v>32271</v>
      </c>
      <c r="G8" s="603">
        <f t="shared" si="0"/>
        <v>223960.74</v>
      </c>
      <c r="H8" s="567">
        <v>223961</v>
      </c>
      <c r="I8" s="567"/>
      <c r="J8" s="614">
        <v>6.94</v>
      </c>
      <c r="K8" s="598" t="s">
        <v>1218</v>
      </c>
      <c r="L8" s="644">
        <v>45012</v>
      </c>
      <c r="M8" s="645">
        <v>45018</v>
      </c>
      <c r="N8" s="564" t="s">
        <v>2186</v>
      </c>
      <c r="O8" s="635" t="s">
        <v>2187</v>
      </c>
      <c r="P8" s="655" t="s">
        <v>1656</v>
      </c>
      <c r="Q8" s="664"/>
      <c r="R8" s="577"/>
      <c r="S8" s="577"/>
      <c r="T8" s="1171"/>
      <c r="U8" s="664"/>
      <c r="V8" s="664"/>
      <c r="W8" s="1181"/>
    </row>
    <row r="9" s="10" customFormat="1" ht="16.5" spans="1:23">
      <c r="A9" s="1147"/>
      <c r="B9" s="715"/>
      <c r="C9" s="716"/>
      <c r="D9" s="572" t="s">
        <v>157</v>
      </c>
      <c r="E9" s="1248" t="s">
        <v>2188</v>
      </c>
      <c r="F9" s="591">
        <v>2807.4</v>
      </c>
      <c r="G9" s="603">
        <f t="shared" si="0"/>
        <v>19483.356</v>
      </c>
      <c r="H9" s="567">
        <v>19483</v>
      </c>
      <c r="I9" s="567"/>
      <c r="J9" s="614">
        <v>6.94</v>
      </c>
      <c r="K9" s="598" t="s">
        <v>1218</v>
      </c>
      <c r="L9" s="644">
        <v>45016</v>
      </c>
      <c r="M9" s="644">
        <v>45026</v>
      </c>
      <c r="N9" s="564" t="s">
        <v>2189</v>
      </c>
      <c r="O9" s="635"/>
      <c r="P9" s="655"/>
      <c r="Q9" s="664"/>
      <c r="R9" s="577"/>
      <c r="S9" s="577"/>
      <c r="T9" s="1171"/>
      <c r="U9" s="664"/>
      <c r="V9" s="664"/>
      <c r="W9" s="1181"/>
    </row>
    <row r="10" s="10" customFormat="1" ht="16.5" spans="1:23">
      <c r="A10" s="1147"/>
      <c r="B10" s="715"/>
      <c r="C10" s="716"/>
      <c r="D10" s="572" t="s">
        <v>2110</v>
      </c>
      <c r="E10" s="250" t="s">
        <v>2111</v>
      </c>
      <c r="F10" s="591"/>
      <c r="G10" s="603"/>
      <c r="H10" s="567"/>
      <c r="I10" s="567">
        <v>69895</v>
      </c>
      <c r="J10" s="614">
        <v>6.94</v>
      </c>
      <c r="K10" s="598" t="s">
        <v>1218</v>
      </c>
      <c r="L10" s="644">
        <v>44970</v>
      </c>
      <c r="M10" s="644">
        <v>44990</v>
      </c>
      <c r="N10" s="574" t="s">
        <v>2190</v>
      </c>
      <c r="O10" s="635"/>
      <c r="P10" s="655"/>
      <c r="Q10" s="664"/>
      <c r="R10" s="577"/>
      <c r="S10" s="577"/>
      <c r="T10" s="1171"/>
      <c r="U10" s="664"/>
      <c r="V10" s="664"/>
      <c r="W10" s="1181"/>
    </row>
    <row r="11" s="10" customFormat="1" ht="16.5" spans="1:23">
      <c r="A11" s="1147"/>
      <c r="B11" s="715"/>
      <c r="C11" s="716"/>
      <c r="D11" s="572" t="s">
        <v>145</v>
      </c>
      <c r="E11" s="250" t="s">
        <v>2113</v>
      </c>
      <c r="F11" s="591"/>
      <c r="G11" s="603"/>
      <c r="H11" s="567"/>
      <c r="I11" s="567">
        <v>109336</v>
      </c>
      <c r="J11" s="614">
        <v>6.94</v>
      </c>
      <c r="K11" s="598" t="s">
        <v>2114</v>
      </c>
      <c r="L11" s="645">
        <v>44981</v>
      </c>
      <c r="M11" s="644">
        <v>44990</v>
      </c>
      <c r="N11" s="574" t="s">
        <v>2190</v>
      </c>
      <c r="O11" s="635"/>
      <c r="P11" s="655"/>
      <c r="Q11" s="664"/>
      <c r="R11" s="577"/>
      <c r="S11" s="577"/>
      <c r="T11" s="1171"/>
      <c r="U11" s="664"/>
      <c r="V11" s="664"/>
      <c r="W11" s="1181"/>
    </row>
    <row r="12" s="10" customFormat="1" ht="16.5" spans="1:23">
      <c r="A12" s="721"/>
      <c r="B12" s="664" t="s">
        <v>224</v>
      </c>
      <c r="C12" s="655">
        <v>108</v>
      </c>
      <c r="D12" s="715" t="s">
        <v>2191</v>
      </c>
      <c r="E12" s="1248" t="s">
        <v>2192</v>
      </c>
      <c r="F12" s="722">
        <v>3032</v>
      </c>
      <c r="G12" s="603">
        <f t="shared" ref="G12:G21" si="1">F12*J12</f>
        <v>21042.08</v>
      </c>
      <c r="H12" s="735">
        <v>21042</v>
      </c>
      <c r="I12" s="735">
        <v>21042</v>
      </c>
      <c r="J12" s="614">
        <v>6.94</v>
      </c>
      <c r="K12" s="707">
        <v>45000</v>
      </c>
      <c r="L12" s="644">
        <v>45001</v>
      </c>
      <c r="M12" s="645">
        <v>45005</v>
      </c>
      <c r="N12" s="250" t="s">
        <v>2193</v>
      </c>
      <c r="O12" s="623"/>
      <c r="P12" s="655"/>
      <c r="Q12" s="656"/>
      <c r="R12" s="577"/>
      <c r="S12" s="577"/>
      <c r="T12" s="1171"/>
      <c r="U12" s="664"/>
      <c r="V12" s="664"/>
      <c r="W12" s="1181"/>
    </row>
    <row r="13" s="10" customFormat="1" ht="16.5" spans="1:23">
      <c r="A13" s="721"/>
      <c r="B13" s="664"/>
      <c r="C13" s="655"/>
      <c r="D13" s="561" t="s">
        <v>163</v>
      </c>
      <c r="E13" s="1248" t="s">
        <v>2194</v>
      </c>
      <c r="F13" s="576">
        <v>54574</v>
      </c>
      <c r="G13" s="603">
        <f t="shared" si="1"/>
        <v>378743.56</v>
      </c>
      <c r="H13" s="577">
        <v>378743.56</v>
      </c>
      <c r="I13" s="577">
        <v>378744</v>
      </c>
      <c r="J13" s="614">
        <v>6.94</v>
      </c>
      <c r="K13" s="707">
        <v>45000</v>
      </c>
      <c r="L13" s="645">
        <v>45000</v>
      </c>
      <c r="M13" s="645">
        <v>45010</v>
      </c>
      <c r="N13" s="250" t="s">
        <v>2195</v>
      </c>
      <c r="O13" s="572"/>
      <c r="P13" s="655" t="s">
        <v>1671</v>
      </c>
      <c r="Q13" s="664"/>
      <c r="R13" s="577"/>
      <c r="S13" s="577"/>
      <c r="T13" s="1171"/>
      <c r="U13" s="664"/>
      <c r="V13" s="664"/>
      <c r="W13" s="1181"/>
    </row>
    <row r="14" s="10" customFormat="1" ht="16.5" spans="1:23">
      <c r="A14" s="721"/>
      <c r="B14" s="664"/>
      <c r="C14" s="655"/>
      <c r="D14" s="561" t="s">
        <v>2196</v>
      </c>
      <c r="E14" s="1248" t="s">
        <v>2197</v>
      </c>
      <c r="F14" s="722">
        <v>19700</v>
      </c>
      <c r="G14" s="681">
        <f t="shared" si="1"/>
        <v>136718</v>
      </c>
      <c r="H14" s="681">
        <v>136718</v>
      </c>
      <c r="I14" s="577">
        <v>136718</v>
      </c>
      <c r="J14" s="614">
        <v>6.94</v>
      </c>
      <c r="K14" s="707">
        <v>45005</v>
      </c>
      <c r="L14" s="645">
        <v>45006</v>
      </c>
      <c r="M14" s="645">
        <v>45012</v>
      </c>
      <c r="N14" s="250" t="s">
        <v>2198</v>
      </c>
      <c r="O14" s="740" t="s">
        <v>290</v>
      </c>
      <c r="P14" s="655" t="s">
        <v>1671</v>
      </c>
      <c r="Q14" s="945"/>
      <c r="R14" s="577"/>
      <c r="S14" s="577"/>
      <c r="T14" s="1171"/>
      <c r="U14" s="664"/>
      <c r="V14" s="664"/>
      <c r="W14" s="1181"/>
    </row>
    <row r="15" s="10" customFormat="1" ht="16.5" spans="1:23">
      <c r="A15" s="721"/>
      <c r="B15" s="664"/>
      <c r="C15" s="655"/>
      <c r="D15" s="903" t="s">
        <v>869</v>
      </c>
      <c r="E15" s="1248" t="s">
        <v>2199</v>
      </c>
      <c r="F15" s="786">
        <v>10289</v>
      </c>
      <c r="G15" s="681">
        <f t="shared" si="1"/>
        <v>71405.66</v>
      </c>
      <c r="H15" s="681">
        <v>71405.66</v>
      </c>
      <c r="I15" s="735">
        <v>71406</v>
      </c>
      <c r="J15" s="614">
        <v>6.94</v>
      </c>
      <c r="K15" s="598" t="s">
        <v>1218</v>
      </c>
      <c r="L15" s="633">
        <v>44992</v>
      </c>
      <c r="M15" s="644">
        <v>45010</v>
      </c>
      <c r="N15" s="673" t="s">
        <v>2200</v>
      </c>
      <c r="O15" s="945"/>
      <c r="P15" s="655"/>
      <c r="Q15" s="945"/>
      <c r="R15" s="577"/>
      <c r="S15" s="577"/>
      <c r="T15" s="1171"/>
      <c r="U15" s="664"/>
      <c r="V15" s="664"/>
      <c r="W15" s="1181"/>
    </row>
    <row r="16" s="10" customFormat="1" ht="16.5" spans="1:23">
      <c r="A16" s="721"/>
      <c r="B16" s="664"/>
      <c r="C16" s="655"/>
      <c r="D16" s="250" t="s">
        <v>400</v>
      </c>
      <c r="E16" s="1248" t="s">
        <v>2201</v>
      </c>
      <c r="F16" s="725">
        <v>5812</v>
      </c>
      <c r="G16" s="567">
        <f t="shared" si="1"/>
        <v>40335.28</v>
      </c>
      <c r="H16" s="567">
        <v>40335.28</v>
      </c>
      <c r="I16" s="577">
        <v>40335</v>
      </c>
      <c r="J16" s="614">
        <v>6.94</v>
      </c>
      <c r="K16" s="598" t="s">
        <v>1218</v>
      </c>
      <c r="L16" s="625">
        <v>44986</v>
      </c>
      <c r="M16" s="645">
        <v>45000</v>
      </c>
      <c r="N16" s="250" t="s">
        <v>2202</v>
      </c>
      <c r="O16" s="945"/>
      <c r="P16" s="655"/>
      <c r="Q16" s="945"/>
      <c r="R16" s="577"/>
      <c r="S16" s="577"/>
      <c r="T16" s="1171"/>
      <c r="U16" s="664"/>
      <c r="V16" s="664"/>
      <c r="W16" s="1181"/>
    </row>
    <row r="17" s="10" customFormat="1" ht="16.5" spans="1:23">
      <c r="A17" s="721"/>
      <c r="B17" s="664"/>
      <c r="C17" s="655"/>
      <c r="D17" s="250" t="s">
        <v>53</v>
      </c>
      <c r="E17" s="1248" t="s">
        <v>2203</v>
      </c>
      <c r="F17" s="725">
        <v>1439</v>
      </c>
      <c r="G17" s="567">
        <f t="shared" si="1"/>
        <v>9986.66</v>
      </c>
      <c r="H17" s="567">
        <v>9986.66</v>
      </c>
      <c r="I17" s="577">
        <v>9987</v>
      </c>
      <c r="J17" s="614">
        <v>6.94</v>
      </c>
      <c r="K17" s="598" t="s">
        <v>1218</v>
      </c>
      <c r="L17" s="625">
        <v>44999</v>
      </c>
      <c r="M17" s="645">
        <v>45000</v>
      </c>
      <c r="N17" s="250" t="s">
        <v>2204</v>
      </c>
      <c r="O17" s="623" t="s">
        <v>2205</v>
      </c>
      <c r="P17" s="655"/>
      <c r="Q17" s="945"/>
      <c r="R17" s="577"/>
      <c r="S17" s="577"/>
      <c r="T17" s="1171"/>
      <c r="U17" s="664"/>
      <c r="V17" s="664"/>
      <c r="W17" s="1181"/>
    </row>
    <row r="18" s="10" customFormat="1" ht="16.5" spans="1:23">
      <c r="A18" s="721"/>
      <c r="B18" s="664"/>
      <c r="C18" s="655"/>
      <c r="D18" s="250" t="s">
        <v>53</v>
      </c>
      <c r="E18" s="1248" t="s">
        <v>2206</v>
      </c>
      <c r="F18" s="725">
        <v>26088</v>
      </c>
      <c r="G18" s="567">
        <f t="shared" si="1"/>
        <v>181050.72</v>
      </c>
      <c r="H18" s="567">
        <v>181050.72</v>
      </c>
      <c r="I18" s="577"/>
      <c r="J18" s="614">
        <v>6.94</v>
      </c>
      <c r="K18" s="598" t="s">
        <v>1218</v>
      </c>
      <c r="L18" s="625">
        <v>45007</v>
      </c>
      <c r="M18" s="625">
        <v>45017</v>
      </c>
      <c r="N18" s="250" t="s">
        <v>2207</v>
      </c>
      <c r="O18" s="945"/>
      <c r="P18" s="655" t="s">
        <v>1671</v>
      </c>
      <c r="Q18" s="945"/>
      <c r="R18" s="577"/>
      <c r="S18" s="577"/>
      <c r="T18" s="1171"/>
      <c r="U18" s="664"/>
      <c r="V18" s="664"/>
      <c r="W18" s="1181"/>
    </row>
    <row r="19" s="10" customFormat="1" ht="16.5" spans="1:23">
      <c r="A19" s="721"/>
      <c r="B19" s="664"/>
      <c r="C19" s="655"/>
      <c r="D19" s="250" t="s">
        <v>53</v>
      </c>
      <c r="E19" s="1248" t="s">
        <v>2208</v>
      </c>
      <c r="F19" s="725">
        <v>22041</v>
      </c>
      <c r="G19" s="567">
        <f t="shared" si="1"/>
        <v>152964.54</v>
      </c>
      <c r="H19" s="567">
        <v>152964.54</v>
      </c>
      <c r="J19" s="614">
        <v>6.94</v>
      </c>
      <c r="K19" s="598" t="s">
        <v>1218</v>
      </c>
      <c r="L19" s="625">
        <v>45012</v>
      </c>
      <c r="M19" s="625">
        <v>45017</v>
      </c>
      <c r="N19" s="250" t="s">
        <v>2207</v>
      </c>
      <c r="P19" s="655" t="s">
        <v>1656</v>
      </c>
      <c r="Q19" s="945"/>
      <c r="R19" s="577"/>
      <c r="S19" s="577"/>
      <c r="T19" s="1171"/>
      <c r="U19" s="664"/>
      <c r="V19" s="664"/>
      <c r="W19" s="1181"/>
    </row>
    <row r="20" s="10" customFormat="1" ht="16.5" spans="1:23">
      <c r="A20" s="721"/>
      <c r="B20" s="664"/>
      <c r="C20" s="655"/>
      <c r="D20" s="250" t="s">
        <v>283</v>
      </c>
      <c r="E20" s="1248" t="s">
        <v>2059</v>
      </c>
      <c r="F20" s="576">
        <v>15689</v>
      </c>
      <c r="G20" s="596">
        <f t="shared" si="1"/>
        <v>108881.66</v>
      </c>
      <c r="H20" s="567">
        <v>108881.66</v>
      </c>
      <c r="I20" s="577"/>
      <c r="J20" s="614">
        <v>6.94</v>
      </c>
      <c r="K20" s="598" t="s">
        <v>1218</v>
      </c>
      <c r="L20" s="625">
        <v>45013</v>
      </c>
      <c r="M20" s="625">
        <v>45017</v>
      </c>
      <c r="N20" s="568" t="s">
        <v>2209</v>
      </c>
      <c r="O20" s="937" t="s">
        <v>2210</v>
      </c>
      <c r="P20" s="655" t="s">
        <v>1656</v>
      </c>
      <c r="Q20" s="945"/>
      <c r="R20" s="577"/>
      <c r="S20" s="577"/>
      <c r="T20" s="1171"/>
      <c r="U20" s="664"/>
      <c r="V20" s="664"/>
      <c r="W20" s="1181"/>
    </row>
    <row r="21" s="10" customFormat="1" ht="27" customHeight="1" spans="1:23">
      <c r="A21" s="721"/>
      <c r="B21" s="664"/>
      <c r="C21" s="655"/>
      <c r="D21" s="572" t="s">
        <v>335</v>
      </c>
      <c r="E21" s="1248" t="s">
        <v>2211</v>
      </c>
      <c r="F21" s="725">
        <v>18362</v>
      </c>
      <c r="G21" s="567">
        <f t="shared" si="1"/>
        <v>127432.28</v>
      </c>
      <c r="H21" s="567">
        <v>127432.28</v>
      </c>
      <c r="I21" s="567"/>
      <c r="J21" s="614">
        <v>6.94</v>
      </c>
      <c r="K21" s="598" t="s">
        <v>1218</v>
      </c>
      <c r="L21" s="625">
        <v>45012</v>
      </c>
      <c r="M21" s="645">
        <v>45019</v>
      </c>
      <c r="N21" s="574" t="s">
        <v>2212</v>
      </c>
      <c r="O21" s="937" t="s">
        <v>2213</v>
      </c>
      <c r="P21" s="655" t="s">
        <v>1656</v>
      </c>
      <c r="Q21" s="945"/>
      <c r="R21" s="577"/>
      <c r="S21" s="577"/>
      <c r="T21" s="1171"/>
      <c r="U21" s="664"/>
      <c r="V21" s="664"/>
      <c r="W21" s="1181"/>
    </row>
    <row r="22" s="10" customFormat="1" ht="16.5" spans="1:23">
      <c r="A22" s="721"/>
      <c r="B22" s="664"/>
      <c r="C22" s="655"/>
      <c r="D22" s="715" t="s">
        <v>2126</v>
      </c>
      <c r="E22" s="568" t="s">
        <v>2127</v>
      </c>
      <c r="F22" s="722"/>
      <c r="G22" s="603"/>
      <c r="H22" s="567"/>
      <c r="I22" s="577">
        <v>276225</v>
      </c>
      <c r="J22" s="614">
        <v>6.94</v>
      </c>
      <c r="K22" s="598" t="s">
        <v>1218</v>
      </c>
      <c r="L22" s="644">
        <v>44979</v>
      </c>
      <c r="M22" s="645">
        <v>44987</v>
      </c>
      <c r="N22" s="574" t="s">
        <v>2190</v>
      </c>
      <c r="O22" s="937"/>
      <c r="P22" s="655"/>
      <c r="Q22" s="945"/>
      <c r="R22" s="577"/>
      <c r="S22" s="577"/>
      <c r="T22" s="1171"/>
      <c r="U22" s="664"/>
      <c r="V22" s="664"/>
      <c r="W22" s="1181"/>
    </row>
    <row r="23" s="10" customFormat="1" ht="18.3" customHeight="1" spans="1:23">
      <c r="A23" s="721"/>
      <c r="B23" s="664"/>
      <c r="C23" s="655"/>
      <c r="D23" s="250" t="s">
        <v>53</v>
      </c>
      <c r="E23" s="568" t="s">
        <v>2129</v>
      </c>
      <c r="F23" s="725"/>
      <c r="G23" s="567"/>
      <c r="H23" s="567"/>
      <c r="I23" s="567">
        <v>386574</v>
      </c>
      <c r="J23" s="614">
        <v>6.94</v>
      </c>
      <c r="K23" s="598" t="s">
        <v>1218</v>
      </c>
      <c r="L23" s="625">
        <v>44981</v>
      </c>
      <c r="M23" s="644">
        <v>44986</v>
      </c>
      <c r="N23" s="574" t="s">
        <v>2190</v>
      </c>
      <c r="O23" s="937"/>
      <c r="P23" s="655"/>
      <c r="Q23" s="664"/>
      <c r="R23" s="577"/>
      <c r="S23" s="577"/>
      <c r="T23" s="1171"/>
      <c r="U23" s="664"/>
      <c r="V23" s="664"/>
      <c r="W23" s="1181"/>
    </row>
    <row r="24" s="10" customFormat="1" ht="16.5" spans="1:23">
      <c r="A24" s="1147"/>
      <c r="B24" s="1244" t="s">
        <v>1124</v>
      </c>
      <c r="C24" s="1150">
        <f>SUM(C3:C23)</f>
        <v>200</v>
      </c>
      <c r="D24" s="1150"/>
      <c r="E24" s="1156"/>
      <c r="F24" s="1157" t="s">
        <v>1235</v>
      </c>
      <c r="G24" s="1158">
        <f>SUM(G3:G23)</f>
        <v>2429676.5806</v>
      </c>
      <c r="H24" s="1158">
        <f>SUM(H3:H23)</f>
        <v>2429676.36</v>
      </c>
      <c r="I24" s="1158">
        <f>SUM(I3:I23)</f>
        <v>1547731</v>
      </c>
      <c r="J24" s="1168"/>
      <c r="K24" s="610"/>
      <c r="L24" s="1304"/>
      <c r="M24" s="644"/>
      <c r="N24" s="250"/>
      <c r="O24" s="640"/>
      <c r="P24" s="968"/>
      <c r="Q24" s="670"/>
      <c r="R24" s="766"/>
      <c r="S24" s="1173"/>
      <c r="T24" s="1174"/>
      <c r="U24" s="546"/>
      <c r="V24" s="546"/>
      <c r="W24" s="1183"/>
    </row>
    <row r="25" s="10" customFormat="1" ht="16.5" spans="1:23">
      <c r="A25" s="1151"/>
      <c r="B25" s="1244"/>
      <c r="C25" s="1149"/>
      <c r="D25" s="1149"/>
      <c r="E25" s="1144"/>
      <c r="F25" s="1159" t="s">
        <v>1236</v>
      </c>
      <c r="G25" s="1160">
        <f>G24/2000000</f>
        <v>1.2148382903</v>
      </c>
      <c r="H25" s="1160">
        <f>H24/2000000</f>
        <v>1.21483818</v>
      </c>
      <c r="I25" s="1160">
        <f>I24/2000000</f>
        <v>0.7738655</v>
      </c>
      <c r="J25" s="1168"/>
      <c r="K25" s="858"/>
      <c r="L25" s="644"/>
      <c r="M25" s="821"/>
      <c r="N25" s="727"/>
      <c r="O25" s="804"/>
      <c r="P25" s="652"/>
      <c r="Q25" s="653"/>
      <c r="R25" s="809"/>
      <c r="S25" s="809">
        <v>0</v>
      </c>
      <c r="T25" s="809">
        <v>0</v>
      </c>
      <c r="U25" s="1184"/>
      <c r="V25" s="1184"/>
      <c r="W25" s="1185"/>
    </row>
    <row r="26" s="10" customFormat="1" ht="16.5" spans="1:24">
      <c r="A26" s="541" t="s">
        <v>1913</v>
      </c>
      <c r="B26" s="664" t="s">
        <v>1248</v>
      </c>
      <c r="C26" s="557">
        <v>97</v>
      </c>
      <c r="D26" s="716" t="s">
        <v>299</v>
      </c>
      <c r="E26" s="1303" t="s">
        <v>2136</v>
      </c>
      <c r="F26" s="762">
        <v>34307</v>
      </c>
      <c r="G26" s="567"/>
      <c r="H26" s="577"/>
      <c r="I26" s="602">
        <v>223560.5008</v>
      </c>
      <c r="J26" s="614">
        <v>6.7492</v>
      </c>
      <c r="K26" s="707">
        <v>44973</v>
      </c>
      <c r="L26" s="707">
        <v>44984</v>
      </c>
      <c r="M26" s="625">
        <v>44989</v>
      </c>
      <c r="N26" s="1214" t="s">
        <v>2137</v>
      </c>
      <c r="O26" s="597" t="s">
        <v>348</v>
      </c>
      <c r="P26" s="751">
        <v>91</v>
      </c>
      <c r="Q26" s="752">
        <v>360</v>
      </c>
      <c r="R26" s="1305"/>
      <c r="S26" s="1305"/>
      <c r="T26" s="1305"/>
      <c r="U26" s="1306"/>
      <c r="V26" s="1306"/>
      <c r="W26" s="1307"/>
      <c r="X26" s="1022"/>
    </row>
    <row r="27" s="10" customFormat="1" ht="16.5" spans="1:24">
      <c r="A27" s="541"/>
      <c r="B27" s="664"/>
      <c r="C27" s="557"/>
      <c r="D27" s="716" t="s">
        <v>299</v>
      </c>
      <c r="E27" s="1303" t="s">
        <v>2138</v>
      </c>
      <c r="F27" s="762">
        <v>34307</v>
      </c>
      <c r="G27" s="567"/>
      <c r="H27" s="577"/>
      <c r="I27" s="602">
        <v>223560.5008</v>
      </c>
      <c r="J27" s="614">
        <v>6.7492</v>
      </c>
      <c r="K27" s="707">
        <v>44973</v>
      </c>
      <c r="L27" s="707">
        <v>44984</v>
      </c>
      <c r="M27" s="625">
        <v>44989</v>
      </c>
      <c r="N27" s="1214" t="s">
        <v>2137</v>
      </c>
      <c r="O27" s="597" t="s">
        <v>348</v>
      </c>
      <c r="P27" s="751">
        <v>91</v>
      </c>
      <c r="Q27" s="752">
        <v>360</v>
      </c>
      <c r="R27" s="1305"/>
      <c r="S27" s="1305"/>
      <c r="T27" s="1305"/>
      <c r="U27" s="1306"/>
      <c r="V27" s="1306"/>
      <c r="W27" s="1307"/>
      <c r="X27" s="1022"/>
    </row>
    <row r="28" s="10" customFormat="1" ht="16.5" spans="1:24">
      <c r="A28" s="541"/>
      <c r="B28" s="664"/>
      <c r="C28" s="557"/>
      <c r="D28" s="716" t="s">
        <v>299</v>
      </c>
      <c r="E28" s="1259" t="s">
        <v>2214</v>
      </c>
      <c r="F28" s="725">
        <v>42840</v>
      </c>
      <c r="G28" s="567">
        <f t="shared" ref="G28:G32" si="2">F28*J28</f>
        <v>297309.6</v>
      </c>
      <c r="H28" s="577">
        <v>297309.6</v>
      </c>
      <c r="I28" s="602">
        <v>297309.6</v>
      </c>
      <c r="J28" s="614">
        <v>6.94</v>
      </c>
      <c r="K28" s="707">
        <v>45002</v>
      </c>
      <c r="L28" s="708">
        <v>45001</v>
      </c>
      <c r="M28" s="708">
        <v>45003</v>
      </c>
      <c r="N28" s="633" t="s">
        <v>2215</v>
      </c>
      <c r="O28" s="250" t="s">
        <v>2216</v>
      </c>
      <c r="P28" s="751">
        <v>168</v>
      </c>
      <c r="Q28" s="752">
        <v>255</v>
      </c>
      <c r="R28" s="750"/>
      <c r="S28" s="1175"/>
      <c r="T28" s="1176"/>
      <c r="U28" s="1186"/>
      <c r="V28" s="1187"/>
      <c r="W28" s="1181"/>
      <c r="X28" s="1022"/>
    </row>
    <row r="29" s="10" customFormat="1" ht="16.5" spans="1:24">
      <c r="A29" s="541"/>
      <c r="B29" s="664"/>
      <c r="C29" s="557"/>
      <c r="D29" s="716" t="s">
        <v>299</v>
      </c>
      <c r="E29" s="1259" t="s">
        <v>2217</v>
      </c>
      <c r="F29" s="762">
        <f>P29*Q29</f>
        <v>41250</v>
      </c>
      <c r="G29" s="567">
        <f t="shared" si="2"/>
        <v>286275</v>
      </c>
      <c r="H29" s="577">
        <v>286275</v>
      </c>
      <c r="I29" s="602">
        <v>286275</v>
      </c>
      <c r="J29" s="614">
        <v>6.94</v>
      </c>
      <c r="K29" s="707">
        <v>44995</v>
      </c>
      <c r="L29" s="708">
        <v>45001</v>
      </c>
      <c r="M29" s="708">
        <v>45003</v>
      </c>
      <c r="N29" s="633" t="s">
        <v>2215</v>
      </c>
      <c r="O29" s="250" t="s">
        <v>1622</v>
      </c>
      <c r="P29" s="751">
        <v>55</v>
      </c>
      <c r="Q29" s="752">
        <v>750</v>
      </c>
      <c r="R29" s="750"/>
      <c r="S29" s="1175"/>
      <c r="T29" s="1176"/>
      <c r="U29" s="1186"/>
      <c r="V29" s="1187"/>
      <c r="W29" s="1181"/>
      <c r="X29" s="1022"/>
    </row>
    <row r="30" s="10" customFormat="1" ht="16.5" spans="1:24">
      <c r="A30" s="541"/>
      <c r="B30" s="664"/>
      <c r="C30" s="557"/>
      <c r="D30" s="716" t="s">
        <v>299</v>
      </c>
      <c r="E30" s="1259" t="s">
        <v>2218</v>
      </c>
      <c r="F30" s="762">
        <v>6551</v>
      </c>
      <c r="G30" s="567">
        <f t="shared" si="2"/>
        <v>45463.94</v>
      </c>
      <c r="H30" s="600">
        <v>45463.94</v>
      </c>
      <c r="I30" s="602"/>
      <c r="J30" s="614">
        <v>6.94</v>
      </c>
      <c r="K30" s="707">
        <v>44910</v>
      </c>
      <c r="L30" s="1261">
        <v>45010</v>
      </c>
      <c r="M30" s="708" t="s">
        <v>2219</v>
      </c>
      <c r="N30" s="633" t="s">
        <v>2220</v>
      </c>
      <c r="O30" s="250" t="s">
        <v>2221</v>
      </c>
      <c r="P30" s="655" t="s">
        <v>1656</v>
      </c>
      <c r="Q30" s="752"/>
      <c r="R30" s="750"/>
      <c r="S30" s="1175"/>
      <c r="T30" s="1176"/>
      <c r="U30" s="1186"/>
      <c r="V30" s="1187"/>
      <c r="W30" s="1181"/>
      <c r="X30" s="1022"/>
    </row>
    <row r="31" s="10" customFormat="1" ht="18.75" customHeight="1" spans="1:24">
      <c r="A31" s="541"/>
      <c r="B31" s="666" t="s">
        <v>1437</v>
      </c>
      <c r="C31" s="655">
        <v>45</v>
      </c>
      <c r="D31" s="716" t="s">
        <v>165</v>
      </c>
      <c r="E31" s="1248" t="s">
        <v>2222</v>
      </c>
      <c r="F31" s="725">
        <v>38263</v>
      </c>
      <c r="G31" s="567">
        <f t="shared" si="2"/>
        <v>265545.22</v>
      </c>
      <c r="H31" s="577">
        <v>265545.22</v>
      </c>
      <c r="I31" s="577">
        <v>265545.22</v>
      </c>
      <c r="J31" s="614">
        <v>6.94</v>
      </c>
      <c r="K31" s="625" t="s">
        <v>1218</v>
      </c>
      <c r="L31" s="708">
        <v>44999</v>
      </c>
      <c r="M31" s="708">
        <v>45004</v>
      </c>
      <c r="N31" s="250" t="s">
        <v>2223</v>
      </c>
      <c r="O31" s="572"/>
      <c r="P31" s="572" t="s">
        <v>1671</v>
      </c>
      <c r="Q31" s="752"/>
      <c r="R31" s="753"/>
      <c r="S31" s="753"/>
      <c r="T31" s="750"/>
      <c r="U31" s="631"/>
      <c r="V31" s="1188"/>
      <c r="W31" s="1189"/>
      <c r="X31" s="1022"/>
    </row>
    <row r="32" s="10" customFormat="1" ht="18.75" customHeight="1" spans="1:24">
      <c r="A32" s="541"/>
      <c r="B32" s="556"/>
      <c r="C32" s="655"/>
      <c r="D32" s="543" t="s">
        <v>324</v>
      </c>
      <c r="E32" s="1248" t="s">
        <v>2224</v>
      </c>
      <c r="F32" s="725">
        <v>31416</v>
      </c>
      <c r="G32" s="567">
        <f t="shared" si="2"/>
        <v>218027.04</v>
      </c>
      <c r="H32" s="577">
        <v>218027.04</v>
      </c>
      <c r="I32" s="577"/>
      <c r="J32" s="614">
        <v>6.94</v>
      </c>
      <c r="K32" s="707">
        <v>45013</v>
      </c>
      <c r="L32" s="707">
        <v>45013</v>
      </c>
      <c r="M32" s="625">
        <v>45020</v>
      </c>
      <c r="N32" s="250" t="s">
        <v>2225</v>
      </c>
      <c r="O32" s="572"/>
      <c r="P32" s="572" t="s">
        <v>1671</v>
      </c>
      <c r="Q32" s="752">
        <v>476</v>
      </c>
      <c r="R32" s="753"/>
      <c r="S32" s="753"/>
      <c r="T32" s="750"/>
      <c r="U32" s="631"/>
      <c r="V32" s="1188"/>
      <c r="W32" s="1189"/>
      <c r="X32" s="1022"/>
    </row>
    <row r="33" s="10" customFormat="1" ht="18.75" customHeight="1" spans="1:24">
      <c r="A33" s="541"/>
      <c r="B33" s="556"/>
      <c r="C33" s="655"/>
      <c r="D33" s="982" t="s">
        <v>1298</v>
      </c>
      <c r="E33" s="1248"/>
      <c r="F33" s="725"/>
      <c r="G33" s="567">
        <v>7949</v>
      </c>
      <c r="H33" s="577">
        <v>7949</v>
      </c>
      <c r="I33" s="577">
        <v>0</v>
      </c>
      <c r="J33" s="614">
        <v>6.94</v>
      </c>
      <c r="K33" s="598" t="s">
        <v>1218</v>
      </c>
      <c r="L33" s="708"/>
      <c r="M33" s="625"/>
      <c r="N33" s="1214" t="s">
        <v>2226</v>
      </c>
      <c r="O33" s="572"/>
      <c r="P33" s="572"/>
      <c r="Q33" s="752"/>
      <c r="R33" s="753"/>
      <c r="S33" s="753"/>
      <c r="T33" s="750"/>
      <c r="U33" s="631"/>
      <c r="V33" s="1188"/>
      <c r="W33" s="1189"/>
      <c r="X33" s="1022"/>
    </row>
    <row r="34" s="10" customFormat="1" ht="18.75" customHeight="1" spans="1:23">
      <c r="A34" s="669"/>
      <c r="B34" s="666" t="s">
        <v>209</v>
      </c>
      <c r="C34" s="557">
        <v>94</v>
      </c>
      <c r="D34" s="568" t="s">
        <v>274</v>
      </c>
      <c r="E34" s="1155" t="s">
        <v>2227</v>
      </c>
      <c r="F34" s="969">
        <v>30512</v>
      </c>
      <c r="G34" s="567">
        <f>F34*J34</f>
        <v>211753.28</v>
      </c>
      <c r="H34" s="577">
        <v>211753.28</v>
      </c>
      <c r="I34" s="577">
        <v>211753.28</v>
      </c>
      <c r="J34" s="614">
        <v>6.94</v>
      </c>
      <c r="K34" s="598" t="s">
        <v>1218</v>
      </c>
      <c r="L34" s="625">
        <v>44994</v>
      </c>
      <c r="M34" s="708">
        <v>44997</v>
      </c>
      <c r="N34" s="673" t="s">
        <v>2228</v>
      </c>
      <c r="O34" s="561" t="s">
        <v>1000</v>
      </c>
      <c r="P34" s="751">
        <v>42</v>
      </c>
      <c r="Q34" s="752">
        <v>1131</v>
      </c>
      <c r="R34" s="756"/>
      <c r="S34" s="1203"/>
      <c r="T34" s="1204"/>
      <c r="U34" s="715"/>
      <c r="V34" s="1211"/>
      <c r="W34" s="1182"/>
    </row>
    <row r="35" s="10" customFormat="1" ht="18.75" customHeight="1" spans="1:23">
      <c r="A35" s="669"/>
      <c r="B35" s="556"/>
      <c r="C35" s="557"/>
      <c r="D35" s="568" t="s">
        <v>274</v>
      </c>
      <c r="E35" s="1155" t="s">
        <v>2229</v>
      </c>
      <c r="F35" s="969">
        <v>21815</v>
      </c>
      <c r="G35" s="567">
        <f>F35*J35</f>
        <v>151396.1</v>
      </c>
      <c r="H35" s="577">
        <v>151396.1</v>
      </c>
      <c r="I35" s="577">
        <v>151396.1</v>
      </c>
      <c r="J35" s="614">
        <v>6.94</v>
      </c>
      <c r="K35" s="598" t="s">
        <v>1218</v>
      </c>
      <c r="L35" s="625">
        <v>44994</v>
      </c>
      <c r="M35" s="708">
        <v>44997</v>
      </c>
      <c r="N35" s="673" t="s">
        <v>2228</v>
      </c>
      <c r="O35" s="250"/>
      <c r="P35" s="751"/>
      <c r="Q35" s="755"/>
      <c r="R35" s="756"/>
      <c r="S35" s="1203"/>
      <c r="T35" s="1204"/>
      <c r="U35" s="715"/>
      <c r="V35" s="1211"/>
      <c r="W35" s="1182"/>
    </row>
    <row r="36" s="10" customFormat="1" ht="33.75" customHeight="1" spans="1:23">
      <c r="A36" s="669"/>
      <c r="B36" s="556"/>
      <c r="C36" s="557"/>
      <c r="D36" s="568" t="s">
        <v>256</v>
      </c>
      <c r="E36" s="1155" t="s">
        <v>2230</v>
      </c>
      <c r="F36" s="969">
        <v>37969</v>
      </c>
      <c r="G36" s="577">
        <v>264094</v>
      </c>
      <c r="H36" s="577">
        <v>264094</v>
      </c>
      <c r="I36" s="735">
        <v>264094</v>
      </c>
      <c r="J36" s="614">
        <v>6.94</v>
      </c>
      <c r="K36" s="598" t="s">
        <v>203</v>
      </c>
      <c r="L36" s="625">
        <v>44988</v>
      </c>
      <c r="M36" s="625">
        <v>44993</v>
      </c>
      <c r="N36" s="673" t="s">
        <v>2231</v>
      </c>
      <c r="O36" s="571" t="s">
        <v>2232</v>
      </c>
      <c r="P36" s="716" t="s">
        <v>1671</v>
      </c>
      <c r="Q36" s="755"/>
      <c r="R36" s="756"/>
      <c r="S36" s="1203"/>
      <c r="T36" s="1204"/>
      <c r="U36" s="715"/>
      <c r="V36" s="1211"/>
      <c r="W36" s="1182"/>
    </row>
    <row r="37" s="10" customFormat="1" ht="18.75" customHeight="1" spans="1:23">
      <c r="A37" s="669"/>
      <c r="B37" s="556"/>
      <c r="C37" s="557"/>
      <c r="D37" s="561" t="s">
        <v>1418</v>
      </c>
      <c r="E37" s="1155" t="s">
        <v>2233</v>
      </c>
      <c r="F37" s="969">
        <v>8635</v>
      </c>
      <c r="G37" s="567">
        <f t="shared" ref="G37:G41" si="3">F37*J37</f>
        <v>59926.9</v>
      </c>
      <c r="H37" s="577">
        <v>59919.96</v>
      </c>
      <c r="I37" s="577">
        <v>59919.96</v>
      </c>
      <c r="J37" s="614">
        <v>6.94</v>
      </c>
      <c r="K37" s="598" t="s">
        <v>1218</v>
      </c>
      <c r="L37" s="708">
        <v>45006</v>
      </c>
      <c r="M37" s="625">
        <v>45009</v>
      </c>
      <c r="N37" s="1214" t="s">
        <v>2234</v>
      </c>
      <c r="O37" s="561"/>
      <c r="P37" s="751"/>
      <c r="Q37" s="752"/>
      <c r="R37" s="756"/>
      <c r="S37" s="1203"/>
      <c r="T37" s="1204"/>
      <c r="U37" s="715"/>
      <c r="V37" s="1211"/>
      <c r="W37" s="1182"/>
    </row>
    <row r="38" s="10" customFormat="1" ht="18.75" customHeight="1" spans="1:23">
      <c r="A38" s="669"/>
      <c r="B38" s="556"/>
      <c r="C38" s="557"/>
      <c r="D38" s="561" t="s">
        <v>2235</v>
      </c>
      <c r="E38" s="1155" t="s">
        <v>2236</v>
      </c>
      <c r="F38" s="969"/>
      <c r="G38" s="567">
        <v>120361</v>
      </c>
      <c r="H38" s="567">
        <v>120361</v>
      </c>
      <c r="I38" s="735">
        <v>120000</v>
      </c>
      <c r="J38" s="614"/>
      <c r="K38" s="598" t="s">
        <v>1218</v>
      </c>
      <c r="L38" s="625">
        <v>45010</v>
      </c>
      <c r="M38" s="625"/>
      <c r="N38" s="1038" t="s">
        <v>2237</v>
      </c>
      <c r="O38" s="561"/>
      <c r="P38" s="751"/>
      <c r="Q38" s="752"/>
      <c r="R38" s="756"/>
      <c r="S38" s="1203"/>
      <c r="T38" s="1204"/>
      <c r="U38" s="715"/>
      <c r="V38" s="1211"/>
      <c r="W38" s="1182"/>
    </row>
    <row r="39" s="10" customFormat="1" ht="18.75" customHeight="1" spans="1:23">
      <c r="A39" s="669"/>
      <c r="B39" s="556"/>
      <c r="C39" s="557"/>
      <c r="D39" s="561" t="s">
        <v>243</v>
      </c>
      <c r="E39" s="1310" t="s">
        <v>2238</v>
      </c>
      <c r="F39" s="722">
        <v>5799</v>
      </c>
      <c r="G39" s="577">
        <f t="shared" si="3"/>
        <v>40245.06</v>
      </c>
      <c r="H39" s="577">
        <v>40245.06</v>
      </c>
      <c r="I39" s="735">
        <v>40245</v>
      </c>
      <c r="J39" s="614">
        <v>6.94</v>
      </c>
      <c r="K39" s="598" t="s">
        <v>1218</v>
      </c>
      <c r="L39" s="708">
        <v>45012</v>
      </c>
      <c r="M39" s="625"/>
      <c r="N39" s="1038" t="s">
        <v>2239</v>
      </c>
      <c r="O39" s="561"/>
      <c r="P39" s="751"/>
      <c r="Q39" s="752"/>
      <c r="R39" s="756"/>
      <c r="S39" s="1203"/>
      <c r="T39" s="1204"/>
      <c r="U39" s="715"/>
      <c r="V39" s="1211"/>
      <c r="W39" s="1182"/>
    </row>
    <row r="40" s="10" customFormat="1" ht="18.75" customHeight="1" spans="1:23">
      <c r="A40" s="669"/>
      <c r="B40" s="556"/>
      <c r="C40" s="557"/>
      <c r="D40" s="568" t="s">
        <v>1405</v>
      </c>
      <c r="E40" s="1155" t="s">
        <v>2240</v>
      </c>
      <c r="F40" s="969">
        <v>2900</v>
      </c>
      <c r="G40" s="577">
        <f t="shared" si="3"/>
        <v>20126</v>
      </c>
      <c r="H40" s="577">
        <v>20126</v>
      </c>
      <c r="I40" s="735">
        <v>20126</v>
      </c>
      <c r="J40" s="614">
        <v>6.94</v>
      </c>
      <c r="K40" s="598" t="s">
        <v>1218</v>
      </c>
      <c r="L40" s="708">
        <v>45005</v>
      </c>
      <c r="M40" s="625"/>
      <c r="N40" s="1038" t="s">
        <v>2241</v>
      </c>
      <c r="O40" s="250"/>
      <c r="P40" s="751"/>
      <c r="Q40" s="755"/>
      <c r="R40" s="756"/>
      <c r="S40" s="1203"/>
      <c r="T40" s="1204"/>
      <c r="U40" s="715"/>
      <c r="V40" s="1211"/>
      <c r="W40" s="1182"/>
    </row>
    <row r="41" s="1302" customFormat="1" ht="18.75" customHeight="1" spans="1:23">
      <c r="A41" s="1308"/>
      <c r="B41" s="1309"/>
      <c r="C41" s="1023"/>
      <c r="D41" s="568" t="s">
        <v>166</v>
      </c>
      <c r="E41" s="1155" t="s">
        <v>2242</v>
      </c>
      <c r="F41" s="969">
        <v>4800</v>
      </c>
      <c r="G41" s="577">
        <f t="shared" si="3"/>
        <v>33312</v>
      </c>
      <c r="H41" s="735">
        <v>33312</v>
      </c>
      <c r="I41" s="735"/>
      <c r="J41" s="614">
        <v>6.94</v>
      </c>
      <c r="K41" s="598" t="s">
        <v>1218</v>
      </c>
      <c r="L41" s="708">
        <v>45014</v>
      </c>
      <c r="M41" s="625">
        <v>45017</v>
      </c>
      <c r="N41" s="673" t="s">
        <v>2243</v>
      </c>
      <c r="O41" s="780"/>
      <c r="P41" s="1312"/>
      <c r="Q41" s="1315"/>
      <c r="R41" s="1316"/>
      <c r="S41" s="1317"/>
      <c r="T41" s="1318"/>
      <c r="U41" s="727"/>
      <c r="V41" s="1319"/>
      <c r="W41" s="1185"/>
    </row>
    <row r="42" s="10" customFormat="1" ht="18.75" customHeight="1" spans="1:23">
      <c r="A42" s="669"/>
      <c r="B42" s="670"/>
      <c r="C42" s="968"/>
      <c r="D42" s="982" t="s">
        <v>1298</v>
      </c>
      <c r="E42" s="1155"/>
      <c r="F42" s="725"/>
      <c r="G42" s="567">
        <v>2765</v>
      </c>
      <c r="H42" s="567">
        <v>2765</v>
      </c>
      <c r="I42" s="577">
        <v>0</v>
      </c>
      <c r="J42" s="614">
        <v>6.94</v>
      </c>
      <c r="K42" s="598" t="s">
        <v>1218</v>
      </c>
      <c r="L42" s="708"/>
      <c r="M42" s="625"/>
      <c r="N42" s="1214" t="s">
        <v>2226</v>
      </c>
      <c r="O42" s="250"/>
      <c r="P42" s="751"/>
      <c r="Q42" s="755"/>
      <c r="R42" s="756"/>
      <c r="S42" s="1203"/>
      <c r="T42" s="1204"/>
      <c r="U42" s="715"/>
      <c r="V42" s="1211"/>
      <c r="W42" s="1182"/>
    </row>
    <row r="43" s="10" customFormat="1" ht="25.95" customHeight="1" spans="1:24">
      <c r="A43" s="541"/>
      <c r="B43" s="664" t="s">
        <v>1540</v>
      </c>
      <c r="C43" s="655">
        <v>40</v>
      </c>
      <c r="D43" s="715" t="s">
        <v>2244</v>
      </c>
      <c r="E43" s="250" t="s">
        <v>2148</v>
      </c>
      <c r="F43" s="725">
        <v>3280</v>
      </c>
      <c r="G43" s="567"/>
      <c r="H43" s="577"/>
      <c r="I43" s="735">
        <v>22137</v>
      </c>
      <c r="J43" s="614">
        <v>6.7492</v>
      </c>
      <c r="K43" s="707" t="s">
        <v>1218</v>
      </c>
      <c r="L43" s="645">
        <v>44985</v>
      </c>
      <c r="M43" s="645">
        <v>44990</v>
      </c>
      <c r="N43" s="572" t="s">
        <v>2245</v>
      </c>
      <c r="O43" s="571" t="s">
        <v>2246</v>
      </c>
      <c r="P43" s="572"/>
      <c r="Q43" s="656"/>
      <c r="R43" s="733"/>
      <c r="S43" s="753"/>
      <c r="T43" s="753"/>
      <c r="U43" s="750"/>
      <c r="V43" s="750"/>
      <c r="W43" s="1181"/>
      <c r="X43" s="1022"/>
    </row>
    <row r="44" s="10" customFormat="1" ht="25.95" customHeight="1" spans="1:24">
      <c r="A44" s="541"/>
      <c r="B44" s="664"/>
      <c r="C44" s="655"/>
      <c r="D44" s="544" t="s">
        <v>2247</v>
      </c>
      <c r="E44" s="250" t="s">
        <v>2151</v>
      </c>
      <c r="F44" s="725">
        <v>38640</v>
      </c>
      <c r="G44" s="567"/>
      <c r="H44" s="577"/>
      <c r="I44" s="735">
        <v>260789</v>
      </c>
      <c r="J44" s="614">
        <v>6.7492</v>
      </c>
      <c r="K44" s="707">
        <v>44982</v>
      </c>
      <c r="L44" s="644">
        <v>44985</v>
      </c>
      <c r="M44" s="644">
        <v>44986</v>
      </c>
      <c r="N44" s="572" t="s">
        <v>2248</v>
      </c>
      <c r="O44" s="571" t="s">
        <v>2075</v>
      </c>
      <c r="P44" s="572" t="s">
        <v>1671</v>
      </c>
      <c r="Q44" s="656">
        <v>230</v>
      </c>
      <c r="R44" s="733"/>
      <c r="S44" s="753"/>
      <c r="T44" s="753"/>
      <c r="U44" s="750"/>
      <c r="V44" s="750"/>
      <c r="W44" s="1181"/>
      <c r="X44" s="1022"/>
    </row>
    <row r="45" s="10" customFormat="1" ht="25.95" customHeight="1" spans="1:24">
      <c r="A45" s="541"/>
      <c r="B45" s="664"/>
      <c r="C45" s="655"/>
      <c r="D45" s="544"/>
      <c r="E45" s="250" t="s">
        <v>2153</v>
      </c>
      <c r="F45" s="725">
        <v>74047</v>
      </c>
      <c r="G45" s="567"/>
      <c r="H45" s="577"/>
      <c r="I45" s="735">
        <v>499755</v>
      </c>
      <c r="J45" s="614">
        <v>6.7492</v>
      </c>
      <c r="K45" s="707">
        <v>44977</v>
      </c>
      <c r="L45" s="644">
        <v>44982</v>
      </c>
      <c r="M45" s="644">
        <v>44986</v>
      </c>
      <c r="N45" s="572" t="s">
        <v>2248</v>
      </c>
      <c r="O45" s="571" t="s">
        <v>2154</v>
      </c>
      <c r="P45" s="572" t="s">
        <v>2131</v>
      </c>
      <c r="Q45" s="656">
        <v>406</v>
      </c>
      <c r="R45" s="733"/>
      <c r="S45" s="753"/>
      <c r="T45" s="753"/>
      <c r="U45" s="750"/>
      <c r="V45" s="750"/>
      <c r="W45" s="1181"/>
      <c r="X45" s="1022"/>
    </row>
    <row r="46" s="10" customFormat="1" ht="33.75" customHeight="1" spans="1:24">
      <c r="A46" s="541"/>
      <c r="B46" s="664"/>
      <c r="C46" s="655"/>
      <c r="D46" s="546"/>
      <c r="E46" s="1163" t="s">
        <v>2249</v>
      </c>
      <c r="F46" s="725">
        <v>131577</v>
      </c>
      <c r="G46" s="567">
        <f>F46*J46</f>
        <v>913144.38</v>
      </c>
      <c r="H46" s="577">
        <v>913144.38</v>
      </c>
      <c r="I46" s="577"/>
      <c r="J46" s="614">
        <v>6.94</v>
      </c>
      <c r="K46" s="707">
        <v>44977</v>
      </c>
      <c r="L46" s="707">
        <v>45013</v>
      </c>
      <c r="M46" s="644">
        <v>45016</v>
      </c>
      <c r="N46" s="565" t="s">
        <v>2250</v>
      </c>
      <c r="O46" s="571" t="s">
        <v>2251</v>
      </c>
      <c r="P46" s="572" t="s">
        <v>2252</v>
      </c>
      <c r="Q46" s="656"/>
      <c r="R46" s="733"/>
      <c r="S46" s="753"/>
      <c r="T46" s="753"/>
      <c r="U46" s="750"/>
      <c r="V46" s="750"/>
      <c r="W46" s="1181"/>
      <c r="X46" s="1022"/>
    </row>
    <row r="47" s="10" customFormat="1" ht="21.85" customHeight="1" spans="1:24">
      <c r="A47" s="541"/>
      <c r="B47" s="664"/>
      <c r="C47" s="655"/>
      <c r="D47" s="546" t="s">
        <v>2253</v>
      </c>
      <c r="E47" s="1163" t="s">
        <v>2254</v>
      </c>
      <c r="F47" s="725">
        <v>381</v>
      </c>
      <c r="G47" s="567">
        <f t="shared" ref="G47:I47" si="4">F47*J47</f>
        <v>2644.14</v>
      </c>
      <c r="H47" s="567">
        <v>2644.14</v>
      </c>
      <c r="I47" s="567">
        <v>2644.14</v>
      </c>
      <c r="J47" s="614">
        <v>6.94</v>
      </c>
      <c r="K47" s="707">
        <v>45014</v>
      </c>
      <c r="L47" s="707">
        <v>45014</v>
      </c>
      <c r="M47" s="707">
        <v>45014</v>
      </c>
      <c r="N47" s="572" t="s">
        <v>2255</v>
      </c>
      <c r="O47" s="571"/>
      <c r="P47" s="572"/>
      <c r="Q47" s="656"/>
      <c r="R47" s="733"/>
      <c r="S47" s="753"/>
      <c r="T47" s="753"/>
      <c r="U47" s="750"/>
      <c r="V47" s="750"/>
      <c r="W47" s="1181"/>
      <c r="X47" s="1022"/>
    </row>
    <row r="48" s="10" customFormat="1" ht="21.85" customHeight="1" spans="1:24">
      <c r="A48" s="541"/>
      <c r="B48" s="664"/>
      <c r="C48" s="655"/>
      <c r="D48" s="715" t="s">
        <v>97</v>
      </c>
      <c r="E48" s="1163" t="s">
        <v>2256</v>
      </c>
      <c r="F48" s="725">
        <v>43460</v>
      </c>
      <c r="G48" s="567">
        <f>F48*J48</f>
        <v>301612.4</v>
      </c>
      <c r="H48" s="577">
        <v>301612.4</v>
      </c>
      <c r="I48" s="735">
        <v>301612.4</v>
      </c>
      <c r="J48" s="614">
        <v>6.94</v>
      </c>
      <c r="K48" s="707">
        <v>45008</v>
      </c>
      <c r="L48" s="708">
        <v>45008</v>
      </c>
      <c r="M48" s="644">
        <v>45010</v>
      </c>
      <c r="N48" s="572" t="s">
        <v>2257</v>
      </c>
      <c r="O48" s="571" t="s">
        <v>2258</v>
      </c>
      <c r="P48" s="572" t="s">
        <v>1671</v>
      </c>
      <c r="Q48" s="656"/>
      <c r="R48" s="733"/>
      <c r="S48" s="753"/>
      <c r="T48" s="753"/>
      <c r="U48" s="750"/>
      <c r="V48" s="750"/>
      <c r="W48" s="1181"/>
      <c r="X48" s="1022"/>
    </row>
    <row r="49" s="10" customFormat="1" ht="21.85" customHeight="1" spans="1:24">
      <c r="A49" s="541"/>
      <c r="B49" s="664"/>
      <c r="C49" s="655"/>
      <c r="D49" s="715" t="s">
        <v>2259</v>
      </c>
      <c r="E49" s="250" t="s">
        <v>2260</v>
      </c>
      <c r="F49" s="725">
        <v>274</v>
      </c>
      <c r="G49" s="567">
        <f>F49*J49</f>
        <v>1901.56</v>
      </c>
      <c r="H49" s="577">
        <v>1901.56</v>
      </c>
      <c r="I49" s="577">
        <v>1902</v>
      </c>
      <c r="J49" s="614">
        <v>6.94</v>
      </c>
      <c r="K49" s="707">
        <v>44996</v>
      </c>
      <c r="L49" s="707">
        <v>44996</v>
      </c>
      <c r="M49" s="644">
        <v>44996</v>
      </c>
      <c r="N49" s="1214" t="s">
        <v>2226</v>
      </c>
      <c r="O49" s="571" t="s">
        <v>2261</v>
      </c>
      <c r="P49" s="572"/>
      <c r="Q49" s="656"/>
      <c r="R49" s="733"/>
      <c r="S49" s="753"/>
      <c r="T49" s="753"/>
      <c r="U49" s="750"/>
      <c r="V49" s="750"/>
      <c r="W49" s="1181"/>
      <c r="X49" s="1022"/>
    </row>
    <row r="50" s="10" customFormat="1" ht="21.85" customHeight="1" spans="1:24">
      <c r="A50" s="541"/>
      <c r="B50" s="664"/>
      <c r="C50" s="655"/>
      <c r="D50" s="544" t="s">
        <v>2262</v>
      </c>
      <c r="E50" s="250" t="s">
        <v>2157</v>
      </c>
      <c r="F50" s="725">
        <v>33518</v>
      </c>
      <c r="G50" s="567"/>
      <c r="H50" s="577"/>
      <c r="I50" s="735">
        <v>226220</v>
      </c>
      <c r="J50" s="614">
        <v>6.94</v>
      </c>
      <c r="K50" s="707" t="s">
        <v>1218</v>
      </c>
      <c r="L50" s="644">
        <v>44984</v>
      </c>
      <c r="M50" s="644">
        <v>44988</v>
      </c>
      <c r="N50" s="572" t="s">
        <v>2263</v>
      </c>
      <c r="O50" s="571"/>
      <c r="P50" s="572" t="s">
        <v>1671</v>
      </c>
      <c r="Q50" s="656"/>
      <c r="R50" s="733"/>
      <c r="S50" s="753"/>
      <c r="T50" s="753"/>
      <c r="U50" s="750"/>
      <c r="V50" s="750"/>
      <c r="W50" s="1181"/>
      <c r="X50" s="1022"/>
    </row>
    <row r="51" s="10" customFormat="1" ht="22.2" customHeight="1" spans="1:24">
      <c r="A51" s="541"/>
      <c r="B51" s="664"/>
      <c r="C51" s="655"/>
      <c r="D51" s="546"/>
      <c r="E51" s="1163" t="s">
        <v>2264</v>
      </c>
      <c r="F51" s="722">
        <v>30591</v>
      </c>
      <c r="G51" s="567">
        <f>F51*J51</f>
        <v>212301.54</v>
      </c>
      <c r="H51" s="577">
        <v>212301.54</v>
      </c>
      <c r="I51" s="735">
        <v>212301.54</v>
      </c>
      <c r="J51" s="614">
        <v>6.94</v>
      </c>
      <c r="K51" s="598" t="s">
        <v>1218</v>
      </c>
      <c r="L51" s="625">
        <v>44993</v>
      </c>
      <c r="M51" s="644">
        <v>44995</v>
      </c>
      <c r="N51" s="572" t="s">
        <v>2265</v>
      </c>
      <c r="O51" s="572"/>
      <c r="P51" s="572" t="s">
        <v>1671</v>
      </c>
      <c r="Q51" s="656"/>
      <c r="R51" s="733"/>
      <c r="S51" s="753"/>
      <c r="T51" s="753"/>
      <c r="U51" s="750"/>
      <c r="V51" s="750"/>
      <c r="W51" s="1181"/>
      <c r="X51" s="1022"/>
    </row>
    <row r="52" s="10" customFormat="1" ht="16.5" spans="1:23">
      <c r="A52" s="541"/>
      <c r="B52" s="1190" t="s">
        <v>1124</v>
      </c>
      <c r="C52" s="1191">
        <f>SUM(C26:C51)</f>
        <v>276</v>
      </c>
      <c r="D52" s="1191"/>
      <c r="E52" s="1198"/>
      <c r="F52" s="1157" t="s">
        <v>1235</v>
      </c>
      <c r="G52" s="1158">
        <f>SUM(G26:G51)</f>
        <v>3456153.16</v>
      </c>
      <c r="H52" s="1158">
        <f>SUM(H26:H51)</f>
        <v>3456146.22</v>
      </c>
      <c r="I52" s="1158">
        <f>SUM(I26:I51)</f>
        <v>3691146.2416</v>
      </c>
      <c r="J52" s="1168"/>
      <c r="K52" s="610"/>
      <c r="L52" s="644"/>
      <c r="M52" s="644"/>
      <c r="N52" s="715"/>
      <c r="O52" s="1200"/>
      <c r="P52" s="655"/>
      <c r="Q52" s="656"/>
      <c r="R52" s="754"/>
      <c r="S52" s="754"/>
      <c r="T52" s="992"/>
      <c r="U52" s="608"/>
      <c r="V52" s="1209"/>
      <c r="W52" s="1210"/>
    </row>
    <row r="53" s="10" customFormat="1" ht="16.5" spans="1:23">
      <c r="A53" s="672"/>
      <c r="B53" s="1192"/>
      <c r="C53" s="1150"/>
      <c r="D53" s="1150"/>
      <c r="E53" s="1198"/>
      <c r="F53" s="1157" t="s">
        <v>1236</v>
      </c>
      <c r="G53" s="1199">
        <f>G52/2760000</f>
        <v>1.2522294057971</v>
      </c>
      <c r="H53" s="1199">
        <f>H52/2760000</f>
        <v>1.25222689130435</v>
      </c>
      <c r="I53" s="1199">
        <f>I52/2760000</f>
        <v>1.33737182666667</v>
      </c>
      <c r="J53" s="747"/>
      <c r="K53" s="858"/>
      <c r="L53" s="1135"/>
      <c r="M53" s="1135"/>
      <c r="N53" s="727"/>
      <c r="O53" s="727"/>
      <c r="P53" s="652"/>
      <c r="Q53" s="653"/>
      <c r="R53" s="653"/>
      <c r="S53" s="653"/>
      <c r="T53" s="653"/>
      <c r="U53" s="1184"/>
      <c r="V53" s="1184"/>
      <c r="W53" s="1185"/>
    </row>
    <row r="54" s="536" customFormat="1" ht="18.75" customHeight="1" spans="1:23">
      <c r="A54" s="564" t="s">
        <v>1984</v>
      </c>
      <c r="B54" s="671" t="s">
        <v>38</v>
      </c>
      <c r="C54" s="557">
        <v>91</v>
      </c>
      <c r="D54" s="250" t="s">
        <v>143</v>
      </c>
      <c r="E54" s="1248" t="s">
        <v>2266</v>
      </c>
      <c r="F54" s="591">
        <v>31404</v>
      </c>
      <c r="G54" s="567">
        <f>F54*J54</f>
        <v>217943.76</v>
      </c>
      <c r="H54" s="567">
        <f>G54</f>
        <v>217943.76</v>
      </c>
      <c r="I54" s="567"/>
      <c r="J54" s="614">
        <v>6.94</v>
      </c>
      <c r="K54" s="633"/>
      <c r="L54" s="644">
        <v>45016</v>
      </c>
      <c r="M54" s="644">
        <v>45017</v>
      </c>
      <c r="N54" s="572"/>
      <c r="O54" s="731"/>
      <c r="P54" s="655"/>
      <c r="Q54" s="664"/>
      <c r="R54" s="577"/>
      <c r="S54" s="577"/>
      <c r="T54" s="1171"/>
      <c r="U54" s="664"/>
      <c r="V54" s="664"/>
      <c r="W54" s="1182"/>
    </row>
    <row r="55" s="10" customFormat="1" ht="16.5" spans="1:23">
      <c r="A55" s="721"/>
      <c r="B55" s="1246"/>
      <c r="C55" s="968"/>
      <c r="D55" s="673" t="s">
        <v>2267</v>
      </c>
      <c r="E55" s="1248" t="s">
        <v>2268</v>
      </c>
      <c r="F55" s="591">
        <v>49351</v>
      </c>
      <c r="G55" s="567">
        <f>F55*J55</f>
        <v>342495.94</v>
      </c>
      <c r="H55" s="567">
        <f>G55</f>
        <v>342495.94</v>
      </c>
      <c r="I55" s="567"/>
      <c r="J55" s="614">
        <v>6.94</v>
      </c>
      <c r="K55" s="625"/>
      <c r="L55" s="625">
        <v>45013</v>
      </c>
      <c r="M55" s="1313">
        <v>45016</v>
      </c>
      <c r="N55" s="565" t="s">
        <v>2269</v>
      </c>
      <c r="O55" s="642"/>
      <c r="P55" s="655"/>
      <c r="Q55" s="664"/>
      <c r="R55" s="577"/>
      <c r="S55" s="1205"/>
      <c r="T55" s="1171"/>
      <c r="U55" s="664"/>
      <c r="V55" s="664"/>
      <c r="W55" s="1182"/>
    </row>
    <row r="56" s="10" customFormat="1" ht="19" customHeight="1" spans="1:23">
      <c r="A56" s="721"/>
      <c r="B56" s="664" t="s">
        <v>509</v>
      </c>
      <c r="C56" s="655">
        <v>98</v>
      </c>
      <c r="D56" s="250" t="s">
        <v>1232</v>
      </c>
      <c r="E56" s="250" t="s">
        <v>2166</v>
      </c>
      <c r="F56" s="725"/>
      <c r="G56" s="596"/>
      <c r="H56" s="577"/>
      <c r="I56" s="596">
        <v>278245</v>
      </c>
      <c r="J56" s="614">
        <v>6.94</v>
      </c>
      <c r="K56" s="625">
        <v>44985</v>
      </c>
      <c r="L56" s="645">
        <v>44985</v>
      </c>
      <c r="M56" s="598">
        <v>44993</v>
      </c>
      <c r="N56" s="572" t="s">
        <v>2270</v>
      </c>
      <c r="O56" s="642"/>
      <c r="P56" s="655"/>
      <c r="Q56" s="664"/>
      <c r="R56" s="577"/>
      <c r="S56" s="1205"/>
      <c r="T56" s="1171"/>
      <c r="U56" s="664"/>
      <c r="V56" s="664"/>
      <c r="W56" s="1212"/>
    </row>
    <row r="57" s="10" customFormat="1" ht="19" customHeight="1" spans="1:23">
      <c r="A57" s="721"/>
      <c r="B57" s="664"/>
      <c r="C57" s="655"/>
      <c r="D57" s="250" t="s">
        <v>1313</v>
      </c>
      <c r="E57" s="1163" t="s">
        <v>2271</v>
      </c>
      <c r="F57" s="1002">
        <v>34220</v>
      </c>
      <c r="G57" s="596">
        <f>F57*J57</f>
        <v>237486.8</v>
      </c>
      <c r="H57" s="577">
        <f t="shared" ref="H57:H66" si="5">G57</f>
        <v>237486.8</v>
      </c>
      <c r="I57" s="596"/>
      <c r="J57" s="614">
        <v>6.94</v>
      </c>
      <c r="K57" s="625">
        <v>45008</v>
      </c>
      <c r="L57" s="645">
        <v>45009</v>
      </c>
      <c r="M57" s="955">
        <v>45016</v>
      </c>
      <c r="N57" s="566" t="s">
        <v>2269</v>
      </c>
      <c r="O57" s="642"/>
      <c r="P57" s="655"/>
      <c r="Q57" s="664"/>
      <c r="R57" s="577"/>
      <c r="S57" s="1205"/>
      <c r="T57" s="1171"/>
      <c r="U57" s="664"/>
      <c r="V57" s="664"/>
      <c r="W57" s="1212"/>
    </row>
    <row r="58" s="10" customFormat="1" ht="19" customHeight="1" spans="1:23">
      <c r="A58" s="721"/>
      <c r="B58" s="664"/>
      <c r="C58" s="655"/>
      <c r="D58" s="851" t="s">
        <v>151</v>
      </c>
      <c r="E58" s="1311" t="s">
        <v>2272</v>
      </c>
      <c r="F58" s="1249">
        <v>33830</v>
      </c>
      <c r="G58" s="596">
        <f>F58*J58</f>
        <v>234780.2</v>
      </c>
      <c r="H58" s="577">
        <f t="shared" si="5"/>
        <v>234780.2</v>
      </c>
      <c r="I58" s="1207"/>
      <c r="J58" s="614">
        <v>6.94</v>
      </c>
      <c r="K58" s="598" t="s">
        <v>1218</v>
      </c>
      <c r="L58" s="1139">
        <v>44986</v>
      </c>
      <c r="M58" s="821" t="s">
        <v>2164</v>
      </c>
      <c r="N58" s="568" t="s">
        <v>2165</v>
      </c>
      <c r="O58" s="642"/>
      <c r="P58" s="655"/>
      <c r="Q58" s="664"/>
      <c r="R58" s="577"/>
      <c r="S58" s="1205"/>
      <c r="T58" s="1171"/>
      <c r="U58" s="664"/>
      <c r="V58" s="664"/>
      <c r="W58" s="1212"/>
    </row>
    <row r="59" s="10" customFormat="1" ht="16.5" spans="1:23">
      <c r="A59" s="721"/>
      <c r="B59" s="664"/>
      <c r="C59" s="655"/>
      <c r="D59" s="250" t="s">
        <v>2273</v>
      </c>
      <c r="E59" s="1197" t="s">
        <v>2274</v>
      </c>
      <c r="F59" s="969">
        <v>64395</v>
      </c>
      <c r="G59" s="596">
        <f>F59*J59</f>
        <v>443037.6</v>
      </c>
      <c r="H59" s="577">
        <f t="shared" si="5"/>
        <v>443037.6</v>
      </c>
      <c r="I59" s="603"/>
      <c r="J59" s="614">
        <v>6.88</v>
      </c>
      <c r="K59" s="625">
        <v>45005</v>
      </c>
      <c r="L59" s="1139">
        <v>45008</v>
      </c>
      <c r="M59" s="625">
        <v>45024</v>
      </c>
      <c r="N59" s="568" t="s">
        <v>2165</v>
      </c>
      <c r="O59" s="1314"/>
      <c r="P59" s="874"/>
      <c r="Q59" s="752"/>
      <c r="R59" s="664"/>
      <c r="S59" s="577"/>
      <c r="T59" s="1205"/>
      <c r="U59" s="1171"/>
      <c r="V59" s="664"/>
      <c r="W59" s="715"/>
    </row>
    <row r="60" s="10" customFormat="1" ht="16.5" spans="1:23">
      <c r="A60" s="721"/>
      <c r="B60" s="664"/>
      <c r="C60" s="655"/>
      <c r="D60" s="250" t="s">
        <v>2099</v>
      </c>
      <c r="E60" s="1197" t="s">
        <v>2275</v>
      </c>
      <c r="F60" s="969">
        <f>P60*Q60</f>
        <v>46200</v>
      </c>
      <c r="G60" s="596">
        <f>F60*J60</f>
        <v>320628</v>
      </c>
      <c r="H60" s="577">
        <f t="shared" si="5"/>
        <v>320628</v>
      </c>
      <c r="I60" s="603"/>
      <c r="J60" s="614">
        <v>6.94</v>
      </c>
      <c r="K60" s="625">
        <v>45015</v>
      </c>
      <c r="L60" s="625">
        <v>45015</v>
      </c>
      <c r="M60" s="625">
        <v>45019</v>
      </c>
      <c r="N60" s="568" t="s">
        <v>2165</v>
      </c>
      <c r="O60" s="731" t="s">
        <v>2276</v>
      </c>
      <c r="P60" s="655">
        <v>44</v>
      </c>
      <c r="Q60" s="752">
        <v>1050</v>
      </c>
      <c r="R60" s="577"/>
      <c r="S60" s="577"/>
      <c r="T60" s="1171"/>
      <c r="U60" s="664"/>
      <c r="V60" s="664"/>
      <c r="W60" s="1182"/>
    </row>
    <row r="61" s="929" customFormat="1" ht="16.5" spans="1:23">
      <c r="A61" s="541"/>
      <c r="B61" s="664"/>
      <c r="C61" s="655"/>
      <c r="D61" s="982" t="s">
        <v>1298</v>
      </c>
      <c r="E61" s="1311"/>
      <c r="F61" s="1254"/>
      <c r="G61" s="1207">
        <v>4250</v>
      </c>
      <c r="H61" s="1207">
        <f t="shared" si="5"/>
        <v>4250</v>
      </c>
      <c r="I61" s="1207">
        <f>H61</f>
        <v>4250</v>
      </c>
      <c r="J61" s="614">
        <v>6.94</v>
      </c>
      <c r="K61" s="598" t="s">
        <v>1218</v>
      </c>
      <c r="L61" s="1139">
        <v>44984</v>
      </c>
      <c r="M61" s="625"/>
      <c r="N61" s="568" t="s">
        <v>2165</v>
      </c>
      <c r="O61" s="924"/>
      <c r="P61" s="1202"/>
      <c r="Q61" s="1206"/>
      <c r="R61" s="714"/>
      <c r="S61" s="1207"/>
      <c r="T61" s="1208"/>
      <c r="U61" s="1213"/>
      <c r="V61" s="714"/>
      <c r="W61" s="1214"/>
    </row>
    <row r="62" s="929" customFormat="1" ht="16.5" spans="1:23">
      <c r="A62" s="541"/>
      <c r="B62" s="1215" t="s">
        <v>1393</v>
      </c>
      <c r="C62" s="1216">
        <v>86</v>
      </c>
      <c r="D62" s="982" t="s">
        <v>660</v>
      </c>
      <c r="E62" s="1266" t="s">
        <v>2277</v>
      </c>
      <c r="F62" s="1254">
        <v>65956</v>
      </c>
      <c r="G62" s="1207">
        <f t="shared" ref="G62:G66" si="6">F62*J62</f>
        <v>457734.64</v>
      </c>
      <c r="H62" s="1207">
        <f t="shared" si="5"/>
        <v>457734.64</v>
      </c>
      <c r="I62" s="1207"/>
      <c r="J62" s="614">
        <v>6.94</v>
      </c>
      <c r="K62" s="1131">
        <v>45007</v>
      </c>
      <c r="L62" s="1139">
        <v>45014</v>
      </c>
      <c r="M62" s="1139">
        <v>45021</v>
      </c>
      <c r="N62" s="1214" t="s">
        <v>2278</v>
      </c>
      <c r="O62" s="626"/>
      <c r="P62" s="1202"/>
      <c r="Q62" s="1206"/>
      <c r="R62" s="714"/>
      <c r="S62" s="1207"/>
      <c r="T62" s="1208"/>
      <c r="U62" s="1213"/>
      <c r="V62" s="714"/>
      <c r="W62" s="1214"/>
    </row>
    <row r="63" s="10" customFormat="1" ht="16.5" spans="1:23">
      <c r="A63" s="721"/>
      <c r="B63" s="825"/>
      <c r="C63" s="557"/>
      <c r="D63" s="1229" t="s">
        <v>267</v>
      </c>
      <c r="E63" s="1253" t="s">
        <v>2279</v>
      </c>
      <c r="F63" s="979">
        <v>40515</v>
      </c>
      <c r="G63" s="1207">
        <f t="shared" si="6"/>
        <v>281174.1</v>
      </c>
      <c r="H63" s="1207">
        <f t="shared" si="5"/>
        <v>281174.1</v>
      </c>
      <c r="I63" s="577"/>
      <c r="J63" s="614">
        <v>6.94</v>
      </c>
      <c r="K63" s="1131">
        <v>45010</v>
      </c>
      <c r="L63" s="625">
        <v>45015</v>
      </c>
      <c r="M63" s="625">
        <v>45022</v>
      </c>
      <c r="N63" s="664" t="s">
        <v>2280</v>
      </c>
      <c r="O63" s="937"/>
      <c r="P63" s="1256"/>
      <c r="Q63" s="655"/>
      <c r="R63" s="664"/>
      <c r="S63" s="577"/>
      <c r="T63" s="1205"/>
      <c r="U63" s="1171"/>
      <c r="V63" s="664"/>
      <c r="W63" s="715"/>
    </row>
    <row r="64" s="10" customFormat="1" ht="16.5" spans="1:23">
      <c r="A64" s="721"/>
      <c r="B64" s="825"/>
      <c r="C64" s="557"/>
      <c r="D64" s="1229" t="s">
        <v>2281</v>
      </c>
      <c r="E64" s="1253" t="s">
        <v>2282</v>
      </c>
      <c r="F64" s="979">
        <v>38437</v>
      </c>
      <c r="G64" s="577">
        <f t="shared" si="6"/>
        <v>266752.78</v>
      </c>
      <c r="H64" s="1207">
        <f t="shared" si="5"/>
        <v>266752.78</v>
      </c>
      <c r="I64" s="577"/>
      <c r="J64" s="614">
        <v>6.94</v>
      </c>
      <c r="K64" s="625" t="s">
        <v>1218</v>
      </c>
      <c r="L64" s="966">
        <v>45015</v>
      </c>
      <c r="M64" s="625">
        <v>45022</v>
      </c>
      <c r="N64" s="664" t="s">
        <v>2283</v>
      </c>
      <c r="O64" s="937"/>
      <c r="P64" s="1256"/>
      <c r="Q64" s="655"/>
      <c r="R64" s="664"/>
      <c r="S64" s="577"/>
      <c r="T64" s="1205"/>
      <c r="U64" s="1171"/>
      <c r="V64" s="664"/>
      <c r="W64" s="715"/>
    </row>
    <row r="65" s="10" customFormat="1" ht="16.5" spans="1:23">
      <c r="A65" s="721"/>
      <c r="B65" s="671"/>
      <c r="C65" s="557"/>
      <c r="D65" s="1229" t="s">
        <v>2284</v>
      </c>
      <c r="E65" s="1248" t="s">
        <v>2285</v>
      </c>
      <c r="F65" s="979"/>
      <c r="G65" s="577">
        <v>37519</v>
      </c>
      <c r="H65" s="1207">
        <f t="shared" si="5"/>
        <v>37519</v>
      </c>
      <c r="I65" s="577">
        <f>H65</f>
        <v>37519</v>
      </c>
      <c r="J65" s="614"/>
      <c r="K65" s="625" t="s">
        <v>1218</v>
      </c>
      <c r="L65" s="966">
        <v>45007</v>
      </c>
      <c r="M65" s="633" t="s">
        <v>2286</v>
      </c>
      <c r="N65" s="664" t="s">
        <v>2287</v>
      </c>
      <c r="O65" s="1314"/>
      <c r="P65" s="1256"/>
      <c r="Q65" s="655"/>
      <c r="R65" s="664"/>
      <c r="S65" s="577"/>
      <c r="T65" s="1205"/>
      <c r="U65" s="1171"/>
      <c r="V65" s="664"/>
      <c r="W65" s="715"/>
    </row>
    <row r="66" s="10" customFormat="1" ht="16.5" spans="1:23">
      <c r="A66" s="721"/>
      <c r="B66" s="671"/>
      <c r="C66" s="557"/>
      <c r="D66" s="250" t="s">
        <v>327</v>
      </c>
      <c r="E66" s="1248" t="s">
        <v>2288</v>
      </c>
      <c r="F66" s="591">
        <v>13990</v>
      </c>
      <c r="G66" s="567">
        <f t="shared" si="6"/>
        <v>97090.6</v>
      </c>
      <c r="H66" s="1207">
        <f t="shared" si="5"/>
        <v>97090.6</v>
      </c>
      <c r="I66" s="567">
        <f>H66</f>
        <v>97090.6</v>
      </c>
      <c r="J66" s="614">
        <v>6.94</v>
      </c>
      <c r="K66" s="633" t="s">
        <v>1218</v>
      </c>
      <c r="L66" s="644"/>
      <c r="M66" s="644">
        <v>45003</v>
      </c>
      <c r="N66" s="572" t="s">
        <v>228</v>
      </c>
      <c r="O66" s="1314"/>
      <c r="P66" s="1256"/>
      <c r="Q66" s="655"/>
      <c r="R66" s="664"/>
      <c r="S66" s="577"/>
      <c r="T66" s="1205"/>
      <c r="U66" s="1171"/>
      <c r="V66" s="664"/>
      <c r="W66" s="715"/>
    </row>
    <row r="67" s="10" customFormat="1" ht="16.5" spans="1:23">
      <c r="A67" s="721"/>
      <c r="B67" s="1190" t="s">
        <v>1124</v>
      </c>
      <c r="C67" s="1219">
        <f>SUM(C54:C66)</f>
        <v>275</v>
      </c>
      <c r="D67" s="1219"/>
      <c r="E67" s="1144"/>
      <c r="F67" s="1159" t="s">
        <v>1235</v>
      </c>
      <c r="G67" s="1230">
        <f>SUM(G54:G66)</f>
        <v>2940893.42</v>
      </c>
      <c r="H67" s="1230">
        <f>SUM(H54:H66)</f>
        <v>2940893.42</v>
      </c>
      <c r="I67" s="1230">
        <f>SUM(I54:I66)</f>
        <v>417104.6</v>
      </c>
      <c r="J67" s="808"/>
      <c r="K67" s="809"/>
      <c r="L67" s="821"/>
      <c r="M67" s="996"/>
      <c r="N67" s="848"/>
      <c r="O67" s="727"/>
      <c r="P67" s="652"/>
      <c r="Q67" s="653"/>
      <c r="R67" s="809"/>
      <c r="S67" s="809">
        <v>0</v>
      </c>
      <c r="T67" s="809">
        <v>0</v>
      </c>
      <c r="U67" s="1184"/>
      <c r="V67" s="1184"/>
      <c r="W67" s="1185"/>
    </row>
    <row r="68" s="10" customFormat="1" ht="16.5" spans="1:23">
      <c r="A68" s="673"/>
      <c r="B68" s="1192"/>
      <c r="C68" s="1150"/>
      <c r="D68" s="1150"/>
      <c r="E68" s="1144"/>
      <c r="F68" s="1159" t="s">
        <v>1236</v>
      </c>
      <c r="G68" s="1160">
        <f>G67/2750000</f>
        <v>1.06941578909091</v>
      </c>
      <c r="H68" s="1160">
        <f>H67/2750000</f>
        <v>1.06941578909091</v>
      </c>
      <c r="I68" s="1160">
        <f>I67/2750000</f>
        <v>0.1516744</v>
      </c>
      <c r="J68" s="808"/>
      <c r="K68" s="809"/>
      <c r="L68" s="821"/>
      <c r="M68" s="996"/>
      <c r="N68" s="848"/>
      <c r="O68" s="727"/>
      <c r="P68" s="652"/>
      <c r="Q68" s="653"/>
      <c r="R68" s="809"/>
      <c r="S68" s="809"/>
      <c r="T68" s="809"/>
      <c r="U68" s="1184"/>
      <c r="V68" s="1184"/>
      <c r="W68" s="1185"/>
    </row>
    <row r="69" s="10" customFormat="1" ht="16.5" spans="1:23">
      <c r="A69" s="780" t="s">
        <v>1163</v>
      </c>
      <c r="B69" s="780"/>
      <c r="C69" s="652">
        <f t="shared" ref="C69:I69" si="7">C24+C52+C67</f>
        <v>751</v>
      </c>
      <c r="D69" s="652"/>
      <c r="E69" s="727"/>
      <c r="F69" s="727" t="s">
        <v>14</v>
      </c>
      <c r="G69" s="804">
        <f t="shared" si="7"/>
        <v>8826723.1606</v>
      </c>
      <c r="H69" s="804">
        <f t="shared" si="7"/>
        <v>8826716</v>
      </c>
      <c r="I69" s="804">
        <f t="shared" si="7"/>
        <v>5655981.8416</v>
      </c>
      <c r="J69" s="727"/>
      <c r="K69" s="727"/>
      <c r="L69" s="854"/>
      <c r="M69" s="854"/>
      <c r="N69" s="727"/>
      <c r="O69" s="727"/>
      <c r="P69" s="652"/>
      <c r="Q69" s="727"/>
      <c r="R69" s="727"/>
      <c r="S69" s="727"/>
      <c r="T69" s="727"/>
      <c r="U69" s="727"/>
      <c r="V69" s="727"/>
      <c r="W69" s="1185"/>
    </row>
    <row r="70" s="10" customFormat="1" ht="16.5" spans="1:23">
      <c r="A70" s="780"/>
      <c r="B70" s="780"/>
      <c r="C70" s="652"/>
      <c r="D70" s="652"/>
      <c r="E70" s="727"/>
      <c r="F70" s="727" t="s">
        <v>1236</v>
      </c>
      <c r="G70" s="796">
        <f>G69/(C69*10000)</f>
        <v>1.17532931565912</v>
      </c>
      <c r="H70" s="796">
        <f>H69/(C69*10000)</f>
        <v>1.17532836218375</v>
      </c>
      <c r="I70" s="796">
        <f>I69/(C69*10000)</f>
        <v>0.75312674322237</v>
      </c>
      <c r="J70" s="727"/>
      <c r="K70" s="727"/>
      <c r="L70" s="854"/>
      <c r="M70" s="854"/>
      <c r="N70" s="727"/>
      <c r="O70" s="727"/>
      <c r="P70" s="727"/>
      <c r="Q70" s="727"/>
      <c r="R70" s="727"/>
      <c r="S70" s="727"/>
      <c r="T70" s="727"/>
      <c r="U70" s="727"/>
      <c r="V70" s="727"/>
      <c r="W70" s="727"/>
    </row>
    <row r="71" s="10" customFormat="1" ht="16.5" spans="1:23">
      <c r="A71" s="536"/>
      <c r="B71" s="836"/>
      <c r="C71" s="837"/>
      <c r="D71" s="837"/>
      <c r="E71" s="836"/>
      <c r="F71" s="836"/>
      <c r="G71" s="850"/>
      <c r="H71" s="850"/>
      <c r="I71" s="850"/>
      <c r="J71" s="836"/>
      <c r="K71" s="836"/>
      <c r="L71" s="870"/>
      <c r="M71" s="870"/>
      <c r="N71" s="836"/>
      <c r="O71" s="836"/>
      <c r="P71" s="837"/>
      <c r="Q71" s="836"/>
      <c r="R71" s="836"/>
      <c r="S71" s="836"/>
      <c r="T71" s="836"/>
      <c r="U71" s="836"/>
      <c r="V71" s="836"/>
      <c r="W71" s="1177"/>
    </row>
    <row r="72" s="10" customFormat="1" ht="16.5" spans="1:23">
      <c r="A72" s="536"/>
      <c r="B72" s="836"/>
      <c r="C72" s="837"/>
      <c r="D72" s="837"/>
      <c r="E72" s="836" t="s">
        <v>139</v>
      </c>
      <c r="F72" s="836" t="s">
        <v>2289</v>
      </c>
      <c r="G72" s="1320">
        <f>'2023.01'!G56+'2023.02'!G41+G69</f>
        <v>18072396.326252</v>
      </c>
      <c r="H72" s="892" t="s">
        <v>2290</v>
      </c>
      <c r="I72" s="880"/>
      <c r="J72" s="836"/>
      <c r="K72" s="836"/>
      <c r="L72" s="870"/>
      <c r="M72" s="870"/>
      <c r="N72" s="836"/>
      <c r="O72" s="836" t="s">
        <v>140</v>
      </c>
      <c r="P72" s="837"/>
      <c r="Q72" s="836"/>
      <c r="R72" s="836"/>
      <c r="S72" s="1241"/>
      <c r="T72" s="836"/>
      <c r="U72" s="1241"/>
      <c r="V72" s="836"/>
      <c r="W72" s="1177"/>
    </row>
    <row r="73" s="10" customFormat="1" ht="16.5" spans="1:23">
      <c r="A73" s="875" t="s">
        <v>1814</v>
      </c>
      <c r="B73" s="875"/>
      <c r="C73" s="875"/>
      <c r="D73" s="875"/>
      <c r="E73" s="875"/>
      <c r="F73" s="836" t="s">
        <v>2291</v>
      </c>
      <c r="G73" s="892">
        <v>18510000</v>
      </c>
      <c r="H73" s="1321">
        <f>G73-G72</f>
        <v>437603.673748001</v>
      </c>
      <c r="I73" s="850"/>
      <c r="J73" s="836"/>
      <c r="K73" s="836"/>
      <c r="L73" s="870"/>
      <c r="M73" s="870"/>
      <c r="N73" s="836"/>
      <c r="O73" s="894"/>
      <c r="P73" s="837"/>
      <c r="Q73" s="836"/>
      <c r="R73" s="836"/>
      <c r="S73" s="1241"/>
      <c r="T73" s="836"/>
      <c r="U73" s="1241"/>
      <c r="V73" s="836"/>
      <c r="W73" s="1177"/>
    </row>
    <row r="74" s="10" customFormat="1" ht="16.5" spans="1:23">
      <c r="A74" s="875" t="s">
        <v>1285</v>
      </c>
      <c r="B74" s="875"/>
      <c r="C74" s="875"/>
      <c r="D74" s="875"/>
      <c r="E74" s="875"/>
      <c r="F74" s="836" t="s">
        <v>2292</v>
      </c>
      <c r="G74" s="892">
        <v>16700000</v>
      </c>
      <c r="H74" s="1321">
        <f>G74-G72</f>
        <v>-1372396.326252</v>
      </c>
      <c r="I74" s="850"/>
      <c r="J74" s="836"/>
      <c r="K74" s="836"/>
      <c r="L74" s="870"/>
      <c r="M74" s="870"/>
      <c r="N74" s="836"/>
      <c r="O74" s="894"/>
      <c r="P74" s="837"/>
      <c r="Q74" s="836"/>
      <c r="R74" s="836"/>
      <c r="S74" s="1241"/>
      <c r="T74" s="836"/>
      <c r="U74" s="1241"/>
      <c r="V74" s="836"/>
      <c r="W74" s="1177"/>
    </row>
    <row r="75" s="10" customFormat="1" ht="16.5" spans="1:23">
      <c r="A75" s="875" t="s">
        <v>1815</v>
      </c>
      <c r="B75" s="875"/>
      <c r="C75" s="875"/>
      <c r="D75" s="875"/>
      <c r="E75" s="875"/>
      <c r="F75" s="1090"/>
      <c r="G75" s="850"/>
      <c r="H75" s="850"/>
      <c r="I75" s="850"/>
      <c r="J75" s="892"/>
      <c r="K75" s="836"/>
      <c r="L75" s="870"/>
      <c r="M75" s="870"/>
      <c r="N75" s="836"/>
      <c r="O75" s="894"/>
      <c r="P75" s="837"/>
      <c r="Q75" s="836"/>
      <c r="R75" s="836"/>
      <c r="S75" s="1241"/>
      <c r="T75" s="836"/>
      <c r="U75" s="1241"/>
      <c r="V75" s="836"/>
      <c r="W75" s="1177"/>
    </row>
    <row r="76" s="10" customFormat="1" ht="16.5" spans="1:23">
      <c r="A76" s="875" t="s">
        <v>1816</v>
      </c>
      <c r="B76" s="875"/>
      <c r="C76" s="875"/>
      <c r="D76" s="875"/>
      <c r="E76" s="875"/>
      <c r="F76" s="1090"/>
      <c r="G76" s="850"/>
      <c r="H76" s="850"/>
      <c r="I76" s="850"/>
      <c r="J76" s="836"/>
      <c r="K76" s="836"/>
      <c r="L76" s="870"/>
      <c r="M76" s="870"/>
      <c r="N76" s="836"/>
      <c r="O76" s="894"/>
      <c r="P76" s="837"/>
      <c r="Q76" s="836"/>
      <c r="R76" s="836"/>
      <c r="S76" s="1241"/>
      <c r="T76" s="836"/>
      <c r="U76" s="1241"/>
      <c r="V76" s="836"/>
      <c r="W76" s="1177"/>
    </row>
    <row r="77" s="10" customFormat="1" ht="16.5" spans="1:23">
      <c r="A77" s="875" t="s">
        <v>1817</v>
      </c>
      <c r="B77" s="876"/>
      <c r="C77" s="876"/>
      <c r="D77" s="876"/>
      <c r="E77" s="876"/>
      <c r="F77" s="1090"/>
      <c r="G77" s="850"/>
      <c r="H77" s="850"/>
      <c r="I77" s="850"/>
      <c r="J77" s="893"/>
      <c r="K77" s="893"/>
      <c r="L77" s="870"/>
      <c r="M77" s="870"/>
      <c r="N77" s="893"/>
      <c r="O77" s="894"/>
      <c r="P77" s="837"/>
      <c r="Q77" s="893"/>
      <c r="R77" s="893"/>
      <c r="S77" s="893"/>
      <c r="T77" s="893"/>
      <c r="U77" s="1241"/>
      <c r="V77" s="893"/>
      <c r="W77" s="1177"/>
    </row>
    <row r="78" ht="16.5" spans="1:23">
      <c r="A78" s="875" t="s">
        <v>1818</v>
      </c>
      <c r="B78" s="876"/>
      <c r="C78" s="876"/>
      <c r="D78" s="876"/>
      <c r="E78" s="876"/>
      <c r="F78" s="1090"/>
      <c r="G78" s="850"/>
      <c r="H78" s="850"/>
      <c r="I78" s="850"/>
      <c r="J78" s="877"/>
      <c r="K78" s="877"/>
      <c r="L78" s="896"/>
      <c r="M78" s="896"/>
      <c r="N78" s="877"/>
      <c r="O78" s="876"/>
      <c r="P78" s="878"/>
      <c r="Q78" s="877"/>
      <c r="R78" s="877"/>
      <c r="S78" s="877"/>
      <c r="T78" s="877"/>
      <c r="U78" s="877"/>
      <c r="V78" s="877"/>
      <c r="W78" s="1242"/>
    </row>
    <row r="79" ht="16.5" spans="1:23">
      <c r="A79" s="417"/>
      <c r="B79" s="877"/>
      <c r="C79" s="878"/>
      <c r="D79" s="878"/>
      <c r="E79" s="877"/>
      <c r="F79" s="877"/>
      <c r="G79" s="850"/>
      <c r="H79" s="850"/>
      <c r="I79" s="850"/>
      <c r="J79" s="877"/>
      <c r="K79" s="877"/>
      <c r="L79" s="896"/>
      <c r="M79" s="896"/>
      <c r="N79" s="877"/>
      <c r="O79" s="877"/>
      <c r="P79" s="878"/>
      <c r="Q79" s="877"/>
      <c r="R79" s="877"/>
      <c r="S79" s="877"/>
      <c r="T79" s="877"/>
      <c r="U79" s="877"/>
      <c r="V79" s="877"/>
      <c r="W79" s="1242"/>
    </row>
    <row r="80" ht="16.5" spans="1:23">
      <c r="A80" s="417"/>
      <c r="B80" s="417"/>
      <c r="C80" s="879"/>
      <c r="D80" s="879"/>
      <c r="E80" s="417"/>
      <c r="F80" s="417"/>
      <c r="G80" s="880"/>
      <c r="H80" s="880"/>
      <c r="I80" s="880"/>
      <c r="J80" s="417"/>
      <c r="K80" s="417"/>
      <c r="L80" s="898"/>
      <c r="M80" s="898"/>
      <c r="N80" s="901"/>
      <c r="O80" s="417"/>
      <c r="P80" s="900"/>
      <c r="Q80" s="417"/>
      <c r="R80" s="417"/>
      <c r="S80" s="417"/>
      <c r="T80" s="417"/>
      <c r="U80" s="417"/>
      <c r="V80" s="417"/>
      <c r="W80" s="1243"/>
    </row>
    <row r="84" spans="12:12">
      <c r="L84" s="265"/>
    </row>
    <row r="85" spans="12:13">
      <c r="L85" s="265"/>
      <c r="M85" s="265"/>
    </row>
    <row r="86" spans="11:11">
      <c r="K86" s="265"/>
    </row>
    <row r="87" spans="11:13">
      <c r="K87" s="265"/>
      <c r="L87" s="1322"/>
      <c r="M87" s="1322"/>
    </row>
    <row r="88" spans="11:13">
      <c r="K88" s="265"/>
      <c r="L88" s="1323"/>
      <c r="M88" s="1323"/>
    </row>
  </sheetData>
  <sheetProtection formatCells="0" insertHyperlinks="0" autoFilter="0"/>
  <mergeCells count="32">
    <mergeCell ref="A1:Q1"/>
    <mergeCell ref="A3:A25"/>
    <mergeCell ref="A26:A53"/>
    <mergeCell ref="A54:A68"/>
    <mergeCell ref="B3:B11"/>
    <mergeCell ref="B12:B23"/>
    <mergeCell ref="B24:B25"/>
    <mergeCell ref="B26:B30"/>
    <mergeCell ref="B31:B33"/>
    <mergeCell ref="B34:B42"/>
    <mergeCell ref="B43:B51"/>
    <mergeCell ref="B52:B53"/>
    <mergeCell ref="B54:B55"/>
    <mergeCell ref="B56:B61"/>
    <mergeCell ref="B62:B66"/>
    <mergeCell ref="B67:B68"/>
    <mergeCell ref="C3:C11"/>
    <mergeCell ref="C12:C23"/>
    <mergeCell ref="C24:C25"/>
    <mergeCell ref="C26:C30"/>
    <mergeCell ref="C31:C33"/>
    <mergeCell ref="C34:C42"/>
    <mergeCell ref="C43:C51"/>
    <mergeCell ref="C52:C53"/>
    <mergeCell ref="C54:C55"/>
    <mergeCell ref="C56:C61"/>
    <mergeCell ref="C62:C66"/>
    <mergeCell ref="C67:C68"/>
    <mergeCell ref="C69:C70"/>
    <mergeCell ref="D44:D46"/>
    <mergeCell ref="D50:D51"/>
    <mergeCell ref="A69:B70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2"/>
  <dimension ref="A1:T208"/>
  <sheetViews>
    <sheetView workbookViewId="0">
      <pane xSplit="7" ySplit="1" topLeftCell="N137" activePane="bottomRight" state="frozen"/>
      <selection/>
      <selection pane="topRight"/>
      <selection pane="bottomLeft"/>
      <selection pane="bottomRight" activeCell="J56" sqref="J56:J57"/>
    </sheetView>
  </sheetViews>
  <sheetFormatPr defaultColWidth="9" defaultRowHeight="13.5"/>
  <cols>
    <col min="1" max="1" width="6.425" customWidth="1"/>
    <col min="2" max="2" width="10.4416666666667" customWidth="1"/>
    <col min="3" max="3" width="8.375" customWidth="1"/>
    <col min="4" max="4" width="8.58333333333333" customWidth="1"/>
    <col min="5" max="5" width="17.5" customWidth="1"/>
    <col min="6" max="6" width="17.3833333333333" customWidth="1"/>
    <col min="7" max="7" width="15.5583333333333" customWidth="1"/>
    <col min="8" max="8" width="17.9166666666667" customWidth="1"/>
    <col min="9" max="9" width="18.2583333333333" customWidth="1"/>
    <col min="10" max="10" width="18.125" customWidth="1"/>
    <col min="11" max="11" width="9.25833333333333"/>
    <col min="12" max="12" width="14.2583333333333" customWidth="1"/>
    <col min="13" max="13" width="8.875" customWidth="1"/>
    <col min="14" max="14" width="15" customWidth="1"/>
    <col min="15" max="15" width="85.5" style="14" customWidth="1"/>
    <col min="16" max="16" width="17.3416666666667" customWidth="1"/>
    <col min="17" max="17" width="9" style="510"/>
    <col min="18" max="18" width="13.125"/>
    <col min="19" max="19" width="37.6833333333333" customWidth="1"/>
  </cols>
  <sheetData>
    <row r="1" s="10" customFormat="1" ht="33.2" customHeight="1" spans="1:19">
      <c r="A1" s="28" t="s">
        <v>2293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420"/>
      <c r="N1" s="420"/>
      <c r="O1" s="421"/>
      <c r="P1" s="28"/>
      <c r="Q1" s="28"/>
      <c r="R1" s="28"/>
      <c r="S1" s="651"/>
    </row>
    <row r="2" s="10" customFormat="1" ht="30" spans="1:19">
      <c r="A2" s="537" t="s">
        <v>1092</v>
      </c>
      <c r="B2" s="537" t="s">
        <v>1820</v>
      </c>
      <c r="C2" s="538" t="s">
        <v>1093</v>
      </c>
      <c r="D2" s="539" t="s">
        <v>1821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1097</v>
      </c>
      <c r="N2" s="619" t="s">
        <v>1214</v>
      </c>
      <c r="O2" s="620" t="s">
        <v>1215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540" t="s">
        <v>1823</v>
      </c>
      <c r="B3" s="705" t="s">
        <v>1824</v>
      </c>
      <c r="C3" s="715" t="s">
        <v>1825</v>
      </c>
      <c r="D3" s="716">
        <v>321</v>
      </c>
      <c r="E3" s="572" t="s">
        <v>936</v>
      </c>
      <c r="F3" s="568" t="s">
        <v>2294</v>
      </c>
      <c r="G3" s="591">
        <v>45770</v>
      </c>
      <c r="H3" s="577">
        <v>270213.23</v>
      </c>
      <c r="I3" s="603">
        <v>270213.23</v>
      </c>
      <c r="J3" s="567">
        <v>270213.23</v>
      </c>
      <c r="K3" s="597">
        <v>7.1104</v>
      </c>
      <c r="L3" s="598">
        <v>45286</v>
      </c>
      <c r="M3" s="598">
        <v>45286</v>
      </c>
      <c r="N3" s="598">
        <v>45289</v>
      </c>
      <c r="O3" s="639" t="s">
        <v>2295</v>
      </c>
      <c r="P3" s="1273"/>
      <c r="Q3" s="642"/>
      <c r="R3" s="909"/>
      <c r="S3" s="657"/>
    </row>
    <row r="4" s="10" customFormat="1" ht="16.5" spans="1:19">
      <c r="A4" s="540"/>
      <c r="B4" s="541"/>
      <c r="C4" s="715"/>
      <c r="D4" s="716"/>
      <c r="E4" s="572" t="s">
        <v>1869</v>
      </c>
      <c r="F4" s="250" t="s">
        <v>1882</v>
      </c>
      <c r="G4" s="591">
        <v>53388.75</v>
      </c>
      <c r="H4" s="567">
        <f t="shared" ref="H4:H11" si="0">G4*K4</f>
        <v>379615.368</v>
      </c>
      <c r="I4" s="603">
        <v>379615</v>
      </c>
      <c r="J4" s="567">
        <v>379615</v>
      </c>
      <c r="K4" s="597">
        <v>7.1104</v>
      </c>
      <c r="L4" s="598">
        <v>45285</v>
      </c>
      <c r="M4" s="598">
        <v>45285</v>
      </c>
      <c r="N4" s="967">
        <v>45289</v>
      </c>
      <c r="O4" s="639" t="s">
        <v>2296</v>
      </c>
      <c r="P4" s="688"/>
      <c r="Q4" s="655" t="s">
        <v>2131</v>
      </c>
      <c r="R4" s="909"/>
      <c r="S4" s="1279" t="s">
        <v>2297</v>
      </c>
    </row>
    <row r="5" s="10" customFormat="1" ht="16.5" spans="1:19">
      <c r="A5" s="540"/>
      <c r="B5" s="541"/>
      <c r="C5" s="715"/>
      <c r="D5" s="716"/>
      <c r="E5" s="572" t="s">
        <v>1869</v>
      </c>
      <c r="F5" s="250" t="s">
        <v>2298</v>
      </c>
      <c r="G5" s="562">
        <v>2364</v>
      </c>
      <c r="H5" s="567">
        <f t="shared" si="0"/>
        <v>16808.9856</v>
      </c>
      <c r="I5" s="603">
        <v>16809</v>
      </c>
      <c r="J5" s="567">
        <v>16809</v>
      </c>
      <c r="K5" s="597">
        <v>7.1104</v>
      </c>
      <c r="L5" s="598">
        <v>45244</v>
      </c>
      <c r="M5" s="598">
        <v>45264</v>
      </c>
      <c r="N5" s="598">
        <v>45268</v>
      </c>
      <c r="O5" s="641" t="s">
        <v>2299</v>
      </c>
      <c r="P5" s="642" t="s">
        <v>2300</v>
      </c>
      <c r="Q5" s="655" t="s">
        <v>2301</v>
      </c>
      <c r="R5" s="667"/>
      <c r="S5" s="657"/>
    </row>
    <row r="6" s="10" customFormat="1" ht="16.5" spans="1:19">
      <c r="A6" s="540"/>
      <c r="B6" s="541"/>
      <c r="C6" s="715"/>
      <c r="D6" s="716"/>
      <c r="E6" s="572" t="s">
        <v>1869</v>
      </c>
      <c r="F6" s="250" t="s">
        <v>2302</v>
      </c>
      <c r="G6" s="562">
        <v>6936.5</v>
      </c>
      <c r="H6" s="567">
        <f t="shared" si="0"/>
        <v>49321.2896</v>
      </c>
      <c r="I6" s="603">
        <v>49321</v>
      </c>
      <c r="J6" s="567">
        <v>49321</v>
      </c>
      <c r="K6" s="597">
        <v>7.1104</v>
      </c>
      <c r="L6" s="598">
        <v>45244</v>
      </c>
      <c r="M6" s="598">
        <v>45264</v>
      </c>
      <c r="N6" s="598">
        <v>45268</v>
      </c>
      <c r="O6" s="641" t="s">
        <v>2299</v>
      </c>
      <c r="P6" s="642"/>
      <c r="Q6" s="642"/>
      <c r="R6" s="655"/>
      <c r="S6" s="657"/>
    </row>
    <row r="7" s="10" customFormat="1" ht="16.5" spans="1:19">
      <c r="A7" s="540"/>
      <c r="B7" s="541"/>
      <c r="C7" s="715"/>
      <c r="D7" s="716"/>
      <c r="E7" s="572" t="s">
        <v>1869</v>
      </c>
      <c r="F7" s="250" t="s">
        <v>2303</v>
      </c>
      <c r="G7" s="562">
        <v>3812</v>
      </c>
      <c r="H7" s="567">
        <f t="shared" si="0"/>
        <v>27104.8448</v>
      </c>
      <c r="I7" s="603">
        <v>27105</v>
      </c>
      <c r="J7" s="567">
        <v>27105</v>
      </c>
      <c r="K7" s="597">
        <v>7.1104</v>
      </c>
      <c r="L7" s="598">
        <v>45244</v>
      </c>
      <c r="M7" s="598">
        <v>45264</v>
      </c>
      <c r="N7" s="598">
        <v>45268</v>
      </c>
      <c r="O7" s="641" t="s">
        <v>2299</v>
      </c>
      <c r="P7" s="642"/>
      <c r="Q7" s="655"/>
      <c r="R7" s="655"/>
      <c r="S7" s="657"/>
    </row>
    <row r="8" s="10" customFormat="1" ht="16.5" spans="1:19">
      <c r="A8" s="540"/>
      <c r="B8" s="541"/>
      <c r="C8" s="715"/>
      <c r="D8" s="716"/>
      <c r="E8" s="574" t="s">
        <v>1381</v>
      </c>
      <c r="F8" s="564" t="s">
        <v>2304</v>
      </c>
      <c r="G8" s="593">
        <v>45378</v>
      </c>
      <c r="H8" s="567">
        <f t="shared" si="0"/>
        <v>322655.7312</v>
      </c>
      <c r="I8" s="605">
        <v>322656</v>
      </c>
      <c r="J8" s="592">
        <v>322656</v>
      </c>
      <c r="K8" s="597">
        <v>7.1104</v>
      </c>
      <c r="L8" s="598">
        <v>45277</v>
      </c>
      <c r="M8" s="598">
        <v>45277</v>
      </c>
      <c r="N8" s="598">
        <v>45279</v>
      </c>
      <c r="O8" s="639" t="s">
        <v>2305</v>
      </c>
      <c r="P8" s="642" t="s">
        <v>2306</v>
      </c>
      <c r="Q8" s="655" t="s">
        <v>2301</v>
      </c>
      <c r="R8" s="909"/>
      <c r="S8" s="657"/>
    </row>
    <row r="9" s="10" customFormat="1" ht="16.5" spans="1:19">
      <c r="A9" s="540"/>
      <c r="B9" s="541"/>
      <c r="C9" s="715"/>
      <c r="D9" s="716"/>
      <c r="E9" s="564" t="s">
        <v>201</v>
      </c>
      <c r="F9" s="564" t="s">
        <v>1887</v>
      </c>
      <c r="G9" s="950">
        <v>43450</v>
      </c>
      <c r="H9" s="592">
        <f t="shared" si="0"/>
        <v>308946.88</v>
      </c>
      <c r="I9" s="605">
        <v>308947</v>
      </c>
      <c r="J9" s="592">
        <v>308947</v>
      </c>
      <c r="K9" s="597">
        <v>7.1104</v>
      </c>
      <c r="L9" s="598">
        <v>45285</v>
      </c>
      <c r="M9" s="598">
        <v>45286</v>
      </c>
      <c r="N9" s="1274">
        <v>45289</v>
      </c>
      <c r="O9" s="639" t="s">
        <v>2295</v>
      </c>
      <c r="P9" s="642" t="s">
        <v>2307</v>
      </c>
      <c r="Q9" s="655" t="s">
        <v>1671</v>
      </c>
      <c r="R9" s="1280"/>
      <c r="S9" s="657"/>
    </row>
    <row r="10" s="10" customFormat="1" ht="16.5" spans="1:19">
      <c r="A10" s="540"/>
      <c r="B10" s="541"/>
      <c r="C10" s="715"/>
      <c r="D10" s="716"/>
      <c r="E10" s="250" t="s">
        <v>157</v>
      </c>
      <c r="F10" s="250" t="s">
        <v>2308</v>
      </c>
      <c r="G10" s="562">
        <v>75837.3</v>
      </c>
      <c r="H10" s="567">
        <f t="shared" si="0"/>
        <v>539233.53792</v>
      </c>
      <c r="I10" s="603">
        <v>539234</v>
      </c>
      <c r="J10" s="567">
        <v>539234</v>
      </c>
      <c r="K10" s="597">
        <v>7.1104</v>
      </c>
      <c r="L10" s="598">
        <v>45285</v>
      </c>
      <c r="M10" s="598">
        <v>45286</v>
      </c>
      <c r="N10" s="598">
        <v>45289</v>
      </c>
      <c r="O10" s="639" t="s">
        <v>2295</v>
      </c>
      <c r="P10" s="642" t="s">
        <v>2309</v>
      </c>
      <c r="Q10" s="655" t="s">
        <v>2131</v>
      </c>
      <c r="R10" s="656"/>
      <c r="S10" s="657"/>
    </row>
    <row r="11" s="10" customFormat="1" ht="16.5" spans="1:19">
      <c r="A11" s="540"/>
      <c r="B11" s="541"/>
      <c r="C11" s="715"/>
      <c r="D11" s="716"/>
      <c r="E11" s="250" t="s">
        <v>157</v>
      </c>
      <c r="F11" s="250" t="s">
        <v>2310</v>
      </c>
      <c r="G11" s="562">
        <v>74239.3</v>
      </c>
      <c r="H11" s="567">
        <f t="shared" si="0"/>
        <v>527871.11872</v>
      </c>
      <c r="I11" s="603">
        <v>527871</v>
      </c>
      <c r="J11" s="567"/>
      <c r="K11" s="597">
        <v>7.1104</v>
      </c>
      <c r="L11" s="598">
        <v>45290</v>
      </c>
      <c r="M11" s="598">
        <v>45287</v>
      </c>
      <c r="N11" s="608">
        <v>45293</v>
      </c>
      <c r="O11" s="639" t="s">
        <v>2311</v>
      </c>
      <c r="P11" s="642" t="s">
        <v>2312</v>
      </c>
      <c r="Q11" s="655" t="s">
        <v>1671</v>
      </c>
      <c r="R11" s="656"/>
      <c r="S11" s="697" t="s">
        <v>2313</v>
      </c>
    </row>
    <row r="12" s="10" customFormat="1" ht="16.5" spans="1:19">
      <c r="A12" s="540"/>
      <c r="B12" s="541"/>
      <c r="C12" s="715"/>
      <c r="D12" s="716"/>
      <c r="E12" s="572" t="s">
        <v>145</v>
      </c>
      <c r="F12" s="250" t="s">
        <v>2314</v>
      </c>
      <c r="G12" s="562"/>
      <c r="H12" s="567"/>
      <c r="I12" s="603"/>
      <c r="J12" s="567">
        <v>400643</v>
      </c>
      <c r="K12" s="597">
        <v>7.1104</v>
      </c>
      <c r="L12" s="598"/>
      <c r="M12" s="598"/>
      <c r="N12" s="598"/>
      <c r="O12" s="639" t="s">
        <v>2315</v>
      </c>
      <c r="P12" s="642"/>
      <c r="Q12" s="667"/>
      <c r="R12" s="656"/>
      <c r="S12" s="657"/>
    </row>
    <row r="13" s="10" customFormat="1" ht="16.5" spans="1:19">
      <c r="A13" s="540"/>
      <c r="B13" s="541"/>
      <c r="C13" s="715"/>
      <c r="D13" s="716"/>
      <c r="E13" s="572" t="s">
        <v>161</v>
      </c>
      <c r="F13" s="572" t="s">
        <v>2316</v>
      </c>
      <c r="G13" s="591"/>
      <c r="H13" s="567"/>
      <c r="I13" s="603"/>
      <c r="J13" s="567">
        <v>52261</v>
      </c>
      <c r="K13" s="597">
        <v>7.1104</v>
      </c>
      <c r="L13" s="598"/>
      <c r="M13" s="625"/>
      <c r="N13" s="625"/>
      <c r="O13" s="937" t="s">
        <v>2317</v>
      </c>
      <c r="P13" s="642"/>
      <c r="Q13" s="667"/>
      <c r="R13" s="656"/>
      <c r="S13" s="570"/>
    </row>
    <row r="14" s="10" customFormat="1" ht="16.5" spans="1:19">
      <c r="A14" s="540"/>
      <c r="B14" s="541"/>
      <c r="C14" s="715"/>
      <c r="D14" s="716"/>
      <c r="E14" s="572" t="s">
        <v>161</v>
      </c>
      <c r="F14" s="572" t="s">
        <v>2318</v>
      </c>
      <c r="G14" s="591"/>
      <c r="H14" s="567"/>
      <c r="I14" s="570"/>
      <c r="J14" s="567">
        <v>41809</v>
      </c>
      <c r="K14" s="597">
        <v>7.1104</v>
      </c>
      <c r="L14" s="598"/>
      <c r="M14" s="625"/>
      <c r="N14" s="625"/>
      <c r="O14" s="937" t="s">
        <v>2319</v>
      </c>
      <c r="P14" s="1275"/>
      <c r="Q14" s="1281"/>
      <c r="R14" s="1032"/>
      <c r="S14" s="570"/>
    </row>
    <row r="15" s="10" customFormat="1" ht="18.75" customHeight="1" spans="1:19">
      <c r="A15" s="540"/>
      <c r="B15" s="669"/>
      <c r="C15" s="542" t="s">
        <v>224</v>
      </c>
      <c r="D15" s="543">
        <v>275</v>
      </c>
      <c r="E15" s="250" t="s">
        <v>335</v>
      </c>
      <c r="F15" s="562" t="s">
        <v>2320</v>
      </c>
      <c r="G15" s="562">
        <v>47318</v>
      </c>
      <c r="H15" s="567">
        <f t="shared" ref="H15:H23" si="1">G15*K15</f>
        <v>336449.9072</v>
      </c>
      <c r="I15" s="567">
        <v>336449.9072</v>
      </c>
      <c r="J15" s="567">
        <v>336449.9072</v>
      </c>
      <c r="K15" s="597">
        <v>7.1104</v>
      </c>
      <c r="L15" s="610">
        <v>45283</v>
      </c>
      <c r="M15" s="633">
        <v>45283</v>
      </c>
      <c r="N15" s="918">
        <v>45288</v>
      </c>
      <c r="O15" s="622" t="s">
        <v>2321</v>
      </c>
      <c r="P15" s="691" t="s">
        <v>2322</v>
      </c>
      <c r="Q15" s="655" t="s">
        <v>1671</v>
      </c>
      <c r="R15" s="910"/>
      <c r="S15" s="691" t="s">
        <v>624</v>
      </c>
    </row>
    <row r="16" s="10" customFormat="1" ht="16.5" spans="1:19">
      <c r="A16" s="540"/>
      <c r="B16" s="669"/>
      <c r="C16" s="544"/>
      <c r="D16" s="545"/>
      <c r="E16" s="250" t="s">
        <v>408</v>
      </c>
      <c r="F16" s="571" t="s">
        <v>2323</v>
      </c>
      <c r="G16" s="562">
        <v>59667</v>
      </c>
      <c r="H16" s="567">
        <f t="shared" si="1"/>
        <v>424256.2368</v>
      </c>
      <c r="I16" s="567">
        <v>424256.2368</v>
      </c>
      <c r="J16" s="567">
        <v>424256.2368</v>
      </c>
      <c r="K16" s="597">
        <v>7.1104</v>
      </c>
      <c r="L16" s="610">
        <v>45285</v>
      </c>
      <c r="M16" s="610">
        <v>45285</v>
      </c>
      <c r="N16" s="918">
        <v>45291</v>
      </c>
      <c r="O16" s="687" t="s">
        <v>2324</v>
      </c>
      <c r="P16" s="642" t="s">
        <v>2325</v>
      </c>
      <c r="Q16" s="655" t="s">
        <v>2131</v>
      </c>
      <c r="R16" s="656"/>
      <c r="S16" s="691" t="s">
        <v>624</v>
      </c>
    </row>
    <row r="17" s="10" customFormat="1" ht="16.5" spans="1:19">
      <c r="A17" s="540"/>
      <c r="B17" s="669"/>
      <c r="C17" s="544"/>
      <c r="D17" s="545"/>
      <c r="E17" s="250" t="s">
        <v>408</v>
      </c>
      <c r="F17" s="571" t="s">
        <v>2323</v>
      </c>
      <c r="G17" s="562">
        <v>41028</v>
      </c>
      <c r="H17" s="567">
        <f t="shared" si="1"/>
        <v>291725.4912</v>
      </c>
      <c r="I17" s="567">
        <v>291725.4912</v>
      </c>
      <c r="J17" s="567">
        <v>291725.4912</v>
      </c>
      <c r="K17" s="597">
        <v>7.1104</v>
      </c>
      <c r="L17" s="610">
        <v>45285</v>
      </c>
      <c r="M17" s="610">
        <v>45285</v>
      </c>
      <c r="N17" s="918">
        <v>45291</v>
      </c>
      <c r="O17" s="641" t="s">
        <v>2326</v>
      </c>
      <c r="P17" s="642" t="s">
        <v>2067</v>
      </c>
      <c r="Q17" s="655" t="s">
        <v>1671</v>
      </c>
      <c r="R17" s="656"/>
      <c r="S17" s="691" t="s">
        <v>624</v>
      </c>
    </row>
    <row r="18" s="10" customFormat="1" ht="16.5" spans="1:19">
      <c r="A18" s="540"/>
      <c r="B18" s="669"/>
      <c r="C18" s="544"/>
      <c r="D18" s="545"/>
      <c r="E18" s="250" t="s">
        <v>408</v>
      </c>
      <c r="F18" s="571" t="s">
        <v>2323</v>
      </c>
      <c r="G18" s="562">
        <v>35940</v>
      </c>
      <c r="H18" s="567">
        <f t="shared" si="1"/>
        <v>255547.776</v>
      </c>
      <c r="I18" s="567">
        <v>255547.776</v>
      </c>
      <c r="J18" s="567">
        <v>255547.776</v>
      </c>
      <c r="K18" s="597">
        <v>7.1104</v>
      </c>
      <c r="L18" s="610">
        <v>45285</v>
      </c>
      <c r="M18" s="610">
        <v>45285</v>
      </c>
      <c r="N18" s="918">
        <v>45291</v>
      </c>
      <c r="O18" s="687" t="s">
        <v>2327</v>
      </c>
      <c r="P18" s="642" t="s">
        <v>411</v>
      </c>
      <c r="Q18" s="655" t="s">
        <v>1671</v>
      </c>
      <c r="R18" s="656"/>
      <c r="S18" s="691" t="s">
        <v>624</v>
      </c>
    </row>
    <row r="19" s="10" customFormat="1" ht="16.5" spans="1:19">
      <c r="A19" s="540"/>
      <c r="B19" s="669"/>
      <c r="C19" s="544"/>
      <c r="D19" s="545"/>
      <c r="E19" s="250" t="s">
        <v>400</v>
      </c>
      <c r="F19" s="250" t="s">
        <v>1872</v>
      </c>
      <c r="G19" s="562">
        <v>54514</v>
      </c>
      <c r="H19" s="567">
        <f t="shared" si="1"/>
        <v>387616.3456</v>
      </c>
      <c r="I19" s="567">
        <v>387616.3456</v>
      </c>
      <c r="J19" s="567">
        <v>387616.3456</v>
      </c>
      <c r="K19" s="597">
        <v>7.1104</v>
      </c>
      <c r="L19" s="598">
        <v>45284</v>
      </c>
      <c r="M19" s="598">
        <v>45284</v>
      </c>
      <c r="N19" s="918">
        <v>45288</v>
      </c>
      <c r="O19" s="622" t="s">
        <v>2328</v>
      </c>
      <c r="P19" s="634" t="s">
        <v>2329</v>
      </c>
      <c r="Q19" s="655" t="s">
        <v>2131</v>
      </c>
      <c r="R19" s="910"/>
      <c r="S19" s="691" t="s">
        <v>624</v>
      </c>
    </row>
    <row r="20" s="10" customFormat="1" ht="16.5" spans="1:20">
      <c r="A20" s="540"/>
      <c r="B20" s="669"/>
      <c r="C20" s="544"/>
      <c r="D20" s="545"/>
      <c r="E20" s="561" t="s">
        <v>1904</v>
      </c>
      <c r="F20" s="571" t="s">
        <v>2330</v>
      </c>
      <c r="G20" s="562">
        <v>130074</v>
      </c>
      <c r="H20" s="567">
        <f t="shared" si="1"/>
        <v>924878.1696</v>
      </c>
      <c r="I20" s="567">
        <v>924878.1696</v>
      </c>
      <c r="J20" s="567">
        <v>924878.1696</v>
      </c>
      <c r="K20" s="597">
        <v>7.1104</v>
      </c>
      <c r="L20" s="633">
        <v>45286</v>
      </c>
      <c r="M20" s="625">
        <v>45286</v>
      </c>
      <c r="N20" s="918">
        <v>45289</v>
      </c>
      <c r="O20" s="622" t="s">
        <v>2331</v>
      </c>
      <c r="P20" s="642" t="s">
        <v>2332</v>
      </c>
      <c r="Q20" s="655" t="s">
        <v>2333</v>
      </c>
      <c r="R20" s="910"/>
      <c r="S20" s="662" t="s">
        <v>2334</v>
      </c>
      <c r="T20" s="1044" t="s">
        <v>2335</v>
      </c>
    </row>
    <row r="21" s="10" customFormat="1" ht="16.5" spans="1:19">
      <c r="A21" s="540"/>
      <c r="B21" s="669"/>
      <c r="C21" s="544"/>
      <c r="D21" s="545"/>
      <c r="E21" s="250" t="s">
        <v>1860</v>
      </c>
      <c r="F21" s="571" t="s">
        <v>2336</v>
      </c>
      <c r="G21" s="562">
        <v>34856</v>
      </c>
      <c r="H21" s="567">
        <f t="shared" si="1"/>
        <v>247840.1024</v>
      </c>
      <c r="I21" s="567">
        <v>247840.1024</v>
      </c>
      <c r="J21" s="600">
        <v>247840.1024</v>
      </c>
      <c r="K21" s="597">
        <v>7.1104</v>
      </c>
      <c r="L21" s="598">
        <v>45288</v>
      </c>
      <c r="M21" s="625">
        <v>45286</v>
      </c>
      <c r="N21" s="918">
        <v>45291</v>
      </c>
      <c r="O21" s="622" t="s">
        <v>2337</v>
      </c>
      <c r="P21" s="642" t="s">
        <v>2338</v>
      </c>
      <c r="Q21" s="655" t="s">
        <v>1671</v>
      </c>
      <c r="R21" s="656"/>
      <c r="S21" s="662" t="s">
        <v>2339</v>
      </c>
    </row>
    <row r="22" s="10" customFormat="1" ht="22.5" customHeight="1" spans="1:19">
      <c r="A22" s="540"/>
      <c r="B22" s="669"/>
      <c r="C22" s="544"/>
      <c r="D22" s="545"/>
      <c r="E22" s="572" t="s">
        <v>2340</v>
      </c>
      <c r="F22" s="244" t="s">
        <v>2341</v>
      </c>
      <c r="G22" s="576">
        <v>86839</v>
      </c>
      <c r="H22" s="567">
        <f t="shared" si="1"/>
        <v>617460.0256</v>
      </c>
      <c r="I22" s="567">
        <f>G22*K22</f>
        <v>617460.0256</v>
      </c>
      <c r="J22" s="600">
        <f>I22</f>
        <v>617460.0256</v>
      </c>
      <c r="K22" s="597">
        <v>7.1104</v>
      </c>
      <c r="L22" s="598">
        <v>45287</v>
      </c>
      <c r="M22" s="625">
        <v>45286</v>
      </c>
      <c r="N22" s="918">
        <v>45291</v>
      </c>
      <c r="O22" s="622" t="s">
        <v>2342</v>
      </c>
      <c r="P22" s="662" t="s">
        <v>2343</v>
      </c>
      <c r="Q22" s="691" t="s">
        <v>2344</v>
      </c>
      <c r="R22" s="910" t="s">
        <v>2345</v>
      </c>
      <c r="S22" s="662" t="s">
        <v>2346</v>
      </c>
    </row>
    <row r="23" s="10" customFormat="1" ht="23.25" customHeight="1" spans="1:19">
      <c r="A23" s="540"/>
      <c r="B23" s="669"/>
      <c r="C23" s="544"/>
      <c r="D23" s="545"/>
      <c r="E23" s="250" t="s">
        <v>1860</v>
      </c>
      <c r="F23" s="568" t="s">
        <v>2347</v>
      </c>
      <c r="G23" s="562">
        <v>50817</v>
      </c>
      <c r="H23" s="567">
        <f t="shared" si="1"/>
        <v>361329.1968</v>
      </c>
      <c r="I23" s="600">
        <v>361329.1968</v>
      </c>
      <c r="J23" s="1271">
        <v>361329.1968</v>
      </c>
      <c r="K23" s="597">
        <v>7.1104</v>
      </c>
      <c r="L23" s="598" t="s">
        <v>1218</v>
      </c>
      <c r="M23" s="625">
        <v>45287</v>
      </c>
      <c r="N23" s="918">
        <v>45291</v>
      </c>
      <c r="O23" s="626" t="s">
        <v>2348</v>
      </c>
      <c r="P23" s="662" t="s">
        <v>2349</v>
      </c>
      <c r="Q23" s="655" t="s">
        <v>2131</v>
      </c>
      <c r="R23" s="910"/>
      <c r="S23" s="662" t="s">
        <v>2339</v>
      </c>
    </row>
    <row r="24" s="10" customFormat="1" ht="23.35" customHeight="1" spans="1:19">
      <c r="A24" s="540"/>
      <c r="B24" s="669"/>
      <c r="C24" s="544"/>
      <c r="D24" s="545"/>
      <c r="E24" s="250" t="s">
        <v>1860</v>
      </c>
      <c r="F24" s="250" t="s">
        <v>2350</v>
      </c>
      <c r="G24" s="722"/>
      <c r="H24" s="567"/>
      <c r="I24" s="603"/>
      <c r="J24" s="603">
        <v>468301.2054</v>
      </c>
      <c r="K24" s="597">
        <v>7.1778</v>
      </c>
      <c r="L24" s="598">
        <v>45257</v>
      </c>
      <c r="M24" s="598">
        <v>45257</v>
      </c>
      <c r="N24" s="633">
        <v>45262</v>
      </c>
      <c r="O24" s="641" t="s">
        <v>2351</v>
      </c>
      <c r="P24" s="623" t="s">
        <v>2352</v>
      </c>
      <c r="Q24" s="572" t="s">
        <v>2131</v>
      </c>
      <c r="R24" s="591"/>
      <c r="S24" s="577"/>
    </row>
    <row r="25" s="10" customFormat="1" ht="23.35" customHeight="1" spans="1:19">
      <c r="A25" s="540"/>
      <c r="B25" s="669"/>
      <c r="C25" s="544"/>
      <c r="D25" s="545"/>
      <c r="E25" s="574" t="s">
        <v>840</v>
      </c>
      <c r="F25" s="568" t="s">
        <v>2353</v>
      </c>
      <c r="G25" s="562"/>
      <c r="H25" s="567"/>
      <c r="I25" s="570"/>
      <c r="J25" s="567">
        <v>159146</v>
      </c>
      <c r="K25" s="597">
        <v>7.1778</v>
      </c>
      <c r="L25" s="598" t="s">
        <v>1218</v>
      </c>
      <c r="M25" s="633">
        <v>45252</v>
      </c>
      <c r="N25" s="633">
        <v>45261</v>
      </c>
      <c r="O25" s="687" t="s">
        <v>2354</v>
      </c>
      <c r="P25" s="642" t="s">
        <v>2355</v>
      </c>
      <c r="Q25" s="655" t="s">
        <v>2068</v>
      </c>
      <c r="R25" s="945"/>
      <c r="S25" s="577"/>
    </row>
    <row r="26" s="10" customFormat="1" ht="23.35" customHeight="1" spans="1:19">
      <c r="A26" s="540"/>
      <c r="B26" s="669"/>
      <c r="C26" s="544"/>
      <c r="D26" s="545"/>
      <c r="E26" s="561" t="s">
        <v>1904</v>
      </c>
      <c r="F26" s="568" t="s">
        <v>2356</v>
      </c>
      <c r="G26" s="562"/>
      <c r="H26" s="567"/>
      <c r="I26" s="570"/>
      <c r="J26" s="567">
        <v>1288802.7012</v>
      </c>
      <c r="K26" s="597">
        <v>7.1778</v>
      </c>
      <c r="L26" s="598" t="s">
        <v>1218</v>
      </c>
      <c r="M26" s="633">
        <v>45258</v>
      </c>
      <c r="N26" s="633">
        <v>45262</v>
      </c>
      <c r="O26" s="687" t="s">
        <v>2357</v>
      </c>
      <c r="P26" s="642" t="s">
        <v>2332</v>
      </c>
      <c r="Q26" s="937" t="s">
        <v>2358</v>
      </c>
      <c r="R26" s="945"/>
      <c r="S26" s="577"/>
    </row>
    <row r="27" s="10" customFormat="1" ht="23.35" customHeight="1" spans="1:19">
      <c r="A27" s="540"/>
      <c r="B27" s="669"/>
      <c r="C27" s="544"/>
      <c r="D27" s="545"/>
      <c r="E27" s="561" t="s">
        <v>1844</v>
      </c>
      <c r="F27" s="568" t="s">
        <v>2359</v>
      </c>
      <c r="G27" s="562"/>
      <c r="H27" s="567"/>
      <c r="I27" s="603"/>
      <c r="J27" s="1272">
        <v>220081</v>
      </c>
      <c r="K27" s="597">
        <v>7.1778</v>
      </c>
      <c r="L27" s="598">
        <v>45237</v>
      </c>
      <c r="M27" s="633">
        <v>45252</v>
      </c>
      <c r="N27" s="633">
        <v>45261</v>
      </c>
      <c r="O27" s="641" t="s">
        <v>2360</v>
      </c>
      <c r="P27" s="642"/>
      <c r="Q27" s="655"/>
      <c r="R27" s="591"/>
      <c r="S27" s="577"/>
    </row>
    <row r="28" s="10" customFormat="1" ht="20.85" customHeight="1" spans="1:14">
      <c r="A28" s="540"/>
      <c r="B28" s="541"/>
      <c r="C28" s="546"/>
      <c r="D28" s="557"/>
      <c r="E28" s="570"/>
      <c r="F28" s="570"/>
      <c r="G28" s="570"/>
      <c r="H28" s="570"/>
      <c r="I28" s="570"/>
      <c r="J28" s="570"/>
      <c r="K28" s="570"/>
      <c r="L28" s="570"/>
      <c r="M28" s="570"/>
      <c r="N28" s="570"/>
    </row>
    <row r="29" s="10" customFormat="1" ht="19.9" customHeight="1" spans="1:19">
      <c r="A29" s="540"/>
      <c r="B29" s="669"/>
      <c r="C29" s="542" t="s">
        <v>2361</v>
      </c>
      <c r="D29" s="543"/>
      <c r="E29" s="250" t="s">
        <v>1544</v>
      </c>
      <c r="F29" s="568" t="s">
        <v>2362</v>
      </c>
      <c r="G29" s="562">
        <v>23940</v>
      </c>
      <c r="H29" s="567">
        <f t="shared" ref="H29:H35" si="2">G29*K29</f>
        <v>170222.976</v>
      </c>
      <c r="I29" s="603">
        <v>170222.976</v>
      </c>
      <c r="J29" s="1272">
        <v>170223</v>
      </c>
      <c r="K29" s="597">
        <v>7.1104</v>
      </c>
      <c r="L29" s="598">
        <v>45286</v>
      </c>
      <c r="M29" s="625">
        <v>45287</v>
      </c>
      <c r="N29" s="625">
        <v>45290</v>
      </c>
      <c r="O29" s="1276" t="s">
        <v>2363</v>
      </c>
      <c r="P29" s="1277" t="s">
        <v>2364</v>
      </c>
      <c r="Q29" s="655" t="s">
        <v>1859</v>
      </c>
      <c r="R29" s="725" t="s">
        <v>2365</v>
      </c>
      <c r="S29" s="1035"/>
    </row>
    <row r="30" s="10" customFormat="1" ht="16.5" customHeight="1" spans="1:19">
      <c r="A30" s="540"/>
      <c r="B30" s="669"/>
      <c r="C30" s="544"/>
      <c r="D30" s="545"/>
      <c r="E30" s="250" t="s">
        <v>1216</v>
      </c>
      <c r="F30" s="568" t="s">
        <v>2366</v>
      </c>
      <c r="G30" s="562">
        <v>14415</v>
      </c>
      <c r="H30" s="567">
        <f t="shared" si="2"/>
        <v>102496.416</v>
      </c>
      <c r="I30" s="567">
        <v>102496</v>
      </c>
      <c r="J30" s="596"/>
      <c r="K30" s="597">
        <v>7.1104</v>
      </c>
      <c r="L30" s="633">
        <v>45284</v>
      </c>
      <c r="M30" s="633">
        <v>45285</v>
      </c>
      <c r="N30" s="1278">
        <v>45294</v>
      </c>
      <c r="O30" s="639" t="s">
        <v>2367</v>
      </c>
      <c r="P30" s="642"/>
      <c r="Q30" s="655"/>
      <c r="R30" s="725" t="s">
        <v>2365</v>
      </c>
      <c r="S30" s="577"/>
    </row>
    <row r="31" s="10" customFormat="1" ht="16.5" customHeight="1" spans="1:19">
      <c r="A31" s="540"/>
      <c r="B31" s="669"/>
      <c r="C31" s="544"/>
      <c r="D31" s="545"/>
      <c r="E31" s="250" t="s">
        <v>2368</v>
      </c>
      <c r="F31" s="568" t="s">
        <v>2016</v>
      </c>
      <c r="G31" s="576">
        <v>37439</v>
      </c>
      <c r="H31" s="567">
        <f t="shared" si="2"/>
        <v>266206.2656</v>
      </c>
      <c r="I31" s="596">
        <v>266206</v>
      </c>
      <c r="J31" s="596">
        <v>266206</v>
      </c>
      <c r="K31" s="597">
        <v>7.1104</v>
      </c>
      <c r="L31" s="633">
        <v>45284</v>
      </c>
      <c r="M31" s="633">
        <v>45285</v>
      </c>
      <c r="N31" s="1274">
        <v>45288</v>
      </c>
      <c r="O31" s="639" t="s">
        <v>2295</v>
      </c>
      <c r="P31" s="642"/>
      <c r="Q31" s="655"/>
      <c r="R31" s="725" t="s">
        <v>2365</v>
      </c>
      <c r="S31" s="577"/>
    </row>
    <row r="32" s="10" customFormat="1" ht="17.25" customHeight="1" spans="1:19">
      <c r="A32" s="540"/>
      <c r="B32" s="669"/>
      <c r="C32" s="544"/>
      <c r="D32" s="545"/>
      <c r="E32" s="572" t="s">
        <v>283</v>
      </c>
      <c r="F32" s="568" t="s">
        <v>2369</v>
      </c>
      <c r="G32" s="562">
        <v>11250</v>
      </c>
      <c r="H32" s="567">
        <f t="shared" si="2"/>
        <v>79992</v>
      </c>
      <c r="I32" s="567">
        <v>79992</v>
      </c>
      <c r="J32" s="567">
        <v>79992</v>
      </c>
      <c r="K32" s="597">
        <v>7.1104</v>
      </c>
      <c r="L32" s="633">
        <v>45284</v>
      </c>
      <c r="M32" s="633">
        <v>45284</v>
      </c>
      <c r="N32" s="633">
        <v>45288</v>
      </c>
      <c r="O32" s="639" t="s">
        <v>2295</v>
      </c>
      <c r="P32" s="642"/>
      <c r="Q32" s="655"/>
      <c r="R32" s="591"/>
      <c r="S32" s="577"/>
    </row>
    <row r="33" s="10" customFormat="1" ht="16.5" customHeight="1" spans="1:19">
      <c r="A33" s="540"/>
      <c r="B33" s="669"/>
      <c r="C33" s="544"/>
      <c r="D33" s="545"/>
      <c r="E33" s="250" t="s">
        <v>840</v>
      </c>
      <c r="F33" s="568" t="s">
        <v>2370</v>
      </c>
      <c r="G33" s="562">
        <v>45144</v>
      </c>
      <c r="H33" s="567">
        <f t="shared" si="2"/>
        <v>320991.8976</v>
      </c>
      <c r="I33" s="567">
        <v>320991.8976</v>
      </c>
      <c r="J33" s="567">
        <v>320991.8976</v>
      </c>
      <c r="K33" s="597">
        <v>7.1104</v>
      </c>
      <c r="L33" s="625">
        <v>45282</v>
      </c>
      <c r="M33" s="633">
        <v>45282</v>
      </c>
      <c r="N33" s="633">
        <v>45290</v>
      </c>
      <c r="O33" s="639" t="s">
        <v>2371</v>
      </c>
      <c r="P33" s="642"/>
      <c r="Q33" s="655"/>
      <c r="R33" s="656"/>
      <c r="S33" s="577"/>
    </row>
    <row r="34" s="10" customFormat="1" ht="16.5" customHeight="1" spans="1:19">
      <c r="A34" s="540"/>
      <c r="B34" s="669"/>
      <c r="C34" s="544"/>
      <c r="D34" s="545"/>
      <c r="E34" s="250" t="s">
        <v>53</v>
      </c>
      <c r="F34" s="568" t="s">
        <v>2372</v>
      </c>
      <c r="G34" s="562">
        <v>67098</v>
      </c>
      <c r="H34" s="567">
        <f t="shared" si="2"/>
        <v>477093.6192</v>
      </c>
      <c r="I34" s="567">
        <v>477093.6192</v>
      </c>
      <c r="J34" s="567">
        <v>426624</v>
      </c>
      <c r="K34" s="597">
        <v>7.1104</v>
      </c>
      <c r="L34" s="625">
        <v>45284</v>
      </c>
      <c r="M34" s="625">
        <v>45284</v>
      </c>
      <c r="N34" s="633">
        <v>45288</v>
      </c>
      <c r="O34" s="639" t="s">
        <v>2373</v>
      </c>
      <c r="P34" s="642" t="s">
        <v>2374</v>
      </c>
      <c r="Q34" s="655" t="s">
        <v>2131</v>
      </c>
      <c r="R34" s="591" t="s">
        <v>2375</v>
      </c>
      <c r="S34" s="577"/>
    </row>
    <row r="35" s="10" customFormat="1" ht="16.5" customHeight="1" spans="1:19">
      <c r="A35" s="540"/>
      <c r="B35" s="669"/>
      <c r="C35" s="544"/>
      <c r="D35" s="545"/>
      <c r="E35" s="250" t="s">
        <v>2376</v>
      </c>
      <c r="F35" s="568" t="s">
        <v>2377</v>
      </c>
      <c r="G35" s="562">
        <v>47582</v>
      </c>
      <c r="H35" s="567">
        <f t="shared" si="2"/>
        <v>338327.0528</v>
      </c>
      <c r="I35" s="567">
        <v>338327.0528</v>
      </c>
      <c r="J35" s="567">
        <f>G35*K35</f>
        <v>338327.0528</v>
      </c>
      <c r="K35" s="597">
        <v>7.1104</v>
      </c>
      <c r="L35" s="625">
        <v>45266</v>
      </c>
      <c r="M35" s="633">
        <v>45267</v>
      </c>
      <c r="N35" s="633">
        <v>45274</v>
      </c>
      <c r="O35" s="639" t="s">
        <v>2378</v>
      </c>
      <c r="P35" s="642" t="s">
        <v>2379</v>
      </c>
      <c r="Q35" s="655" t="s">
        <v>1671</v>
      </c>
      <c r="R35" s="656"/>
      <c r="S35" s="577"/>
    </row>
    <row r="36" s="10" customFormat="1" ht="16.5" spans="1:19">
      <c r="A36" s="540"/>
      <c r="B36" s="669"/>
      <c r="C36" s="544"/>
      <c r="D36" s="545"/>
      <c r="E36" s="250" t="s">
        <v>197</v>
      </c>
      <c r="F36" s="568" t="s">
        <v>2380</v>
      </c>
      <c r="G36" s="562"/>
      <c r="H36" s="567"/>
      <c r="I36" s="603"/>
      <c r="J36" s="596">
        <v>153246</v>
      </c>
      <c r="K36" s="597">
        <v>7.1778</v>
      </c>
      <c r="L36" s="625">
        <v>45258</v>
      </c>
      <c r="M36" s="633">
        <v>45257</v>
      </c>
      <c r="N36" s="633">
        <v>45266</v>
      </c>
      <c r="O36" s="639" t="s">
        <v>2351</v>
      </c>
      <c r="P36" s="642" t="s">
        <v>2381</v>
      </c>
      <c r="Q36" s="655" t="s">
        <v>1656</v>
      </c>
      <c r="R36" s="591"/>
      <c r="S36" s="577"/>
    </row>
    <row r="37" s="10" customFormat="1" ht="16.5" spans="1:19">
      <c r="A37" s="540"/>
      <c r="B37" s="669"/>
      <c r="C37" s="542" t="s">
        <v>2382</v>
      </c>
      <c r="D37" s="543"/>
      <c r="E37" s="574" t="s">
        <v>2383</v>
      </c>
      <c r="F37" s="574" t="s">
        <v>2384</v>
      </c>
      <c r="G37" s="562">
        <v>63503</v>
      </c>
      <c r="H37" s="596">
        <f>G37*K37</f>
        <v>451531.7312</v>
      </c>
      <c r="I37" s="577">
        <v>451532</v>
      </c>
      <c r="J37" s="577">
        <v>451532</v>
      </c>
      <c r="K37" s="597">
        <v>7.1104</v>
      </c>
      <c r="L37" s="598">
        <v>45285</v>
      </c>
      <c r="M37" s="625">
        <v>45285</v>
      </c>
      <c r="N37" s="598">
        <v>45288</v>
      </c>
      <c r="O37" s="639" t="s">
        <v>2295</v>
      </c>
      <c r="P37" s="642" t="s">
        <v>2385</v>
      </c>
      <c r="Q37" s="655" t="s">
        <v>2131</v>
      </c>
      <c r="R37" s="963"/>
      <c r="S37" s="577"/>
    </row>
    <row r="38" s="10" customFormat="1" ht="16.5" spans="1:19">
      <c r="A38" s="540"/>
      <c r="B38" s="669"/>
      <c r="C38" s="546"/>
      <c r="D38" s="547"/>
      <c r="E38" s="572"/>
      <c r="F38" s="572"/>
      <c r="G38" s="562"/>
      <c r="H38" s="596"/>
      <c r="I38" s="600"/>
      <c r="J38" s="602"/>
      <c r="K38" s="597"/>
      <c r="L38" s="598"/>
      <c r="M38" s="633"/>
      <c r="N38" s="633"/>
      <c r="O38" s="622"/>
      <c r="P38" s="1237"/>
      <c r="Q38" s="655"/>
      <c r="R38" s="656"/>
      <c r="S38" s="577"/>
    </row>
    <row r="39" s="10" customFormat="1" ht="22.5" customHeight="1" spans="1:19">
      <c r="A39" s="540"/>
      <c r="B39" s="541"/>
      <c r="C39" s="548" t="s">
        <v>1124</v>
      </c>
      <c r="D39" s="578">
        <v>596</v>
      </c>
      <c r="E39" s="578"/>
      <c r="F39" s="579"/>
      <c r="G39" s="580" t="s">
        <v>1235</v>
      </c>
      <c r="H39" s="581">
        <f t="shared" ref="H39:J39" si="3">SUM(H3:H38)</f>
        <v>8495736.19544</v>
      </c>
      <c r="I39" s="581">
        <f t="shared" si="3"/>
        <v>8495736.0268</v>
      </c>
      <c r="J39" s="581">
        <f t="shared" si="3"/>
        <v>10599189.3382</v>
      </c>
      <c r="K39" s="609"/>
      <c r="L39" s="610"/>
      <c r="M39" s="644"/>
      <c r="N39" s="644"/>
      <c r="O39" s="929"/>
      <c r="P39" s="623"/>
      <c r="Q39" s="655"/>
      <c r="R39" s="656"/>
      <c r="S39" s="657"/>
    </row>
    <row r="40" s="10" customFormat="1" ht="22.5" customHeight="1" spans="1:19">
      <c r="A40" s="540"/>
      <c r="B40" s="541"/>
      <c r="C40" s="548"/>
      <c r="D40" s="582"/>
      <c r="E40" s="582"/>
      <c r="F40" s="583"/>
      <c r="G40" s="584" t="s">
        <v>1236</v>
      </c>
      <c r="H40" s="585">
        <f t="shared" ref="H40:J40" si="4">H39/5960000</f>
        <v>1.42545909319463</v>
      </c>
      <c r="I40" s="585">
        <f t="shared" si="4"/>
        <v>1.42545906489933</v>
      </c>
      <c r="J40" s="585">
        <f t="shared" si="4"/>
        <v>1.77838747285235</v>
      </c>
      <c r="K40" s="611"/>
      <c r="L40" s="612"/>
      <c r="M40" s="941"/>
      <c r="N40" s="941"/>
      <c r="O40" s="624"/>
      <c r="P40" s="632"/>
      <c r="Q40" s="655"/>
      <c r="R40" s="656"/>
      <c r="S40" s="657"/>
    </row>
    <row r="41" s="10" customFormat="1" ht="32.85" customHeight="1" spans="1:19">
      <c r="A41" s="540"/>
      <c r="B41" s="553" t="s">
        <v>1820</v>
      </c>
      <c r="C41" s="554" t="s">
        <v>1093</v>
      </c>
      <c r="D41" s="555" t="s">
        <v>1821</v>
      </c>
      <c r="E41" s="555" t="s">
        <v>1822</v>
      </c>
      <c r="F41" s="588" t="s">
        <v>1095</v>
      </c>
      <c r="G41" s="589" t="s">
        <v>362</v>
      </c>
      <c r="H41" s="590" t="s">
        <v>1865</v>
      </c>
      <c r="I41" s="590"/>
      <c r="J41" s="590"/>
      <c r="K41" s="590" t="s">
        <v>1866</v>
      </c>
      <c r="L41" s="615" t="s">
        <v>1098</v>
      </c>
      <c r="M41" s="590" t="s">
        <v>1867</v>
      </c>
      <c r="N41" s="646"/>
      <c r="O41" s="624"/>
      <c r="P41" s="632"/>
      <c r="Q41" s="655"/>
      <c r="R41" s="656"/>
      <c r="S41" s="657"/>
    </row>
    <row r="42" s="10" customFormat="1" ht="44.65" customHeight="1" spans="1:19">
      <c r="A42" s="540"/>
      <c r="B42" s="541" t="s">
        <v>2386</v>
      </c>
      <c r="C42" s="556" t="s">
        <v>1825</v>
      </c>
      <c r="D42" s="557"/>
      <c r="E42" s="574" t="s">
        <v>1722</v>
      </c>
      <c r="F42" s="564" t="s">
        <v>2387</v>
      </c>
      <c r="G42" s="593">
        <v>50000</v>
      </c>
      <c r="H42" s="563">
        <f t="shared" ref="H42:H49" si="5">G42*K42</f>
        <v>355520</v>
      </c>
      <c r="I42" s="563"/>
      <c r="J42" s="563"/>
      <c r="K42" s="597">
        <v>7.1104</v>
      </c>
      <c r="L42" s="598">
        <v>45296</v>
      </c>
      <c r="M42" s="598">
        <v>45285</v>
      </c>
      <c r="N42" s="1274">
        <v>45288</v>
      </c>
      <c r="O42" s="942" t="s">
        <v>2388</v>
      </c>
      <c r="P42" s="642" t="s">
        <v>2389</v>
      </c>
      <c r="Q42" s="655" t="s">
        <v>1671</v>
      </c>
      <c r="R42" s="656"/>
      <c r="S42" s="657"/>
    </row>
    <row r="43" s="10" customFormat="1" ht="20.65" customHeight="1" spans="1:19">
      <c r="A43" s="540"/>
      <c r="B43" s="541"/>
      <c r="C43" s="670"/>
      <c r="D43" s="557"/>
      <c r="E43" s="250"/>
      <c r="F43" s="250"/>
      <c r="G43" s="562"/>
      <c r="H43" s="567"/>
      <c r="I43" s="603"/>
      <c r="J43" s="567"/>
      <c r="K43" s="597"/>
      <c r="L43" s="598"/>
      <c r="M43" s="598"/>
      <c r="N43" s="598"/>
      <c r="O43" s="624"/>
      <c r="P43" s="635"/>
      <c r="Q43" s="1045"/>
      <c r="R43" s="656"/>
      <c r="S43" s="657"/>
    </row>
    <row r="44" s="10" customFormat="1" ht="32" customHeight="1" spans="1:19">
      <c r="A44" s="540"/>
      <c r="B44" s="541"/>
      <c r="C44" s="556" t="s">
        <v>224</v>
      </c>
      <c r="D44" s="557"/>
      <c r="E44" s="561" t="s">
        <v>1904</v>
      </c>
      <c r="F44" s="571" t="s">
        <v>2330</v>
      </c>
      <c r="G44" s="562">
        <v>38694</v>
      </c>
      <c r="H44" s="567">
        <f t="shared" si="5"/>
        <v>275129.8176</v>
      </c>
      <c r="I44" s="600"/>
      <c r="J44" s="1271"/>
      <c r="K44" s="597">
        <v>7.1104</v>
      </c>
      <c r="L44" s="598" t="s">
        <v>2390</v>
      </c>
      <c r="M44" s="625" t="s">
        <v>1070</v>
      </c>
      <c r="N44" s="918">
        <v>45289</v>
      </c>
      <c r="O44" s="622" t="s">
        <v>2391</v>
      </c>
      <c r="P44" s="642" t="s">
        <v>2332</v>
      </c>
      <c r="Q44" s="655" t="s">
        <v>2392</v>
      </c>
      <c r="R44" s="910"/>
      <c r="S44" s="657"/>
    </row>
    <row r="45" s="10" customFormat="1" ht="24.6" customHeight="1" spans="1:19">
      <c r="A45" s="540"/>
      <c r="B45" s="541"/>
      <c r="C45" s="556"/>
      <c r="D45" s="557"/>
      <c r="E45" s="250"/>
      <c r="F45" s="250"/>
      <c r="G45" s="562"/>
      <c r="H45" s="567"/>
      <c r="I45" s="603"/>
      <c r="J45" s="567"/>
      <c r="K45" s="597"/>
      <c r="L45" s="598"/>
      <c r="M45" s="633"/>
      <c r="N45" s="633"/>
      <c r="O45" s="626"/>
      <c r="P45" s="642"/>
      <c r="Q45" s="759"/>
      <c r="R45" s="910"/>
      <c r="S45" s="657"/>
    </row>
    <row r="46" s="10" customFormat="1" ht="20.65" customHeight="1" spans="1:19">
      <c r="A46" s="540"/>
      <c r="B46" s="541"/>
      <c r="C46" s="666" t="s">
        <v>2361</v>
      </c>
      <c r="D46" s="557"/>
      <c r="E46" s="572" t="s">
        <v>197</v>
      </c>
      <c r="F46" s="568" t="s">
        <v>2393</v>
      </c>
      <c r="G46" s="562">
        <v>41548</v>
      </c>
      <c r="H46" s="567">
        <f t="shared" si="5"/>
        <v>295422.8992</v>
      </c>
      <c r="I46" s="596"/>
      <c r="J46" s="596"/>
      <c r="K46" s="597">
        <v>7.1104</v>
      </c>
      <c r="L46" s="598">
        <v>45254</v>
      </c>
      <c r="M46" s="633" t="s">
        <v>1070</v>
      </c>
      <c r="N46" s="1274">
        <v>45288</v>
      </c>
      <c r="O46" s="639" t="s">
        <v>2394</v>
      </c>
      <c r="P46" s="632"/>
      <c r="Q46" s="572"/>
      <c r="R46" s="910"/>
      <c r="S46" s="657"/>
    </row>
    <row r="47" s="10" customFormat="1" ht="20.65" customHeight="1" spans="1:19">
      <c r="A47" s="540"/>
      <c r="B47" s="541"/>
      <c r="C47" s="556"/>
      <c r="D47" s="557"/>
      <c r="E47" s="250" t="s">
        <v>1216</v>
      </c>
      <c r="F47" s="568" t="s">
        <v>2395</v>
      </c>
      <c r="G47" s="562">
        <v>2481</v>
      </c>
      <c r="H47" s="567">
        <f t="shared" si="5"/>
        <v>17640.9024</v>
      </c>
      <c r="I47" s="596"/>
      <c r="J47" s="596"/>
      <c r="K47" s="597">
        <v>7.1104</v>
      </c>
      <c r="L47" s="598" t="s">
        <v>2097</v>
      </c>
      <c r="M47" s="598" t="s">
        <v>2097</v>
      </c>
      <c r="N47" s="598" t="s">
        <v>2097</v>
      </c>
      <c r="O47" s="639"/>
      <c r="P47" s="632"/>
      <c r="Q47" s="572"/>
      <c r="R47" s="910"/>
      <c r="S47" s="657"/>
    </row>
    <row r="48" s="10" customFormat="1" ht="20.65" customHeight="1" spans="1:19">
      <c r="A48" s="540"/>
      <c r="B48" s="541"/>
      <c r="C48" s="670"/>
      <c r="D48" s="557"/>
      <c r="E48" s="250" t="s">
        <v>1544</v>
      </c>
      <c r="F48" s="568" t="s">
        <v>2396</v>
      </c>
      <c r="G48" s="591">
        <v>42480</v>
      </c>
      <c r="H48" s="567">
        <f t="shared" si="5"/>
        <v>302049.792</v>
      </c>
      <c r="I48" s="603"/>
      <c r="J48" s="567"/>
      <c r="K48" s="597">
        <v>7.1104</v>
      </c>
      <c r="L48" s="598">
        <v>45289</v>
      </c>
      <c r="M48" s="598" t="s">
        <v>2097</v>
      </c>
      <c r="N48" s="598" t="s">
        <v>2097</v>
      </c>
      <c r="O48" s="925" t="s">
        <v>2397</v>
      </c>
      <c r="P48" s="635"/>
      <c r="Q48" s="655"/>
      <c r="R48" s="591"/>
      <c r="S48" s="567"/>
    </row>
    <row r="49" s="10" customFormat="1" ht="16.5" spans="1:19">
      <c r="A49" s="949"/>
      <c r="B49" s="541"/>
      <c r="C49" s="572" t="s">
        <v>2382</v>
      </c>
      <c r="D49" s="947"/>
      <c r="E49" s="574" t="s">
        <v>2383</v>
      </c>
      <c r="F49" s="574" t="s">
        <v>2398</v>
      </c>
      <c r="G49" s="562">
        <v>236673</v>
      </c>
      <c r="H49" s="567">
        <f t="shared" si="5"/>
        <v>1682839.6992</v>
      </c>
      <c r="I49" s="577"/>
      <c r="J49" s="577"/>
      <c r="K49" s="597">
        <v>7.1104</v>
      </c>
      <c r="L49" s="598">
        <v>44957</v>
      </c>
      <c r="M49" s="598" t="s">
        <v>2097</v>
      </c>
      <c r="N49" s="598" t="s">
        <v>2097</v>
      </c>
      <c r="O49" s="641" t="s">
        <v>2399</v>
      </c>
      <c r="P49" s="642" t="s">
        <v>2400</v>
      </c>
      <c r="Q49" s="655" t="s">
        <v>2252</v>
      </c>
      <c r="R49" s="664"/>
      <c r="S49" s="602"/>
    </row>
    <row r="50" s="10" customFormat="1" ht="20.85" customHeight="1" spans="1:19">
      <c r="A50" s="540"/>
      <c r="B50" s="541"/>
      <c r="C50" s="670"/>
      <c r="D50" s="557"/>
      <c r="E50" s="572" t="s">
        <v>2401</v>
      </c>
      <c r="F50" s="572" t="s">
        <v>2402</v>
      </c>
      <c r="G50" s="562">
        <v>32672</v>
      </c>
      <c r="H50" s="596">
        <f>G42*K50</f>
        <v>355520</v>
      </c>
      <c r="I50" s="600"/>
      <c r="J50" s="602"/>
      <c r="K50" s="597">
        <v>7.1104</v>
      </c>
      <c r="L50" s="598">
        <v>44931</v>
      </c>
      <c r="M50" s="633" t="s">
        <v>1070</v>
      </c>
      <c r="N50" s="633" t="s">
        <v>1070</v>
      </c>
      <c r="O50" s="1276" t="s">
        <v>2403</v>
      </c>
      <c r="P50" s="635"/>
      <c r="Q50" s="655"/>
      <c r="R50" s="656"/>
      <c r="S50" s="602"/>
    </row>
    <row r="51" s="10" customFormat="1" ht="16.5" spans="1:19">
      <c r="A51" s="540"/>
      <c r="B51" s="672"/>
      <c r="C51" s="551" t="s">
        <v>1874</v>
      </c>
      <c r="D51" s="551"/>
      <c r="E51" s="551"/>
      <c r="F51" s="551"/>
      <c r="G51" s="551"/>
      <c r="H51" s="675">
        <f>SUM(H42:H50)</f>
        <v>3284123.1104</v>
      </c>
      <c r="I51" s="600"/>
      <c r="J51" s="602"/>
      <c r="K51" s="614"/>
      <c r="L51" s="682"/>
      <c r="M51" s="645"/>
      <c r="N51" s="645"/>
      <c r="O51" s="622"/>
      <c r="P51" s="570"/>
      <c r="Q51" s="570"/>
      <c r="R51" s="656"/>
      <c r="S51" s="657"/>
    </row>
    <row r="52" s="10" customFormat="1" ht="16.5" spans="1:19">
      <c r="A52" s="540"/>
      <c r="B52" s="541" t="s">
        <v>1875</v>
      </c>
      <c r="C52" s="556" t="s">
        <v>1825</v>
      </c>
      <c r="D52" s="557" t="s">
        <v>1125</v>
      </c>
      <c r="E52" s="572" t="s">
        <v>2404</v>
      </c>
      <c r="F52" s="568" t="s">
        <v>2405</v>
      </c>
      <c r="G52" s="591">
        <v>40000</v>
      </c>
      <c r="I52" s="603"/>
      <c r="J52" s="567"/>
      <c r="K52" s="597">
        <v>7.1104</v>
      </c>
      <c r="L52" s="708"/>
      <c r="M52" s="644"/>
      <c r="N52" s="644"/>
      <c r="O52" s="639" t="s">
        <v>2406</v>
      </c>
      <c r="P52" s="642"/>
      <c r="Q52" s="655"/>
      <c r="R52" s="656" t="s">
        <v>2407</v>
      </c>
      <c r="S52" s="657"/>
    </row>
    <row r="53" s="10" customFormat="1" ht="16.5" spans="1:19">
      <c r="A53" s="540"/>
      <c r="B53" s="541"/>
      <c r="C53" s="556"/>
      <c r="D53" s="557"/>
      <c r="E53" s="572" t="s">
        <v>2408</v>
      </c>
      <c r="F53" s="250" t="s">
        <v>2409</v>
      </c>
      <c r="G53" s="562">
        <v>10000</v>
      </c>
      <c r="H53" s="567"/>
      <c r="I53" s="603"/>
      <c r="J53" s="567"/>
      <c r="K53" s="597">
        <v>7.1104</v>
      </c>
      <c r="L53" s="598"/>
      <c r="M53" s="645"/>
      <c r="N53" s="645"/>
      <c r="O53" s="639" t="s">
        <v>2410</v>
      </c>
      <c r="P53" s="642"/>
      <c r="Q53" s="667"/>
      <c r="R53" s="656"/>
      <c r="S53" s="657"/>
    </row>
    <row r="54" s="10" customFormat="1" ht="22.1" customHeight="1" spans="1:19">
      <c r="A54" s="540"/>
      <c r="B54" s="541"/>
      <c r="C54" s="556"/>
      <c r="D54" s="557"/>
      <c r="E54" s="564" t="s">
        <v>1113</v>
      </c>
      <c r="F54" s="564" t="s">
        <v>2411</v>
      </c>
      <c r="G54" s="576">
        <v>80000</v>
      </c>
      <c r="H54" s="592">
        <f t="shared" ref="H54:H56" si="6">G54*K54</f>
        <v>568832</v>
      </c>
      <c r="I54" s="605"/>
      <c r="J54" s="592"/>
      <c r="K54" s="597">
        <v>7.1104</v>
      </c>
      <c r="L54" s="625"/>
      <c r="M54" s="625"/>
      <c r="N54" s="625"/>
      <c r="O54" s="639" t="s">
        <v>2412</v>
      </c>
      <c r="P54" s="642"/>
      <c r="Q54" s="655"/>
      <c r="R54" s="656" t="s">
        <v>2413</v>
      </c>
      <c r="S54" s="657"/>
    </row>
    <row r="55" s="10" customFormat="1" ht="16.5" spans="1:19">
      <c r="A55" s="540"/>
      <c r="B55" s="541"/>
      <c r="C55" s="556"/>
      <c r="D55" s="557"/>
      <c r="E55" s="572" t="s">
        <v>1884</v>
      </c>
      <c r="F55" s="250" t="s">
        <v>1885</v>
      </c>
      <c r="G55" s="562">
        <v>900</v>
      </c>
      <c r="H55" s="592">
        <f t="shared" si="6"/>
        <v>6399.36</v>
      </c>
      <c r="I55" s="603"/>
      <c r="J55" s="567"/>
      <c r="K55" s="597">
        <v>7.1104</v>
      </c>
      <c r="L55" s="598"/>
      <c r="M55" s="645"/>
      <c r="N55" s="645"/>
      <c r="O55" s="687" t="s">
        <v>2414</v>
      </c>
      <c r="P55" s="642"/>
      <c r="Q55" s="655"/>
      <c r="R55" s="656" t="s">
        <v>2415</v>
      </c>
      <c r="S55" s="657"/>
    </row>
    <row r="56" s="10" customFormat="1" ht="37.5" customHeight="1" spans="1:19">
      <c r="A56" s="540"/>
      <c r="B56" s="541"/>
      <c r="C56" s="664" t="s">
        <v>224</v>
      </c>
      <c r="D56" s="557"/>
      <c r="E56" s="572" t="s">
        <v>638</v>
      </c>
      <c r="F56" s="250" t="s">
        <v>2416</v>
      </c>
      <c r="G56" s="562">
        <v>45000</v>
      </c>
      <c r="H56" s="592">
        <f t="shared" si="6"/>
        <v>319968</v>
      </c>
      <c r="I56" s="570"/>
      <c r="J56" s="570"/>
      <c r="K56" s="597">
        <v>7.1104</v>
      </c>
      <c r="L56" s="570"/>
      <c r="M56" s="570"/>
      <c r="N56" s="648"/>
      <c r="O56" s="691" t="s">
        <v>2417</v>
      </c>
      <c r="P56" s="691"/>
      <c r="Q56" s="691"/>
      <c r="R56" s="691"/>
      <c r="S56" s="1044"/>
    </row>
    <row r="57" s="10" customFormat="1" ht="33" spans="1:19">
      <c r="A57" s="540"/>
      <c r="B57" s="541"/>
      <c r="C57" s="664"/>
      <c r="D57" s="557"/>
      <c r="E57" s="561" t="s">
        <v>1895</v>
      </c>
      <c r="F57" s="571" t="s">
        <v>1896</v>
      </c>
      <c r="G57" s="576">
        <v>200000</v>
      </c>
      <c r="H57" s="592"/>
      <c r="I57" s="600"/>
      <c r="J57" s="602"/>
      <c r="K57" s="597">
        <v>7.1104</v>
      </c>
      <c r="L57" s="598"/>
      <c r="M57" s="645"/>
      <c r="N57" s="645"/>
      <c r="O57" s="641" t="s">
        <v>2418</v>
      </c>
      <c r="P57" s="696" t="s">
        <v>2419</v>
      </c>
      <c r="Q57" s="572"/>
      <c r="R57" s="656" t="s">
        <v>2420</v>
      </c>
      <c r="S57" s="577"/>
    </row>
    <row r="58" s="10" customFormat="1" ht="29.6" customHeight="1" spans="1:19">
      <c r="A58" s="540"/>
      <c r="B58" s="541"/>
      <c r="C58" s="664"/>
      <c r="D58" s="557"/>
      <c r="E58" s="561" t="s">
        <v>400</v>
      </c>
      <c r="F58" s="571" t="s">
        <v>2421</v>
      </c>
      <c r="G58" s="576">
        <v>80000</v>
      </c>
      <c r="H58" s="592">
        <f>G58*K58</f>
        <v>568832</v>
      </c>
      <c r="I58" s="603"/>
      <c r="J58" s="567"/>
      <c r="K58" s="597">
        <v>7.1104</v>
      </c>
      <c r="L58" s="598"/>
      <c r="M58" s="645"/>
      <c r="N58" s="645"/>
      <c r="O58" s="641" t="s">
        <v>2422</v>
      </c>
      <c r="P58" s="642"/>
      <c r="Q58" s="655"/>
      <c r="R58" s="656"/>
      <c r="S58" s="577"/>
    </row>
    <row r="59" s="10" customFormat="1" ht="27.5" customHeight="1" spans="1:19">
      <c r="A59" s="540"/>
      <c r="B59" s="541"/>
      <c r="C59" s="664"/>
      <c r="D59" s="557"/>
      <c r="E59" s="250" t="s">
        <v>1901</v>
      </c>
      <c r="F59" s="571" t="s">
        <v>1902</v>
      </c>
      <c r="G59" s="562">
        <v>1000000</v>
      </c>
      <c r="H59" s="592"/>
      <c r="I59" s="600"/>
      <c r="J59" s="602"/>
      <c r="K59" s="597">
        <v>7.1104</v>
      </c>
      <c r="L59" s="707"/>
      <c r="M59" s="644"/>
      <c r="N59" s="644"/>
      <c r="O59" s="687" t="s">
        <v>2423</v>
      </c>
      <c r="P59" s="642"/>
      <c r="Q59" s="572"/>
      <c r="R59" s="656" t="s">
        <v>2424</v>
      </c>
      <c r="S59" s="577"/>
    </row>
    <row r="60" s="10" customFormat="1" ht="16.5" spans="1:19">
      <c r="A60" s="540"/>
      <c r="B60" s="541"/>
      <c r="C60" s="556" t="s">
        <v>2361</v>
      </c>
      <c r="D60" s="557"/>
      <c r="E60" s="250" t="s">
        <v>2425</v>
      </c>
      <c r="F60" s="568" t="s">
        <v>2426</v>
      </c>
      <c r="G60" s="562">
        <v>45000</v>
      </c>
      <c r="H60" s="592">
        <f>G60*K60</f>
        <v>319968</v>
      </c>
      <c r="I60" s="603"/>
      <c r="J60" s="567"/>
      <c r="K60" s="597">
        <v>7.1104</v>
      </c>
      <c r="L60" s="598"/>
      <c r="M60" s="633"/>
      <c r="N60" s="636"/>
      <c r="O60" s="687" t="s">
        <v>2427</v>
      </c>
      <c r="P60" s="642" t="s">
        <v>2428</v>
      </c>
      <c r="Q60" s="655"/>
      <c r="R60" s="656"/>
      <c r="S60" s="602"/>
    </row>
    <row r="61" s="10" customFormat="1" ht="16.5" spans="1:19">
      <c r="A61" s="540"/>
      <c r="B61" s="541"/>
      <c r="C61" s="670"/>
      <c r="D61" s="557"/>
      <c r="E61" s="250" t="s">
        <v>1907</v>
      </c>
      <c r="F61" s="562" t="s">
        <v>1908</v>
      </c>
      <c r="G61" s="562">
        <v>50687</v>
      </c>
      <c r="H61" s="592"/>
      <c r="I61" s="600"/>
      <c r="J61" s="602"/>
      <c r="K61" s="597">
        <v>7.1104</v>
      </c>
      <c r="L61" s="707"/>
      <c r="M61" s="645"/>
      <c r="N61" s="645"/>
      <c r="O61" s="687" t="s">
        <v>2429</v>
      </c>
      <c r="P61" s="642" t="s">
        <v>2430</v>
      </c>
      <c r="Q61" s="655" t="s">
        <v>1671</v>
      </c>
      <c r="R61" s="656"/>
      <c r="S61" s="602"/>
    </row>
    <row r="62" s="10" customFormat="1" ht="16.5" spans="1:19">
      <c r="A62" s="540"/>
      <c r="B62" s="541"/>
      <c r="C62" s="671" t="s">
        <v>2382</v>
      </c>
      <c r="D62" s="557"/>
      <c r="E62" s="250"/>
      <c r="F62" s="568"/>
      <c r="G62" s="591"/>
      <c r="H62" s="567"/>
      <c r="I62" s="603"/>
      <c r="J62" s="567"/>
      <c r="K62" s="597"/>
      <c r="L62" s="598"/>
      <c r="M62" s="633"/>
      <c r="N62" s="633"/>
      <c r="O62" s="925"/>
      <c r="P62" s="635"/>
      <c r="Q62" s="655"/>
      <c r="R62" s="656"/>
      <c r="S62" s="602"/>
    </row>
    <row r="63" s="10" customFormat="1" ht="16.5" spans="1:19">
      <c r="A63" s="699"/>
      <c r="B63" s="541"/>
      <c r="C63" s="671"/>
      <c r="D63" s="557"/>
      <c r="E63" s="561"/>
      <c r="F63" s="571"/>
      <c r="G63" s="576"/>
      <c r="H63" s="567"/>
      <c r="I63" s="603"/>
      <c r="J63" s="567"/>
      <c r="K63" s="597"/>
      <c r="L63" s="598"/>
      <c r="M63" s="625"/>
      <c r="N63" s="625"/>
      <c r="O63" s="925"/>
      <c r="P63" s="642"/>
      <c r="Q63" s="655"/>
      <c r="R63" s="656"/>
      <c r="S63" s="657"/>
    </row>
    <row r="64" s="10" customFormat="1" ht="16.5" spans="1:19">
      <c r="A64" s="699"/>
      <c r="B64" s="541"/>
      <c r="C64" s="712" t="s">
        <v>1874</v>
      </c>
      <c r="D64" s="712"/>
      <c r="E64" s="712"/>
      <c r="F64" s="712"/>
      <c r="G64" s="712"/>
      <c r="H64" s="675">
        <f>SUM(H52:H63)</f>
        <v>1783999.36</v>
      </c>
      <c r="I64" s="732"/>
      <c r="J64" s="732"/>
      <c r="K64" s="733"/>
      <c r="L64" s="598"/>
      <c r="M64" s="645"/>
      <c r="N64" s="645"/>
      <c r="O64" s="622"/>
      <c r="P64" s="642"/>
      <c r="Q64" s="655"/>
      <c r="R64" s="664"/>
      <c r="S64" s="602"/>
    </row>
    <row r="65" s="10" customFormat="1" ht="33.55" customHeight="1" spans="1:19">
      <c r="A65" s="537" t="s">
        <v>1092</v>
      </c>
      <c r="B65" s="537" t="s">
        <v>1820</v>
      </c>
      <c r="C65" s="538" t="s">
        <v>1946</v>
      </c>
      <c r="D65" s="539" t="s">
        <v>1821</v>
      </c>
      <c r="E65" s="539" t="s">
        <v>1822</v>
      </c>
      <c r="F65" s="558" t="s">
        <v>1095</v>
      </c>
      <c r="G65" s="559" t="s">
        <v>362</v>
      </c>
      <c r="H65" s="560" t="s">
        <v>1716</v>
      </c>
      <c r="I65" s="560" t="s">
        <v>1717</v>
      </c>
      <c r="J65" s="560" t="s">
        <v>1718</v>
      </c>
      <c r="K65" s="594" t="s">
        <v>1866</v>
      </c>
      <c r="L65" s="595" t="s">
        <v>1098</v>
      </c>
      <c r="M65" s="619" t="s">
        <v>1097</v>
      </c>
      <c r="N65" s="619" t="s">
        <v>1214</v>
      </c>
      <c r="O65" s="620" t="s">
        <v>1215</v>
      </c>
      <c r="P65" s="621" t="s">
        <v>7</v>
      </c>
      <c r="Q65" s="746" t="s">
        <v>8</v>
      </c>
      <c r="R65" s="747" t="s">
        <v>9</v>
      </c>
      <c r="S65" s="654" t="s">
        <v>1291</v>
      </c>
    </row>
    <row r="66" s="10" customFormat="1" ht="16.5" spans="1:19">
      <c r="A66" s="713" t="s">
        <v>1913</v>
      </c>
      <c r="B66" s="541" t="s">
        <v>1824</v>
      </c>
      <c r="C66" s="556" t="s">
        <v>1248</v>
      </c>
      <c r="D66" s="557">
        <v>425</v>
      </c>
      <c r="E66" s="705" t="s">
        <v>299</v>
      </c>
      <c r="F66" s="764" t="s">
        <v>2431</v>
      </c>
      <c r="G66" s="762"/>
      <c r="H66" s="567"/>
      <c r="I66" s="735"/>
      <c r="J66" s="735">
        <v>228612.93</v>
      </c>
      <c r="K66" s="597">
        <v>7.1104</v>
      </c>
      <c r="L66" s="708" t="s">
        <v>2432</v>
      </c>
      <c r="M66" s="625">
        <v>45257</v>
      </c>
      <c r="N66" s="625">
        <v>45262</v>
      </c>
      <c r="O66" s="740" t="s">
        <v>2433</v>
      </c>
      <c r="P66" s="250" t="s">
        <v>2434</v>
      </c>
      <c r="Q66" s="751">
        <v>91</v>
      </c>
      <c r="R66" s="752">
        <v>350</v>
      </c>
      <c r="S66" s="750"/>
    </row>
    <row r="67" s="10" customFormat="1" ht="16.5" spans="1:19">
      <c r="A67" s="713"/>
      <c r="B67" s="541"/>
      <c r="C67" s="556"/>
      <c r="D67" s="557"/>
      <c r="E67" s="541"/>
      <c r="F67" s="764" t="s">
        <v>2435</v>
      </c>
      <c r="G67" s="762"/>
      <c r="H67" s="567"/>
      <c r="I67" s="735"/>
      <c r="J67" s="735">
        <v>228612.93</v>
      </c>
      <c r="K67" s="597">
        <v>7.1104</v>
      </c>
      <c r="L67" s="708" t="s">
        <v>2432</v>
      </c>
      <c r="M67" s="625">
        <v>45257</v>
      </c>
      <c r="N67" s="625">
        <v>45262</v>
      </c>
      <c r="O67" s="740" t="s">
        <v>2433</v>
      </c>
      <c r="P67" s="250" t="s">
        <v>2434</v>
      </c>
      <c r="Q67" s="751">
        <v>91</v>
      </c>
      <c r="R67" s="752">
        <v>350</v>
      </c>
      <c r="S67" s="750"/>
    </row>
    <row r="68" s="10" customFormat="1" ht="16.5" spans="1:19">
      <c r="A68" s="713"/>
      <c r="B68" s="541"/>
      <c r="C68" s="556"/>
      <c r="D68" s="557"/>
      <c r="E68" s="541"/>
      <c r="F68" s="764" t="s">
        <v>2436</v>
      </c>
      <c r="G68" s="762"/>
      <c r="H68" s="567"/>
      <c r="I68" s="735"/>
      <c r="J68" s="735">
        <v>228612.93</v>
      </c>
      <c r="K68" s="597">
        <v>7.1104</v>
      </c>
      <c r="L68" s="708" t="s">
        <v>2432</v>
      </c>
      <c r="M68" s="625">
        <v>45257</v>
      </c>
      <c r="N68" s="625">
        <v>45262</v>
      </c>
      <c r="O68" s="740" t="s">
        <v>2433</v>
      </c>
      <c r="P68" s="250" t="s">
        <v>2434</v>
      </c>
      <c r="Q68" s="751">
        <v>91</v>
      </c>
      <c r="R68" s="752">
        <v>350</v>
      </c>
      <c r="S68" s="750"/>
    </row>
    <row r="69" s="10" customFormat="1" ht="16.5" spans="1:19">
      <c r="A69" s="713"/>
      <c r="B69" s="541"/>
      <c r="C69" s="556"/>
      <c r="D69" s="557"/>
      <c r="E69" s="705"/>
      <c r="F69" s="764" t="s">
        <v>1948</v>
      </c>
      <c r="G69" s="762">
        <v>30590</v>
      </c>
      <c r="H69" s="567">
        <f t="shared" ref="H69:H78" si="7">G69*K69</f>
        <v>217507.136</v>
      </c>
      <c r="I69" s="577">
        <v>217507.136</v>
      </c>
      <c r="J69" s="577">
        <f t="shared" ref="J69:J71" si="8">I69</f>
        <v>217507.136</v>
      </c>
      <c r="K69" s="597">
        <v>7.1104</v>
      </c>
      <c r="L69" s="708" t="s">
        <v>2437</v>
      </c>
      <c r="M69" s="636">
        <v>45278</v>
      </c>
      <c r="N69" s="625">
        <v>45280</v>
      </c>
      <c r="O69" s="740" t="s">
        <v>2438</v>
      </c>
      <c r="P69" s="250" t="s">
        <v>2434</v>
      </c>
      <c r="Q69" s="751">
        <v>90</v>
      </c>
      <c r="R69" s="752">
        <v>340</v>
      </c>
      <c r="S69" s="750"/>
    </row>
    <row r="70" s="10" customFormat="1" ht="16.5" spans="1:19">
      <c r="A70" s="713"/>
      <c r="B70" s="541"/>
      <c r="C70" s="556"/>
      <c r="D70" s="557"/>
      <c r="E70" s="541"/>
      <c r="F70" s="764" t="s">
        <v>1952</v>
      </c>
      <c r="G70" s="762">
        <v>30940</v>
      </c>
      <c r="H70" s="567">
        <f t="shared" si="7"/>
        <v>219995.776</v>
      </c>
      <c r="I70" s="735">
        <v>219995.776</v>
      </c>
      <c r="J70" s="577">
        <f t="shared" si="8"/>
        <v>219995.776</v>
      </c>
      <c r="K70" s="597">
        <v>7.1104</v>
      </c>
      <c r="L70" s="708" t="s">
        <v>2437</v>
      </c>
      <c r="M70" s="636">
        <v>45278</v>
      </c>
      <c r="N70" s="625">
        <v>45280</v>
      </c>
      <c r="O70" s="740" t="s">
        <v>2438</v>
      </c>
      <c r="P70" s="250" t="s">
        <v>2434</v>
      </c>
      <c r="Q70" s="751">
        <v>91</v>
      </c>
      <c r="R70" s="752">
        <v>340</v>
      </c>
      <c r="S70" s="750"/>
    </row>
    <row r="71" s="10" customFormat="1" ht="16.5" spans="1:19">
      <c r="A71" s="713"/>
      <c r="B71" s="541"/>
      <c r="C71" s="556"/>
      <c r="D71" s="557"/>
      <c r="E71" s="541"/>
      <c r="F71" s="764" t="s">
        <v>1953</v>
      </c>
      <c r="G71" s="762">
        <v>30940</v>
      </c>
      <c r="H71" s="567">
        <f t="shared" si="7"/>
        <v>219995.776</v>
      </c>
      <c r="I71" s="735">
        <v>219995.776</v>
      </c>
      <c r="J71" s="577">
        <f t="shared" si="8"/>
        <v>219995.776</v>
      </c>
      <c r="K71" s="597">
        <v>7.1104</v>
      </c>
      <c r="L71" s="708" t="s">
        <v>2437</v>
      </c>
      <c r="M71" s="636">
        <v>45278</v>
      </c>
      <c r="N71" s="625">
        <v>45280</v>
      </c>
      <c r="O71" s="740" t="s">
        <v>2438</v>
      </c>
      <c r="P71" s="250" t="s">
        <v>2434</v>
      </c>
      <c r="Q71" s="751">
        <v>91</v>
      </c>
      <c r="R71" s="752">
        <v>340</v>
      </c>
      <c r="S71" s="750"/>
    </row>
    <row r="72" s="10" customFormat="1" ht="16.5" spans="1:19">
      <c r="A72" s="713"/>
      <c r="B72" s="541"/>
      <c r="C72" s="556"/>
      <c r="D72" s="557"/>
      <c r="E72" s="541"/>
      <c r="F72" s="764" t="s">
        <v>2439</v>
      </c>
      <c r="G72" s="762">
        <v>30940</v>
      </c>
      <c r="H72" s="567">
        <f t="shared" si="7"/>
        <v>219995.776</v>
      </c>
      <c r="I72" s="577">
        <v>219995.776</v>
      </c>
      <c r="J72" s="577">
        <v>219995.776</v>
      </c>
      <c r="K72" s="597">
        <v>7.1104</v>
      </c>
      <c r="L72" s="708" t="s">
        <v>2437</v>
      </c>
      <c r="M72" s="636">
        <v>45283</v>
      </c>
      <c r="N72" s="625">
        <v>45287</v>
      </c>
      <c r="O72" s="740" t="s">
        <v>2440</v>
      </c>
      <c r="P72" s="250" t="s">
        <v>2434</v>
      </c>
      <c r="Q72" s="751">
        <v>91</v>
      </c>
      <c r="R72" s="752">
        <v>340</v>
      </c>
      <c r="S72" s="750"/>
    </row>
    <row r="73" s="10" customFormat="1" ht="16.5" spans="1:19">
      <c r="A73" s="713"/>
      <c r="B73" s="541"/>
      <c r="C73" s="556"/>
      <c r="D73" s="557"/>
      <c r="E73" s="541"/>
      <c r="F73" s="764" t="s">
        <v>2441</v>
      </c>
      <c r="G73" s="762">
        <v>30940</v>
      </c>
      <c r="H73" s="567">
        <f t="shared" si="7"/>
        <v>219995.776</v>
      </c>
      <c r="I73" s="735">
        <v>219995.776</v>
      </c>
      <c r="J73" s="577">
        <v>219995.776</v>
      </c>
      <c r="K73" s="597">
        <v>7.1104</v>
      </c>
      <c r="L73" s="708" t="s">
        <v>2437</v>
      </c>
      <c r="M73" s="636">
        <v>45283</v>
      </c>
      <c r="N73" s="625">
        <v>45287</v>
      </c>
      <c r="O73" s="740" t="s">
        <v>2440</v>
      </c>
      <c r="P73" s="250" t="s">
        <v>2434</v>
      </c>
      <c r="Q73" s="751">
        <v>91</v>
      </c>
      <c r="R73" s="752">
        <v>340</v>
      </c>
      <c r="S73" s="750"/>
    </row>
    <row r="74" s="10" customFormat="1" ht="16.5" spans="1:19">
      <c r="A74" s="713"/>
      <c r="B74" s="541"/>
      <c r="C74" s="556"/>
      <c r="D74" s="557"/>
      <c r="E74" s="541"/>
      <c r="F74" s="764" t="s">
        <v>2442</v>
      </c>
      <c r="G74" s="762">
        <v>30940</v>
      </c>
      <c r="H74" s="567">
        <f t="shared" si="7"/>
        <v>219995.776</v>
      </c>
      <c r="I74" s="735">
        <v>219995.776</v>
      </c>
      <c r="J74" s="577">
        <v>219995.776</v>
      </c>
      <c r="K74" s="597">
        <v>7.1104</v>
      </c>
      <c r="L74" s="708" t="s">
        <v>2437</v>
      </c>
      <c r="M74" s="638">
        <v>45284</v>
      </c>
      <c r="N74" s="625">
        <v>45287</v>
      </c>
      <c r="O74" s="740" t="s">
        <v>2440</v>
      </c>
      <c r="P74" s="250" t="s">
        <v>2434</v>
      </c>
      <c r="Q74" s="751">
        <v>91</v>
      </c>
      <c r="R74" s="752">
        <v>340</v>
      </c>
      <c r="S74" s="750"/>
    </row>
    <row r="75" s="10" customFormat="1" ht="16.5" spans="1:19">
      <c r="A75" s="713"/>
      <c r="B75" s="541"/>
      <c r="C75" s="556"/>
      <c r="D75" s="557"/>
      <c r="E75" s="541"/>
      <c r="F75" s="763" t="s">
        <v>1920</v>
      </c>
      <c r="G75" s="725">
        <v>36960</v>
      </c>
      <c r="H75" s="567">
        <f t="shared" si="7"/>
        <v>262800.384</v>
      </c>
      <c r="I75" s="735">
        <v>262800.384</v>
      </c>
      <c r="J75" s="577">
        <v>262800.384</v>
      </c>
      <c r="K75" s="597">
        <v>7.1104</v>
      </c>
      <c r="L75" s="708" t="s">
        <v>2437</v>
      </c>
      <c r="M75" s="638">
        <v>45278</v>
      </c>
      <c r="N75" s="598">
        <v>45280</v>
      </c>
      <c r="O75" s="740" t="s">
        <v>2438</v>
      </c>
      <c r="P75" s="250" t="s">
        <v>2443</v>
      </c>
      <c r="Q75" s="751">
        <v>168</v>
      </c>
      <c r="R75" s="752">
        <v>220</v>
      </c>
      <c r="S75" s="750"/>
    </row>
    <row r="76" s="10" customFormat="1" ht="16.5" spans="1:19">
      <c r="A76" s="713"/>
      <c r="B76" s="541"/>
      <c r="C76" s="556"/>
      <c r="D76" s="557"/>
      <c r="E76" s="541"/>
      <c r="F76" s="763" t="s">
        <v>1954</v>
      </c>
      <c r="G76" s="725">
        <v>36960</v>
      </c>
      <c r="H76" s="567">
        <f t="shared" si="7"/>
        <v>262800.384</v>
      </c>
      <c r="I76" s="735">
        <v>262800.384</v>
      </c>
      <c r="J76" s="577">
        <v>262800.384</v>
      </c>
      <c r="K76" s="597">
        <v>7.1104</v>
      </c>
      <c r="L76" s="708" t="s">
        <v>2437</v>
      </c>
      <c r="M76" s="638">
        <v>45284</v>
      </c>
      <c r="N76" s="625">
        <v>45287</v>
      </c>
      <c r="O76" s="740" t="s">
        <v>2440</v>
      </c>
      <c r="P76" s="250" t="s">
        <v>2443</v>
      </c>
      <c r="Q76" s="751">
        <v>168</v>
      </c>
      <c r="R76" s="752">
        <v>220</v>
      </c>
      <c r="S76" s="750"/>
    </row>
    <row r="77" s="10" customFormat="1" ht="16.5" spans="1:19">
      <c r="A77" s="713"/>
      <c r="B77" s="541"/>
      <c r="C77" s="556"/>
      <c r="D77" s="557"/>
      <c r="E77" s="541"/>
      <c r="F77" s="764" t="s">
        <v>2444</v>
      </c>
      <c r="G77" s="576">
        <v>38500</v>
      </c>
      <c r="H77" s="567">
        <f t="shared" si="7"/>
        <v>273750.4</v>
      </c>
      <c r="I77" s="766">
        <v>273750.4</v>
      </c>
      <c r="J77" s="577">
        <v>273750.4</v>
      </c>
      <c r="K77" s="597">
        <v>7.1104</v>
      </c>
      <c r="L77" s="708" t="s">
        <v>2437</v>
      </c>
      <c r="M77" s="636">
        <v>45278</v>
      </c>
      <c r="N77" s="625">
        <v>45280</v>
      </c>
      <c r="O77" s="740" t="s">
        <v>2438</v>
      </c>
      <c r="P77" s="250" t="s">
        <v>2445</v>
      </c>
      <c r="Q77" s="751">
        <v>50</v>
      </c>
      <c r="R77" s="752">
        <v>730</v>
      </c>
      <c r="S77" s="750"/>
    </row>
    <row r="78" s="10" customFormat="1" ht="16.5" spans="1:19">
      <c r="A78" s="713"/>
      <c r="B78" s="541"/>
      <c r="C78" s="556"/>
      <c r="D78" s="557"/>
      <c r="E78" s="541"/>
      <c r="F78" s="763" t="s">
        <v>2446</v>
      </c>
      <c r="G78" s="576">
        <v>38500</v>
      </c>
      <c r="H78" s="567">
        <f t="shared" si="7"/>
        <v>273750.4</v>
      </c>
      <c r="I78" s="766">
        <v>273750.4</v>
      </c>
      <c r="J78" s="577">
        <v>273750.4</v>
      </c>
      <c r="K78" s="597">
        <v>7.1104</v>
      </c>
      <c r="L78" s="708" t="s">
        <v>2437</v>
      </c>
      <c r="M78" s="636">
        <v>45283</v>
      </c>
      <c r="N78" s="625">
        <v>45287</v>
      </c>
      <c r="O78" s="740" t="s">
        <v>2440</v>
      </c>
      <c r="P78" s="250" t="s">
        <v>2445</v>
      </c>
      <c r="Q78" s="751">
        <v>50</v>
      </c>
      <c r="R78" s="752">
        <v>730</v>
      </c>
      <c r="S78" s="750"/>
    </row>
    <row r="79" s="10" customFormat="1" ht="16.5" spans="1:19">
      <c r="A79" s="713"/>
      <c r="B79" s="541"/>
      <c r="C79" s="714" t="s">
        <v>1922</v>
      </c>
      <c r="D79" s="655">
        <v>209</v>
      </c>
      <c r="E79" s="724" t="s">
        <v>97</v>
      </c>
      <c r="F79" s="724" t="s">
        <v>2447</v>
      </c>
      <c r="G79" s="725"/>
      <c r="H79" s="567"/>
      <c r="I79" s="766"/>
      <c r="J79" s="735">
        <v>312413.745</v>
      </c>
      <c r="K79" s="597">
        <v>7.1104</v>
      </c>
      <c r="L79" s="708" t="s">
        <v>1251</v>
      </c>
      <c r="M79" s="625">
        <v>45257</v>
      </c>
      <c r="N79" s="625">
        <v>45262</v>
      </c>
      <c r="O79" s="740" t="s">
        <v>2433</v>
      </c>
      <c r="P79" s="250"/>
      <c r="Q79" s="751"/>
      <c r="R79" s="752"/>
      <c r="S79" s="750"/>
    </row>
    <row r="80" s="10" customFormat="1" ht="16.5" spans="1:19">
      <c r="A80" s="713"/>
      <c r="B80" s="541"/>
      <c r="C80" s="714"/>
      <c r="D80" s="655"/>
      <c r="E80" s="568" t="s">
        <v>167</v>
      </c>
      <c r="F80" s="904" t="s">
        <v>1967</v>
      </c>
      <c r="G80" s="725"/>
      <c r="H80" s="567"/>
      <c r="I80" s="766"/>
      <c r="J80" s="735">
        <v>79257.2676</v>
      </c>
      <c r="K80" s="597">
        <v>7.1104</v>
      </c>
      <c r="L80" s="598" t="s">
        <v>1218</v>
      </c>
      <c r="M80" s="625">
        <v>45258</v>
      </c>
      <c r="N80" s="625">
        <v>45265</v>
      </c>
      <c r="O80" s="740" t="s">
        <v>2433</v>
      </c>
      <c r="P80" s="250"/>
      <c r="Q80" s="751"/>
      <c r="R80" s="752"/>
      <c r="S80" s="750"/>
    </row>
    <row r="81" s="10" customFormat="1" ht="16.5" spans="1:19">
      <c r="A81" s="713"/>
      <c r="B81" s="541"/>
      <c r="C81" s="714"/>
      <c r="D81" s="655"/>
      <c r="E81" s="571" t="s">
        <v>167</v>
      </c>
      <c r="F81" s="672" t="s">
        <v>2448</v>
      </c>
      <c r="G81" s="786">
        <v>28059</v>
      </c>
      <c r="H81" s="567">
        <f t="shared" ref="H81:H87" si="9">G81*K81</f>
        <v>199510.7136</v>
      </c>
      <c r="I81" s="735">
        <v>199510.7136</v>
      </c>
      <c r="J81" s="735"/>
      <c r="K81" s="597">
        <v>7.1104</v>
      </c>
      <c r="L81" s="598" t="s">
        <v>1218</v>
      </c>
      <c r="M81" s="625">
        <v>45288</v>
      </c>
      <c r="N81" s="631">
        <v>45294</v>
      </c>
      <c r="O81" s="743" t="s">
        <v>2449</v>
      </c>
      <c r="P81" s="250"/>
      <c r="Q81" s="751"/>
      <c r="R81" s="752"/>
      <c r="S81" s="750"/>
    </row>
    <row r="82" s="10" customFormat="1" ht="16.5" spans="1:19">
      <c r="A82" s="713"/>
      <c r="B82" s="541"/>
      <c r="C82" s="714"/>
      <c r="D82" s="655"/>
      <c r="E82" s="571" t="s">
        <v>324</v>
      </c>
      <c r="F82" s="568" t="s">
        <v>2450</v>
      </c>
      <c r="G82" s="722">
        <v>31416</v>
      </c>
      <c r="H82" s="567">
        <f t="shared" si="9"/>
        <v>223380.3264</v>
      </c>
      <c r="I82" s="735">
        <v>223380.3264</v>
      </c>
      <c r="J82" s="735">
        <v>223380.3264</v>
      </c>
      <c r="K82" s="597">
        <v>7.1104</v>
      </c>
      <c r="L82" s="598" t="s">
        <v>2451</v>
      </c>
      <c r="M82" s="625">
        <v>45271</v>
      </c>
      <c r="N82" s="625">
        <v>45280</v>
      </c>
      <c r="O82" s="740" t="s">
        <v>2452</v>
      </c>
      <c r="P82" s="250" t="s">
        <v>2453</v>
      </c>
      <c r="Q82" s="572"/>
      <c r="R82" s="752"/>
      <c r="S82" s="753"/>
    </row>
    <row r="83" s="10" customFormat="1" ht="16.5" spans="1:19">
      <c r="A83" s="713"/>
      <c r="B83" s="541"/>
      <c r="C83" s="714"/>
      <c r="D83" s="655"/>
      <c r="E83" s="571" t="s">
        <v>1340</v>
      </c>
      <c r="F83" s="568" t="s">
        <v>1982</v>
      </c>
      <c r="G83" s="725">
        <v>34356</v>
      </c>
      <c r="H83" s="567">
        <f t="shared" si="9"/>
        <v>244284.9024</v>
      </c>
      <c r="I83" s="735">
        <v>244284.9024</v>
      </c>
      <c r="J83" s="735">
        <v>244284.9024</v>
      </c>
      <c r="K83" s="597">
        <v>7.1104</v>
      </c>
      <c r="L83" s="598" t="s">
        <v>2454</v>
      </c>
      <c r="M83" s="625">
        <v>45285</v>
      </c>
      <c r="N83" s="625">
        <v>45287</v>
      </c>
      <c r="O83" s="740" t="s">
        <v>2455</v>
      </c>
      <c r="P83" s="250" t="s">
        <v>2434</v>
      </c>
      <c r="Q83" s="572"/>
      <c r="R83" s="752"/>
      <c r="S83" s="753"/>
    </row>
    <row r="84" s="10" customFormat="1" ht="16.5" spans="1:19">
      <c r="A84" s="713"/>
      <c r="B84" s="541"/>
      <c r="C84" s="714"/>
      <c r="D84" s="655"/>
      <c r="E84" s="571"/>
      <c r="F84" s="568" t="s">
        <v>2456</v>
      </c>
      <c r="G84" s="725">
        <v>38640</v>
      </c>
      <c r="H84" s="567">
        <f t="shared" si="9"/>
        <v>274745.856</v>
      </c>
      <c r="I84" s="735">
        <v>274745.856</v>
      </c>
      <c r="J84" s="735">
        <v>274745.856</v>
      </c>
      <c r="K84" s="597">
        <v>7.1104</v>
      </c>
      <c r="L84" s="598" t="s">
        <v>2457</v>
      </c>
      <c r="M84" s="625">
        <v>45285</v>
      </c>
      <c r="N84" s="625">
        <v>45287</v>
      </c>
      <c r="O84" s="740" t="s">
        <v>2455</v>
      </c>
      <c r="P84" s="250" t="s">
        <v>2443</v>
      </c>
      <c r="Q84" s="572"/>
      <c r="R84" s="752"/>
      <c r="S84" s="753"/>
    </row>
    <row r="85" s="10" customFormat="1" ht="16.5" spans="1:19">
      <c r="A85" s="713"/>
      <c r="B85" s="541"/>
      <c r="C85" s="714"/>
      <c r="D85" s="655"/>
      <c r="E85" s="571" t="s">
        <v>1169</v>
      </c>
      <c r="F85" s="571" t="s">
        <v>2458</v>
      </c>
      <c r="G85" s="722">
        <v>31348</v>
      </c>
      <c r="H85" s="567">
        <f t="shared" si="9"/>
        <v>222896.8192</v>
      </c>
      <c r="I85" s="735">
        <v>222896.8192</v>
      </c>
      <c r="J85" s="735">
        <v>222896.8192</v>
      </c>
      <c r="K85" s="597">
        <v>7.1104</v>
      </c>
      <c r="L85" s="598" t="s">
        <v>1218</v>
      </c>
      <c r="M85" s="625">
        <v>45261</v>
      </c>
      <c r="N85" s="625">
        <v>45277</v>
      </c>
      <c r="O85" s="740" t="s">
        <v>2459</v>
      </c>
      <c r="P85" s="572"/>
      <c r="Q85" s="572"/>
      <c r="R85" s="752"/>
      <c r="S85" s="753"/>
    </row>
    <row r="86" s="10" customFormat="1" ht="16.5" spans="1:19">
      <c r="A86" s="713"/>
      <c r="B86" s="541"/>
      <c r="C86" s="714"/>
      <c r="D86" s="655"/>
      <c r="E86" s="571" t="s">
        <v>287</v>
      </c>
      <c r="F86" s="904" t="s">
        <v>2460</v>
      </c>
      <c r="G86" s="786">
        <v>5280</v>
      </c>
      <c r="H86" s="567">
        <f t="shared" si="9"/>
        <v>37542.912</v>
      </c>
      <c r="I86" s="735">
        <v>37542.912</v>
      </c>
      <c r="J86" s="735">
        <v>37542.912</v>
      </c>
      <c r="K86" s="597">
        <v>7.1104</v>
      </c>
      <c r="L86" s="598" t="s">
        <v>1218</v>
      </c>
      <c r="M86" s="625">
        <v>45285</v>
      </c>
      <c r="N86" s="625" t="s">
        <v>2461</v>
      </c>
      <c r="O86" s="743" t="s">
        <v>2462</v>
      </c>
      <c r="P86" s="572"/>
      <c r="Q86" s="572"/>
      <c r="R86" s="752"/>
      <c r="S86" s="753"/>
    </row>
    <row r="87" s="10" customFormat="1" ht="16.5" spans="1:19">
      <c r="A87" s="713"/>
      <c r="B87" s="541"/>
      <c r="C87" s="714"/>
      <c r="D87" s="655"/>
      <c r="E87" s="571" t="s">
        <v>1925</v>
      </c>
      <c r="F87" s="904" t="s">
        <v>2463</v>
      </c>
      <c r="G87" s="786">
        <v>3743</v>
      </c>
      <c r="H87" s="567">
        <f t="shared" si="9"/>
        <v>26614.2272</v>
      </c>
      <c r="I87" s="735">
        <v>26614.2272</v>
      </c>
      <c r="J87" s="735">
        <v>26614.2272</v>
      </c>
      <c r="K87" s="597">
        <v>7.1104</v>
      </c>
      <c r="L87" s="598" t="s">
        <v>1218</v>
      </c>
      <c r="M87" s="625" t="s">
        <v>2464</v>
      </c>
      <c r="N87" s="625"/>
      <c r="O87" s="743" t="s">
        <v>2465</v>
      </c>
      <c r="P87" s="572"/>
      <c r="Q87" s="572"/>
      <c r="R87" s="752"/>
      <c r="S87" s="753"/>
    </row>
    <row r="88" s="10" customFormat="1" ht="16.5" spans="1:19">
      <c r="A88" s="713"/>
      <c r="B88" s="541"/>
      <c r="C88" s="544" t="s">
        <v>209</v>
      </c>
      <c r="D88" s="545">
        <v>599</v>
      </c>
      <c r="E88" s="541" t="s">
        <v>1483</v>
      </c>
      <c r="F88" s="731" t="s">
        <v>2466</v>
      </c>
      <c r="G88" s="783"/>
      <c r="H88" s="567"/>
      <c r="I88" s="735"/>
      <c r="J88" s="735">
        <v>551184</v>
      </c>
      <c r="K88" s="597">
        <v>7.1104</v>
      </c>
      <c r="L88" s="598" t="s">
        <v>1218</v>
      </c>
      <c r="M88" s="625">
        <v>45257</v>
      </c>
      <c r="N88" s="625">
        <v>45261</v>
      </c>
      <c r="O88" s="740" t="s">
        <v>2433</v>
      </c>
      <c r="P88" s="572"/>
      <c r="Q88" s="572"/>
      <c r="R88" s="752"/>
      <c r="S88" s="753"/>
    </row>
    <row r="89" s="10" customFormat="1" ht="16.5" spans="1:19">
      <c r="A89" s="713"/>
      <c r="B89" s="541"/>
      <c r="C89" s="544"/>
      <c r="D89" s="545"/>
      <c r="E89" s="705" t="s">
        <v>2467</v>
      </c>
      <c r="F89" s="904" t="s">
        <v>2468</v>
      </c>
      <c r="G89" s="576">
        <v>121715</v>
      </c>
      <c r="H89" s="567">
        <f t="shared" ref="H89:H93" si="10">G89*K89</f>
        <v>865442.336</v>
      </c>
      <c r="I89" s="735">
        <f t="shared" ref="I89:I93" si="11">H89</f>
        <v>865442.336</v>
      </c>
      <c r="J89" s="735"/>
      <c r="K89" s="597">
        <v>7.1104</v>
      </c>
      <c r="L89" s="598" t="s">
        <v>1218</v>
      </c>
      <c r="M89" s="625">
        <v>45278</v>
      </c>
      <c r="N89" s="631">
        <v>45293</v>
      </c>
      <c r="O89" s="740" t="s">
        <v>2469</v>
      </c>
      <c r="P89" s="572"/>
      <c r="Q89" s="572"/>
      <c r="R89" s="752"/>
      <c r="S89" s="753"/>
    </row>
    <row r="90" s="10" customFormat="1" ht="16.5" spans="1:19">
      <c r="A90" s="713"/>
      <c r="B90" s="541"/>
      <c r="C90" s="544"/>
      <c r="D90" s="545"/>
      <c r="E90" s="672"/>
      <c r="F90" s="904" t="s">
        <v>2470</v>
      </c>
      <c r="G90" s="576">
        <v>34018</v>
      </c>
      <c r="H90" s="567">
        <f t="shared" si="10"/>
        <v>241881.5872</v>
      </c>
      <c r="I90" s="735">
        <f t="shared" si="11"/>
        <v>241881.5872</v>
      </c>
      <c r="J90" s="735"/>
      <c r="K90" s="597">
        <v>7.1104</v>
      </c>
      <c r="L90" s="598" t="s">
        <v>1218</v>
      </c>
      <c r="M90" s="625">
        <v>45287</v>
      </c>
      <c r="N90" s="631">
        <v>45297</v>
      </c>
      <c r="O90" s="740" t="s">
        <v>2471</v>
      </c>
      <c r="P90" s="572"/>
      <c r="Q90" s="572"/>
      <c r="R90" s="752"/>
      <c r="S90" s="753"/>
    </row>
    <row r="91" s="10" customFormat="1" ht="16.5" spans="1:19">
      <c r="A91" s="713"/>
      <c r="B91" s="721"/>
      <c r="C91" s="544"/>
      <c r="D91" s="545"/>
      <c r="E91" s="705" t="s">
        <v>1408</v>
      </c>
      <c r="F91" s="724" t="s">
        <v>2472</v>
      </c>
      <c r="G91" s="576">
        <v>38506</v>
      </c>
      <c r="H91" s="567">
        <f t="shared" si="10"/>
        <v>273793.0624</v>
      </c>
      <c r="I91" s="735">
        <f t="shared" si="11"/>
        <v>273793.0624</v>
      </c>
      <c r="J91" s="735"/>
      <c r="K91" s="597">
        <v>7.1104</v>
      </c>
      <c r="L91" s="598" t="s">
        <v>1218</v>
      </c>
      <c r="M91" s="625">
        <v>45284</v>
      </c>
      <c r="N91" s="631">
        <v>45295</v>
      </c>
      <c r="O91" s="740" t="s">
        <v>2473</v>
      </c>
      <c r="P91" s="250"/>
      <c r="Q91" s="751"/>
      <c r="R91" s="755"/>
      <c r="S91" s="756"/>
    </row>
    <row r="92" s="10" customFormat="1" ht="16.5" spans="1:19">
      <c r="A92" s="713"/>
      <c r="B92" s="541"/>
      <c r="C92" s="544"/>
      <c r="D92" s="545"/>
      <c r="E92" s="672"/>
      <c r="F92" s="561" t="s">
        <v>2474</v>
      </c>
      <c r="G92" s="576">
        <v>37752</v>
      </c>
      <c r="H92" s="567">
        <f t="shared" si="10"/>
        <v>268431.8208</v>
      </c>
      <c r="I92" s="735">
        <f t="shared" si="11"/>
        <v>268431.8208</v>
      </c>
      <c r="J92" s="735"/>
      <c r="K92" s="597">
        <v>7.1104</v>
      </c>
      <c r="L92" s="598" t="s">
        <v>1218</v>
      </c>
      <c r="M92" s="625">
        <v>45286</v>
      </c>
      <c r="N92" s="608">
        <v>45294</v>
      </c>
      <c r="O92" s="740" t="s">
        <v>2475</v>
      </c>
      <c r="P92" s="572"/>
      <c r="Q92" s="572"/>
      <c r="R92" s="752"/>
      <c r="S92" s="753"/>
    </row>
    <row r="93" s="10" customFormat="1" ht="16.5" spans="1:19">
      <c r="A93" s="713"/>
      <c r="B93" s="541"/>
      <c r="C93" s="544"/>
      <c r="D93" s="545"/>
      <c r="E93" s="568" t="s">
        <v>2476</v>
      </c>
      <c r="F93" s="672" t="s">
        <v>2477</v>
      </c>
      <c r="G93" s="576">
        <v>85000</v>
      </c>
      <c r="H93" s="567">
        <f t="shared" si="10"/>
        <v>604384</v>
      </c>
      <c r="I93" s="735">
        <f t="shared" si="11"/>
        <v>604384</v>
      </c>
      <c r="J93" s="735"/>
      <c r="K93" s="597">
        <v>7.1104</v>
      </c>
      <c r="L93" s="598" t="s">
        <v>1218</v>
      </c>
      <c r="M93" s="636">
        <v>45289</v>
      </c>
      <c r="N93" s="631">
        <v>45294</v>
      </c>
      <c r="O93" s="740" t="s">
        <v>2478</v>
      </c>
      <c r="P93" s="572"/>
      <c r="Q93" s="572"/>
      <c r="R93" s="752"/>
      <c r="S93" s="753"/>
    </row>
    <row r="94" s="10" customFormat="1" ht="16.5" spans="1:19">
      <c r="A94" s="713"/>
      <c r="B94" s="541"/>
      <c r="C94" s="544"/>
      <c r="D94" s="545"/>
      <c r="E94" s="705" t="s">
        <v>1934</v>
      </c>
      <c r="F94" s="724" t="s">
        <v>2479</v>
      </c>
      <c r="G94" s="725"/>
      <c r="H94" s="567"/>
      <c r="I94" s="766"/>
      <c r="J94" s="567">
        <v>294370.56</v>
      </c>
      <c r="K94" s="597">
        <v>7.1104</v>
      </c>
      <c r="L94" s="598" t="s">
        <v>1218</v>
      </c>
      <c r="M94" s="625">
        <v>45259</v>
      </c>
      <c r="N94" s="625">
        <v>45261</v>
      </c>
      <c r="O94" s="740" t="s">
        <v>2433</v>
      </c>
      <c r="P94" s="572"/>
      <c r="Q94" s="572"/>
      <c r="R94" s="752"/>
      <c r="S94" s="753"/>
    </row>
    <row r="95" s="10" customFormat="1" ht="16.5" spans="1:19">
      <c r="A95" s="713"/>
      <c r="B95" s="541"/>
      <c r="C95" s="544"/>
      <c r="D95" s="545"/>
      <c r="E95" s="541"/>
      <c r="F95" s="731" t="s">
        <v>2480</v>
      </c>
      <c r="G95" s="725"/>
      <c r="H95" s="567"/>
      <c r="I95" s="766"/>
      <c r="J95" s="567">
        <v>310852.4672</v>
      </c>
      <c r="K95" s="597">
        <v>7.1104</v>
      </c>
      <c r="L95" s="598" t="s">
        <v>1218</v>
      </c>
      <c r="M95" s="625">
        <v>45259</v>
      </c>
      <c r="N95" s="625">
        <v>45261</v>
      </c>
      <c r="O95" s="740" t="s">
        <v>2433</v>
      </c>
      <c r="P95" s="572"/>
      <c r="Q95" s="572"/>
      <c r="R95" s="752"/>
      <c r="S95" s="753"/>
    </row>
    <row r="96" s="10" customFormat="1" ht="16.5" spans="1:19">
      <c r="A96" s="713"/>
      <c r="B96" s="541"/>
      <c r="C96" s="544"/>
      <c r="D96" s="545"/>
      <c r="E96" s="541"/>
      <c r="F96" s="731" t="s">
        <v>2481</v>
      </c>
      <c r="G96" s="725">
        <v>34183</v>
      </c>
      <c r="H96" s="567">
        <f t="shared" ref="H96:H106" si="12">G96*K96</f>
        <v>243054.8032</v>
      </c>
      <c r="I96" s="766">
        <f t="shared" ref="I96:I103" si="13">H96</f>
        <v>243054.8032</v>
      </c>
      <c r="J96" s="681">
        <f t="shared" ref="J96:J99" si="14">I96</f>
        <v>243054.8032</v>
      </c>
      <c r="K96" s="597">
        <v>7.1104</v>
      </c>
      <c r="L96" s="598" t="s">
        <v>1218</v>
      </c>
      <c r="M96" s="625">
        <v>45278</v>
      </c>
      <c r="N96" s="625">
        <v>45280</v>
      </c>
      <c r="O96" s="740" t="s">
        <v>2482</v>
      </c>
      <c r="P96" s="572"/>
      <c r="Q96" s="572"/>
      <c r="R96" s="752"/>
      <c r="S96" s="753"/>
    </row>
    <row r="97" s="10" customFormat="1" ht="16.5" spans="1:19">
      <c r="A97" s="713"/>
      <c r="B97" s="541"/>
      <c r="C97" s="544"/>
      <c r="D97" s="545"/>
      <c r="E97" s="541"/>
      <c r="F97" s="724" t="s">
        <v>1973</v>
      </c>
      <c r="G97" s="725">
        <v>90198.7</v>
      </c>
      <c r="H97" s="577">
        <f t="shared" si="12"/>
        <v>641348.83648</v>
      </c>
      <c r="I97" s="735">
        <f t="shared" si="13"/>
        <v>641348.83648</v>
      </c>
      <c r="J97" s="735">
        <f t="shared" si="14"/>
        <v>641348.83648</v>
      </c>
      <c r="K97" s="597">
        <v>7.1104</v>
      </c>
      <c r="L97" s="598" t="s">
        <v>1218</v>
      </c>
      <c r="M97" s="625">
        <v>45286</v>
      </c>
      <c r="N97" s="625">
        <v>45289</v>
      </c>
      <c r="O97" s="740" t="s">
        <v>2483</v>
      </c>
      <c r="P97" s="572"/>
      <c r="Q97" s="572"/>
      <c r="R97" s="752"/>
      <c r="S97" s="753"/>
    </row>
    <row r="98" s="10" customFormat="1" ht="16.5" spans="1:19">
      <c r="A98" s="713"/>
      <c r="B98" s="541"/>
      <c r="C98" s="544"/>
      <c r="D98" s="545"/>
      <c r="E98" s="541"/>
      <c r="F98" s="724" t="s">
        <v>2484</v>
      </c>
      <c r="G98" s="725">
        <v>340000</v>
      </c>
      <c r="H98" s="567">
        <f t="shared" si="12"/>
        <v>2417536</v>
      </c>
      <c r="I98" s="735">
        <f t="shared" si="13"/>
        <v>2417536</v>
      </c>
      <c r="J98" s="735"/>
      <c r="K98" s="597">
        <v>7.1104</v>
      </c>
      <c r="L98" s="598" t="s">
        <v>1218</v>
      </c>
      <c r="M98" s="625">
        <v>45288</v>
      </c>
      <c r="N98" s="625">
        <v>45296</v>
      </c>
      <c r="O98" s="740" t="s">
        <v>2485</v>
      </c>
      <c r="P98" s="572"/>
      <c r="Q98" s="572"/>
      <c r="R98" s="752"/>
      <c r="S98" s="753"/>
    </row>
    <row r="99" s="536" customFormat="1" ht="16.5" spans="1:19">
      <c r="A99" s="713"/>
      <c r="B99" s="721"/>
      <c r="C99" s="544"/>
      <c r="D99" s="545"/>
      <c r="E99" s="723" t="s">
        <v>175</v>
      </c>
      <c r="F99" s="904" t="s">
        <v>2486</v>
      </c>
      <c r="G99" s="722">
        <v>29418</v>
      </c>
      <c r="H99" s="567">
        <f t="shared" si="12"/>
        <v>209173.7472</v>
      </c>
      <c r="I99" s="766">
        <f t="shared" si="13"/>
        <v>209173.7472</v>
      </c>
      <c r="J99" s="766">
        <f t="shared" si="14"/>
        <v>209173.7472</v>
      </c>
      <c r="K99" s="597">
        <v>7.1104</v>
      </c>
      <c r="L99" s="598" t="s">
        <v>1218</v>
      </c>
      <c r="M99" s="625">
        <v>45274</v>
      </c>
      <c r="N99" s="625">
        <v>45278</v>
      </c>
      <c r="O99" s="740" t="s">
        <v>2487</v>
      </c>
      <c r="P99" s="250"/>
      <c r="Q99" s="751"/>
      <c r="R99" s="755"/>
      <c r="S99" s="756"/>
    </row>
    <row r="100" s="536" customFormat="1" ht="16.5" spans="1:19">
      <c r="A100" s="718"/>
      <c r="B100" s="541"/>
      <c r="C100" s="544"/>
      <c r="D100" s="545"/>
      <c r="E100" s="568" t="s">
        <v>247</v>
      </c>
      <c r="F100" s="672" t="s">
        <v>2488</v>
      </c>
      <c r="G100" s="576">
        <v>33000</v>
      </c>
      <c r="H100" s="596">
        <f t="shared" si="12"/>
        <v>234643.2</v>
      </c>
      <c r="I100" s="766">
        <f t="shared" si="13"/>
        <v>234643.2</v>
      </c>
      <c r="J100" s="766">
        <v>234643.2</v>
      </c>
      <c r="K100" s="597">
        <v>7.1104</v>
      </c>
      <c r="L100" s="598" t="s">
        <v>1218</v>
      </c>
      <c r="M100" s="598">
        <v>45285</v>
      </c>
      <c r="N100" s="967">
        <v>45290</v>
      </c>
      <c r="O100" s="740" t="s">
        <v>2489</v>
      </c>
      <c r="P100" s="744"/>
      <c r="Q100" s="250"/>
      <c r="R100" s="744"/>
      <c r="S100" s="754"/>
    </row>
    <row r="101" s="10" customFormat="1" ht="33" spans="1:19">
      <c r="A101" s="713"/>
      <c r="B101" s="541"/>
      <c r="C101" s="544"/>
      <c r="D101" s="545"/>
      <c r="E101" s="705" t="s">
        <v>256</v>
      </c>
      <c r="F101" s="904" t="s">
        <v>2490</v>
      </c>
      <c r="G101" s="722">
        <v>11968</v>
      </c>
      <c r="H101" s="567">
        <f t="shared" si="12"/>
        <v>85097.2672</v>
      </c>
      <c r="I101" s="735">
        <f t="shared" si="13"/>
        <v>85097.2672</v>
      </c>
      <c r="J101" s="567">
        <v>85097.2672</v>
      </c>
      <c r="K101" s="597">
        <v>7.1104</v>
      </c>
      <c r="L101" s="598" t="s">
        <v>1218</v>
      </c>
      <c r="M101" s="918">
        <v>45280</v>
      </c>
      <c r="N101" s="918">
        <v>45283</v>
      </c>
      <c r="O101" s="740" t="s">
        <v>2491</v>
      </c>
      <c r="P101" s="572"/>
      <c r="Q101" s="572"/>
      <c r="R101" s="752"/>
      <c r="S101" s="753"/>
    </row>
    <row r="102" s="10" customFormat="1" ht="33" spans="1:19">
      <c r="A102" s="713"/>
      <c r="B102" s="541"/>
      <c r="C102" s="544"/>
      <c r="D102" s="545"/>
      <c r="E102" s="541"/>
      <c r="F102" s="672" t="s">
        <v>2492</v>
      </c>
      <c r="G102" s="722">
        <v>29030</v>
      </c>
      <c r="H102" s="567">
        <f t="shared" si="12"/>
        <v>206414.912</v>
      </c>
      <c r="I102" s="735">
        <f t="shared" si="13"/>
        <v>206414.912</v>
      </c>
      <c r="J102" s="681"/>
      <c r="K102" s="597">
        <v>7.1104</v>
      </c>
      <c r="L102" s="598" t="s">
        <v>1218</v>
      </c>
      <c r="M102" s="918">
        <v>45287</v>
      </c>
      <c r="N102" s="1282">
        <v>45293</v>
      </c>
      <c r="O102" s="772" t="s">
        <v>2493</v>
      </c>
      <c r="P102" s="572"/>
      <c r="Q102" s="572"/>
      <c r="R102" s="752"/>
      <c r="S102" s="753"/>
    </row>
    <row r="103" s="10" customFormat="1" ht="33" spans="1:19">
      <c r="A103" s="713"/>
      <c r="B103" s="541"/>
      <c r="C103" s="544"/>
      <c r="D103" s="545"/>
      <c r="E103" s="672"/>
      <c r="F103" s="672" t="s">
        <v>2494</v>
      </c>
      <c r="G103" s="722">
        <v>17000</v>
      </c>
      <c r="H103" s="567">
        <f t="shared" si="12"/>
        <v>120876.8</v>
      </c>
      <c r="I103" s="735">
        <f t="shared" si="13"/>
        <v>120876.8</v>
      </c>
      <c r="J103" s="735"/>
      <c r="K103" s="597">
        <v>7.1104</v>
      </c>
      <c r="L103" s="598" t="s">
        <v>1218</v>
      </c>
      <c r="M103" s="918">
        <v>45288</v>
      </c>
      <c r="N103" s="1283">
        <v>45292</v>
      </c>
      <c r="O103" s="740" t="s">
        <v>2495</v>
      </c>
      <c r="P103" s="572"/>
      <c r="Q103" s="572"/>
      <c r="R103" s="752"/>
      <c r="S103" s="753"/>
    </row>
    <row r="104" s="10" customFormat="1" ht="16.5" spans="1:19">
      <c r="A104" s="713"/>
      <c r="B104" s="541"/>
      <c r="C104" s="666" t="s">
        <v>1437</v>
      </c>
      <c r="D104" s="759">
        <v>285</v>
      </c>
      <c r="E104" s="716" t="s">
        <v>2496</v>
      </c>
      <c r="F104" s="561" t="s">
        <v>2497</v>
      </c>
      <c r="G104" s="725">
        <v>35398</v>
      </c>
      <c r="H104" s="567">
        <f t="shared" si="12"/>
        <v>251693.9392</v>
      </c>
      <c r="I104" s="735">
        <v>251693.9392</v>
      </c>
      <c r="J104" s="735">
        <v>251693.9392</v>
      </c>
      <c r="K104" s="597">
        <v>7.1104</v>
      </c>
      <c r="L104" s="598" t="s">
        <v>1218</v>
      </c>
      <c r="M104" s="625">
        <v>45282</v>
      </c>
      <c r="N104" s="625">
        <v>45291</v>
      </c>
      <c r="O104" s="740" t="s">
        <v>2498</v>
      </c>
      <c r="P104" s="572"/>
      <c r="Q104" s="572"/>
      <c r="R104" s="752"/>
      <c r="S104" s="753"/>
    </row>
    <row r="105" s="10" customFormat="1" ht="16.5" spans="1:19">
      <c r="A105" s="713"/>
      <c r="B105" s="541"/>
      <c r="C105" s="556"/>
      <c r="D105" s="557"/>
      <c r="E105" s="715" t="s">
        <v>1771</v>
      </c>
      <c r="F105" s="904" t="s">
        <v>2499</v>
      </c>
      <c r="G105" s="969">
        <f>15532</f>
        <v>15532</v>
      </c>
      <c r="H105" s="567">
        <f t="shared" si="12"/>
        <v>110438.7328</v>
      </c>
      <c r="I105" s="681">
        <v>110438.7328</v>
      </c>
      <c r="J105" s="681">
        <v>110438.7328</v>
      </c>
      <c r="K105" s="597">
        <v>7.1104</v>
      </c>
      <c r="L105" s="598" t="s">
        <v>1218</v>
      </c>
      <c r="M105" s="625">
        <v>45279</v>
      </c>
      <c r="N105" s="625" t="s">
        <v>2500</v>
      </c>
      <c r="O105" s="740" t="s">
        <v>2501</v>
      </c>
      <c r="P105" s="572"/>
      <c r="Q105" s="572"/>
      <c r="R105" s="752"/>
      <c r="S105" s="753"/>
    </row>
    <row r="106" s="10" customFormat="1" ht="16.5" spans="1:19">
      <c r="A106" s="713"/>
      <c r="B106" s="541"/>
      <c r="C106" s="556"/>
      <c r="D106" s="557"/>
      <c r="E106" s="715" t="s">
        <v>1771</v>
      </c>
      <c r="F106" s="904" t="s">
        <v>2502</v>
      </c>
      <c r="G106" s="969">
        <v>10162</v>
      </c>
      <c r="H106" s="567">
        <f t="shared" si="12"/>
        <v>72255.8848</v>
      </c>
      <c r="I106" s="681">
        <v>72255.8848</v>
      </c>
      <c r="J106" s="681">
        <v>72255.8848</v>
      </c>
      <c r="K106" s="597">
        <v>7.1104</v>
      </c>
      <c r="L106" s="598" t="s">
        <v>1218</v>
      </c>
      <c r="M106" s="633">
        <v>45286</v>
      </c>
      <c r="N106" s="625" t="s">
        <v>2461</v>
      </c>
      <c r="O106" s="740" t="s">
        <v>2503</v>
      </c>
      <c r="P106" s="572"/>
      <c r="Q106" s="572"/>
      <c r="R106" s="752"/>
      <c r="S106" s="753"/>
    </row>
    <row r="107" s="10" customFormat="1" ht="18.75" customHeight="1" spans="1:19">
      <c r="A107" s="713"/>
      <c r="B107" s="541"/>
      <c r="C107" s="666" t="s">
        <v>1124</v>
      </c>
      <c r="D107" s="759">
        <f>SUM(D66:D104)</f>
        <v>1518</v>
      </c>
      <c r="E107" s="715"/>
      <c r="F107" s="571"/>
      <c r="G107" s="726" t="s">
        <v>1235</v>
      </c>
      <c r="H107" s="675">
        <f t="shared" ref="H107:J107" si="15">SUM(H66:H106)</f>
        <v>10466030.27008</v>
      </c>
      <c r="I107" s="675">
        <f t="shared" si="15"/>
        <v>10466030.27008</v>
      </c>
      <c r="J107" s="675">
        <f t="shared" si="15"/>
        <v>7501675.86788</v>
      </c>
      <c r="K107" s="597"/>
      <c r="L107" s="598"/>
      <c r="M107" s="644"/>
      <c r="N107" s="644"/>
      <c r="O107" s="740"/>
      <c r="P107" s="572"/>
      <c r="Q107" s="572"/>
      <c r="R107" s="752"/>
      <c r="S107" s="753"/>
    </row>
    <row r="108" s="10" customFormat="1" ht="18.75" customHeight="1" spans="1:19">
      <c r="A108" s="713"/>
      <c r="B108" s="541"/>
      <c r="C108" s="670"/>
      <c r="D108" s="968"/>
      <c r="E108" s="715"/>
      <c r="F108" s="571"/>
      <c r="G108" s="969" t="s">
        <v>1236</v>
      </c>
      <c r="H108" s="970">
        <f t="shared" ref="H108:J108" si="16">H107/15180000</f>
        <v>0.689461809623189</v>
      </c>
      <c r="I108" s="970">
        <f t="shared" si="16"/>
        <v>0.689461809623189</v>
      </c>
      <c r="J108" s="970">
        <f t="shared" si="16"/>
        <v>0.494181545973649</v>
      </c>
      <c r="K108" s="614"/>
      <c r="L108" s="598"/>
      <c r="M108" s="644"/>
      <c r="N108" s="644"/>
      <c r="O108" s="740"/>
      <c r="P108" s="572"/>
      <c r="Q108" s="572"/>
      <c r="R108" s="752"/>
      <c r="S108" s="753"/>
    </row>
    <row r="109" s="10" customFormat="1" ht="30" spans="1:19">
      <c r="A109" s="718"/>
      <c r="B109" s="553" t="s">
        <v>1820</v>
      </c>
      <c r="C109" s="554" t="s">
        <v>1946</v>
      </c>
      <c r="D109" s="555" t="s">
        <v>1821</v>
      </c>
      <c r="E109" s="555" t="s">
        <v>1822</v>
      </c>
      <c r="F109" s="588" t="s">
        <v>1095</v>
      </c>
      <c r="G109" s="589" t="s">
        <v>362</v>
      </c>
      <c r="H109" s="590" t="s">
        <v>1865</v>
      </c>
      <c r="I109" s="590"/>
      <c r="J109" s="590"/>
      <c r="K109" s="590" t="s">
        <v>1866</v>
      </c>
      <c r="L109" s="615" t="s">
        <v>1098</v>
      </c>
      <c r="M109" s="590" t="s">
        <v>1867</v>
      </c>
      <c r="N109" s="646"/>
      <c r="O109" s="740"/>
      <c r="P109" s="744"/>
      <c r="Q109" s="572"/>
      <c r="R109" s="744"/>
      <c r="S109" s="754"/>
    </row>
    <row r="110" s="10" customFormat="1" ht="16.5" spans="1:19">
      <c r="A110" s="718"/>
      <c r="B110" s="541" t="s">
        <v>1947</v>
      </c>
      <c r="C110" s="542" t="s">
        <v>1248</v>
      </c>
      <c r="D110" s="543" t="s">
        <v>1125</v>
      </c>
      <c r="E110" s="705" t="s">
        <v>299</v>
      </c>
      <c r="F110" s="579" t="s">
        <v>2504</v>
      </c>
      <c r="G110" s="722">
        <v>12000</v>
      </c>
      <c r="H110" s="567">
        <f t="shared" ref="H110:H114" si="17">G110*K110</f>
        <v>85324.8</v>
      </c>
      <c r="I110" s="735"/>
      <c r="J110" s="735"/>
      <c r="K110" s="597">
        <v>7.1104</v>
      </c>
      <c r="L110" s="598" t="s">
        <v>2505</v>
      </c>
      <c r="M110" s="636" t="s">
        <v>2506</v>
      </c>
      <c r="N110" s="975"/>
      <c r="O110" s="740" t="s">
        <v>2507</v>
      </c>
      <c r="P110" s="744"/>
      <c r="Q110" s="572"/>
      <c r="R110" s="744"/>
      <c r="S110" s="754"/>
    </row>
    <row r="111" s="10" customFormat="1" ht="16.5" spans="1:19">
      <c r="A111" s="718"/>
      <c r="B111" s="541"/>
      <c r="C111" s="544"/>
      <c r="D111" s="545"/>
      <c r="E111" s="705" t="s">
        <v>1974</v>
      </c>
      <c r="F111" s="904" t="s">
        <v>1975</v>
      </c>
      <c r="G111" s="722">
        <v>30000</v>
      </c>
      <c r="H111" s="567">
        <v>213312</v>
      </c>
      <c r="I111" s="683"/>
      <c r="J111" s="735"/>
      <c r="K111" s="597">
        <v>7.1104</v>
      </c>
      <c r="L111" s="598" t="s">
        <v>1961</v>
      </c>
      <c r="M111" s="636" t="s">
        <v>621</v>
      </c>
      <c r="N111" s="975"/>
      <c r="O111" s="740" t="s">
        <v>2508</v>
      </c>
      <c r="P111" s="744"/>
      <c r="Q111" s="572"/>
      <c r="R111" s="744"/>
      <c r="S111" s="754"/>
    </row>
    <row r="112" s="10" customFormat="1" ht="16.5" spans="1:19">
      <c r="A112" s="718"/>
      <c r="B112" s="541"/>
      <c r="C112" s="715" t="s">
        <v>1922</v>
      </c>
      <c r="D112" s="545"/>
      <c r="E112" s="568" t="s">
        <v>2509</v>
      </c>
      <c r="F112" s="904" t="s">
        <v>2510</v>
      </c>
      <c r="G112" s="722">
        <v>32367</v>
      </c>
      <c r="H112" s="567">
        <f t="shared" si="17"/>
        <v>230142.3168</v>
      </c>
      <c r="I112" s="683"/>
      <c r="J112" s="735"/>
      <c r="K112" s="597">
        <v>7.1104</v>
      </c>
      <c r="L112" s="598" t="s">
        <v>1218</v>
      </c>
      <c r="M112" s="636" t="s">
        <v>2511</v>
      </c>
      <c r="N112" s="975"/>
      <c r="O112" s="740" t="s">
        <v>2512</v>
      </c>
      <c r="P112" s="744"/>
      <c r="Q112" s="572"/>
      <c r="R112" s="744"/>
      <c r="S112" s="754"/>
    </row>
    <row r="113" s="10" customFormat="1" ht="18.75" customHeight="1" spans="1:19">
      <c r="A113" s="713"/>
      <c r="B113" s="721"/>
      <c r="C113" s="556"/>
      <c r="D113" s="557"/>
      <c r="E113" s="571" t="s">
        <v>1934</v>
      </c>
      <c r="F113" s="731" t="s">
        <v>2484</v>
      </c>
      <c r="G113" s="576">
        <v>60000</v>
      </c>
      <c r="H113" s="567"/>
      <c r="I113" s="735"/>
      <c r="J113" s="735"/>
      <c r="K113" s="597">
        <v>7.1104</v>
      </c>
      <c r="L113" s="598" t="s">
        <v>1218</v>
      </c>
      <c r="M113" s="636" t="s">
        <v>621</v>
      </c>
      <c r="N113" s="975"/>
      <c r="O113" s="740" t="s">
        <v>2513</v>
      </c>
      <c r="P113" s="250"/>
      <c r="Q113" s="751"/>
      <c r="R113" s="755"/>
      <c r="S113" s="756"/>
    </row>
    <row r="114" s="10" customFormat="1" ht="23.35" customHeight="1" spans="1:19">
      <c r="A114" s="713"/>
      <c r="B114" s="541"/>
      <c r="C114" s="544"/>
      <c r="D114" s="545"/>
      <c r="E114" s="568" t="s">
        <v>1483</v>
      </c>
      <c r="F114" s="672" t="s">
        <v>2514</v>
      </c>
      <c r="G114" s="576">
        <v>45000</v>
      </c>
      <c r="H114" s="567">
        <f t="shared" si="17"/>
        <v>319968</v>
      </c>
      <c r="I114" s="735"/>
      <c r="J114" s="735"/>
      <c r="K114" s="597">
        <v>7.1104</v>
      </c>
      <c r="L114" s="598" t="s">
        <v>1218</v>
      </c>
      <c r="M114" s="636">
        <v>45287</v>
      </c>
      <c r="N114" s="625">
        <v>45289</v>
      </c>
      <c r="O114" s="740" t="s">
        <v>2515</v>
      </c>
      <c r="P114" s="572"/>
      <c r="Q114" s="572"/>
      <c r="R114" s="752"/>
      <c r="S114" s="753"/>
    </row>
    <row r="115" s="10" customFormat="1" ht="18.75" customHeight="1" spans="1:19">
      <c r="A115" s="713"/>
      <c r="B115" s="721"/>
      <c r="C115" s="556" t="s">
        <v>209</v>
      </c>
      <c r="D115" s="545"/>
      <c r="E115" s="571"/>
      <c r="F115" s="904"/>
      <c r="G115" s="722"/>
      <c r="H115" s="567"/>
      <c r="I115" s="735"/>
      <c r="J115" s="735"/>
      <c r="K115" s="597"/>
      <c r="L115" s="598"/>
      <c r="M115" s="636"/>
      <c r="N115" s="975"/>
      <c r="O115" s="740"/>
      <c r="P115" s="250"/>
      <c r="Q115" s="751"/>
      <c r="R115" s="755"/>
      <c r="S115" s="756"/>
    </row>
    <row r="116" s="10" customFormat="1" ht="18.75" customHeight="1" spans="1:19">
      <c r="A116" s="713"/>
      <c r="B116" s="541"/>
      <c r="C116" s="568" t="s">
        <v>1437</v>
      </c>
      <c r="D116" s="547"/>
      <c r="E116" s="716"/>
      <c r="F116" s="561"/>
      <c r="G116" s="725"/>
      <c r="H116" s="567"/>
      <c r="I116" s="735"/>
      <c r="J116" s="735"/>
      <c r="K116" s="597"/>
      <c r="L116" s="598"/>
      <c r="M116" s="636"/>
      <c r="N116" s="975"/>
      <c r="O116" s="740"/>
      <c r="P116" s="250"/>
      <c r="Q116" s="751"/>
      <c r="R116" s="755"/>
      <c r="S116" s="756"/>
    </row>
    <row r="117" s="10" customFormat="1" ht="18.75" customHeight="1" spans="1:19">
      <c r="A117" s="713"/>
      <c r="B117" s="672"/>
      <c r="C117" s="757" t="s">
        <v>1874</v>
      </c>
      <c r="D117" s="758"/>
      <c r="E117" s="758"/>
      <c r="F117" s="758"/>
      <c r="G117" s="760"/>
      <c r="H117" s="761">
        <f>SUM(H110:H116)</f>
        <v>848747.1168</v>
      </c>
      <c r="I117" s="766"/>
      <c r="J117" s="766"/>
      <c r="K117" s="597"/>
      <c r="L117" s="598"/>
      <c r="M117" s="682"/>
      <c r="N117" s="976"/>
      <c r="O117" s="740"/>
      <c r="P117" s="250"/>
      <c r="Q117" s="751"/>
      <c r="R117" s="755"/>
      <c r="S117" s="756"/>
    </row>
    <row r="118" s="10" customFormat="1" ht="18.75" customHeight="1" spans="1:19">
      <c r="A118" s="713"/>
      <c r="B118" s="564" t="s">
        <v>1875</v>
      </c>
      <c r="C118" s="666" t="s">
        <v>1248</v>
      </c>
      <c r="D118" s="557" t="s">
        <v>1125</v>
      </c>
      <c r="E118" s="705"/>
      <c r="F118" s="764"/>
      <c r="G118" s="762"/>
      <c r="H118" s="567"/>
      <c r="I118" s="577"/>
      <c r="J118" s="764"/>
      <c r="K118" s="597"/>
      <c r="L118" s="708"/>
      <c r="M118" s="638"/>
      <c r="N118" s="974"/>
      <c r="O118" s="740"/>
      <c r="P118" s="250"/>
      <c r="Q118" s="751"/>
      <c r="R118" s="755"/>
      <c r="S118" s="756"/>
    </row>
    <row r="119" s="10" customFormat="1" ht="18.75" customHeight="1" spans="1:19">
      <c r="A119" s="713"/>
      <c r="B119" s="721"/>
      <c r="C119" s="664" t="s">
        <v>1922</v>
      </c>
      <c r="D119" s="557"/>
      <c r="E119" s="705" t="s">
        <v>165</v>
      </c>
      <c r="F119" s="904" t="s">
        <v>1968</v>
      </c>
      <c r="G119" s="576">
        <v>20000</v>
      </c>
      <c r="H119" s="567"/>
      <c r="I119" s="735"/>
      <c r="J119" s="735"/>
      <c r="K119" s="597">
        <v>7.1104</v>
      </c>
      <c r="L119" s="598" t="s">
        <v>1218</v>
      </c>
      <c r="M119" s="636" t="s">
        <v>621</v>
      </c>
      <c r="N119" s="966"/>
      <c r="O119" s="740" t="s">
        <v>2516</v>
      </c>
      <c r="P119" s="250"/>
      <c r="Q119" s="751"/>
      <c r="R119" s="755"/>
      <c r="S119" s="756"/>
    </row>
    <row r="120" s="10" customFormat="1" ht="18.75" customHeight="1" spans="1:19">
      <c r="A120" s="713"/>
      <c r="B120" s="721"/>
      <c r="C120" s="664"/>
      <c r="D120" s="557"/>
      <c r="E120" s="541"/>
      <c r="F120" s="904" t="s">
        <v>2517</v>
      </c>
      <c r="G120" s="722">
        <v>30000</v>
      </c>
      <c r="H120" s="567"/>
      <c r="I120" s="577"/>
      <c r="J120" s="735"/>
      <c r="K120" s="597">
        <v>7.1104</v>
      </c>
      <c r="L120" s="598" t="s">
        <v>1218</v>
      </c>
      <c r="M120" s="636" t="s">
        <v>621</v>
      </c>
      <c r="N120" s="975"/>
      <c r="O120" s="740" t="s">
        <v>2518</v>
      </c>
      <c r="P120" s="250"/>
      <c r="Q120" s="751"/>
      <c r="R120" s="755"/>
      <c r="S120" s="756"/>
    </row>
    <row r="121" s="10" customFormat="1" ht="18.75" customHeight="1" spans="1:19">
      <c r="A121" s="713"/>
      <c r="B121" s="721"/>
      <c r="C121" s="664"/>
      <c r="D121" s="557"/>
      <c r="E121" s="672"/>
      <c r="F121" s="904" t="s">
        <v>2519</v>
      </c>
      <c r="G121" s="722">
        <v>20000</v>
      </c>
      <c r="H121" s="567"/>
      <c r="I121" s="570"/>
      <c r="J121" s="735"/>
      <c r="K121" s="597">
        <v>7.1104</v>
      </c>
      <c r="L121" s="598" t="s">
        <v>1218</v>
      </c>
      <c r="M121" s="636" t="s">
        <v>621</v>
      </c>
      <c r="N121" s="975"/>
      <c r="O121" s="740" t="s">
        <v>2518</v>
      </c>
      <c r="P121" s="250"/>
      <c r="Q121" s="751"/>
      <c r="R121" s="755"/>
      <c r="S121" s="756"/>
    </row>
    <row r="122" s="10" customFormat="1" ht="18.75" customHeight="1" spans="1:19">
      <c r="A122" s="713"/>
      <c r="B122" s="721"/>
      <c r="C122" s="664"/>
      <c r="D122" s="557"/>
      <c r="E122" s="672" t="s">
        <v>1169</v>
      </c>
      <c r="F122" s="904" t="s">
        <v>2520</v>
      </c>
      <c r="G122" s="576">
        <v>30000</v>
      </c>
      <c r="H122" s="567">
        <f t="shared" ref="H122:H126" si="18">G122*K122</f>
        <v>213312</v>
      </c>
      <c r="I122" s="683"/>
      <c r="J122" s="735"/>
      <c r="K122" s="597">
        <v>7.1104</v>
      </c>
      <c r="L122" s="598" t="s">
        <v>1218</v>
      </c>
      <c r="M122" s="636" t="s">
        <v>621</v>
      </c>
      <c r="N122" s="975"/>
      <c r="O122" s="740" t="s">
        <v>2521</v>
      </c>
      <c r="P122" s="250"/>
      <c r="Q122" s="751"/>
      <c r="R122" s="755"/>
      <c r="S122" s="756"/>
    </row>
    <row r="123" s="10" customFormat="1" ht="18.75" customHeight="1" spans="1:19">
      <c r="A123" s="713"/>
      <c r="B123" s="721"/>
      <c r="C123" s="664"/>
      <c r="D123" s="557"/>
      <c r="E123" s="672" t="s">
        <v>287</v>
      </c>
      <c r="F123" s="904" t="s">
        <v>2522</v>
      </c>
      <c r="G123" s="576">
        <v>47452</v>
      </c>
      <c r="H123" s="567">
        <f t="shared" si="18"/>
        <v>337402.7008</v>
      </c>
      <c r="I123" s="683"/>
      <c r="J123" s="735"/>
      <c r="K123" s="597">
        <v>7.1104</v>
      </c>
      <c r="L123" s="598" t="s">
        <v>1218</v>
      </c>
      <c r="M123" s="636" t="s">
        <v>621</v>
      </c>
      <c r="N123" s="975"/>
      <c r="O123" s="740" t="s">
        <v>2523</v>
      </c>
      <c r="P123" s="250"/>
      <c r="Q123" s="751"/>
      <c r="R123" s="755"/>
      <c r="S123" s="756"/>
    </row>
    <row r="124" s="10" customFormat="1" ht="30.75" customHeight="1" spans="1:19">
      <c r="A124" s="713"/>
      <c r="B124" s="541"/>
      <c r="C124" s="544" t="s">
        <v>209</v>
      </c>
      <c r="D124" s="545"/>
      <c r="E124" s="568" t="s">
        <v>1418</v>
      </c>
      <c r="F124" s="568" t="s">
        <v>2524</v>
      </c>
      <c r="G124" s="722">
        <v>11000</v>
      </c>
      <c r="H124" s="567">
        <f t="shared" si="18"/>
        <v>78214.4</v>
      </c>
      <c r="I124" s="735"/>
      <c r="J124" s="681"/>
      <c r="K124" s="597">
        <v>7.1104</v>
      </c>
      <c r="L124" s="598" t="s">
        <v>1218</v>
      </c>
      <c r="M124" s="625" t="s">
        <v>621</v>
      </c>
      <c r="N124" s="598" t="s">
        <v>2097</v>
      </c>
      <c r="O124" s="740" t="s">
        <v>2525</v>
      </c>
      <c r="P124" s="572"/>
      <c r="Q124" s="572"/>
      <c r="R124" s="752"/>
      <c r="S124" s="753"/>
    </row>
    <row r="125" s="10" customFormat="1" ht="21.25" customHeight="1" spans="1:19">
      <c r="A125" s="718"/>
      <c r="B125" s="541"/>
      <c r="C125" s="544"/>
      <c r="D125" s="545"/>
      <c r="E125" s="561" t="s">
        <v>175</v>
      </c>
      <c r="F125" s="724" t="s">
        <v>2526</v>
      </c>
      <c r="G125" s="576">
        <v>20000</v>
      </c>
      <c r="H125" s="567">
        <f t="shared" si="18"/>
        <v>142208</v>
      </c>
      <c r="I125" s="735"/>
      <c r="J125" s="735"/>
      <c r="K125" s="597">
        <v>7.1104</v>
      </c>
      <c r="L125" s="598" t="s">
        <v>1218</v>
      </c>
      <c r="M125" s="625" t="s">
        <v>621</v>
      </c>
      <c r="N125" s="645"/>
      <c r="O125" s="740" t="s">
        <v>2527</v>
      </c>
      <c r="P125" s="744"/>
      <c r="Q125" s="572"/>
      <c r="R125" s="744"/>
      <c r="S125" s="754"/>
    </row>
    <row r="126" s="10" customFormat="1" ht="18.75" customHeight="1" spans="1:19">
      <c r="A126" s="713"/>
      <c r="B126" s="721"/>
      <c r="C126" s="544"/>
      <c r="D126" s="557"/>
      <c r="E126" s="568" t="s">
        <v>243</v>
      </c>
      <c r="F126" s="568" t="s">
        <v>2528</v>
      </c>
      <c r="G126" s="576">
        <v>10000</v>
      </c>
      <c r="H126" s="567">
        <f t="shared" si="18"/>
        <v>71104</v>
      </c>
      <c r="I126" s="735"/>
      <c r="J126" s="735"/>
      <c r="K126" s="597">
        <v>7.1104</v>
      </c>
      <c r="L126" s="598" t="s">
        <v>1218</v>
      </c>
      <c r="M126" s="625" t="s">
        <v>621</v>
      </c>
      <c r="N126" s="645"/>
      <c r="O126" s="740" t="s">
        <v>2529</v>
      </c>
      <c r="P126" s="250"/>
      <c r="Q126" s="751"/>
      <c r="R126" s="755"/>
      <c r="S126" s="756"/>
    </row>
    <row r="127" s="10" customFormat="1" ht="16.5" spans="1:19">
      <c r="A127" s="713"/>
      <c r="B127" s="721"/>
      <c r="C127" s="543" t="s">
        <v>1437</v>
      </c>
      <c r="D127" s="557"/>
      <c r="E127" s="542"/>
      <c r="F127" s="971"/>
      <c r="G127" s="725"/>
      <c r="H127" s="567"/>
      <c r="I127" s="577"/>
      <c r="J127" s="735"/>
      <c r="K127" s="597">
        <v>7.1104</v>
      </c>
      <c r="L127" s="708"/>
      <c r="M127" s="636"/>
      <c r="N127" s="975"/>
      <c r="O127" s="740"/>
      <c r="P127" s="623"/>
      <c r="Q127" s="655"/>
      <c r="R127" s="656"/>
      <c r="S127" s="754"/>
    </row>
    <row r="128" s="10" customFormat="1" ht="16.5" spans="1:19">
      <c r="A128" s="713"/>
      <c r="B128" s="673"/>
      <c r="C128" s="652" t="s">
        <v>1874</v>
      </c>
      <c r="D128" s="652"/>
      <c r="E128" s="652"/>
      <c r="F128" s="652"/>
      <c r="G128" s="652"/>
      <c r="H128" s="782">
        <f>SUM(H118:H127)</f>
        <v>842241.1008</v>
      </c>
      <c r="I128" s="782"/>
      <c r="J128" s="782"/>
      <c r="K128" s="614"/>
      <c r="L128" s="610"/>
      <c r="M128" s="644"/>
      <c r="N128" s="644"/>
      <c r="O128" s="740"/>
      <c r="P128" s="623"/>
      <c r="Q128" s="655"/>
      <c r="R128" s="656"/>
      <c r="S128" s="754"/>
    </row>
    <row r="129" s="536" customFormat="1" ht="38.95" customHeight="1" spans="1:19">
      <c r="A129" s="537" t="s">
        <v>1092</v>
      </c>
      <c r="B129" s="537" t="s">
        <v>1820</v>
      </c>
      <c r="C129" s="538" t="s">
        <v>1946</v>
      </c>
      <c r="D129" s="539" t="s">
        <v>1821</v>
      </c>
      <c r="E129" s="539" t="s">
        <v>1822</v>
      </c>
      <c r="F129" s="558" t="s">
        <v>1095</v>
      </c>
      <c r="G129" s="559" t="s">
        <v>362</v>
      </c>
      <c r="H129" s="560" t="s">
        <v>1716</v>
      </c>
      <c r="I129" s="560" t="s">
        <v>1717</v>
      </c>
      <c r="J129" s="560" t="s">
        <v>1718</v>
      </c>
      <c r="K129" s="594" t="s">
        <v>1096</v>
      </c>
      <c r="L129" s="595" t="s">
        <v>1098</v>
      </c>
      <c r="M129" s="619" t="s">
        <v>1097</v>
      </c>
      <c r="N129" s="619" t="s">
        <v>1214</v>
      </c>
      <c r="O129" s="812" t="s">
        <v>1215</v>
      </c>
      <c r="P129" s="621" t="s">
        <v>7</v>
      </c>
      <c r="Q129" s="652" t="s">
        <v>8</v>
      </c>
      <c r="R129" s="653" t="s">
        <v>9</v>
      </c>
      <c r="S129" s="654" t="s">
        <v>1291</v>
      </c>
    </row>
    <row r="130" s="536" customFormat="1" ht="18" customHeight="1" spans="1:19">
      <c r="A130" s="977" t="s">
        <v>1984</v>
      </c>
      <c r="B130" s="568" t="s">
        <v>1824</v>
      </c>
      <c r="C130" s="666" t="s">
        <v>1987</v>
      </c>
      <c r="D130" s="759">
        <v>358</v>
      </c>
      <c r="E130" s="250" t="s">
        <v>2530</v>
      </c>
      <c r="F130" s="250" t="s">
        <v>2531</v>
      </c>
      <c r="G130" s="596">
        <v>159316</v>
      </c>
      <c r="H130" s="596">
        <v>159316</v>
      </c>
      <c r="I130" s="577">
        <f t="shared" ref="I130:I133" si="19">H130</f>
        <v>159316</v>
      </c>
      <c r="J130" s="603">
        <f>I130</f>
        <v>159316</v>
      </c>
      <c r="K130" s="597">
        <v>7.1104</v>
      </c>
      <c r="L130" s="598">
        <v>45283</v>
      </c>
      <c r="M130" s="598">
        <v>45273</v>
      </c>
      <c r="N130" s="625">
        <v>45283</v>
      </c>
      <c r="O130" s="813" t="s">
        <v>2532</v>
      </c>
      <c r="P130" s="814"/>
      <c r="Q130" s="655"/>
      <c r="R130" s="664"/>
      <c r="S130" s="577"/>
    </row>
    <row r="131" s="10" customFormat="1" ht="18" customHeight="1" spans="1:19">
      <c r="A131" s="775"/>
      <c r="B131" s="721"/>
      <c r="C131" s="250"/>
      <c r="D131" s="545"/>
      <c r="E131" s="673" t="s">
        <v>143</v>
      </c>
      <c r="F131" s="250" t="s">
        <v>2533</v>
      </c>
      <c r="G131" s="576">
        <v>127129</v>
      </c>
      <c r="H131" s="596">
        <f t="shared" ref="H131:H133" si="20">G131*K131</f>
        <v>903938.0416</v>
      </c>
      <c r="I131" s="577">
        <v>903938</v>
      </c>
      <c r="J131" s="567">
        <f>I131</f>
        <v>903938</v>
      </c>
      <c r="K131" s="597">
        <v>7.1104</v>
      </c>
      <c r="L131" s="625" t="s">
        <v>1218</v>
      </c>
      <c r="M131" s="598"/>
      <c r="N131" s="598">
        <v>45283</v>
      </c>
      <c r="O131" s="639" t="s">
        <v>228</v>
      </c>
      <c r="P131" s="620"/>
      <c r="Q131" s="652"/>
      <c r="R131" s="727"/>
      <c r="S131" s="727"/>
    </row>
    <row r="132" s="10" customFormat="1" ht="18" customHeight="1" spans="1:19">
      <c r="A132" s="718"/>
      <c r="B132" s="721"/>
      <c r="C132" s="721"/>
      <c r="D132" s="545"/>
      <c r="E132" s="673" t="s">
        <v>143</v>
      </c>
      <c r="F132" s="250" t="s">
        <v>2534</v>
      </c>
      <c r="G132" s="725">
        <v>37452.8</v>
      </c>
      <c r="H132" s="596">
        <f t="shared" si="20"/>
        <v>266304.38912</v>
      </c>
      <c r="I132" s="596">
        <f t="shared" si="19"/>
        <v>266304.38912</v>
      </c>
      <c r="J132" s="744">
        <f>I132</f>
        <v>266304.38912</v>
      </c>
      <c r="K132" s="597">
        <v>7.1104</v>
      </c>
      <c r="L132" s="598">
        <v>45276</v>
      </c>
      <c r="M132" s="598"/>
      <c r="N132" s="618">
        <v>45283</v>
      </c>
      <c r="O132" s="622" t="s">
        <v>2535</v>
      </c>
      <c r="P132" s="620"/>
      <c r="Q132" s="652"/>
      <c r="R132" s="727"/>
      <c r="S132" s="727"/>
    </row>
    <row r="133" s="10" customFormat="1" ht="18" customHeight="1" spans="1:19">
      <c r="A133" s="718"/>
      <c r="B133" s="721"/>
      <c r="C133" s="721"/>
      <c r="D133" s="545"/>
      <c r="E133" s="673" t="s">
        <v>143</v>
      </c>
      <c r="F133" s="250" t="s">
        <v>2536</v>
      </c>
      <c r="G133" s="576">
        <v>19447.12</v>
      </c>
      <c r="H133" s="596">
        <f t="shared" si="20"/>
        <v>138276.802048</v>
      </c>
      <c r="I133" s="596">
        <f t="shared" si="19"/>
        <v>138276.802048</v>
      </c>
      <c r="J133" s="744"/>
      <c r="K133" s="597">
        <v>7.1104</v>
      </c>
      <c r="L133" s="598" t="s">
        <v>1218</v>
      </c>
      <c r="M133" s="598">
        <v>45288</v>
      </c>
      <c r="N133" s="608">
        <v>45293</v>
      </c>
      <c r="O133" s="1284" t="s">
        <v>2537</v>
      </c>
      <c r="P133" s="620"/>
      <c r="Q133" s="652"/>
      <c r="R133" s="727"/>
      <c r="S133" s="727"/>
    </row>
    <row r="134" s="10" customFormat="1" ht="18" customHeight="1" spans="1:19">
      <c r="A134" s="775"/>
      <c r="B134" s="776"/>
      <c r="C134" s="556"/>
      <c r="D134" s="557"/>
      <c r="E134" s="673" t="s">
        <v>2538</v>
      </c>
      <c r="F134" s="250" t="s">
        <v>2539</v>
      </c>
      <c r="G134" s="576">
        <v>60725</v>
      </c>
      <c r="H134" s="981">
        <f>I134</f>
        <v>431779.04</v>
      </c>
      <c r="I134" s="596">
        <f>G134*K134</f>
        <v>431779.04</v>
      </c>
      <c r="J134" s="603"/>
      <c r="K134" s="597">
        <v>7.1104</v>
      </c>
      <c r="L134" s="598" t="s">
        <v>1218</v>
      </c>
      <c r="M134" s="598"/>
      <c r="N134" s="631">
        <v>45292</v>
      </c>
      <c r="O134" s="1285" t="s">
        <v>2540</v>
      </c>
      <c r="P134" s="816"/>
      <c r="Q134" s="655"/>
      <c r="R134" s="664"/>
      <c r="S134" s="577"/>
    </row>
    <row r="135" s="10" customFormat="1" ht="18" customHeight="1" spans="1:19">
      <c r="A135" s="775"/>
      <c r="B135" s="776"/>
      <c r="C135" s="664" t="s">
        <v>509</v>
      </c>
      <c r="D135" s="655">
        <v>610</v>
      </c>
      <c r="E135" s="250"/>
      <c r="F135" s="250"/>
      <c r="G135" s="596"/>
      <c r="H135" s="596"/>
      <c r="I135" s="596"/>
      <c r="J135" s="603"/>
      <c r="K135" s="597">
        <v>7.1104</v>
      </c>
      <c r="L135" s="598"/>
      <c r="M135" s="598"/>
      <c r="N135" s="625"/>
      <c r="O135" s="1286"/>
      <c r="P135" s="816"/>
      <c r="Q135" s="655"/>
      <c r="R135" s="664"/>
      <c r="S135" s="577"/>
    </row>
    <row r="136" s="10" customFormat="1" ht="18" customHeight="1" spans="1:19">
      <c r="A136" s="775"/>
      <c r="B136" s="541"/>
      <c r="C136" s="564"/>
      <c r="D136" s="545"/>
      <c r="E136" s="787" t="s">
        <v>2009</v>
      </c>
      <c r="F136" s="788" t="s">
        <v>2541</v>
      </c>
      <c r="G136" s="981">
        <v>1149496</v>
      </c>
      <c r="H136" s="981">
        <f t="shared" ref="H136:J136" si="21">G136</f>
        <v>1149496</v>
      </c>
      <c r="I136" s="981">
        <f t="shared" si="21"/>
        <v>1149496</v>
      </c>
      <c r="J136" s="981">
        <f t="shared" si="21"/>
        <v>1149496</v>
      </c>
      <c r="K136" s="597">
        <v>7.1104</v>
      </c>
      <c r="L136" s="598" t="s">
        <v>1251</v>
      </c>
      <c r="M136" s="598">
        <v>45275</v>
      </c>
      <c r="N136" s="598">
        <v>45281</v>
      </c>
      <c r="O136" s="1285" t="s">
        <v>2542</v>
      </c>
      <c r="P136" s="620"/>
      <c r="Q136" s="652"/>
      <c r="R136" s="727"/>
      <c r="S136" s="727"/>
    </row>
    <row r="137" s="10" customFormat="1" ht="18" customHeight="1" spans="1:19">
      <c r="A137" s="775"/>
      <c r="B137" s="669"/>
      <c r="C137" s="721"/>
      <c r="D137" s="545"/>
      <c r="E137" s="787" t="s">
        <v>2009</v>
      </c>
      <c r="F137" s="788" t="s">
        <v>2543</v>
      </c>
      <c r="G137" s="981">
        <v>672420</v>
      </c>
      <c r="H137" s="981">
        <f>I137</f>
        <v>672420</v>
      </c>
      <c r="I137" s="981">
        <v>672420</v>
      </c>
      <c r="J137" s="981"/>
      <c r="K137" s="597">
        <v>7.1104</v>
      </c>
      <c r="L137" s="598" t="s">
        <v>1251</v>
      </c>
      <c r="M137" s="598">
        <v>45281</v>
      </c>
      <c r="N137" s="608">
        <v>45294</v>
      </c>
      <c r="O137" s="1285" t="s">
        <v>2544</v>
      </c>
      <c r="P137" s="620"/>
      <c r="Q137" s="652"/>
      <c r="R137" s="727"/>
      <c r="S137" s="727"/>
    </row>
    <row r="138" s="10" customFormat="1" ht="18" customHeight="1" spans="1:19">
      <c r="A138" s="775"/>
      <c r="B138" s="776"/>
      <c r="C138" s="721"/>
      <c r="D138" s="545"/>
      <c r="E138" s="788" t="s">
        <v>2099</v>
      </c>
      <c r="F138" s="788" t="s">
        <v>2545</v>
      </c>
      <c r="G138" s="981">
        <v>1568970</v>
      </c>
      <c r="H138" s="981">
        <v>1568970</v>
      </c>
      <c r="I138" s="981">
        <v>1568970</v>
      </c>
      <c r="J138" s="981">
        <f>I138</f>
        <v>1568970</v>
      </c>
      <c r="K138" s="597">
        <v>7.1104</v>
      </c>
      <c r="L138" s="598" t="s">
        <v>1218</v>
      </c>
      <c r="M138" s="818">
        <v>0.631578947368421</v>
      </c>
      <c r="N138" s="598">
        <v>45281</v>
      </c>
      <c r="O138" s="925" t="s">
        <v>624</v>
      </c>
      <c r="P138" s="816"/>
      <c r="Q138" s="655"/>
      <c r="R138" s="664"/>
      <c r="S138" s="577"/>
    </row>
    <row r="139" s="10" customFormat="1" ht="18" customHeight="1" spans="1:19">
      <c r="A139" s="775"/>
      <c r="B139" s="776"/>
      <c r="C139" s="721"/>
      <c r="D139" s="545"/>
      <c r="E139" s="788" t="s">
        <v>768</v>
      </c>
      <c r="F139" s="788" t="s">
        <v>2546</v>
      </c>
      <c r="G139" s="725">
        <v>34183</v>
      </c>
      <c r="H139" s="981">
        <f t="shared" ref="H139:H142" si="22">G139*K139*0.85</f>
        <v>206596.58272</v>
      </c>
      <c r="I139" s="981">
        <f t="shared" ref="I139:I145" si="23">H139</f>
        <v>206596.58272</v>
      </c>
      <c r="J139" s="981"/>
      <c r="K139" s="597">
        <v>7.1104</v>
      </c>
      <c r="L139" s="598" t="s">
        <v>1218</v>
      </c>
      <c r="M139" s="598"/>
      <c r="N139" s="1287">
        <v>45297</v>
      </c>
      <c r="O139" s="925" t="s">
        <v>2547</v>
      </c>
      <c r="P139" s="816"/>
      <c r="Q139" s="655"/>
      <c r="R139" s="664"/>
      <c r="S139" s="577"/>
    </row>
    <row r="140" s="10" customFormat="1" ht="18" customHeight="1" spans="1:19">
      <c r="A140" s="775"/>
      <c r="B140" s="776"/>
      <c r="C140" s="721"/>
      <c r="D140" s="545"/>
      <c r="E140" s="788" t="s">
        <v>768</v>
      </c>
      <c r="F140" s="788" t="s">
        <v>2548</v>
      </c>
      <c r="G140" s="725">
        <v>35018</v>
      </c>
      <c r="H140" s="981">
        <f t="shared" si="22"/>
        <v>211643.18912</v>
      </c>
      <c r="I140" s="981">
        <f t="shared" si="23"/>
        <v>211643.18912</v>
      </c>
      <c r="J140" s="981"/>
      <c r="K140" s="597">
        <v>7.1104</v>
      </c>
      <c r="L140" s="598" t="s">
        <v>1218</v>
      </c>
      <c r="M140" s="598"/>
      <c r="N140" s="1287">
        <v>45297</v>
      </c>
      <c r="O140" s="639" t="s">
        <v>2547</v>
      </c>
      <c r="P140" s="816"/>
      <c r="Q140" s="655"/>
      <c r="R140" s="664"/>
      <c r="S140" s="577"/>
    </row>
    <row r="141" s="10" customFormat="1" ht="18" customHeight="1" spans="1:19">
      <c r="A141" s="775"/>
      <c r="B141" s="776"/>
      <c r="C141" s="721"/>
      <c r="D141" s="545"/>
      <c r="E141" s="788" t="s">
        <v>454</v>
      </c>
      <c r="F141" s="250" t="s">
        <v>2549</v>
      </c>
      <c r="G141" s="725">
        <v>34893</v>
      </c>
      <c r="H141" s="981">
        <f t="shared" si="22"/>
        <v>210887.70912</v>
      </c>
      <c r="I141" s="981">
        <f t="shared" si="23"/>
        <v>210887.70912</v>
      </c>
      <c r="J141" s="981">
        <f>I141</f>
        <v>210887.70912</v>
      </c>
      <c r="K141" s="597">
        <v>7.1104</v>
      </c>
      <c r="L141" s="598" t="s">
        <v>1218</v>
      </c>
      <c r="M141" s="602"/>
      <c r="N141" s="1288" t="s">
        <v>2461</v>
      </c>
      <c r="O141" s="687" t="s">
        <v>2550</v>
      </c>
      <c r="P141" s="816"/>
      <c r="Q141" s="655"/>
      <c r="R141" s="664"/>
      <c r="S141" s="577"/>
    </row>
    <row r="142" s="10" customFormat="1" ht="18" customHeight="1" spans="1:19">
      <c r="A142" s="775"/>
      <c r="B142" s="776"/>
      <c r="C142" s="721"/>
      <c r="D142" s="545"/>
      <c r="E142" s="788" t="s">
        <v>2551</v>
      </c>
      <c r="F142" s="788" t="s">
        <v>2552</v>
      </c>
      <c r="G142" s="725">
        <v>58897</v>
      </c>
      <c r="H142" s="981">
        <f t="shared" si="22"/>
        <v>355964.04448</v>
      </c>
      <c r="I142" s="981">
        <f t="shared" si="23"/>
        <v>355964.04448</v>
      </c>
      <c r="J142" s="981"/>
      <c r="K142" s="597">
        <v>7.1104</v>
      </c>
      <c r="L142" s="598" t="s">
        <v>1218</v>
      </c>
      <c r="M142" s="598">
        <v>45288</v>
      </c>
      <c r="N142" s="598" t="s">
        <v>2553</v>
      </c>
      <c r="O142" s="815" t="s">
        <v>2554</v>
      </c>
      <c r="P142" s="816"/>
      <c r="Q142" s="655"/>
      <c r="R142" s="664"/>
      <c r="S142" s="577"/>
    </row>
    <row r="143" s="10" customFormat="1" ht="18" customHeight="1" spans="1:19">
      <c r="A143" s="775"/>
      <c r="B143" s="776"/>
      <c r="C143" s="721"/>
      <c r="D143" s="545"/>
      <c r="E143" s="788" t="s">
        <v>1991</v>
      </c>
      <c r="F143" s="788" t="s">
        <v>2555</v>
      </c>
      <c r="G143" s="981"/>
      <c r="H143" s="981">
        <v>1567646</v>
      </c>
      <c r="I143" s="981">
        <f t="shared" si="23"/>
        <v>1567646</v>
      </c>
      <c r="J143" s="981">
        <f>I143</f>
        <v>1567646</v>
      </c>
      <c r="K143" s="597">
        <v>7.1104</v>
      </c>
      <c r="L143" s="598" t="s">
        <v>1218</v>
      </c>
      <c r="M143" s="598">
        <v>45288</v>
      </c>
      <c r="N143" s="598">
        <v>45290</v>
      </c>
      <c r="O143" s="1285" t="s">
        <v>2556</v>
      </c>
      <c r="P143" s="816"/>
      <c r="Q143" s="655"/>
      <c r="R143" s="664"/>
      <c r="S143" s="577"/>
    </row>
    <row r="144" s="10" customFormat="1" ht="18" customHeight="1" spans="1:19">
      <c r="A144" s="775"/>
      <c r="B144" s="776"/>
      <c r="C144" s="721"/>
      <c r="D144" s="545"/>
      <c r="E144" s="788" t="s">
        <v>1991</v>
      </c>
      <c r="F144" s="788" t="s">
        <v>2557</v>
      </c>
      <c r="G144" s="981"/>
      <c r="H144" s="981">
        <v>98309</v>
      </c>
      <c r="I144" s="981">
        <f t="shared" si="23"/>
        <v>98309</v>
      </c>
      <c r="J144" s="981">
        <f>I144</f>
        <v>98309</v>
      </c>
      <c r="K144" s="597">
        <v>7.1104</v>
      </c>
      <c r="L144" s="598"/>
      <c r="M144" s="598"/>
      <c r="N144" s="598"/>
      <c r="O144" s="1285"/>
      <c r="P144" s="816"/>
      <c r="Q144" s="655"/>
      <c r="R144" s="664"/>
      <c r="S144" s="577"/>
    </row>
    <row r="145" s="10" customFormat="1" ht="18" customHeight="1" spans="1:19">
      <c r="A145" s="775"/>
      <c r="B145" s="776"/>
      <c r="C145" s="721"/>
      <c r="D145" s="545"/>
      <c r="E145" s="788" t="s">
        <v>151</v>
      </c>
      <c r="F145" s="788" t="s">
        <v>2558</v>
      </c>
      <c r="G145" s="725">
        <v>39047</v>
      </c>
      <c r="H145" s="981">
        <f>G145*K145*0.85</f>
        <v>235993.82048</v>
      </c>
      <c r="I145" s="981">
        <f t="shared" si="23"/>
        <v>235993.82048</v>
      </c>
      <c r="J145" s="981"/>
      <c r="K145" s="597">
        <v>7.1104</v>
      </c>
      <c r="L145" s="598" t="s">
        <v>1218</v>
      </c>
      <c r="M145" s="598">
        <v>45288</v>
      </c>
      <c r="N145" s="598" t="s">
        <v>2553</v>
      </c>
      <c r="O145" s="1285" t="s">
        <v>624</v>
      </c>
      <c r="P145" s="816"/>
      <c r="Q145" s="655"/>
      <c r="R145" s="664"/>
      <c r="S145" s="577"/>
    </row>
    <row r="146" s="10" customFormat="1" ht="18" customHeight="1" spans="1:19">
      <c r="A146" s="775"/>
      <c r="B146" s="776"/>
      <c r="C146" s="664"/>
      <c r="D146" s="655"/>
      <c r="E146" s="250" t="s">
        <v>1232</v>
      </c>
      <c r="F146" s="250" t="s">
        <v>2559</v>
      </c>
      <c r="G146" s="570"/>
      <c r="H146" s="596"/>
      <c r="I146" s="787"/>
      <c r="J146" s="596">
        <v>435967</v>
      </c>
      <c r="K146" s="597">
        <v>7.1104</v>
      </c>
      <c r="L146" s="598"/>
      <c r="M146" s="598"/>
      <c r="N146" s="625">
        <v>45266</v>
      </c>
      <c r="O146" s="626"/>
      <c r="P146" s="816"/>
      <c r="Q146" s="655"/>
      <c r="R146" s="664"/>
      <c r="S146" s="577"/>
    </row>
    <row r="147" s="10" customFormat="1" ht="18" customHeight="1" spans="1:19">
      <c r="A147" s="775"/>
      <c r="B147" s="776"/>
      <c r="C147" s="664"/>
      <c r="D147" s="655"/>
      <c r="E147" s="787" t="s">
        <v>2009</v>
      </c>
      <c r="F147" s="788" t="s">
        <v>1989</v>
      </c>
      <c r="G147" s="570"/>
      <c r="H147" s="596"/>
      <c r="I147" s="787"/>
      <c r="J147" s="596">
        <v>962100</v>
      </c>
      <c r="K147" s="597">
        <v>7.1104</v>
      </c>
      <c r="L147" s="598"/>
      <c r="M147" s="598"/>
      <c r="N147" s="598">
        <v>45268</v>
      </c>
      <c r="O147" s="626" t="s">
        <v>2560</v>
      </c>
      <c r="P147" s="816"/>
      <c r="Q147" s="655"/>
      <c r="R147" s="664"/>
      <c r="S147" s="577"/>
    </row>
    <row r="148" s="10" customFormat="1" ht="18" customHeight="1" spans="1:19">
      <c r="A148" s="775"/>
      <c r="B148" s="776"/>
      <c r="C148" s="664"/>
      <c r="D148" s="655"/>
      <c r="E148" s="787" t="s">
        <v>2099</v>
      </c>
      <c r="F148" s="788" t="s">
        <v>2561</v>
      </c>
      <c r="G148" s="570"/>
      <c r="H148" s="570"/>
      <c r="I148" s="570"/>
      <c r="J148" s="596">
        <v>989477</v>
      </c>
      <c r="K148" s="597">
        <v>7.1104</v>
      </c>
      <c r="L148" s="570"/>
      <c r="M148" s="570"/>
      <c r="N148" s="625">
        <v>45265</v>
      </c>
      <c r="O148" s="628" t="s">
        <v>2562</v>
      </c>
      <c r="P148" s="816"/>
      <c r="Q148" s="655"/>
      <c r="R148" s="664"/>
      <c r="S148" s="577"/>
    </row>
    <row r="149" s="10" customFormat="1" ht="18" customHeight="1" spans="1:19">
      <c r="A149" s="775"/>
      <c r="B149" s="776"/>
      <c r="C149" s="664" t="s">
        <v>1393</v>
      </c>
      <c r="D149" s="655">
        <v>400</v>
      </c>
      <c r="E149" s="655" t="s">
        <v>1563</v>
      </c>
      <c r="F149" s="716" t="s">
        <v>2563</v>
      </c>
      <c r="G149" s="576">
        <v>31473</v>
      </c>
      <c r="H149" s="567">
        <f t="shared" ref="H149:H156" si="24">G149*K149</f>
        <v>223785.6192</v>
      </c>
      <c r="I149" s="602">
        <f t="shared" ref="I149:I156" si="25">G149*K149</f>
        <v>223785.6192</v>
      </c>
      <c r="J149" s="596">
        <f t="shared" ref="J149:J156" si="26">G149*K149</f>
        <v>223785.6192</v>
      </c>
      <c r="K149" s="597">
        <v>7.1104</v>
      </c>
      <c r="L149" s="598" t="s">
        <v>1218</v>
      </c>
      <c r="M149" s="598">
        <v>45265</v>
      </c>
      <c r="N149" s="598">
        <v>45268</v>
      </c>
      <c r="O149" s="743" t="s">
        <v>2564</v>
      </c>
      <c r="P149" s="824"/>
      <c r="Q149" s="874"/>
      <c r="R149" s="664"/>
      <c r="S149" s="577"/>
    </row>
    <row r="150" s="10" customFormat="1" ht="18" customHeight="1" spans="1:19">
      <c r="A150" s="775"/>
      <c r="B150" s="776"/>
      <c r="C150" s="664"/>
      <c r="D150" s="655"/>
      <c r="E150" s="655" t="s">
        <v>267</v>
      </c>
      <c r="F150" s="716" t="s">
        <v>2565</v>
      </c>
      <c r="G150" s="576">
        <v>34937</v>
      </c>
      <c r="H150" s="567">
        <f t="shared" si="24"/>
        <v>248416.0448</v>
      </c>
      <c r="I150" s="602">
        <f t="shared" si="25"/>
        <v>248416.0448</v>
      </c>
      <c r="J150" s="596">
        <f t="shared" si="26"/>
        <v>248416.0448</v>
      </c>
      <c r="K150" s="597">
        <v>7.1104</v>
      </c>
      <c r="L150" s="598" t="s">
        <v>1218</v>
      </c>
      <c r="M150" s="598">
        <v>45274</v>
      </c>
      <c r="N150" s="598">
        <v>45276</v>
      </c>
      <c r="O150" s="743" t="s">
        <v>2566</v>
      </c>
      <c r="P150" s="820"/>
      <c r="Q150" s="826"/>
      <c r="R150" s="825"/>
      <c r="S150" s="577"/>
    </row>
    <row r="151" s="10" customFormat="1" ht="45.15" customHeight="1" spans="1:19">
      <c r="A151" s="775"/>
      <c r="B151" s="776"/>
      <c r="C151" s="664"/>
      <c r="D151" s="655"/>
      <c r="E151" s="787" t="s">
        <v>150</v>
      </c>
      <c r="F151" s="787" t="s">
        <v>2567</v>
      </c>
      <c r="G151" s="576">
        <v>37856</v>
      </c>
      <c r="H151" s="567">
        <f t="shared" si="24"/>
        <v>269171.3024</v>
      </c>
      <c r="I151" s="602">
        <f t="shared" si="25"/>
        <v>269171.3024</v>
      </c>
      <c r="J151" s="596"/>
      <c r="K151" s="597">
        <v>7.1104</v>
      </c>
      <c r="L151" s="598">
        <v>45287</v>
      </c>
      <c r="M151" s="598">
        <v>45287</v>
      </c>
      <c r="N151" s="1282">
        <v>45293</v>
      </c>
      <c r="O151" s="641" t="s">
        <v>2568</v>
      </c>
      <c r="P151" s="1289"/>
      <c r="Q151" s="1289"/>
      <c r="R151" s="1295"/>
      <c r="S151" s="577"/>
    </row>
    <row r="152" s="536" customFormat="1" ht="32.75" customHeight="1" spans="1:19">
      <c r="A152" s="775"/>
      <c r="B152" s="776"/>
      <c r="C152" s="715"/>
      <c r="D152" s="716"/>
      <c r="E152" s="250" t="s">
        <v>2000</v>
      </c>
      <c r="F152" s="250" t="s">
        <v>2569</v>
      </c>
      <c r="G152" s="576">
        <v>11632</v>
      </c>
      <c r="H152" s="596">
        <f t="shared" si="24"/>
        <v>82708.1728</v>
      </c>
      <c r="I152" s="602">
        <f t="shared" si="25"/>
        <v>82708.1728</v>
      </c>
      <c r="J152" s="596"/>
      <c r="K152" s="597">
        <v>7.1104</v>
      </c>
      <c r="L152" s="598">
        <v>45285</v>
      </c>
      <c r="M152" s="1006">
        <v>0.48</v>
      </c>
      <c r="N152" s="1290">
        <v>45292</v>
      </c>
      <c r="O152" s="1291" t="s">
        <v>2570</v>
      </c>
      <c r="P152" s="866"/>
      <c r="Q152" s="873"/>
      <c r="R152" s="715"/>
      <c r="S152" s="602"/>
    </row>
    <row r="153" s="536" customFormat="1" ht="18" customHeight="1" spans="1:19">
      <c r="A153" s="775"/>
      <c r="B153" s="776"/>
      <c r="C153" s="715"/>
      <c r="D153" s="716"/>
      <c r="E153" s="250" t="s">
        <v>2000</v>
      </c>
      <c r="F153" s="788" t="s">
        <v>2571</v>
      </c>
      <c r="G153" s="576">
        <v>23256</v>
      </c>
      <c r="H153" s="596">
        <f t="shared" si="24"/>
        <v>165359.4624</v>
      </c>
      <c r="I153" s="602">
        <f t="shared" si="25"/>
        <v>165359.4624</v>
      </c>
      <c r="J153" s="596"/>
      <c r="K153" s="597">
        <v>7.1104</v>
      </c>
      <c r="L153" s="598" t="s">
        <v>1218</v>
      </c>
      <c r="M153" s="598" t="s">
        <v>2572</v>
      </c>
      <c r="N153" s="1292"/>
      <c r="O153" s="1293"/>
      <c r="P153" s="866"/>
      <c r="Q153" s="873"/>
      <c r="R153" s="715"/>
      <c r="S153" s="602"/>
    </row>
    <row r="154" s="536" customFormat="1" ht="42.75" customHeight="1" spans="1:19">
      <c r="A154" s="775"/>
      <c r="B154" s="776"/>
      <c r="C154" s="715"/>
      <c r="D154" s="716"/>
      <c r="E154" s="250" t="s">
        <v>2000</v>
      </c>
      <c r="F154" s="788" t="s">
        <v>2573</v>
      </c>
      <c r="G154" s="576">
        <v>75116</v>
      </c>
      <c r="H154" s="596">
        <f t="shared" si="24"/>
        <v>534104.8064</v>
      </c>
      <c r="I154" s="602">
        <f t="shared" si="25"/>
        <v>534104.8064</v>
      </c>
      <c r="J154" s="596"/>
      <c r="K154" s="597">
        <v>7.1104</v>
      </c>
      <c r="L154" s="598" t="s">
        <v>1218</v>
      </c>
      <c r="M154" s="598">
        <v>45288</v>
      </c>
      <c r="N154" s="1290">
        <v>45292</v>
      </c>
      <c r="O154" s="1294" t="s">
        <v>2574</v>
      </c>
      <c r="P154" s="866"/>
      <c r="Q154" s="873"/>
      <c r="R154" s="715"/>
      <c r="S154" s="602"/>
    </row>
    <row r="155" s="536" customFormat="1" ht="18" customHeight="1" spans="1:19">
      <c r="A155" s="775"/>
      <c r="B155" s="776"/>
      <c r="C155" s="715"/>
      <c r="D155" s="716"/>
      <c r="E155" s="250" t="s">
        <v>267</v>
      </c>
      <c r="F155" s="788" t="s">
        <v>2575</v>
      </c>
      <c r="G155" s="576">
        <v>38736</v>
      </c>
      <c r="H155" s="596">
        <f t="shared" si="24"/>
        <v>275428.4544</v>
      </c>
      <c r="I155" s="602">
        <f t="shared" si="25"/>
        <v>275428.4544</v>
      </c>
      <c r="J155" s="596">
        <f t="shared" si="26"/>
        <v>275428.4544</v>
      </c>
      <c r="K155" s="597">
        <v>7.1104</v>
      </c>
      <c r="L155" s="598" t="s">
        <v>1218</v>
      </c>
      <c r="M155" s="598">
        <v>45285</v>
      </c>
      <c r="N155" s="618">
        <v>45289</v>
      </c>
      <c r="O155" s="861" t="s">
        <v>2576</v>
      </c>
      <c r="P155" s="866"/>
      <c r="Q155" s="873"/>
      <c r="R155" s="715"/>
      <c r="S155" s="602"/>
    </row>
    <row r="156" s="10" customFormat="1" ht="25" customHeight="1" spans="1:19">
      <c r="A156" s="775"/>
      <c r="B156" s="776"/>
      <c r="C156" s="664"/>
      <c r="D156" s="655"/>
      <c r="E156" s="250" t="s">
        <v>1224</v>
      </c>
      <c r="F156" s="250" t="s">
        <v>2577</v>
      </c>
      <c r="G156" s="722">
        <v>16140</v>
      </c>
      <c r="H156" s="567">
        <f t="shared" si="24"/>
        <v>114761.856</v>
      </c>
      <c r="I156" s="602">
        <f t="shared" si="25"/>
        <v>114761.856</v>
      </c>
      <c r="J156" s="596">
        <f t="shared" si="26"/>
        <v>114761.856</v>
      </c>
      <c r="K156" s="597">
        <v>7.1104</v>
      </c>
      <c r="L156" s="598" t="s">
        <v>1218</v>
      </c>
      <c r="M156" s="598">
        <v>45286</v>
      </c>
      <c r="N156" s="598">
        <v>45289</v>
      </c>
      <c r="O156" s="740" t="s">
        <v>2578</v>
      </c>
      <c r="P156" s="571"/>
      <c r="Q156" s="874"/>
      <c r="R156" s="664"/>
      <c r="S156" s="577"/>
    </row>
    <row r="157" s="10" customFormat="1" ht="23.75" customHeight="1" spans="1:19">
      <c r="A157" s="775"/>
      <c r="B157" s="776"/>
      <c r="C157" s="664"/>
      <c r="D157" s="655"/>
      <c r="E157" s="787" t="s">
        <v>150</v>
      </c>
      <c r="F157" s="787" t="s">
        <v>2579</v>
      </c>
      <c r="G157" s="921"/>
      <c r="H157" s="567"/>
      <c r="I157" s="602"/>
      <c r="J157" s="567">
        <v>277780.86</v>
      </c>
      <c r="K157" s="597">
        <v>7.1778</v>
      </c>
      <c r="L157" s="625"/>
      <c r="M157" s="598"/>
      <c r="N157" s="618">
        <v>45262</v>
      </c>
      <c r="O157" s="740" t="s">
        <v>2580</v>
      </c>
      <c r="P157" s="571"/>
      <c r="Q157" s="874"/>
      <c r="R157" s="664"/>
      <c r="S157" s="577"/>
    </row>
    <row r="158" s="10" customFormat="1" ht="23.75" customHeight="1" spans="1:19">
      <c r="A158" s="775"/>
      <c r="B158" s="776"/>
      <c r="C158" s="664"/>
      <c r="D158" s="655"/>
      <c r="E158" s="250" t="s">
        <v>2000</v>
      </c>
      <c r="F158" s="250" t="s">
        <v>2581</v>
      </c>
      <c r="G158" s="722"/>
      <c r="H158" s="567"/>
      <c r="I158" s="602"/>
      <c r="J158" s="567">
        <v>222719.9562</v>
      </c>
      <c r="K158" s="597">
        <v>7.1778</v>
      </c>
      <c r="L158" s="625"/>
      <c r="M158" s="598"/>
      <c r="N158" s="618">
        <v>45261</v>
      </c>
      <c r="O158" s="622" t="s">
        <v>2582</v>
      </c>
      <c r="P158" s="571"/>
      <c r="Q158" s="874"/>
      <c r="R158" s="664"/>
      <c r="S158" s="577"/>
    </row>
    <row r="159" s="10" customFormat="1" ht="23.75" customHeight="1" spans="1:19">
      <c r="A159" s="775"/>
      <c r="B159" s="776"/>
      <c r="C159" s="664"/>
      <c r="D159" s="655"/>
      <c r="E159" s="788" t="s">
        <v>841</v>
      </c>
      <c r="F159" s="788" t="s">
        <v>2037</v>
      </c>
      <c r="G159" s="576"/>
      <c r="H159" s="567"/>
      <c r="I159" s="602"/>
      <c r="J159" s="567">
        <v>290392.2546</v>
      </c>
      <c r="K159" s="597">
        <v>7.1778</v>
      </c>
      <c r="L159" s="625"/>
      <c r="M159" s="598"/>
      <c r="N159" s="618">
        <v>45270</v>
      </c>
      <c r="O159" s="622" t="s">
        <v>2582</v>
      </c>
      <c r="P159" s="571"/>
      <c r="Q159" s="874"/>
      <c r="R159" s="664"/>
      <c r="S159" s="577"/>
    </row>
    <row r="160" s="10" customFormat="1" ht="23.75" customHeight="1" spans="1:19">
      <c r="A160" s="775"/>
      <c r="B160" s="776"/>
      <c r="C160" s="664"/>
      <c r="D160" s="655"/>
      <c r="E160" s="250" t="s">
        <v>267</v>
      </c>
      <c r="F160" s="250" t="s">
        <v>2583</v>
      </c>
      <c r="G160" s="722"/>
      <c r="H160" s="567"/>
      <c r="I160" s="602"/>
      <c r="J160" s="567">
        <v>291368.4354</v>
      </c>
      <c r="K160" s="597">
        <v>7.1778</v>
      </c>
      <c r="L160" s="625"/>
      <c r="M160" s="598"/>
      <c r="N160" s="618">
        <v>45267</v>
      </c>
      <c r="O160" s="622" t="s">
        <v>2582</v>
      </c>
      <c r="P160" s="571"/>
      <c r="Q160" s="874"/>
      <c r="R160" s="664"/>
      <c r="S160" s="577"/>
    </row>
    <row r="161" s="10" customFormat="1" ht="18" customHeight="1" spans="1:19">
      <c r="A161" s="775"/>
      <c r="B161" s="776"/>
      <c r="C161" s="664"/>
      <c r="D161" s="655"/>
      <c r="E161" s="570"/>
      <c r="F161" s="570"/>
      <c r="G161" s="570"/>
      <c r="H161" s="570"/>
      <c r="I161" s="570"/>
      <c r="J161" s="570"/>
      <c r="K161" s="570"/>
      <c r="L161" s="570"/>
      <c r="M161" s="570"/>
      <c r="N161" s="570"/>
      <c r="O161" s="647"/>
      <c r="P161" s="571"/>
      <c r="Q161" s="874"/>
      <c r="R161" s="664"/>
      <c r="S161" s="577"/>
    </row>
    <row r="162" s="10" customFormat="1" ht="18" customHeight="1" spans="1:19">
      <c r="A162" s="775"/>
      <c r="B162" s="568"/>
      <c r="C162" s="777" t="s">
        <v>1124</v>
      </c>
      <c r="D162" s="545">
        <f>D130+D135+D149</f>
        <v>1368</v>
      </c>
      <c r="E162" s="794"/>
      <c r="F162" s="719"/>
      <c r="G162" s="791" t="s">
        <v>1235</v>
      </c>
      <c r="H162" s="792">
        <f>SUM(H130:H161)</f>
        <v>10091276.337088</v>
      </c>
      <c r="I162" s="792">
        <f>SUM(I130:I161)</f>
        <v>10091276.295488</v>
      </c>
      <c r="J162" s="792">
        <f>SUM(J130:J161)</f>
        <v>10257064.57884</v>
      </c>
      <c r="K162" s="806"/>
      <c r="L162" s="807"/>
      <c r="M162" s="1135"/>
      <c r="N162" s="1135"/>
      <c r="O162" s="929"/>
      <c r="P162" s="620"/>
      <c r="Q162" s="652"/>
      <c r="R162" s="653"/>
      <c r="S162" s="809"/>
    </row>
    <row r="163" s="10" customFormat="1" ht="18" customHeight="1" spans="1:19">
      <c r="A163" s="775"/>
      <c r="B163" s="568"/>
      <c r="C163" s="779"/>
      <c r="D163" s="547"/>
      <c r="E163" s="652"/>
      <c r="F163" s="727"/>
      <c r="G163" s="795" t="s">
        <v>1236</v>
      </c>
      <c r="H163" s="796">
        <f>H162/13680000</f>
        <v>0.737666398909942</v>
      </c>
      <c r="I163" s="796">
        <f>I162/3500000</f>
        <v>2.88322179871086</v>
      </c>
      <c r="J163" s="796">
        <f>J162/3500000</f>
        <v>2.93058987966857</v>
      </c>
      <c r="K163" s="808"/>
      <c r="L163" s="809"/>
      <c r="M163" s="821"/>
      <c r="N163" s="996"/>
      <c r="O163" s="822"/>
      <c r="P163" s="620"/>
      <c r="Q163" s="652"/>
      <c r="R163" s="653"/>
      <c r="S163" s="809"/>
    </row>
    <row r="164" s="10" customFormat="1" ht="18" customHeight="1" spans="1:19">
      <c r="A164" s="775"/>
      <c r="B164" s="553" t="s">
        <v>1820</v>
      </c>
      <c r="C164" s="554" t="s">
        <v>1946</v>
      </c>
      <c r="D164" s="555" t="s">
        <v>1821</v>
      </c>
      <c r="E164" s="555" t="s">
        <v>1822</v>
      </c>
      <c r="F164" s="588" t="s">
        <v>1095</v>
      </c>
      <c r="G164" s="589" t="s">
        <v>362</v>
      </c>
      <c r="H164" s="590" t="s">
        <v>1865</v>
      </c>
      <c r="I164" s="810" t="s">
        <v>1717</v>
      </c>
      <c r="J164" s="810" t="s">
        <v>1718</v>
      </c>
      <c r="K164" s="590" t="s">
        <v>1866</v>
      </c>
      <c r="L164" s="615" t="s">
        <v>1098</v>
      </c>
      <c r="M164" s="590" t="s">
        <v>1867</v>
      </c>
      <c r="N164" s="646"/>
      <c r="O164" s="864"/>
      <c r="P164" s="620"/>
      <c r="Q164" s="652"/>
      <c r="R164" s="727"/>
      <c r="S164" s="727"/>
    </row>
    <row r="165" s="10" customFormat="1" ht="18" customHeight="1" spans="1:19">
      <c r="A165" s="718"/>
      <c r="B165" s="541" t="s">
        <v>2386</v>
      </c>
      <c r="C165" s="564" t="s">
        <v>1987</v>
      </c>
      <c r="D165" s="716"/>
      <c r="E165" s="572"/>
      <c r="F165" s="250"/>
      <c r="G165" s="725"/>
      <c r="H165" s="577"/>
      <c r="I165" s="570"/>
      <c r="J165" s="567"/>
      <c r="K165" s="597">
        <v>7.1104</v>
      </c>
      <c r="L165" s="625"/>
      <c r="M165" s="598"/>
      <c r="N165" s="598"/>
      <c r="O165" s="862"/>
      <c r="P165" s="620"/>
      <c r="Q165" s="652"/>
      <c r="R165" s="727"/>
      <c r="S165" s="727"/>
    </row>
    <row r="166" s="10" customFormat="1" ht="18" customHeight="1" spans="1:19">
      <c r="A166" s="718"/>
      <c r="B166" s="721"/>
      <c r="C166" s="564"/>
      <c r="D166" s="545"/>
      <c r="E166" s="250" t="s">
        <v>143</v>
      </c>
      <c r="F166" s="250" t="s">
        <v>2584</v>
      </c>
      <c r="G166" s="725">
        <v>120000</v>
      </c>
      <c r="H166" s="596">
        <f>G166*K166</f>
        <v>853248</v>
      </c>
      <c r="I166" s="567"/>
      <c r="J166" s="570"/>
      <c r="K166" s="597">
        <v>7.1104</v>
      </c>
      <c r="L166" s="625"/>
      <c r="M166" s="598"/>
      <c r="N166" s="863"/>
      <c r="O166" s="626"/>
      <c r="P166" s="620"/>
      <c r="Q166" s="652"/>
      <c r="R166" s="727"/>
      <c r="S166" s="727"/>
    </row>
    <row r="167" s="10" customFormat="1" ht="18" customHeight="1" spans="1:19">
      <c r="A167" s="775"/>
      <c r="B167" s="541"/>
      <c r="C167" s="673"/>
      <c r="D167" s="716"/>
      <c r="E167" s="572"/>
      <c r="F167" s="250"/>
      <c r="G167" s="725"/>
      <c r="H167" s="577"/>
      <c r="I167" s="570"/>
      <c r="J167" s="811"/>
      <c r="K167" s="597"/>
      <c r="L167" s="625"/>
      <c r="M167" s="870"/>
      <c r="N167" s="598"/>
      <c r="O167" s="823"/>
      <c r="P167" s="620"/>
      <c r="Q167" s="652"/>
      <c r="R167" s="727"/>
      <c r="S167" s="727"/>
    </row>
    <row r="168" s="10" customFormat="1" ht="18" customHeight="1" spans="1:19">
      <c r="A168" s="775"/>
      <c r="B168" s="541"/>
      <c r="C168" s="250" t="s">
        <v>509</v>
      </c>
      <c r="D168" s="716"/>
      <c r="E168" s="787" t="s">
        <v>2009</v>
      </c>
      <c r="F168" s="788" t="s">
        <v>2585</v>
      </c>
      <c r="G168" s="596">
        <v>431526</v>
      </c>
      <c r="H168" s="596">
        <v>431526</v>
      </c>
      <c r="I168" s="570"/>
      <c r="J168" s="1297"/>
      <c r="K168" s="597">
        <v>7.1104</v>
      </c>
      <c r="L168" s="598">
        <v>45285</v>
      </c>
      <c r="N168" s="625" t="s">
        <v>2097</v>
      </c>
      <c r="O168" s="815" t="s">
        <v>2586</v>
      </c>
      <c r="P168" s="620"/>
      <c r="Q168" s="652"/>
      <c r="R168" s="727"/>
      <c r="S168" s="727"/>
    </row>
    <row r="169" s="10" customFormat="1" ht="18" customHeight="1" spans="1:19">
      <c r="A169" s="775"/>
      <c r="B169" s="776"/>
      <c r="C169" s="721"/>
      <c r="D169" s="545"/>
      <c r="E169" s="788" t="s">
        <v>2099</v>
      </c>
      <c r="F169" s="788" t="s">
        <v>2587</v>
      </c>
      <c r="G169" s="570"/>
      <c r="H169" s="596">
        <v>91155</v>
      </c>
      <c r="I169" s="851"/>
      <c r="J169" s="788"/>
      <c r="K169" s="597">
        <v>7.1104</v>
      </c>
      <c r="L169" s="598" t="s">
        <v>2588</v>
      </c>
      <c r="M169" s="596"/>
      <c r="N169" s="625" t="s">
        <v>2589</v>
      </c>
      <c r="O169" s="925" t="s">
        <v>2590</v>
      </c>
      <c r="P169" s="816"/>
      <c r="Q169" s="655"/>
      <c r="R169" s="664"/>
      <c r="S169" s="577"/>
    </row>
    <row r="170" s="10" customFormat="1" ht="18" customHeight="1" spans="1:19">
      <c r="A170" s="775"/>
      <c r="B170" s="776"/>
      <c r="C170" s="721"/>
      <c r="D170" s="545"/>
      <c r="E170" s="250" t="s">
        <v>1232</v>
      </c>
      <c r="F170" s="250" t="s">
        <v>2591</v>
      </c>
      <c r="G170" s="981">
        <v>296489</v>
      </c>
      <c r="H170" s="596">
        <f>G170</f>
        <v>296489</v>
      </c>
      <c r="I170" s="981"/>
      <c r="J170" s="981"/>
      <c r="K170" s="597">
        <v>7.1104</v>
      </c>
      <c r="L170" s="598" t="s">
        <v>1251</v>
      </c>
      <c r="M170" s="598"/>
      <c r="N170" s="1126" t="s">
        <v>2097</v>
      </c>
      <c r="O170" s="691" t="s">
        <v>2592</v>
      </c>
      <c r="P170" s="816"/>
      <c r="Q170" s="655"/>
      <c r="R170" s="664"/>
      <c r="S170" s="577"/>
    </row>
    <row r="171" s="10" customFormat="1" ht="18" customHeight="1" spans="1:19">
      <c r="A171" s="775"/>
      <c r="B171" s="669"/>
      <c r="C171" s="721"/>
      <c r="D171" s="545"/>
      <c r="E171" s="788"/>
      <c r="F171" s="788"/>
      <c r="G171" s="616"/>
      <c r="H171" s="563"/>
      <c r="I171" s="852"/>
      <c r="J171" s="790"/>
      <c r="K171" s="597"/>
      <c r="L171" s="618"/>
      <c r="M171" s="563"/>
      <c r="N171" s="736"/>
      <c r="O171" s="823"/>
      <c r="P171" s="816"/>
      <c r="Q171" s="655"/>
      <c r="R171" s="664"/>
      <c r="S171" s="577"/>
    </row>
    <row r="172" s="10" customFormat="1" ht="18" customHeight="1" spans="1:19">
      <c r="A172" s="775"/>
      <c r="B172" s="669"/>
      <c r="C172" s="721"/>
      <c r="D172" s="545"/>
      <c r="E172" s="788"/>
      <c r="F172" s="788"/>
      <c r="G172" s="616"/>
      <c r="H172" s="563"/>
      <c r="I172" s="852"/>
      <c r="J172" s="790"/>
      <c r="K172" s="597"/>
      <c r="L172" s="618"/>
      <c r="M172" s="563"/>
      <c r="N172" s="736"/>
      <c r="O172" s="823"/>
      <c r="P172" s="816"/>
      <c r="Q172" s="655"/>
      <c r="R172" s="664"/>
      <c r="S172" s="577"/>
    </row>
    <row r="173" s="10" customFormat="1" ht="18" customHeight="1" spans="1:19">
      <c r="A173" s="775"/>
      <c r="B173" s="541"/>
      <c r="C173" s="250"/>
      <c r="D173" s="716"/>
      <c r="E173" s="787"/>
      <c r="F173" s="788"/>
      <c r="G173" s="1296"/>
      <c r="H173" s="592"/>
      <c r="I173" s="1298"/>
      <c r="J173" s="790"/>
      <c r="K173" s="597"/>
      <c r="L173" s="618"/>
      <c r="M173" s="618"/>
      <c r="N173" s="618"/>
      <c r="O173" s="823"/>
      <c r="P173" s="620"/>
      <c r="Q173" s="652"/>
      <c r="R173" s="727"/>
      <c r="S173" s="727"/>
    </row>
    <row r="174" s="10" customFormat="1" ht="18" customHeight="1" spans="1:19">
      <c r="A174" s="713"/>
      <c r="B174" s="541"/>
      <c r="C174" s="250" t="s">
        <v>1393</v>
      </c>
      <c r="D174" s="716"/>
      <c r="E174" s="716" t="s">
        <v>327</v>
      </c>
      <c r="F174" s="716" t="s">
        <v>2593</v>
      </c>
      <c r="G174" s="576">
        <v>27085</v>
      </c>
      <c r="H174" s="567">
        <f>G174*K174</f>
        <v>192585.184</v>
      </c>
      <c r="I174" s="853"/>
      <c r="J174" s="804"/>
      <c r="K174" s="597">
        <v>7.1104</v>
      </c>
      <c r="L174" s="854">
        <v>45290</v>
      </c>
      <c r="M174" s="854"/>
      <c r="N174" s="854"/>
      <c r="O174" s="740" t="s">
        <v>2594</v>
      </c>
      <c r="P174" s="620"/>
      <c r="Q174" s="652"/>
      <c r="R174" s="727"/>
      <c r="S174" s="727"/>
    </row>
    <row r="175" s="10" customFormat="1" ht="19.6" customHeight="1" spans="1:19">
      <c r="A175" s="775"/>
      <c r="B175" s="776"/>
      <c r="C175" s="664"/>
      <c r="D175" s="655"/>
      <c r="E175" s="716" t="s">
        <v>2595</v>
      </c>
      <c r="F175" s="716" t="s">
        <v>2596</v>
      </c>
      <c r="G175" s="576">
        <v>37338</v>
      </c>
      <c r="H175" s="567"/>
      <c r="I175" s="853"/>
      <c r="J175" s="804"/>
      <c r="K175" s="597">
        <v>7.1104</v>
      </c>
      <c r="L175" s="598">
        <v>45285</v>
      </c>
      <c r="M175" s="854"/>
      <c r="N175" s="618">
        <v>45288</v>
      </c>
      <c r="O175" s="926" t="s">
        <v>2597</v>
      </c>
      <c r="P175" s="859"/>
      <c r="Q175" s="859"/>
      <c r="R175" s="872"/>
      <c r="S175" s="577"/>
    </row>
    <row r="176" s="10" customFormat="1" ht="25" customHeight="1" spans="1:19">
      <c r="A176" s="775"/>
      <c r="B176" s="776"/>
      <c r="C176" s="664"/>
      <c r="D176" s="655"/>
      <c r="E176" s="250" t="s">
        <v>1563</v>
      </c>
      <c r="F176" s="250" t="s">
        <v>2598</v>
      </c>
      <c r="G176" s="921">
        <v>36950</v>
      </c>
      <c r="H176" s="567"/>
      <c r="I176" s="602"/>
      <c r="J176" s="567"/>
      <c r="K176" s="597">
        <v>7.1104</v>
      </c>
      <c r="L176" s="598"/>
      <c r="M176" s="598"/>
      <c r="N176" s="618">
        <v>45286</v>
      </c>
      <c r="O176" s="1299" t="s">
        <v>2599</v>
      </c>
      <c r="P176" s="571"/>
      <c r="Q176" s="874"/>
      <c r="R176" s="664"/>
      <c r="S176" s="577"/>
    </row>
    <row r="177" s="10" customFormat="1" ht="18" customHeight="1" spans="1:19">
      <c r="A177" s="718"/>
      <c r="B177" s="541"/>
      <c r="C177" s="250"/>
      <c r="D177" s="716"/>
      <c r="E177" s="244"/>
      <c r="F177" s="572"/>
      <c r="G177" s="722"/>
      <c r="H177" s="567"/>
      <c r="I177" s="788"/>
      <c r="J177" s="597"/>
      <c r="K177" s="597">
        <v>7.1104</v>
      </c>
      <c r="L177" s="1006"/>
      <c r="M177" s="600"/>
      <c r="N177" s="570"/>
      <c r="O177" s="862"/>
      <c r="P177" s="620"/>
      <c r="Q177" s="652"/>
      <c r="R177" s="727"/>
      <c r="S177" s="727"/>
    </row>
    <row r="178" s="10" customFormat="1" ht="18" customHeight="1" spans="1:19">
      <c r="A178" s="718"/>
      <c r="B178" s="721"/>
      <c r="C178" s="250"/>
      <c r="D178" s="716"/>
      <c r="E178" s="244"/>
      <c r="F178" s="787"/>
      <c r="G178" s="722"/>
      <c r="H178" s="567"/>
      <c r="I178" s="839"/>
      <c r="J178" s="597"/>
      <c r="K178" s="597">
        <v>7.1104</v>
      </c>
      <c r="L178" s="598"/>
      <c r="M178" s="854"/>
      <c r="N178" s="570"/>
      <c r="O178" s="862"/>
      <c r="P178" s="620"/>
      <c r="Q178" s="652"/>
      <c r="R178" s="727"/>
      <c r="S178" s="727"/>
    </row>
    <row r="179" s="10" customFormat="1" ht="18" customHeight="1" spans="1:19">
      <c r="A179" s="775"/>
      <c r="B179" s="672"/>
      <c r="C179" s="716" t="s">
        <v>1874</v>
      </c>
      <c r="D179" s="716"/>
      <c r="E179" s="716"/>
      <c r="F179" s="716"/>
      <c r="G179" s="716"/>
      <c r="H179" s="804">
        <f>SUM(H165:H178)</f>
        <v>1865003.184</v>
      </c>
      <c r="I179" s="839"/>
      <c r="J179" s="839"/>
      <c r="K179" s="597">
        <v>7.1104</v>
      </c>
      <c r="L179" s="598"/>
      <c r="M179" s="598"/>
      <c r="N179" s="863"/>
      <c r="O179" s="864"/>
      <c r="P179" s="620"/>
      <c r="Q179" s="652"/>
      <c r="R179" s="727"/>
      <c r="S179" s="727"/>
    </row>
    <row r="180" s="10" customFormat="1" ht="18" customHeight="1" spans="1:19">
      <c r="A180" s="718"/>
      <c r="B180" s="721" t="s">
        <v>1875</v>
      </c>
      <c r="C180" s="564" t="s">
        <v>1987</v>
      </c>
      <c r="D180" s="545"/>
      <c r="E180" s="572"/>
      <c r="F180" s="250"/>
      <c r="G180" s="725"/>
      <c r="H180" s="567"/>
      <c r="I180" s="567"/>
      <c r="J180" s="570"/>
      <c r="K180" s="597">
        <v>7.1104</v>
      </c>
      <c r="L180" s="625"/>
      <c r="M180" s="598"/>
      <c r="N180" s="863"/>
      <c r="O180" s="626"/>
      <c r="P180" s="620"/>
      <c r="Q180" s="652"/>
      <c r="R180" s="727"/>
      <c r="S180" s="727"/>
    </row>
    <row r="181" s="10" customFormat="1" ht="18" customHeight="1" spans="1:19">
      <c r="A181" s="775"/>
      <c r="B181" s="721"/>
      <c r="C181" s="250" t="s">
        <v>509</v>
      </c>
      <c r="D181" s="545"/>
      <c r="E181" s="787" t="s">
        <v>284</v>
      </c>
      <c r="F181" s="788"/>
      <c r="G181" s="722"/>
      <c r="H181" s="567"/>
      <c r="I181" s="787"/>
      <c r="J181" s="788"/>
      <c r="K181" s="597">
        <v>7.1104</v>
      </c>
      <c r="L181" s="856"/>
      <c r="M181" s="596"/>
      <c r="N181" s="603"/>
      <c r="O181" s="626" t="s">
        <v>2600</v>
      </c>
      <c r="P181" s="620"/>
      <c r="Q181" s="652"/>
      <c r="R181" s="727"/>
      <c r="S181" s="727"/>
    </row>
    <row r="182" s="10" customFormat="1" ht="18" customHeight="1" spans="1:19">
      <c r="A182" s="775"/>
      <c r="B182" s="721"/>
      <c r="C182" s="250"/>
      <c r="D182" s="545"/>
      <c r="E182" s="570"/>
      <c r="F182" s="570"/>
      <c r="G182" s="570"/>
      <c r="H182" s="570"/>
      <c r="I182" s="570"/>
      <c r="J182" s="570"/>
      <c r="K182" s="570"/>
      <c r="L182" s="570"/>
      <c r="M182" s="570"/>
      <c r="N182" s="570"/>
      <c r="O182" s="570"/>
      <c r="P182" s="620"/>
      <c r="Q182" s="652"/>
      <c r="R182" s="727"/>
      <c r="S182" s="727"/>
    </row>
    <row r="183" s="10" customFormat="1" ht="18" customHeight="1" spans="1:19">
      <c r="A183" s="775"/>
      <c r="B183" s="721"/>
      <c r="C183" s="721" t="s">
        <v>1393</v>
      </c>
      <c r="D183" s="545"/>
      <c r="G183" s="786"/>
      <c r="H183" s="681"/>
      <c r="I183" s="838"/>
      <c r="J183" s="785"/>
      <c r="K183" s="806"/>
      <c r="L183" s="855"/>
      <c r="M183" s="860"/>
      <c r="N183" s="680"/>
      <c r="O183" s="924"/>
      <c r="P183" s="620"/>
      <c r="Q183" s="652"/>
      <c r="R183" s="727"/>
      <c r="S183" s="727"/>
    </row>
    <row r="184" s="10" customFormat="1" ht="16.5" spans="1:19">
      <c r="A184" s="828"/>
      <c r="B184" s="721"/>
      <c r="C184" s="721"/>
      <c r="D184" s="545"/>
      <c r="E184" s="716" t="s">
        <v>2595</v>
      </c>
      <c r="F184" s="716" t="s">
        <v>2601</v>
      </c>
      <c r="G184" s="576"/>
      <c r="H184" s="567"/>
      <c r="I184" s="804"/>
      <c r="J184" s="804"/>
      <c r="K184" s="597">
        <v>7.1104</v>
      </c>
      <c r="L184" s="854"/>
      <c r="M184" s="854"/>
      <c r="N184" s="854"/>
      <c r="O184" s="740" t="s">
        <v>2602</v>
      </c>
      <c r="P184" s="620"/>
      <c r="Q184" s="652"/>
      <c r="R184" s="727"/>
      <c r="S184" s="727"/>
    </row>
    <row r="185" s="536" customFormat="1" ht="18" customHeight="1" spans="1:19">
      <c r="A185" s="775"/>
      <c r="B185" s="776"/>
      <c r="C185" s="721"/>
      <c r="D185" s="545"/>
      <c r="E185" s="572" t="s">
        <v>2603</v>
      </c>
      <c r="F185" s="788"/>
      <c r="G185" s="576">
        <v>45000</v>
      </c>
      <c r="H185" s="567"/>
      <c r="I185" s="602"/>
      <c r="J185" s="596"/>
      <c r="K185" s="597">
        <v>7.1104</v>
      </c>
      <c r="L185" s="598"/>
      <c r="M185" s="854"/>
      <c r="N185" s="618"/>
      <c r="O185" s="861"/>
      <c r="P185" s="866"/>
      <c r="Q185" s="873"/>
      <c r="R185" s="715"/>
      <c r="S185" s="602"/>
    </row>
    <row r="186" s="10" customFormat="1" ht="28.35" customHeight="1" spans="1:19">
      <c r="A186" s="775"/>
      <c r="B186" s="776"/>
      <c r="C186" s="721"/>
      <c r="D186" s="545"/>
      <c r="E186" s="716" t="s">
        <v>261</v>
      </c>
      <c r="F186" s="716" t="s">
        <v>2604</v>
      </c>
      <c r="G186" s="602">
        <v>188533</v>
      </c>
      <c r="H186" s="567">
        <f t="shared" ref="H186:H189" si="27">G186*K186</f>
        <v>1340545.0432</v>
      </c>
      <c r="J186" s="839"/>
      <c r="K186" s="597">
        <v>7.1104</v>
      </c>
      <c r="L186" s="598">
        <v>45285</v>
      </c>
      <c r="M186" s="598"/>
      <c r="N186" s="618">
        <v>45288</v>
      </c>
      <c r="O186" s="1300" t="s">
        <v>2605</v>
      </c>
      <c r="P186" s="571" t="s">
        <v>2606</v>
      </c>
      <c r="Q186" s="874"/>
      <c r="R186" s="664"/>
      <c r="S186" s="577"/>
    </row>
    <row r="187" s="10" customFormat="1" ht="23.35" customHeight="1" spans="1:19">
      <c r="A187" s="775"/>
      <c r="B187" s="776"/>
      <c r="C187" s="721"/>
      <c r="D187" s="545"/>
      <c r="E187" s="250" t="s">
        <v>451</v>
      </c>
      <c r="F187" s="244" t="s">
        <v>2607</v>
      </c>
      <c r="G187" s="576">
        <v>50000</v>
      </c>
      <c r="H187" s="567">
        <f t="shared" si="27"/>
        <v>355520</v>
      </c>
      <c r="I187" s="567"/>
      <c r="J187" s="570"/>
      <c r="K187" s="597">
        <v>7.1104</v>
      </c>
      <c r="L187" s="598">
        <v>45275</v>
      </c>
      <c r="M187" s="867"/>
      <c r="N187" s="628"/>
      <c r="O187" s="1301" t="s">
        <v>2608</v>
      </c>
      <c r="P187" s="571"/>
      <c r="Q187" s="874"/>
      <c r="R187" s="664"/>
      <c r="S187" s="577"/>
    </row>
    <row r="188" s="10" customFormat="1" ht="26.25" customHeight="1" spans="1:19">
      <c r="A188" s="718"/>
      <c r="B188" s="721"/>
      <c r="C188" s="721"/>
      <c r="D188" s="545"/>
      <c r="E188" s="787" t="s">
        <v>261</v>
      </c>
      <c r="F188" s="787" t="s">
        <v>2609</v>
      </c>
      <c r="G188" s="576">
        <v>39756</v>
      </c>
      <c r="H188" s="567">
        <f t="shared" si="27"/>
        <v>282681.0624</v>
      </c>
      <c r="I188" s="570"/>
      <c r="J188" s="570"/>
      <c r="K188" s="597">
        <v>7.1104</v>
      </c>
      <c r="L188" s="570"/>
      <c r="M188" s="570"/>
      <c r="N188" s="570"/>
      <c r="O188" s="691" t="s">
        <v>2610</v>
      </c>
      <c r="P188" s="620"/>
      <c r="Q188" s="652"/>
      <c r="R188" s="727"/>
      <c r="S188" s="727"/>
    </row>
    <row r="189" s="10" customFormat="1" ht="16.5" spans="1:19">
      <c r="A189" s="828"/>
      <c r="B189" s="721"/>
      <c r="C189" s="721"/>
      <c r="D189" s="545"/>
      <c r="E189" s="716" t="s">
        <v>2000</v>
      </c>
      <c r="F189" s="716" t="s">
        <v>2611</v>
      </c>
      <c r="G189" s="722">
        <v>4602</v>
      </c>
      <c r="H189" s="567">
        <f t="shared" si="27"/>
        <v>32722.0608</v>
      </c>
      <c r="I189" s="804"/>
      <c r="J189" s="804"/>
      <c r="K189" s="597">
        <v>7.1104</v>
      </c>
      <c r="L189" s="854"/>
      <c r="M189" s="854"/>
      <c r="N189" s="863"/>
      <c r="O189" s="740" t="s">
        <v>2612</v>
      </c>
      <c r="P189" s="620"/>
      <c r="Q189" s="652"/>
      <c r="R189" s="727"/>
      <c r="S189" s="727"/>
    </row>
    <row r="190" s="10" customFormat="1" ht="16.5" spans="1:19">
      <c r="A190" s="828"/>
      <c r="B190" s="673"/>
      <c r="C190" s="652" t="s">
        <v>1874</v>
      </c>
      <c r="D190" s="652"/>
      <c r="E190" s="652"/>
      <c r="F190" s="652"/>
      <c r="G190" s="652"/>
      <c r="H190" s="804">
        <f>SUM(H180:H188)</f>
        <v>1978746.1056</v>
      </c>
      <c r="I190" s="804"/>
      <c r="J190" s="804"/>
      <c r="K190" s="928"/>
      <c r="L190" s="854"/>
      <c r="M190" s="854"/>
      <c r="N190" s="863"/>
      <c r="P190" s="620"/>
      <c r="Q190" s="652"/>
      <c r="R190" s="727"/>
      <c r="S190" s="727"/>
    </row>
    <row r="191" s="536" customFormat="1" ht="9.6" customHeight="1" spans="1:19">
      <c r="A191" s="999"/>
      <c r="B191" s="999"/>
      <c r="C191" s="780"/>
      <c r="D191" s="652"/>
      <c r="E191" s="652"/>
      <c r="F191" s="727"/>
      <c r="G191" s="727"/>
      <c r="H191" s="804"/>
      <c r="I191" s="804"/>
      <c r="J191" s="804"/>
      <c r="K191" s="727"/>
      <c r="L191" s="727"/>
      <c r="M191" s="854"/>
      <c r="N191" s="863"/>
      <c r="O191" s="864"/>
      <c r="P191" s="620"/>
      <c r="Q191" s="652"/>
      <c r="R191" s="727"/>
      <c r="S191" s="727"/>
    </row>
    <row r="192" s="10" customFormat="1" ht="16.5" spans="1:19">
      <c r="A192" s="738" t="s">
        <v>2044</v>
      </c>
      <c r="B192" s="780"/>
      <c r="C192" s="780"/>
      <c r="D192" s="652">
        <f t="shared" ref="D192:J192" si="28">D39+D107+D162</f>
        <v>3482</v>
      </c>
      <c r="E192" s="652"/>
      <c r="F192" s="727"/>
      <c r="G192" s="727" t="s">
        <v>1235</v>
      </c>
      <c r="H192" s="804">
        <f t="shared" si="28"/>
        <v>29053042.802608</v>
      </c>
      <c r="I192" s="804">
        <f t="shared" si="28"/>
        <v>29053042.592368</v>
      </c>
      <c r="J192" s="804">
        <f t="shared" si="28"/>
        <v>28357929.78492</v>
      </c>
      <c r="K192" s="727"/>
      <c r="L192" s="727"/>
      <c r="M192" s="854"/>
      <c r="N192" s="854"/>
      <c r="O192" s="812"/>
      <c r="P192" s="727"/>
      <c r="Q192" s="652"/>
      <c r="R192" s="727"/>
      <c r="S192" s="727"/>
    </row>
    <row r="193" s="10" customFormat="1" ht="16.5" spans="1:19">
      <c r="A193" s="780"/>
      <c r="B193" s="780"/>
      <c r="C193" s="780"/>
      <c r="D193" s="652"/>
      <c r="E193" s="652"/>
      <c r="F193" s="727"/>
      <c r="G193" s="727" t="s">
        <v>1236</v>
      </c>
      <c r="H193" s="796">
        <f>H192/(D192*10000)</f>
        <v>0.834378024198966</v>
      </c>
      <c r="I193" s="796">
        <f>I192/(D192*10000)</f>
        <v>0.834378018161057</v>
      </c>
      <c r="J193" s="796">
        <f>J192/(D192*10000)</f>
        <v>0.814414985207352</v>
      </c>
      <c r="K193" s="727"/>
      <c r="L193" s="727"/>
      <c r="M193" s="854"/>
      <c r="N193" s="854"/>
      <c r="O193" s="812"/>
      <c r="P193" s="727"/>
      <c r="Q193" s="727"/>
      <c r="R193" s="727"/>
      <c r="S193" s="727"/>
    </row>
    <row r="194" s="10" customFormat="1" ht="16.5" spans="1:19">
      <c r="A194" s="536"/>
      <c r="B194" s="536"/>
      <c r="C194" s="836"/>
      <c r="D194" s="837"/>
      <c r="E194" s="837"/>
      <c r="F194" s="836"/>
      <c r="G194" s="836"/>
      <c r="H194" s="850"/>
      <c r="I194" s="850"/>
      <c r="J194" s="850"/>
      <c r="K194" s="836"/>
      <c r="L194" s="836"/>
      <c r="M194" s="870"/>
      <c r="N194" s="870"/>
      <c r="O194" s="871"/>
      <c r="P194" s="836"/>
      <c r="Q194" s="837"/>
      <c r="R194" s="836"/>
      <c r="S194" s="836"/>
    </row>
    <row r="195" s="10" customFormat="1" ht="16.5" spans="1:19">
      <c r="A195" s="536"/>
      <c r="B195" s="536"/>
      <c r="C195" s="836"/>
      <c r="D195" s="837"/>
      <c r="E195" s="837"/>
      <c r="F195" s="836"/>
      <c r="G195" s="836"/>
      <c r="H195" s="880"/>
      <c r="I195" s="880"/>
      <c r="J195" s="880"/>
      <c r="K195" s="836"/>
      <c r="L195" s="836"/>
      <c r="M195" s="870"/>
      <c r="N195" s="870"/>
      <c r="O195" s="871"/>
      <c r="P195" s="836"/>
      <c r="Q195" s="837"/>
      <c r="R195" s="836"/>
      <c r="S195" s="836"/>
    </row>
    <row r="196" s="10" customFormat="1" ht="16.5" spans="1:19">
      <c r="A196" s="875" t="s">
        <v>1814</v>
      </c>
      <c r="B196" s="875"/>
      <c r="C196" s="875"/>
      <c r="D196" s="875"/>
      <c r="E196" s="875"/>
      <c r="F196" s="881"/>
      <c r="G196" s="882" t="s">
        <v>2613</v>
      </c>
      <c r="H196" s="850">
        <f>H192</f>
        <v>29053042.802608</v>
      </c>
      <c r="I196" s="850"/>
      <c r="J196" s="892"/>
      <c r="K196" s="836"/>
      <c r="L196" s="836"/>
      <c r="M196" s="870"/>
      <c r="N196" s="870"/>
      <c r="O196" s="871"/>
      <c r="P196" s="894"/>
      <c r="Q196" s="837"/>
      <c r="R196" s="836"/>
      <c r="S196" s="836"/>
    </row>
    <row r="197" s="10" customFormat="1" ht="16.5" spans="1:19">
      <c r="A197" s="875" t="s">
        <v>2045</v>
      </c>
      <c r="B197" s="875"/>
      <c r="C197" s="875"/>
      <c r="D197" s="875"/>
      <c r="E197" s="875"/>
      <c r="F197" s="875"/>
      <c r="G197" s="882" t="s">
        <v>2614</v>
      </c>
      <c r="H197" s="883">
        <v>85340000</v>
      </c>
      <c r="J197" s="328"/>
      <c r="K197" s="836"/>
      <c r="L197" s="836"/>
      <c r="M197" s="870"/>
      <c r="N197" s="870"/>
      <c r="O197" s="871"/>
      <c r="P197" s="894"/>
      <c r="Q197" s="837"/>
      <c r="R197" s="836"/>
      <c r="S197" s="836"/>
    </row>
    <row r="198" s="10" customFormat="1" ht="16.5" spans="1:19">
      <c r="A198" s="875" t="s">
        <v>2046</v>
      </c>
      <c r="B198" s="875"/>
      <c r="C198" s="875"/>
      <c r="D198" s="875"/>
      <c r="E198" s="875"/>
      <c r="F198" s="875"/>
      <c r="G198" s="882" t="s">
        <v>2615</v>
      </c>
      <c r="H198" s="850">
        <v>8450000</v>
      </c>
      <c r="I198" s="850"/>
      <c r="J198" s="328"/>
      <c r="K198" s="892"/>
      <c r="L198" s="836"/>
      <c r="M198" s="870"/>
      <c r="N198" s="870"/>
      <c r="O198" s="871"/>
      <c r="P198" s="894"/>
      <c r="Q198" s="837"/>
      <c r="R198" s="836"/>
      <c r="S198" s="836"/>
    </row>
    <row r="199" s="10" customFormat="1" ht="16.5" spans="1:19">
      <c r="A199" s="875" t="s">
        <v>2047</v>
      </c>
      <c r="B199" s="875"/>
      <c r="C199" s="875"/>
      <c r="D199" s="875"/>
      <c r="E199" s="875"/>
      <c r="F199" s="875"/>
      <c r="G199" s="884"/>
      <c r="H199" s="850"/>
      <c r="I199" s="850"/>
      <c r="J199" s="892"/>
      <c r="K199" s="836"/>
      <c r="L199" s="836"/>
      <c r="M199" s="870"/>
      <c r="N199" s="870"/>
      <c r="O199" s="871"/>
      <c r="P199" s="894"/>
      <c r="Q199" s="837"/>
      <c r="R199" s="836"/>
      <c r="S199" s="836"/>
    </row>
    <row r="200" s="10" customFormat="1" ht="16.5" spans="1:19">
      <c r="A200" s="875"/>
      <c r="B200" s="875"/>
      <c r="C200" s="875"/>
      <c r="D200" s="875"/>
      <c r="E200" s="875"/>
      <c r="F200" s="875"/>
      <c r="G200" s="885"/>
      <c r="H200" s="850"/>
      <c r="I200" s="850"/>
      <c r="J200" s="892"/>
      <c r="K200" s="836"/>
      <c r="L200" s="836"/>
      <c r="M200" s="870"/>
      <c r="N200" s="870"/>
      <c r="O200" s="871"/>
      <c r="P200" s="894"/>
      <c r="Q200" s="837"/>
      <c r="R200" s="836"/>
      <c r="S200" s="836"/>
    </row>
    <row r="201" s="10" customFormat="1" ht="16.5" spans="1:19">
      <c r="A201" s="875"/>
      <c r="B201" s="875"/>
      <c r="C201" s="876"/>
      <c r="D201" s="876"/>
      <c r="E201" s="876"/>
      <c r="F201" s="876"/>
      <c r="G201" s="886" t="s">
        <v>2616</v>
      </c>
      <c r="H201" s="850">
        <f>120000000-H196-H197-H198</f>
        <v>-2843042.80260801</v>
      </c>
      <c r="I201" s="850"/>
      <c r="J201" s="328"/>
      <c r="K201" s="893"/>
      <c r="L201" s="893"/>
      <c r="M201" s="870"/>
      <c r="N201" s="870"/>
      <c r="O201" s="895"/>
      <c r="P201" s="894"/>
      <c r="Q201" s="837"/>
      <c r="R201" s="893"/>
      <c r="S201" s="893"/>
    </row>
    <row r="202" ht="16.5" spans="1:19">
      <c r="A202" s="875"/>
      <c r="B202" s="875"/>
      <c r="C202" s="876"/>
      <c r="D202" s="876"/>
      <c r="E202" s="876"/>
      <c r="F202" s="876"/>
      <c r="G202" s="886" t="s">
        <v>2617</v>
      </c>
      <c r="H202" s="850"/>
      <c r="I202" s="850"/>
      <c r="J202" s="328"/>
      <c r="K202" s="877"/>
      <c r="L202" s="877"/>
      <c r="M202" s="896"/>
      <c r="N202" s="896"/>
      <c r="O202" s="897"/>
      <c r="P202" s="876"/>
      <c r="Q202" s="878"/>
      <c r="R202" s="877"/>
      <c r="S202" s="877"/>
    </row>
    <row r="203" ht="16.5" spans="1:19">
      <c r="A203" s="417"/>
      <c r="B203" s="417"/>
      <c r="C203" s="877"/>
      <c r="D203" s="878"/>
      <c r="E203" s="878"/>
      <c r="F203" s="877"/>
      <c r="G203" s="887"/>
      <c r="H203" s="850"/>
      <c r="J203" s="850"/>
      <c r="K203" s="877"/>
      <c r="L203" s="877"/>
      <c r="M203" s="896"/>
      <c r="N203" s="896"/>
      <c r="O203" s="897"/>
      <c r="P203" s="877"/>
      <c r="Q203" s="878"/>
      <c r="R203" s="877"/>
      <c r="S203" s="877"/>
    </row>
    <row r="204" ht="16.5" spans="1:19">
      <c r="A204" s="417"/>
      <c r="B204" s="417"/>
      <c r="C204" s="417"/>
      <c r="D204" s="879"/>
      <c r="E204" s="879"/>
      <c r="F204" s="417"/>
      <c r="G204" s="888"/>
      <c r="H204" s="880"/>
      <c r="I204" s="880"/>
      <c r="J204" s="880"/>
      <c r="K204" s="417"/>
      <c r="L204" s="417"/>
      <c r="M204" s="898"/>
      <c r="N204" s="898"/>
      <c r="O204" s="899"/>
      <c r="P204" s="417"/>
      <c r="Q204" s="900"/>
      <c r="R204" s="417"/>
      <c r="S204" s="417"/>
    </row>
    <row r="205" spans="7:7">
      <c r="G205" s="12"/>
    </row>
    <row r="206" spans="12:12">
      <c r="L206" s="265"/>
    </row>
    <row r="207" ht="20.85" customHeight="1" spans="5:8">
      <c r="E207" s="881"/>
      <c r="F207" s="881"/>
      <c r="G207" s="889"/>
      <c r="H207" s="889"/>
    </row>
    <row r="208" s="417" customFormat="1" ht="30.85" customHeight="1" spans="5:17">
      <c r="E208" s="890"/>
      <c r="F208" s="890"/>
      <c r="G208" s="891"/>
      <c r="H208" s="891"/>
      <c r="O208" s="899"/>
      <c r="Q208" s="901"/>
    </row>
  </sheetData>
  <sheetProtection formatCells="0" insertHyperlinks="0" autoFilter="0"/>
  <autoFilter xmlns:etc="http://www.wps.cn/officeDocument/2017/etCustomData" ref="A1:T208" etc:filterBottomFollowUsedRange="0">
    <extLst/>
  </autoFilter>
  <mergeCells count="105">
    <mergeCell ref="A1:R1"/>
    <mergeCell ref="I41:J41"/>
    <mergeCell ref="M41:N41"/>
    <mergeCell ref="C51:G51"/>
    <mergeCell ref="C64:G64"/>
    <mergeCell ref="M87:N87"/>
    <mergeCell ref="I109:J109"/>
    <mergeCell ref="M109:N109"/>
    <mergeCell ref="M110:N110"/>
    <mergeCell ref="M111:N111"/>
    <mergeCell ref="M112:N112"/>
    <mergeCell ref="M113:N113"/>
    <mergeCell ref="M115:N115"/>
    <mergeCell ref="M116:N116"/>
    <mergeCell ref="C117:G117"/>
    <mergeCell ref="M117:N117"/>
    <mergeCell ref="M118:N118"/>
    <mergeCell ref="M119:N119"/>
    <mergeCell ref="M120:N120"/>
    <mergeCell ref="M121:N121"/>
    <mergeCell ref="M122:N122"/>
    <mergeCell ref="M123:N123"/>
    <mergeCell ref="M125:N125"/>
    <mergeCell ref="M126:N126"/>
    <mergeCell ref="M127:N127"/>
    <mergeCell ref="C128:G128"/>
    <mergeCell ref="O149:P149"/>
    <mergeCell ref="O151:R151"/>
    <mergeCell ref="M164:N164"/>
    <mergeCell ref="O175:Q175"/>
    <mergeCell ref="C179:G179"/>
    <mergeCell ref="C190:G190"/>
    <mergeCell ref="A3:A64"/>
    <mergeCell ref="A66:A128"/>
    <mergeCell ref="A130:A190"/>
    <mergeCell ref="B3:B40"/>
    <mergeCell ref="B42:B51"/>
    <mergeCell ref="B52:B64"/>
    <mergeCell ref="B66:B108"/>
    <mergeCell ref="B110:B117"/>
    <mergeCell ref="B118:B128"/>
    <mergeCell ref="B130:B163"/>
    <mergeCell ref="B165:B179"/>
    <mergeCell ref="B180:B190"/>
    <mergeCell ref="C3:C14"/>
    <mergeCell ref="C15:C28"/>
    <mergeCell ref="C29:C36"/>
    <mergeCell ref="C37:C38"/>
    <mergeCell ref="C39:C40"/>
    <mergeCell ref="C42:C43"/>
    <mergeCell ref="C44:C45"/>
    <mergeCell ref="C46:C48"/>
    <mergeCell ref="C49:C50"/>
    <mergeCell ref="C52:C55"/>
    <mergeCell ref="C56:C59"/>
    <mergeCell ref="C60:C61"/>
    <mergeCell ref="C62:C63"/>
    <mergeCell ref="C66:C78"/>
    <mergeCell ref="C79:C87"/>
    <mergeCell ref="C88:C103"/>
    <mergeCell ref="C104:C106"/>
    <mergeCell ref="C107:C108"/>
    <mergeCell ref="C110:C111"/>
    <mergeCell ref="C119:C123"/>
    <mergeCell ref="C124:C126"/>
    <mergeCell ref="C130:C134"/>
    <mergeCell ref="C135:C148"/>
    <mergeCell ref="C149:C161"/>
    <mergeCell ref="C162:C163"/>
    <mergeCell ref="C165:C167"/>
    <mergeCell ref="C168:C173"/>
    <mergeCell ref="C174:C178"/>
    <mergeCell ref="C181:C182"/>
    <mergeCell ref="C183:C189"/>
    <mergeCell ref="D3:D14"/>
    <mergeCell ref="D15:D27"/>
    <mergeCell ref="D29:D36"/>
    <mergeCell ref="D37:D38"/>
    <mergeCell ref="D39:D40"/>
    <mergeCell ref="D42:D50"/>
    <mergeCell ref="D52:D63"/>
    <mergeCell ref="D66:D78"/>
    <mergeCell ref="D79:D87"/>
    <mergeCell ref="D88:D103"/>
    <mergeCell ref="D104:D106"/>
    <mergeCell ref="D107:D108"/>
    <mergeCell ref="D110:D116"/>
    <mergeCell ref="D118:D127"/>
    <mergeCell ref="D130:D134"/>
    <mergeCell ref="D135:D148"/>
    <mergeCell ref="D149:D161"/>
    <mergeCell ref="D162:D163"/>
    <mergeCell ref="D165:D178"/>
    <mergeCell ref="D180:D189"/>
    <mergeCell ref="D192:D193"/>
    <mergeCell ref="E66:E78"/>
    <mergeCell ref="E83:E84"/>
    <mergeCell ref="E89:E90"/>
    <mergeCell ref="E91:E92"/>
    <mergeCell ref="E94:E98"/>
    <mergeCell ref="E101:E103"/>
    <mergeCell ref="E119:E121"/>
    <mergeCell ref="N152:N153"/>
    <mergeCell ref="O152:O153"/>
    <mergeCell ref="A192:C193"/>
  </mergeCells>
  <pageMargins left="0.75" right="0.75" top="1" bottom="1" header="0.5" footer="0.5"/>
  <headerFooter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3"/>
  <dimension ref="A1:X85"/>
  <sheetViews>
    <sheetView workbookViewId="0">
      <pane xSplit="3" ySplit="2" topLeftCell="G23" activePane="bottomRight" state="frozen"/>
      <selection/>
      <selection pane="topRight"/>
      <selection pane="bottomLeft"/>
      <selection pane="bottomRight" activeCell="H86" sqref="H86"/>
    </sheetView>
  </sheetViews>
  <sheetFormatPr defaultColWidth="9" defaultRowHeight="13.5"/>
  <cols>
    <col min="1" max="1" width="7" customWidth="1"/>
    <col min="2" max="2" width="8.375" customWidth="1"/>
    <col min="3" max="3" width="8.125" customWidth="1"/>
    <col min="4" max="4" width="21.5" customWidth="1"/>
    <col min="5" max="5" width="20.175" customWidth="1"/>
    <col min="6" max="7" width="14.0333333333333" customWidth="1"/>
    <col min="8" max="8" width="16.5" customWidth="1"/>
    <col min="9" max="9" width="13.9416666666667" customWidth="1"/>
    <col min="11" max="11" width="16.625"/>
    <col min="12" max="13" width="9.53333333333333" customWidth="1"/>
    <col min="14" max="14" width="60.7833333333333" customWidth="1"/>
    <col min="15" max="15" width="15.3166666666667" customWidth="1"/>
    <col min="16" max="16" width="9" style="510"/>
    <col min="17" max="17" width="13.125"/>
    <col min="19" max="19" width="13.2583333333333" customWidth="1"/>
    <col min="23" max="23" width="13.5" customWidth="1"/>
  </cols>
  <sheetData>
    <row r="1" s="10" customFormat="1" ht="21.65" customHeight="1" spans="1:23">
      <c r="A1" s="1094" t="s">
        <v>2618</v>
      </c>
      <c r="B1" s="1094"/>
      <c r="C1" s="1094"/>
      <c r="D1" s="1094"/>
      <c r="E1" s="1094"/>
      <c r="F1" s="1094"/>
      <c r="G1" s="1094"/>
      <c r="H1" s="1094"/>
      <c r="I1" s="1094"/>
      <c r="J1" s="1094"/>
      <c r="K1" s="1094"/>
      <c r="L1" s="1102"/>
      <c r="M1" s="1102"/>
      <c r="N1" s="1016"/>
      <c r="O1" s="1094"/>
      <c r="P1" s="1094"/>
      <c r="Q1" s="1094"/>
      <c r="R1" s="651"/>
      <c r="S1" s="651"/>
      <c r="T1" s="651"/>
      <c r="U1" s="651"/>
      <c r="V1" s="836"/>
      <c r="W1" s="1177"/>
    </row>
    <row r="2" s="10" customFormat="1" ht="30" spans="1:23">
      <c r="A2" s="780" t="s">
        <v>1092</v>
      </c>
      <c r="B2" s="1144" t="s">
        <v>1093</v>
      </c>
      <c r="C2" s="1145" t="s">
        <v>1821</v>
      </c>
      <c r="D2" s="1145" t="s">
        <v>1822</v>
      </c>
      <c r="E2" s="1152" t="s">
        <v>1095</v>
      </c>
      <c r="F2" s="1153" t="s">
        <v>362</v>
      </c>
      <c r="G2" s="1154" t="s">
        <v>1716</v>
      </c>
      <c r="H2" s="1154" t="s">
        <v>1717</v>
      </c>
      <c r="I2" s="1154" t="s">
        <v>1718</v>
      </c>
      <c r="J2" s="1164" t="s">
        <v>1096</v>
      </c>
      <c r="K2" s="1165" t="s">
        <v>1098</v>
      </c>
      <c r="L2" s="1166" t="s">
        <v>1097</v>
      </c>
      <c r="M2" s="1166" t="s">
        <v>1214</v>
      </c>
      <c r="N2" s="727" t="s">
        <v>1215</v>
      </c>
      <c r="O2" s="621" t="s">
        <v>7</v>
      </c>
      <c r="P2" s="652" t="s">
        <v>8</v>
      </c>
      <c r="Q2" s="653" t="s">
        <v>9</v>
      </c>
      <c r="R2" s="654" t="s">
        <v>1291</v>
      </c>
      <c r="S2" s="654" t="s">
        <v>13</v>
      </c>
      <c r="T2" s="1170" t="s">
        <v>14</v>
      </c>
      <c r="U2" s="1178" t="s">
        <v>15</v>
      </c>
      <c r="V2" s="1179" t="s">
        <v>1100</v>
      </c>
      <c r="W2" s="1180" t="s">
        <v>1101</v>
      </c>
    </row>
    <row r="3" s="10" customFormat="1" ht="20" customHeight="1" spans="1:23">
      <c r="A3" s="721" t="s">
        <v>1823</v>
      </c>
      <c r="B3" s="715" t="s">
        <v>1825</v>
      </c>
      <c r="C3" s="716">
        <v>110</v>
      </c>
      <c r="D3" s="572" t="s">
        <v>1722</v>
      </c>
      <c r="E3" s="1248" t="s">
        <v>2619</v>
      </c>
      <c r="F3" s="591">
        <v>52154.79</v>
      </c>
      <c r="G3" s="603">
        <f>F3*J3</f>
        <v>358851.032595</v>
      </c>
      <c r="H3" s="567">
        <v>358851</v>
      </c>
      <c r="I3" s="567"/>
      <c r="J3" s="614">
        <v>6.8805</v>
      </c>
      <c r="K3" s="707">
        <v>45046</v>
      </c>
      <c r="L3" s="644">
        <v>45044</v>
      </c>
      <c r="M3" s="644">
        <v>45058</v>
      </c>
      <c r="N3" s="564" t="s">
        <v>2620</v>
      </c>
      <c r="O3" s="635" t="s">
        <v>2307</v>
      </c>
      <c r="P3" s="655" t="s">
        <v>1671</v>
      </c>
      <c r="Q3" s="664"/>
      <c r="R3" s="577"/>
      <c r="S3" s="577"/>
      <c r="T3" s="1171"/>
      <c r="U3" s="664"/>
      <c r="V3" s="664"/>
      <c r="W3" s="1181"/>
    </row>
    <row r="4" s="10" customFormat="1" ht="20" customHeight="1" spans="1:23">
      <c r="A4" s="1147"/>
      <c r="B4" s="715"/>
      <c r="C4" s="716"/>
      <c r="D4" s="572" t="s">
        <v>1391</v>
      </c>
      <c r="E4" s="1248" t="s">
        <v>2621</v>
      </c>
      <c r="F4" s="591">
        <v>49523.7</v>
      </c>
      <c r="G4" s="603">
        <f>F4*J4</f>
        <v>340747.81785</v>
      </c>
      <c r="H4" s="567">
        <v>340748</v>
      </c>
      <c r="I4" s="567">
        <v>340748</v>
      </c>
      <c r="J4" s="614">
        <v>6.8805</v>
      </c>
      <c r="K4" s="708" t="s">
        <v>1218</v>
      </c>
      <c r="L4" s="644">
        <v>45031</v>
      </c>
      <c r="M4" s="644">
        <v>45035</v>
      </c>
      <c r="N4" s="564" t="s">
        <v>2622</v>
      </c>
      <c r="O4" s="635" t="s">
        <v>2623</v>
      </c>
      <c r="P4" s="655"/>
      <c r="Q4" s="664"/>
      <c r="R4" s="577"/>
      <c r="S4" s="577"/>
      <c r="T4" s="1171"/>
      <c r="U4" s="664"/>
      <c r="V4" s="664"/>
      <c r="W4" s="1181"/>
    </row>
    <row r="5" s="10" customFormat="1" ht="20" customHeight="1" spans="1:23">
      <c r="A5" s="1147"/>
      <c r="B5" s="715"/>
      <c r="C5" s="716"/>
      <c r="D5" s="572" t="s">
        <v>2624</v>
      </c>
      <c r="E5" s="1245" t="s">
        <v>2625</v>
      </c>
      <c r="F5" s="591">
        <v>3054</v>
      </c>
      <c r="G5" s="603">
        <f>F5*J5</f>
        <v>21013.047</v>
      </c>
      <c r="H5" s="567">
        <f>G5</f>
        <v>21013.047</v>
      </c>
      <c r="I5" s="567"/>
      <c r="J5" s="614">
        <v>6.8805</v>
      </c>
      <c r="K5" s="708" t="s">
        <v>1218</v>
      </c>
      <c r="L5" s="644">
        <v>45034</v>
      </c>
      <c r="M5" s="644">
        <v>45056</v>
      </c>
      <c r="N5" s="564" t="s">
        <v>2626</v>
      </c>
      <c r="O5" s="635" t="s">
        <v>1060</v>
      </c>
      <c r="P5" s="655"/>
      <c r="Q5" s="664"/>
      <c r="R5" s="577"/>
      <c r="S5" s="577"/>
      <c r="T5" s="1171"/>
      <c r="U5" s="664"/>
      <c r="V5" s="664"/>
      <c r="W5" s="1181"/>
    </row>
    <row r="6" s="10" customFormat="1" ht="20" customHeight="1" spans="1:23">
      <c r="A6" s="1147"/>
      <c r="B6" s="715"/>
      <c r="C6" s="716"/>
      <c r="D6" s="572" t="s">
        <v>2627</v>
      </c>
      <c r="E6" s="1245" t="s">
        <v>2628</v>
      </c>
      <c r="F6" s="591">
        <v>3633</v>
      </c>
      <c r="G6" s="603">
        <f>F6*J6</f>
        <v>24996.8565</v>
      </c>
      <c r="H6" s="567">
        <v>24997</v>
      </c>
      <c r="I6" s="567">
        <v>24997</v>
      </c>
      <c r="J6" s="614">
        <v>6.8805</v>
      </c>
      <c r="K6" s="708" t="s">
        <v>2629</v>
      </c>
      <c r="L6" s="644">
        <v>45041</v>
      </c>
      <c r="M6" s="644">
        <v>45045</v>
      </c>
      <c r="N6" s="564" t="s">
        <v>2630</v>
      </c>
      <c r="O6" s="635" t="s">
        <v>2631</v>
      </c>
      <c r="P6" s="655"/>
      <c r="Q6" s="664"/>
      <c r="R6" s="577"/>
      <c r="S6" s="577"/>
      <c r="T6" s="1171"/>
      <c r="U6" s="664"/>
      <c r="V6" s="664"/>
      <c r="W6" s="1181"/>
    </row>
    <row r="7" s="10" customFormat="1" ht="20" customHeight="1" spans="1:23">
      <c r="A7" s="1147"/>
      <c r="B7" s="715"/>
      <c r="C7" s="716"/>
      <c r="D7" s="250" t="s">
        <v>161</v>
      </c>
      <c r="E7" s="250" t="s">
        <v>2173</v>
      </c>
      <c r="F7" s="1002"/>
      <c r="G7" s="603"/>
      <c r="H7" s="603"/>
      <c r="I7" s="603">
        <v>275636</v>
      </c>
      <c r="J7" s="614">
        <v>6.8805</v>
      </c>
      <c r="K7" s="598">
        <v>45014</v>
      </c>
      <c r="L7" s="644">
        <v>45014</v>
      </c>
      <c r="M7" s="644">
        <v>45019</v>
      </c>
      <c r="N7" s="564" t="s">
        <v>2632</v>
      </c>
      <c r="O7" s="642" t="s">
        <v>2175</v>
      </c>
      <c r="P7" s="655" t="s">
        <v>1671</v>
      </c>
      <c r="Q7" s="664"/>
      <c r="R7" s="577"/>
      <c r="S7" s="577"/>
      <c r="T7" s="1171"/>
      <c r="U7" s="664"/>
      <c r="V7" s="664"/>
      <c r="W7" s="1181"/>
    </row>
    <row r="8" s="10" customFormat="1" ht="20" customHeight="1" spans="1:23">
      <c r="A8" s="1147"/>
      <c r="B8" s="715"/>
      <c r="C8" s="716"/>
      <c r="D8" s="572" t="s">
        <v>145</v>
      </c>
      <c r="E8" s="250" t="s">
        <v>2178</v>
      </c>
      <c r="F8" s="591"/>
      <c r="G8" s="603"/>
      <c r="H8" s="567"/>
      <c r="I8" s="567">
        <v>358931</v>
      </c>
      <c r="J8" s="614">
        <v>6.8805</v>
      </c>
      <c r="K8" s="707">
        <v>45010</v>
      </c>
      <c r="L8" s="645">
        <v>45014</v>
      </c>
      <c r="M8" s="645">
        <v>45024</v>
      </c>
      <c r="N8" s="564" t="s">
        <v>2632</v>
      </c>
      <c r="O8" s="635" t="s">
        <v>2179</v>
      </c>
      <c r="P8" s="655" t="s">
        <v>1671</v>
      </c>
      <c r="Q8" s="664"/>
      <c r="R8" s="577"/>
      <c r="S8" s="577"/>
      <c r="T8" s="1171"/>
      <c r="U8" s="664"/>
      <c r="V8" s="664"/>
      <c r="W8" s="1181"/>
    </row>
    <row r="9" s="10" customFormat="1" ht="20" customHeight="1" spans="1:23">
      <c r="A9" s="1147"/>
      <c r="B9" s="715"/>
      <c r="C9" s="716"/>
      <c r="D9" s="572" t="s">
        <v>1876</v>
      </c>
      <c r="E9" s="250" t="s">
        <v>2185</v>
      </c>
      <c r="F9" s="591"/>
      <c r="G9" s="603"/>
      <c r="H9" s="567"/>
      <c r="I9" s="567">
        <v>223961</v>
      </c>
      <c r="J9" s="614">
        <v>6.8805</v>
      </c>
      <c r="K9" s="598" t="s">
        <v>1218</v>
      </c>
      <c r="L9" s="644">
        <v>45012</v>
      </c>
      <c r="M9" s="645">
        <v>45018</v>
      </c>
      <c r="N9" s="564" t="s">
        <v>2632</v>
      </c>
      <c r="O9" s="635" t="s">
        <v>2187</v>
      </c>
      <c r="P9" s="655" t="s">
        <v>1656</v>
      </c>
      <c r="Q9" s="664"/>
      <c r="R9" s="577"/>
      <c r="S9" s="577"/>
      <c r="T9" s="1171"/>
      <c r="U9" s="664"/>
      <c r="V9" s="664"/>
      <c r="W9" s="1181"/>
    </row>
    <row r="10" s="10" customFormat="1" ht="20" customHeight="1" spans="1:23">
      <c r="A10" s="1147"/>
      <c r="B10" s="715"/>
      <c r="C10" s="716"/>
      <c r="D10" s="572" t="s">
        <v>157</v>
      </c>
      <c r="E10" s="250" t="s">
        <v>2188</v>
      </c>
      <c r="F10" s="591"/>
      <c r="G10" s="603"/>
      <c r="H10" s="567"/>
      <c r="I10" s="567">
        <v>19483</v>
      </c>
      <c r="J10" s="614">
        <v>6.8805</v>
      </c>
      <c r="K10" s="598" t="s">
        <v>1218</v>
      </c>
      <c r="L10" s="644">
        <v>45016</v>
      </c>
      <c r="M10" s="644">
        <v>45037</v>
      </c>
      <c r="N10" s="564" t="s">
        <v>2632</v>
      </c>
      <c r="O10" s="635"/>
      <c r="P10" s="655"/>
      <c r="Q10" s="664"/>
      <c r="R10" s="577"/>
      <c r="S10" s="577"/>
      <c r="T10" s="1171"/>
      <c r="U10" s="664"/>
      <c r="V10" s="664"/>
      <c r="W10" s="1181"/>
    </row>
    <row r="11" s="10" customFormat="1" ht="20" customHeight="1" spans="1:23">
      <c r="A11" s="721"/>
      <c r="B11" s="664" t="s">
        <v>224</v>
      </c>
      <c r="C11" s="557">
        <v>90</v>
      </c>
      <c r="D11" s="250" t="s">
        <v>283</v>
      </c>
      <c r="E11" s="1245" t="s">
        <v>2633</v>
      </c>
      <c r="F11" s="725">
        <v>7272</v>
      </c>
      <c r="G11" s="567">
        <f t="shared" ref="G11:G16" si="0">F11*J11</f>
        <v>50034.996</v>
      </c>
      <c r="H11" s="567">
        <v>50035</v>
      </c>
      <c r="I11" s="577"/>
      <c r="J11" s="614">
        <v>6.8805</v>
      </c>
      <c r="K11" s="250" t="s">
        <v>1218</v>
      </c>
      <c r="L11" s="625">
        <v>45043</v>
      </c>
      <c r="M11" s="645">
        <v>45051</v>
      </c>
      <c r="N11" s="574" t="s">
        <v>2634</v>
      </c>
      <c r="O11" s="937" t="s">
        <v>2635</v>
      </c>
      <c r="P11" s="655" t="s">
        <v>2636</v>
      </c>
      <c r="Q11" s="656"/>
      <c r="R11" s="577"/>
      <c r="S11" s="577"/>
      <c r="T11" s="1171"/>
      <c r="U11" s="664"/>
      <c r="V11" s="664"/>
      <c r="W11" s="1181"/>
    </row>
    <row r="12" s="10" customFormat="1" ht="20" customHeight="1" spans="1:23">
      <c r="A12" s="721"/>
      <c r="B12" s="664"/>
      <c r="C12" s="557"/>
      <c r="D12" s="561" t="s">
        <v>2637</v>
      </c>
      <c r="E12" s="1245" t="s">
        <v>2638</v>
      </c>
      <c r="F12" s="576">
        <v>48972</v>
      </c>
      <c r="G12" s="567">
        <f t="shared" si="0"/>
        <v>336951.846</v>
      </c>
      <c r="H12" s="567">
        <v>336951.846</v>
      </c>
      <c r="I12" s="536"/>
      <c r="J12" s="614">
        <v>6.8805</v>
      </c>
      <c r="K12" s="707">
        <v>45038</v>
      </c>
      <c r="L12" s="707">
        <v>45042</v>
      </c>
      <c r="M12" s="644">
        <v>45049</v>
      </c>
      <c r="N12" s="994" t="s">
        <v>2639</v>
      </c>
      <c r="O12" s="572" t="s">
        <v>411</v>
      </c>
      <c r="P12" s="655" t="s">
        <v>2640</v>
      </c>
      <c r="Q12" s="664"/>
      <c r="R12" s="577"/>
      <c r="S12" s="577"/>
      <c r="T12" s="1171"/>
      <c r="U12" s="664"/>
      <c r="V12" s="664"/>
      <c r="W12" s="1181"/>
    </row>
    <row r="13" s="10" customFormat="1" ht="20" customHeight="1" spans="1:23">
      <c r="A13" s="721"/>
      <c r="B13" s="664"/>
      <c r="C13" s="557"/>
      <c r="D13" s="572" t="s">
        <v>408</v>
      </c>
      <c r="E13" s="1245" t="s">
        <v>2641</v>
      </c>
      <c r="F13" s="725">
        <v>41305</v>
      </c>
      <c r="G13" s="567">
        <f t="shared" si="0"/>
        <v>284199.0525</v>
      </c>
      <c r="H13" s="567">
        <v>284199.0525</v>
      </c>
      <c r="I13" s="567">
        <v>284199</v>
      </c>
      <c r="J13" s="614">
        <v>6.8805</v>
      </c>
      <c r="K13" s="707">
        <v>45015</v>
      </c>
      <c r="L13" s="645">
        <v>45035</v>
      </c>
      <c r="M13" s="644">
        <v>45041</v>
      </c>
      <c r="N13" s="994" t="s">
        <v>2642</v>
      </c>
      <c r="O13" s="937" t="s">
        <v>2643</v>
      </c>
      <c r="P13" s="655" t="s">
        <v>2640</v>
      </c>
      <c r="Q13" s="664"/>
      <c r="R13" s="577"/>
      <c r="S13" s="577"/>
      <c r="T13" s="1171"/>
      <c r="U13" s="664"/>
      <c r="V13" s="664"/>
      <c r="W13" s="1181"/>
    </row>
    <row r="14" s="10" customFormat="1" ht="20" customHeight="1" spans="1:23">
      <c r="A14" s="721"/>
      <c r="B14" s="664"/>
      <c r="C14" s="557"/>
      <c r="D14" s="561" t="s">
        <v>1415</v>
      </c>
      <c r="E14" s="1248" t="s">
        <v>1416</v>
      </c>
      <c r="F14" s="722">
        <v>26340</v>
      </c>
      <c r="G14" s="567">
        <f t="shared" si="0"/>
        <v>181232.37</v>
      </c>
      <c r="H14" s="596">
        <v>181232.37</v>
      </c>
      <c r="I14" s="577">
        <v>181232</v>
      </c>
      <c r="J14" s="614">
        <v>6.8805</v>
      </c>
      <c r="K14" s="707">
        <v>45011</v>
      </c>
      <c r="L14" s="644">
        <v>45037</v>
      </c>
      <c r="M14" s="645"/>
      <c r="N14" s="994" t="s">
        <v>2644</v>
      </c>
      <c r="O14" s="740" t="s">
        <v>2645</v>
      </c>
      <c r="P14" s="655" t="s">
        <v>1671</v>
      </c>
      <c r="Q14" s="664"/>
      <c r="R14" s="577"/>
      <c r="S14" s="577"/>
      <c r="T14" s="1171"/>
      <c r="U14" s="664"/>
      <c r="V14" s="664"/>
      <c r="W14" s="1181"/>
    </row>
    <row r="15" s="10" customFormat="1" ht="20" customHeight="1" spans="1:23">
      <c r="A15" s="721"/>
      <c r="B15" s="664"/>
      <c r="C15" s="557"/>
      <c r="D15" s="561" t="s">
        <v>840</v>
      </c>
      <c r="E15" s="1245" t="s">
        <v>2646</v>
      </c>
      <c r="F15" s="722">
        <v>50214</v>
      </c>
      <c r="G15" s="567">
        <f t="shared" si="0"/>
        <v>345497.427</v>
      </c>
      <c r="H15" s="567">
        <v>345497.427</v>
      </c>
      <c r="I15" s="577">
        <v>345497</v>
      </c>
      <c r="J15" s="614">
        <v>6.8805</v>
      </c>
      <c r="K15" s="598" t="s">
        <v>1218</v>
      </c>
      <c r="L15" s="645">
        <v>45036</v>
      </c>
      <c r="M15" s="644">
        <v>45044</v>
      </c>
      <c r="N15" s="706" t="s">
        <v>2647</v>
      </c>
      <c r="O15" s="937" t="s">
        <v>2648</v>
      </c>
      <c r="P15" s="655" t="s">
        <v>1671</v>
      </c>
      <c r="Q15" s="945"/>
      <c r="R15" s="577"/>
      <c r="S15" s="577"/>
      <c r="T15" s="1171"/>
      <c r="U15" s="664"/>
      <c r="V15" s="664"/>
      <c r="W15" s="1181"/>
    </row>
    <row r="16" s="10" customFormat="1" ht="20" customHeight="1" spans="1:23">
      <c r="A16" s="721"/>
      <c r="B16" s="664"/>
      <c r="C16" s="557"/>
      <c r="D16" s="561" t="s">
        <v>2649</v>
      </c>
      <c r="E16" s="1245" t="s">
        <v>2650</v>
      </c>
      <c r="F16" s="722">
        <v>319</v>
      </c>
      <c r="G16" s="567">
        <f t="shared" si="0"/>
        <v>2194.8795</v>
      </c>
      <c r="H16" s="567">
        <v>2194.8795</v>
      </c>
      <c r="I16" s="577"/>
      <c r="J16" s="614">
        <v>6.8805</v>
      </c>
      <c r="K16" s="598"/>
      <c r="L16" s="645"/>
      <c r="M16" s="644"/>
      <c r="N16" s="1030" t="s">
        <v>2651</v>
      </c>
      <c r="O16" s="937"/>
      <c r="P16" s="655"/>
      <c r="Q16" s="945"/>
      <c r="R16" s="577"/>
      <c r="S16" s="577"/>
      <c r="T16" s="1171"/>
      <c r="U16" s="664"/>
      <c r="V16" s="664"/>
      <c r="W16" s="1181"/>
    </row>
    <row r="17" s="10" customFormat="1" ht="20" customHeight="1" spans="1:23">
      <c r="A17" s="721"/>
      <c r="B17" s="664"/>
      <c r="C17" s="557"/>
      <c r="D17" s="250" t="s">
        <v>53</v>
      </c>
      <c r="E17" s="250" t="s">
        <v>2206</v>
      </c>
      <c r="F17" s="1258"/>
      <c r="G17" s="567"/>
      <c r="H17" s="567"/>
      <c r="I17" s="567">
        <v>181050.72</v>
      </c>
      <c r="J17" s="614">
        <v>6.8805</v>
      </c>
      <c r="K17" s="598" t="s">
        <v>1218</v>
      </c>
      <c r="L17" s="625">
        <v>45007</v>
      </c>
      <c r="M17" s="625">
        <v>45020</v>
      </c>
      <c r="N17" s="564" t="s">
        <v>2632</v>
      </c>
      <c r="O17" s="945"/>
      <c r="P17" s="655" t="s">
        <v>1671</v>
      </c>
      <c r="Q17" s="945"/>
      <c r="R17" s="577"/>
      <c r="S17" s="577"/>
      <c r="T17" s="1171"/>
      <c r="U17" s="664"/>
      <c r="V17" s="664"/>
      <c r="W17" s="1181"/>
    </row>
    <row r="18" s="10" customFormat="1" ht="20" customHeight="1" spans="1:23">
      <c r="A18" s="721"/>
      <c r="B18" s="664"/>
      <c r="C18" s="557"/>
      <c r="D18" s="250" t="s">
        <v>53</v>
      </c>
      <c r="E18" s="250" t="s">
        <v>2208</v>
      </c>
      <c r="F18" s="725"/>
      <c r="G18" s="567"/>
      <c r="H18" s="567"/>
      <c r="I18" s="567">
        <v>152964.54</v>
      </c>
      <c r="J18" s="614">
        <v>6.8805</v>
      </c>
      <c r="K18" s="598" t="s">
        <v>1218</v>
      </c>
      <c r="L18" s="625">
        <v>45012</v>
      </c>
      <c r="M18" s="625">
        <v>45020</v>
      </c>
      <c r="N18" s="564" t="s">
        <v>2632</v>
      </c>
      <c r="P18" s="655" t="s">
        <v>1656</v>
      </c>
      <c r="Q18" s="945"/>
      <c r="R18" s="577"/>
      <c r="S18" s="577"/>
      <c r="T18" s="1171"/>
      <c r="U18" s="664"/>
      <c r="V18" s="664"/>
      <c r="W18" s="1181"/>
    </row>
    <row r="19" s="10" customFormat="1" ht="20" customHeight="1" spans="1:23">
      <c r="A19" s="721"/>
      <c r="B19" s="664"/>
      <c r="C19" s="557"/>
      <c r="D19" s="250" t="s">
        <v>283</v>
      </c>
      <c r="E19" s="250" t="s">
        <v>2059</v>
      </c>
      <c r="F19" s="576"/>
      <c r="G19" s="596"/>
      <c r="H19" s="567"/>
      <c r="I19" s="567">
        <v>108881.66</v>
      </c>
      <c r="J19" s="614">
        <v>6.8805</v>
      </c>
      <c r="K19" s="598" t="s">
        <v>1218</v>
      </c>
      <c r="L19" s="625">
        <v>45013</v>
      </c>
      <c r="M19" s="625">
        <v>45017</v>
      </c>
      <c r="N19" s="564" t="s">
        <v>2632</v>
      </c>
      <c r="O19" s="937" t="s">
        <v>2210</v>
      </c>
      <c r="P19" s="655" t="s">
        <v>1656</v>
      </c>
      <c r="Q19" s="945"/>
      <c r="R19" s="577"/>
      <c r="S19" s="577"/>
      <c r="T19" s="1171"/>
      <c r="U19" s="664"/>
      <c r="V19" s="664"/>
      <c r="W19" s="1181"/>
    </row>
    <row r="20" s="10" customFormat="1" ht="20" customHeight="1" spans="1:23">
      <c r="A20" s="721"/>
      <c r="B20" s="664"/>
      <c r="C20" s="557"/>
      <c r="D20" s="572" t="s">
        <v>335</v>
      </c>
      <c r="E20" s="250" t="s">
        <v>2211</v>
      </c>
      <c r="F20" s="725"/>
      <c r="G20" s="567"/>
      <c r="H20" s="567"/>
      <c r="I20" s="567">
        <v>127432.28</v>
      </c>
      <c r="J20" s="614">
        <v>6.8805</v>
      </c>
      <c r="K20" s="598" t="s">
        <v>1218</v>
      </c>
      <c r="L20" s="625">
        <v>45012</v>
      </c>
      <c r="M20" s="645">
        <v>45019</v>
      </c>
      <c r="N20" s="564" t="s">
        <v>2632</v>
      </c>
      <c r="O20" s="937" t="s">
        <v>2213</v>
      </c>
      <c r="P20" s="655" t="s">
        <v>1656</v>
      </c>
      <c r="Q20" s="945"/>
      <c r="R20" s="577"/>
      <c r="S20" s="577"/>
      <c r="T20" s="1171"/>
      <c r="U20" s="664"/>
      <c r="V20" s="664"/>
      <c r="W20" s="1181"/>
    </row>
    <row r="21" s="10" customFormat="1" ht="20" customHeight="1" spans="1:23">
      <c r="A21" s="1147"/>
      <c r="B21" s="1244" t="s">
        <v>1124</v>
      </c>
      <c r="C21" s="1149">
        <f>SUM(C3:C20)</f>
        <v>200</v>
      </c>
      <c r="D21" s="1150"/>
      <c r="E21" s="1198"/>
      <c r="F21" s="1157" t="s">
        <v>1235</v>
      </c>
      <c r="G21" s="1158">
        <f>SUM(G3:G20)</f>
        <v>1945719.324945</v>
      </c>
      <c r="H21" s="1158">
        <f>SUM(H3:H20)</f>
        <v>1945719.622</v>
      </c>
      <c r="I21" s="1158">
        <f>SUM(I3:I20)</f>
        <v>2625013.2</v>
      </c>
      <c r="J21" s="1168"/>
      <c r="K21" s="610"/>
      <c r="L21" s="644"/>
      <c r="M21" s="644"/>
      <c r="N21" s="706"/>
      <c r="O21" s="640"/>
      <c r="P21" s="968"/>
      <c r="Q21" s="670"/>
      <c r="R21" s="766"/>
      <c r="S21" s="1173"/>
      <c r="T21" s="1174"/>
      <c r="U21" s="546"/>
      <c r="V21" s="546"/>
      <c r="W21" s="1183"/>
    </row>
    <row r="22" s="10" customFormat="1" ht="20" customHeight="1" spans="1:23">
      <c r="A22" s="1151"/>
      <c r="B22" s="1244"/>
      <c r="C22" s="1149"/>
      <c r="D22" s="1149"/>
      <c r="E22" s="1144"/>
      <c r="F22" s="1159" t="s">
        <v>1236</v>
      </c>
      <c r="G22" s="1160">
        <f>G21/2000000</f>
        <v>0.9728596624725</v>
      </c>
      <c r="H22" s="1160">
        <f>H21/2000000</f>
        <v>0.972859811</v>
      </c>
      <c r="I22" s="1160">
        <f>I21/2000000</f>
        <v>1.3125066</v>
      </c>
      <c r="J22" s="1168"/>
      <c r="K22" s="858"/>
      <c r="L22" s="821"/>
      <c r="M22" s="821"/>
      <c r="N22" s="1015"/>
      <c r="O22" s="804"/>
      <c r="P22" s="652"/>
      <c r="Q22" s="653"/>
      <c r="R22" s="809"/>
      <c r="S22" s="809"/>
      <c r="T22" s="809"/>
      <c r="U22" s="1184"/>
      <c r="V22" s="1184"/>
      <c r="W22" s="1185"/>
    </row>
    <row r="23" s="10" customFormat="1" ht="16.5" spans="1:24">
      <c r="A23" s="541" t="s">
        <v>1913</v>
      </c>
      <c r="B23" s="664" t="s">
        <v>1248</v>
      </c>
      <c r="C23" s="557">
        <v>125</v>
      </c>
      <c r="D23" s="543" t="s">
        <v>1771</v>
      </c>
      <c r="E23" s="1253" t="s">
        <v>2652</v>
      </c>
      <c r="F23" s="762">
        <v>893</v>
      </c>
      <c r="G23" s="567">
        <f t="shared" ref="G23:G26" si="1">F23*J23</f>
        <v>6144.2865</v>
      </c>
      <c r="H23" s="577">
        <v>6144.2865</v>
      </c>
      <c r="I23" s="577">
        <f>H23</f>
        <v>6144.2865</v>
      </c>
      <c r="J23" s="614">
        <v>6.8805</v>
      </c>
      <c r="K23" s="707"/>
      <c r="L23" s="707">
        <v>45034</v>
      </c>
      <c r="M23" s="1261"/>
      <c r="N23" s="633" t="s">
        <v>2653</v>
      </c>
      <c r="O23" s="597"/>
      <c r="P23" s="751"/>
      <c r="Q23" s="752"/>
      <c r="R23" s="750"/>
      <c r="S23" s="1175"/>
      <c r="T23" s="1176"/>
      <c r="U23" s="1186"/>
      <c r="V23" s="1187"/>
      <c r="W23" s="1181"/>
      <c r="X23" s="1022"/>
    </row>
    <row r="24" s="10" customFormat="1" ht="18.75" customHeight="1" spans="1:24">
      <c r="A24" s="541"/>
      <c r="B24" s="664"/>
      <c r="C24" s="557"/>
      <c r="D24" s="547"/>
      <c r="E24" s="1253" t="s">
        <v>2654</v>
      </c>
      <c r="F24" s="762">
        <v>19613</v>
      </c>
      <c r="G24" s="567">
        <f t="shared" si="1"/>
        <v>134947.2465</v>
      </c>
      <c r="H24" s="577">
        <v>134947.2465</v>
      </c>
      <c r="I24" s="577">
        <f>H24</f>
        <v>134947.2465</v>
      </c>
      <c r="J24" s="614">
        <v>6.8805</v>
      </c>
      <c r="K24" s="707"/>
      <c r="L24" s="707">
        <v>45034</v>
      </c>
      <c r="M24" s="1261"/>
      <c r="N24" s="633" t="s">
        <v>2653</v>
      </c>
      <c r="O24" s="597"/>
      <c r="P24" s="751"/>
      <c r="Q24" s="752"/>
      <c r="R24" s="750"/>
      <c r="S24" s="1175"/>
      <c r="T24" s="1176"/>
      <c r="U24" s="1186"/>
      <c r="V24" s="1187"/>
      <c r="W24" s="1181"/>
      <c r="X24" s="1022"/>
    </row>
    <row r="25" s="10" customFormat="1" ht="16.5" spans="1:24">
      <c r="A25" s="541"/>
      <c r="B25" s="664"/>
      <c r="C25" s="557"/>
      <c r="D25" s="982" t="s">
        <v>1298</v>
      </c>
      <c r="E25" s="1248"/>
      <c r="F25" s="725"/>
      <c r="G25" s="567">
        <v>4050</v>
      </c>
      <c r="H25" s="567">
        <v>4050</v>
      </c>
      <c r="I25" s="577"/>
      <c r="J25" s="614">
        <v>6.8805</v>
      </c>
      <c r="K25" s="598" t="s">
        <v>1218</v>
      </c>
      <c r="L25" s="625">
        <v>45036</v>
      </c>
      <c r="M25" s="625"/>
      <c r="N25" s="1214" t="s">
        <v>2226</v>
      </c>
      <c r="O25" s="572"/>
      <c r="P25" s="572"/>
      <c r="Q25" s="752"/>
      <c r="R25" s="750"/>
      <c r="S25" s="1175"/>
      <c r="T25" s="1176"/>
      <c r="U25" s="1186"/>
      <c r="V25" s="1187"/>
      <c r="W25" s="1181"/>
      <c r="X25" s="1022"/>
    </row>
    <row r="26" s="10" customFormat="1" ht="16.5" spans="1:24">
      <c r="A26" s="541"/>
      <c r="B26" s="664"/>
      <c r="C26" s="557"/>
      <c r="D26" s="543" t="s">
        <v>299</v>
      </c>
      <c r="E26" s="1259" t="s">
        <v>2655</v>
      </c>
      <c r="F26" s="762">
        <v>32032</v>
      </c>
      <c r="G26" s="567">
        <f>F26*J26</f>
        <v>220396.176</v>
      </c>
      <c r="H26" s="577">
        <v>220396.176</v>
      </c>
      <c r="I26" s="577"/>
      <c r="J26" s="614">
        <v>6.8805</v>
      </c>
      <c r="K26" s="707">
        <v>44983</v>
      </c>
      <c r="L26" s="598">
        <v>45044</v>
      </c>
      <c r="M26" s="707">
        <v>45047</v>
      </c>
      <c r="N26" s="633" t="s">
        <v>2656</v>
      </c>
      <c r="O26" s="597" t="s">
        <v>348</v>
      </c>
      <c r="P26" s="751">
        <v>91</v>
      </c>
      <c r="Q26" s="752">
        <v>352</v>
      </c>
      <c r="R26" s="750"/>
      <c r="S26" s="1175"/>
      <c r="T26" s="1176"/>
      <c r="U26" s="1186"/>
      <c r="V26" s="1187"/>
      <c r="W26" s="1181"/>
      <c r="X26" s="1022"/>
    </row>
    <row r="27" s="10" customFormat="1" ht="16.5" spans="1:24">
      <c r="A27" s="541"/>
      <c r="B27" s="664"/>
      <c r="C27" s="557"/>
      <c r="D27" s="545"/>
      <c r="E27" s="1259" t="s">
        <v>2657</v>
      </c>
      <c r="F27" s="762">
        <v>32032</v>
      </c>
      <c r="G27" s="567">
        <f>F27*J27</f>
        <v>220396.176</v>
      </c>
      <c r="H27" s="577">
        <v>220396.176</v>
      </c>
      <c r="I27" s="577"/>
      <c r="J27" s="614">
        <v>6.8805</v>
      </c>
      <c r="K27" s="707">
        <v>44983</v>
      </c>
      <c r="L27" s="598">
        <v>45044</v>
      </c>
      <c r="M27" s="707">
        <v>45047</v>
      </c>
      <c r="N27" s="633" t="s">
        <v>2656</v>
      </c>
      <c r="O27" s="597" t="s">
        <v>348</v>
      </c>
      <c r="P27" s="751">
        <v>91</v>
      </c>
      <c r="Q27" s="752">
        <v>352</v>
      </c>
      <c r="R27" s="750"/>
      <c r="S27" s="1175"/>
      <c r="T27" s="1176"/>
      <c r="U27" s="1186"/>
      <c r="V27" s="1187"/>
      <c r="W27" s="1181"/>
      <c r="X27" s="1022"/>
    </row>
    <row r="28" s="10" customFormat="1" ht="16.5" spans="1:24">
      <c r="A28" s="541"/>
      <c r="B28" s="664"/>
      <c r="C28" s="557"/>
      <c r="D28" s="545"/>
      <c r="E28" s="1259" t="s">
        <v>2218</v>
      </c>
      <c r="F28" s="762"/>
      <c r="G28" s="567"/>
      <c r="H28" s="577"/>
      <c r="I28" s="577">
        <v>45464</v>
      </c>
      <c r="J28" s="1260">
        <v>45464</v>
      </c>
      <c r="K28" s="707">
        <v>6.94</v>
      </c>
      <c r="L28" s="598">
        <v>45275</v>
      </c>
      <c r="M28" s="708" t="s">
        <v>2219</v>
      </c>
      <c r="N28" s="1262" t="s">
        <v>2220</v>
      </c>
      <c r="O28" s="597"/>
      <c r="P28" s="751"/>
      <c r="Q28" s="752"/>
      <c r="R28" s="750"/>
      <c r="S28" s="1175"/>
      <c r="T28" s="1176"/>
      <c r="U28" s="1186"/>
      <c r="V28" s="1187"/>
      <c r="W28" s="1181"/>
      <c r="X28" s="1022"/>
    </row>
    <row r="29" s="10" customFormat="1" ht="16.5" spans="1:24">
      <c r="A29" s="541"/>
      <c r="B29" s="664"/>
      <c r="C29" s="557"/>
      <c r="D29" s="547"/>
      <c r="E29" s="1259" t="s">
        <v>2658</v>
      </c>
      <c r="F29" s="762">
        <v>32032</v>
      </c>
      <c r="G29" s="567">
        <f>F29*J29</f>
        <v>220396.176</v>
      </c>
      <c r="H29" s="577">
        <v>220396.176</v>
      </c>
      <c r="I29" s="577"/>
      <c r="J29" s="614">
        <v>6.8805</v>
      </c>
      <c r="K29" s="707">
        <v>44984</v>
      </c>
      <c r="L29" s="598">
        <v>45044</v>
      </c>
      <c r="M29" s="707">
        <v>45047</v>
      </c>
      <c r="N29" s="633" t="s">
        <v>2656</v>
      </c>
      <c r="O29" s="597" t="s">
        <v>348</v>
      </c>
      <c r="P29" s="751">
        <v>91</v>
      </c>
      <c r="Q29" s="752">
        <v>352</v>
      </c>
      <c r="R29" s="750"/>
      <c r="S29" s="1175"/>
      <c r="T29" s="1176"/>
      <c r="U29" s="1186"/>
      <c r="V29" s="1187"/>
      <c r="W29" s="1181"/>
      <c r="X29" s="1022"/>
    </row>
    <row r="30" s="10" customFormat="1" ht="18.75" customHeight="1" spans="1:24">
      <c r="A30" s="541"/>
      <c r="B30" s="664" t="s">
        <v>1922</v>
      </c>
      <c r="C30" s="655">
        <v>61</v>
      </c>
      <c r="D30" s="716" t="s">
        <v>2659</v>
      </c>
      <c r="E30" s="1248" t="s">
        <v>2660</v>
      </c>
      <c r="F30" s="725">
        <v>30750</v>
      </c>
      <c r="G30" s="567">
        <f>F30*J30</f>
        <v>211575.375</v>
      </c>
      <c r="H30" s="577">
        <v>211575.375</v>
      </c>
      <c r="I30" s="577">
        <v>211575.375</v>
      </c>
      <c r="J30" s="614">
        <v>6.8805</v>
      </c>
      <c r="K30" s="707">
        <v>45021</v>
      </c>
      <c r="L30" s="707">
        <v>45022</v>
      </c>
      <c r="M30" s="707">
        <v>45028</v>
      </c>
      <c r="N30" s="250" t="s">
        <v>2661</v>
      </c>
      <c r="O30" s="572" t="s">
        <v>2662</v>
      </c>
      <c r="P30" s="572" t="s">
        <v>1671</v>
      </c>
      <c r="Q30" s="752">
        <v>250</v>
      </c>
      <c r="R30" s="753"/>
      <c r="S30" s="753"/>
      <c r="T30" s="750"/>
      <c r="U30" s="631"/>
      <c r="V30" s="1188"/>
      <c r="W30" s="1189"/>
      <c r="X30" s="1022"/>
    </row>
    <row r="31" s="10" customFormat="1" ht="18.75" customHeight="1" spans="1:24">
      <c r="A31" s="541"/>
      <c r="B31" s="664"/>
      <c r="C31" s="655"/>
      <c r="D31" s="543" t="s">
        <v>165</v>
      </c>
      <c r="E31" s="1248" t="s">
        <v>2663</v>
      </c>
      <c r="F31" s="725">
        <v>26327</v>
      </c>
      <c r="G31" s="567">
        <f>F31*J31</f>
        <v>181142.9235</v>
      </c>
      <c r="H31" s="577">
        <v>181142.9235</v>
      </c>
      <c r="I31" s="577">
        <v>181142.9235</v>
      </c>
      <c r="J31" s="614">
        <v>6.8805</v>
      </c>
      <c r="K31" s="598" t="s">
        <v>1218</v>
      </c>
      <c r="L31" s="645">
        <v>45029</v>
      </c>
      <c r="M31" s="625">
        <v>45034</v>
      </c>
      <c r="N31" s="1214" t="s">
        <v>2664</v>
      </c>
      <c r="O31" s="572"/>
      <c r="P31" s="572" t="s">
        <v>2301</v>
      </c>
      <c r="Q31" s="752"/>
      <c r="R31" s="753"/>
      <c r="S31" s="753"/>
      <c r="T31" s="750"/>
      <c r="U31" s="631"/>
      <c r="V31" s="1188"/>
      <c r="W31" s="1189"/>
      <c r="X31" s="1022"/>
    </row>
    <row r="32" s="10" customFormat="1" ht="18.75" customHeight="1" spans="1:24">
      <c r="A32" s="541"/>
      <c r="B32" s="664"/>
      <c r="C32" s="655"/>
      <c r="D32" s="545"/>
      <c r="E32" s="1248" t="s">
        <v>2665</v>
      </c>
      <c r="F32" s="725">
        <v>35690</v>
      </c>
      <c r="G32" s="567">
        <f t="shared" ref="G32:G40" si="2">F32*J32</f>
        <v>245565.045</v>
      </c>
      <c r="H32" s="577">
        <v>245565.045</v>
      </c>
      <c r="I32" s="577"/>
      <c r="J32" s="614">
        <v>6.8805</v>
      </c>
      <c r="K32" s="598" t="s">
        <v>1218</v>
      </c>
      <c r="L32" s="645">
        <v>45043</v>
      </c>
      <c r="M32" s="707">
        <v>45048</v>
      </c>
      <c r="N32" s="1214" t="s">
        <v>2666</v>
      </c>
      <c r="O32" s="572"/>
      <c r="P32" s="572" t="s">
        <v>1671</v>
      </c>
      <c r="Q32" s="752"/>
      <c r="R32" s="753"/>
      <c r="S32" s="753"/>
      <c r="T32" s="750"/>
      <c r="U32" s="631"/>
      <c r="V32" s="1188"/>
      <c r="W32" s="1189"/>
      <c r="X32" s="1022"/>
    </row>
    <row r="33" s="10" customFormat="1" ht="18.75" customHeight="1" spans="1:24">
      <c r="A33" s="541"/>
      <c r="B33" s="664"/>
      <c r="C33" s="655"/>
      <c r="D33" s="543" t="s">
        <v>324</v>
      </c>
      <c r="E33" s="250" t="s">
        <v>2224</v>
      </c>
      <c r="F33" s="725">
        <v>31416</v>
      </c>
      <c r="G33" s="567"/>
      <c r="H33" s="577"/>
      <c r="I33" s="577">
        <v>218027.04</v>
      </c>
      <c r="J33" s="614">
        <v>6.94</v>
      </c>
      <c r="K33" s="707">
        <v>45013</v>
      </c>
      <c r="L33" s="707">
        <v>45013</v>
      </c>
      <c r="M33" s="625">
        <v>45020</v>
      </c>
      <c r="N33" s="250" t="s">
        <v>2667</v>
      </c>
      <c r="O33" s="572"/>
      <c r="P33" s="572" t="s">
        <v>1671</v>
      </c>
      <c r="Q33" s="752"/>
      <c r="R33" s="753"/>
      <c r="S33" s="753"/>
      <c r="T33" s="750"/>
      <c r="U33" s="631"/>
      <c r="V33" s="1188"/>
      <c r="W33" s="1189"/>
      <c r="X33" s="1022"/>
    </row>
    <row r="34" s="10" customFormat="1" ht="22.9" customHeight="1" spans="1:24">
      <c r="A34" s="541"/>
      <c r="B34" s="664"/>
      <c r="C34" s="655"/>
      <c r="D34" s="545"/>
      <c r="E34" s="1248" t="s">
        <v>2668</v>
      </c>
      <c r="F34" s="725">
        <v>11556</v>
      </c>
      <c r="G34" s="567">
        <f t="shared" si="2"/>
        <v>79511.058</v>
      </c>
      <c r="H34" s="735">
        <v>79511.058</v>
      </c>
      <c r="I34" s="735"/>
      <c r="J34" s="614">
        <v>6.8805</v>
      </c>
      <c r="K34" s="707">
        <v>45036</v>
      </c>
      <c r="L34" s="625">
        <v>45040</v>
      </c>
      <c r="M34" s="707">
        <v>45047</v>
      </c>
      <c r="N34" s="250" t="s">
        <v>2669</v>
      </c>
      <c r="O34" s="572" t="s">
        <v>399</v>
      </c>
      <c r="P34" s="572" t="s">
        <v>1656</v>
      </c>
      <c r="Q34" s="752">
        <v>321</v>
      </c>
      <c r="R34" s="753"/>
      <c r="S34" s="753"/>
      <c r="T34" s="750"/>
      <c r="U34" s="631"/>
      <c r="V34" s="1188"/>
      <c r="W34" s="1189"/>
      <c r="X34" s="1022"/>
    </row>
    <row r="35" s="10" customFormat="1" ht="18.75" customHeight="1" spans="1:23">
      <c r="A35" s="669"/>
      <c r="B35" s="556" t="s">
        <v>209</v>
      </c>
      <c r="C35" s="557">
        <v>111</v>
      </c>
      <c r="D35" s="705" t="s">
        <v>1483</v>
      </c>
      <c r="E35" s="1248" t="s">
        <v>2670</v>
      </c>
      <c r="F35" s="969">
        <v>3567</v>
      </c>
      <c r="G35" s="567">
        <f t="shared" si="2"/>
        <v>24542.7435</v>
      </c>
      <c r="H35" s="735">
        <f t="shared" ref="H35:H40" si="3">G35</f>
        <v>24542.7435</v>
      </c>
      <c r="I35" s="577">
        <v>24542.7435</v>
      </c>
      <c r="J35" s="614">
        <v>6.8805</v>
      </c>
      <c r="K35" s="598" t="s">
        <v>1218</v>
      </c>
      <c r="L35" s="625">
        <v>45023</v>
      </c>
      <c r="M35" s="708">
        <v>45036</v>
      </c>
      <c r="N35" s="1214" t="s">
        <v>2671</v>
      </c>
      <c r="O35" s="250"/>
      <c r="P35" s="572" t="s">
        <v>2161</v>
      </c>
      <c r="Q35" s="755"/>
      <c r="R35" s="756"/>
      <c r="S35" s="1203"/>
      <c r="T35" s="1204"/>
      <c r="U35" s="715"/>
      <c r="V35" s="1211"/>
      <c r="W35" s="1182"/>
    </row>
    <row r="36" s="10" customFormat="1" ht="18.75" customHeight="1" spans="1:23">
      <c r="A36" s="669"/>
      <c r="B36" s="556"/>
      <c r="C36" s="557"/>
      <c r="D36" s="672"/>
      <c r="E36" s="1248" t="s">
        <v>2672</v>
      </c>
      <c r="F36" s="969">
        <v>11159.2</v>
      </c>
      <c r="G36" s="567">
        <f t="shared" si="2"/>
        <v>76780.8756</v>
      </c>
      <c r="H36" s="735">
        <f t="shared" si="3"/>
        <v>76780.8756</v>
      </c>
      <c r="I36" s="577">
        <v>76780.8756</v>
      </c>
      <c r="J36" s="614">
        <v>6.8805</v>
      </c>
      <c r="K36" s="598" t="s">
        <v>1218</v>
      </c>
      <c r="L36" s="625">
        <v>45023</v>
      </c>
      <c r="M36" s="708">
        <v>45036</v>
      </c>
      <c r="N36" s="1214" t="s">
        <v>2671</v>
      </c>
      <c r="O36" s="250"/>
      <c r="P36" s="572" t="s">
        <v>2161</v>
      </c>
      <c r="Q36" s="755"/>
      <c r="R36" s="756"/>
      <c r="S36" s="1203"/>
      <c r="T36" s="1204"/>
      <c r="U36" s="715"/>
      <c r="V36" s="1211"/>
      <c r="W36" s="1182"/>
    </row>
    <row r="37" s="10" customFormat="1" ht="18.75" customHeight="1" spans="1:23">
      <c r="A37" s="669"/>
      <c r="B37" s="556"/>
      <c r="C37" s="557"/>
      <c r="D37" s="568" t="s">
        <v>1483</v>
      </c>
      <c r="E37" s="1248" t="s">
        <v>2673</v>
      </c>
      <c r="F37" s="969">
        <v>16000</v>
      </c>
      <c r="G37" s="567">
        <f t="shared" si="2"/>
        <v>110088</v>
      </c>
      <c r="H37" s="567">
        <f t="shared" si="3"/>
        <v>110088</v>
      </c>
      <c r="I37" s="735">
        <v>110088</v>
      </c>
      <c r="J37" s="614">
        <v>6.8805</v>
      </c>
      <c r="K37" s="598" t="s">
        <v>1218</v>
      </c>
      <c r="L37" s="598">
        <v>45044</v>
      </c>
      <c r="M37" s="633"/>
      <c r="N37" s="250" t="s">
        <v>2674</v>
      </c>
      <c r="O37" s="250"/>
      <c r="P37" s="716" t="s">
        <v>2161</v>
      </c>
      <c r="Q37" s="755"/>
      <c r="R37" s="756"/>
      <c r="S37" s="1203"/>
      <c r="T37" s="1204"/>
      <c r="U37" s="715"/>
      <c r="V37" s="1211"/>
      <c r="W37" s="1182"/>
    </row>
    <row r="38" s="10" customFormat="1" ht="18.75" customHeight="1" spans="1:23">
      <c r="A38" s="669"/>
      <c r="B38" s="556"/>
      <c r="C38" s="557"/>
      <c r="D38" s="568" t="s">
        <v>1405</v>
      </c>
      <c r="E38" s="1248" t="s">
        <v>2675</v>
      </c>
      <c r="F38" s="969">
        <v>17000</v>
      </c>
      <c r="G38" s="567">
        <f t="shared" si="2"/>
        <v>116968.5</v>
      </c>
      <c r="H38" s="735">
        <f t="shared" si="3"/>
        <v>116968.5</v>
      </c>
      <c r="I38" s="735"/>
      <c r="J38" s="614">
        <v>6.8805</v>
      </c>
      <c r="K38" s="598" t="s">
        <v>1218</v>
      </c>
      <c r="L38" s="625">
        <v>45044</v>
      </c>
      <c r="M38" s="625">
        <v>45050</v>
      </c>
      <c r="N38" s="250" t="s">
        <v>2676</v>
      </c>
      <c r="O38" s="250"/>
      <c r="P38" s="572" t="s">
        <v>1656</v>
      </c>
      <c r="Q38" s="755"/>
      <c r="R38" s="756"/>
      <c r="S38" s="1203"/>
      <c r="T38" s="1204"/>
      <c r="U38" s="715"/>
      <c r="V38" s="1211"/>
      <c r="W38" s="1182"/>
    </row>
    <row r="39" s="10" customFormat="1" ht="18.75" customHeight="1" spans="1:23">
      <c r="A39" s="669"/>
      <c r="B39" s="556"/>
      <c r="C39" s="557"/>
      <c r="D39" s="568" t="s">
        <v>256</v>
      </c>
      <c r="E39" s="1248" t="s">
        <v>2677</v>
      </c>
      <c r="F39" s="969">
        <v>64415</v>
      </c>
      <c r="G39" s="567">
        <f t="shared" si="2"/>
        <v>443207.4075</v>
      </c>
      <c r="H39" s="735">
        <f t="shared" si="3"/>
        <v>443207.4075</v>
      </c>
      <c r="I39" s="735">
        <v>433471.5</v>
      </c>
      <c r="J39" s="614">
        <v>6.8805</v>
      </c>
      <c r="K39" s="598" t="s">
        <v>1218</v>
      </c>
      <c r="L39" s="625">
        <v>45035</v>
      </c>
      <c r="M39" s="625">
        <v>45039</v>
      </c>
      <c r="N39" s="250" t="s">
        <v>2678</v>
      </c>
      <c r="O39" s="571" t="s">
        <v>2679</v>
      </c>
      <c r="P39" s="572" t="s">
        <v>2131</v>
      </c>
      <c r="Q39" s="755"/>
      <c r="R39" s="756"/>
      <c r="S39" s="1203"/>
      <c r="T39" s="1204"/>
      <c r="U39" s="715"/>
      <c r="V39" s="1211"/>
      <c r="W39" s="1182"/>
    </row>
    <row r="40" s="10" customFormat="1" ht="16.5" spans="1:23">
      <c r="A40" s="827"/>
      <c r="B40" s="556"/>
      <c r="C40" s="557"/>
      <c r="D40" s="723" t="s">
        <v>166</v>
      </c>
      <c r="E40" s="1248" t="s">
        <v>2680</v>
      </c>
      <c r="F40" s="722">
        <v>4055</v>
      </c>
      <c r="G40" s="567">
        <f t="shared" si="2"/>
        <v>27900.4275</v>
      </c>
      <c r="H40" s="735">
        <f t="shared" si="3"/>
        <v>27900.4275</v>
      </c>
      <c r="I40" s="735"/>
      <c r="J40" s="614">
        <v>6.8805</v>
      </c>
      <c r="K40" s="598" t="s">
        <v>1218</v>
      </c>
      <c r="L40" s="598">
        <v>45043</v>
      </c>
      <c r="M40" s="645">
        <v>45050</v>
      </c>
      <c r="N40" s="250" t="s">
        <v>2681</v>
      </c>
      <c r="O40" s="744"/>
      <c r="P40" s="623"/>
      <c r="Q40" s="744"/>
      <c r="R40" s="754"/>
      <c r="S40" s="754"/>
      <c r="T40" s="992"/>
      <c r="U40" s="608"/>
      <c r="V40" s="1209"/>
      <c r="W40" s="1210"/>
    </row>
    <row r="41" s="10" customFormat="1" ht="16.5" spans="1:23">
      <c r="A41" s="827"/>
      <c r="B41" s="556"/>
      <c r="C41" s="557"/>
      <c r="D41" s="1263"/>
      <c r="E41" s="250" t="s">
        <v>2242</v>
      </c>
      <c r="F41" s="722">
        <v>4800</v>
      </c>
      <c r="G41" s="567"/>
      <c r="H41" s="735"/>
      <c r="I41" s="735">
        <v>33312</v>
      </c>
      <c r="J41" s="614">
        <v>6.94</v>
      </c>
      <c r="K41" s="598" t="s">
        <v>1218</v>
      </c>
      <c r="L41" s="598">
        <v>45014</v>
      </c>
      <c r="M41" s="645">
        <v>45017</v>
      </c>
      <c r="N41" s="250" t="s">
        <v>2243</v>
      </c>
      <c r="O41" s="744"/>
      <c r="P41" s="623"/>
      <c r="Q41" s="744"/>
      <c r="R41" s="754"/>
      <c r="S41" s="754"/>
      <c r="T41" s="992"/>
      <c r="U41" s="608"/>
      <c r="V41" s="1209"/>
      <c r="W41" s="1210"/>
    </row>
    <row r="42" s="10" customFormat="1" ht="16.5" spans="1:23">
      <c r="A42" s="827"/>
      <c r="B42" s="556"/>
      <c r="C42" s="557"/>
      <c r="D42" s="903"/>
      <c r="E42" s="1248" t="s">
        <v>2682</v>
      </c>
      <c r="F42" s="722">
        <v>8000</v>
      </c>
      <c r="G42" s="567">
        <f>F42*J42</f>
        <v>55044</v>
      </c>
      <c r="H42" s="735">
        <f>G42</f>
        <v>55044</v>
      </c>
      <c r="I42" s="735"/>
      <c r="J42" s="614">
        <v>6.8805</v>
      </c>
      <c r="K42" s="598" t="s">
        <v>1218</v>
      </c>
      <c r="L42" s="598">
        <v>45044</v>
      </c>
      <c r="M42" s="645">
        <v>45047</v>
      </c>
      <c r="N42" s="250" t="s">
        <v>2683</v>
      </c>
      <c r="O42" s="744"/>
      <c r="P42" s="623"/>
      <c r="Q42" s="744"/>
      <c r="R42" s="754"/>
      <c r="S42" s="754"/>
      <c r="T42" s="992"/>
      <c r="U42" s="608"/>
      <c r="V42" s="1209"/>
      <c r="W42" s="1210"/>
    </row>
    <row r="43" s="10" customFormat="1" ht="16.5" spans="1:23">
      <c r="A43" s="827"/>
      <c r="B43" s="556"/>
      <c r="C43" s="557"/>
      <c r="D43" s="561" t="s">
        <v>1418</v>
      </c>
      <c r="E43" s="1248" t="s">
        <v>2684</v>
      </c>
      <c r="F43" s="722">
        <v>6840.95</v>
      </c>
      <c r="G43" s="567">
        <v>46513.55</v>
      </c>
      <c r="H43" s="735">
        <f>G43</f>
        <v>46513.55</v>
      </c>
      <c r="I43" s="735"/>
      <c r="J43" s="614">
        <v>6.8805</v>
      </c>
      <c r="K43" s="598" t="s">
        <v>1218</v>
      </c>
      <c r="L43" s="598">
        <v>45043</v>
      </c>
      <c r="M43" s="645">
        <v>45050</v>
      </c>
      <c r="N43" s="250" t="s">
        <v>2685</v>
      </c>
      <c r="O43" s="744"/>
      <c r="P43" s="572" t="s">
        <v>1656</v>
      </c>
      <c r="Q43" s="744"/>
      <c r="R43" s="754"/>
      <c r="S43" s="754"/>
      <c r="T43" s="992"/>
      <c r="U43" s="608"/>
      <c r="V43" s="1209"/>
      <c r="W43" s="1210"/>
    </row>
    <row r="44" s="10" customFormat="1" ht="18.75" customHeight="1" spans="1:23">
      <c r="A44" s="669"/>
      <c r="B44" s="556"/>
      <c r="C44" s="557"/>
      <c r="D44" s="568" t="s">
        <v>247</v>
      </c>
      <c r="E44" s="1248" t="s">
        <v>2686</v>
      </c>
      <c r="F44" s="969">
        <v>32017</v>
      </c>
      <c r="G44" s="567">
        <f t="shared" ref="G44:G49" si="4">F44*J44</f>
        <v>220292.9685</v>
      </c>
      <c r="H44" s="735">
        <f>G44</f>
        <v>220292.9685</v>
      </c>
      <c r="I44" s="735">
        <f>H44</f>
        <v>220292.9685</v>
      </c>
      <c r="J44" s="614">
        <v>6.8805</v>
      </c>
      <c r="K44" s="598" t="s">
        <v>1218</v>
      </c>
      <c r="L44" s="625">
        <v>45040</v>
      </c>
      <c r="M44" s="625">
        <v>45042</v>
      </c>
      <c r="N44" s="250" t="s">
        <v>2687</v>
      </c>
      <c r="O44" s="250"/>
      <c r="P44" s="572" t="s">
        <v>1671</v>
      </c>
      <c r="Q44" s="755"/>
      <c r="R44" s="756"/>
      <c r="S44" s="1203"/>
      <c r="T44" s="1204"/>
      <c r="U44" s="715"/>
      <c r="V44" s="1211"/>
      <c r="W44" s="1182"/>
    </row>
    <row r="45" s="10" customFormat="1" ht="18.75" customHeight="1" spans="1:23">
      <c r="A45" s="669"/>
      <c r="B45" s="556"/>
      <c r="C45" s="557"/>
      <c r="D45" s="568" t="s">
        <v>1353</v>
      </c>
      <c r="E45" s="1248" t="s">
        <v>2688</v>
      </c>
      <c r="F45" s="969">
        <v>2415</v>
      </c>
      <c r="G45" s="567">
        <f t="shared" si="4"/>
        <v>16616.4075</v>
      </c>
      <c r="H45" s="577">
        <f>G45</f>
        <v>16616.4075</v>
      </c>
      <c r="I45" s="735"/>
      <c r="J45" s="614">
        <v>6.8805</v>
      </c>
      <c r="K45" s="598" t="s">
        <v>1218</v>
      </c>
      <c r="L45" s="598">
        <v>45043</v>
      </c>
      <c r="M45" s="633"/>
      <c r="N45" s="250" t="s">
        <v>2689</v>
      </c>
      <c r="O45" s="250"/>
      <c r="P45" s="716" t="s">
        <v>2161</v>
      </c>
      <c r="Q45" s="755"/>
      <c r="R45" s="756"/>
      <c r="S45" s="1203"/>
      <c r="T45" s="1204"/>
      <c r="U45" s="715"/>
      <c r="V45" s="1211"/>
      <c r="W45" s="1182"/>
    </row>
    <row r="46" s="10" customFormat="1" ht="25.95" customHeight="1" spans="1:24">
      <c r="A46" s="541"/>
      <c r="B46" s="664" t="s">
        <v>1540</v>
      </c>
      <c r="C46" s="655">
        <v>54</v>
      </c>
      <c r="D46" s="546" t="s">
        <v>1573</v>
      </c>
      <c r="E46" s="1245" t="s">
        <v>2690</v>
      </c>
      <c r="F46" s="725">
        <v>2760</v>
      </c>
      <c r="G46" s="567">
        <f t="shared" si="4"/>
        <v>18990.18</v>
      </c>
      <c r="H46" s="567">
        <v>18990.18</v>
      </c>
      <c r="I46" s="577">
        <v>18990.18</v>
      </c>
      <c r="J46" s="614">
        <v>6.8805</v>
      </c>
      <c r="K46" s="598" t="s">
        <v>1218</v>
      </c>
      <c r="L46" s="707">
        <v>45036</v>
      </c>
      <c r="M46" s="707">
        <v>45038</v>
      </c>
      <c r="N46" s="250" t="s">
        <v>2691</v>
      </c>
      <c r="O46" s="572" t="s">
        <v>1000</v>
      </c>
      <c r="P46" s="572" t="s">
        <v>2161</v>
      </c>
      <c r="Q46" s="656"/>
      <c r="R46" s="733"/>
      <c r="S46" s="753"/>
      <c r="T46" s="753"/>
      <c r="U46" s="750"/>
      <c r="V46" s="750"/>
      <c r="W46" s="1181"/>
      <c r="X46" s="1022"/>
    </row>
    <row r="47" s="10" customFormat="1" ht="22.2" customHeight="1" spans="1:24">
      <c r="A47" s="541"/>
      <c r="B47" s="664"/>
      <c r="C47" s="655"/>
      <c r="D47" s="715" t="s">
        <v>287</v>
      </c>
      <c r="E47" s="1248" t="s">
        <v>2692</v>
      </c>
      <c r="F47" s="725">
        <v>2986</v>
      </c>
      <c r="G47" s="567">
        <f t="shared" si="4"/>
        <v>20545.173</v>
      </c>
      <c r="H47" s="577">
        <v>20545.173</v>
      </c>
      <c r="I47" s="577">
        <v>20545.173</v>
      </c>
      <c r="J47" s="614">
        <v>6.8805</v>
      </c>
      <c r="K47" s="598" t="s">
        <v>1218</v>
      </c>
      <c r="L47" s="707">
        <v>45019</v>
      </c>
      <c r="M47" s="707">
        <v>45022</v>
      </c>
      <c r="N47" s="572" t="s">
        <v>2693</v>
      </c>
      <c r="O47" s="571"/>
      <c r="P47" s="572" t="s">
        <v>2161</v>
      </c>
      <c r="Q47" s="656"/>
      <c r="R47" s="733"/>
      <c r="S47" s="753"/>
      <c r="T47" s="753"/>
      <c r="U47" s="750"/>
      <c r="V47" s="750"/>
      <c r="W47" s="1181"/>
      <c r="X47" s="1022"/>
    </row>
    <row r="48" s="10" customFormat="1" ht="21.85" customHeight="1" spans="1:24">
      <c r="A48" s="541"/>
      <c r="B48" s="664"/>
      <c r="C48" s="655"/>
      <c r="D48" s="544" t="s">
        <v>167</v>
      </c>
      <c r="E48" s="1248" t="s">
        <v>2694</v>
      </c>
      <c r="F48" s="725">
        <v>4076</v>
      </c>
      <c r="G48" s="567">
        <f t="shared" si="4"/>
        <v>28044.918</v>
      </c>
      <c r="H48" s="577">
        <v>28044.918</v>
      </c>
      <c r="I48" s="577">
        <v>28044.918</v>
      </c>
      <c r="J48" s="614">
        <v>6.8805</v>
      </c>
      <c r="K48" s="598" t="s">
        <v>1218</v>
      </c>
      <c r="L48" s="707">
        <v>45022</v>
      </c>
      <c r="M48" s="707">
        <v>45024</v>
      </c>
      <c r="N48" s="250" t="s">
        <v>2695</v>
      </c>
      <c r="O48" s="572"/>
      <c r="P48" s="572" t="s">
        <v>1656</v>
      </c>
      <c r="Q48" s="656"/>
      <c r="R48" s="733"/>
      <c r="S48" s="753"/>
      <c r="T48" s="753"/>
      <c r="U48" s="750"/>
      <c r="V48" s="750"/>
      <c r="W48" s="1181"/>
      <c r="X48" s="1022"/>
    </row>
    <row r="49" s="10" customFormat="1" ht="22.2" customHeight="1" spans="1:24">
      <c r="A49" s="541"/>
      <c r="B49" s="664"/>
      <c r="C49" s="655"/>
      <c r="D49" s="546"/>
      <c r="E49" s="1245" t="s">
        <v>2696</v>
      </c>
      <c r="F49" s="725">
        <v>12188</v>
      </c>
      <c r="G49" s="567">
        <f t="shared" si="4"/>
        <v>83859.534</v>
      </c>
      <c r="H49" s="577">
        <v>83859.534</v>
      </c>
      <c r="I49" s="577">
        <v>83859.534</v>
      </c>
      <c r="J49" s="614">
        <v>6.8805</v>
      </c>
      <c r="K49" s="598" t="s">
        <v>1218</v>
      </c>
      <c r="L49" s="707">
        <v>45043</v>
      </c>
      <c r="M49" s="707">
        <v>45049</v>
      </c>
      <c r="N49" s="250" t="s">
        <v>2697</v>
      </c>
      <c r="O49" s="572"/>
      <c r="P49" s="572" t="s">
        <v>1656</v>
      </c>
      <c r="Q49" s="656"/>
      <c r="R49" s="733"/>
      <c r="S49" s="753"/>
      <c r="T49" s="753"/>
      <c r="U49" s="750"/>
      <c r="V49" s="750"/>
      <c r="W49" s="1181"/>
      <c r="X49" s="1022"/>
    </row>
    <row r="50" s="10" customFormat="1" ht="22.2" customHeight="1" spans="1:24">
      <c r="A50" s="541"/>
      <c r="B50" s="664"/>
      <c r="C50" s="655"/>
      <c r="D50" s="546" t="s">
        <v>1340</v>
      </c>
      <c r="E50" s="568" t="s">
        <v>2249</v>
      </c>
      <c r="F50" s="725">
        <v>131577</v>
      </c>
      <c r="G50" s="567"/>
      <c r="H50" s="577"/>
      <c r="I50" s="602">
        <v>913144</v>
      </c>
      <c r="J50" s="614">
        <v>6.94</v>
      </c>
      <c r="K50" s="598">
        <v>44977</v>
      </c>
      <c r="L50" s="707">
        <v>45013</v>
      </c>
      <c r="M50" s="707">
        <v>45016</v>
      </c>
      <c r="N50" s="565" t="s">
        <v>2698</v>
      </c>
      <c r="O50" s="572"/>
      <c r="P50" s="572"/>
      <c r="Q50" s="656"/>
      <c r="R50" s="733"/>
      <c r="S50" s="753"/>
      <c r="T50" s="753"/>
      <c r="U50" s="750"/>
      <c r="V50" s="750"/>
      <c r="W50" s="1181"/>
      <c r="X50" s="1022"/>
    </row>
    <row r="51" s="10" customFormat="1" ht="22.2" customHeight="1" spans="1:24">
      <c r="A51" s="541"/>
      <c r="B51" s="664"/>
      <c r="C51" s="655"/>
      <c r="D51" s="546" t="s">
        <v>1169</v>
      </c>
      <c r="E51" s="1245" t="s">
        <v>2699</v>
      </c>
      <c r="F51" s="725">
        <v>59356</v>
      </c>
      <c r="G51" s="567">
        <f>F51*J51</f>
        <v>408398.958</v>
      </c>
      <c r="H51" s="567">
        <v>405433.4625</v>
      </c>
      <c r="I51" s="577">
        <v>405433.4625</v>
      </c>
      <c r="J51" s="614">
        <v>6.8805</v>
      </c>
      <c r="K51" s="598" t="s">
        <v>1218</v>
      </c>
      <c r="L51" s="707">
        <v>45043</v>
      </c>
      <c r="M51" s="707">
        <v>45047</v>
      </c>
      <c r="N51" s="250" t="s">
        <v>2700</v>
      </c>
      <c r="O51" s="572"/>
      <c r="P51" s="572" t="s">
        <v>2131</v>
      </c>
      <c r="Q51" s="656"/>
      <c r="R51" s="733"/>
      <c r="S51" s="753"/>
      <c r="T51" s="753"/>
      <c r="U51" s="750"/>
      <c r="V51" s="750"/>
      <c r="W51" s="1181"/>
      <c r="X51" s="1022"/>
    </row>
    <row r="52" s="10" customFormat="1" ht="22.2" customHeight="1" spans="1:24">
      <c r="A52" s="541"/>
      <c r="B52" s="664"/>
      <c r="C52" s="655"/>
      <c r="D52" s="546" t="s">
        <v>2701</v>
      </c>
      <c r="E52" s="1245" t="s">
        <v>2702</v>
      </c>
      <c r="F52" s="725">
        <v>3009</v>
      </c>
      <c r="G52" s="567">
        <f>F52*J52</f>
        <v>20703.4245</v>
      </c>
      <c r="H52" s="577">
        <v>20703.4245</v>
      </c>
      <c r="I52" s="577">
        <v>20703.4245</v>
      </c>
      <c r="J52" s="614">
        <v>6.8805</v>
      </c>
      <c r="K52" s="598" t="s">
        <v>1218</v>
      </c>
      <c r="L52" s="707">
        <v>45034</v>
      </c>
      <c r="M52" s="707">
        <v>45042</v>
      </c>
      <c r="N52" s="250" t="s">
        <v>2703</v>
      </c>
      <c r="O52" s="572"/>
      <c r="P52" s="572" t="s">
        <v>2161</v>
      </c>
      <c r="Q52" s="656"/>
      <c r="R52" s="733"/>
      <c r="S52" s="753"/>
      <c r="T52" s="753"/>
      <c r="U52" s="750"/>
      <c r="V52" s="750"/>
      <c r="W52" s="1181"/>
      <c r="X52" s="1022"/>
    </row>
    <row r="53" s="10" customFormat="1" ht="16.5" spans="1:23">
      <c r="A53" s="541"/>
      <c r="B53" s="1190" t="s">
        <v>1124</v>
      </c>
      <c r="C53" s="1191">
        <f>SUM(C23:C52)</f>
        <v>351</v>
      </c>
      <c r="D53" s="1191"/>
      <c r="E53" s="1198"/>
      <c r="F53" s="1157" t="s">
        <v>1235</v>
      </c>
      <c r="G53" s="1158">
        <f>SUM(G23:G52)</f>
        <v>3242621.5301</v>
      </c>
      <c r="H53" s="1158">
        <f>SUM(H23:H52)</f>
        <v>3239656.0346</v>
      </c>
      <c r="I53" s="1158">
        <f>SUM(I23:I52)</f>
        <v>3186509.6511</v>
      </c>
      <c r="J53" s="1168"/>
      <c r="K53" s="610"/>
      <c r="L53" s="644"/>
      <c r="M53" s="644"/>
      <c r="N53" s="1013"/>
      <c r="O53" s="1200"/>
      <c r="P53" s="655"/>
      <c r="Q53" s="656"/>
      <c r="R53" s="754"/>
      <c r="S53" s="754"/>
      <c r="T53" s="992"/>
      <c r="U53" s="608"/>
      <c r="V53" s="1209"/>
      <c r="W53" s="1210"/>
    </row>
    <row r="54" s="10" customFormat="1" ht="16.5" spans="1:23">
      <c r="A54" s="672"/>
      <c r="B54" s="1192"/>
      <c r="C54" s="1150"/>
      <c r="D54" s="1150"/>
      <c r="E54" s="1198"/>
      <c r="F54" s="1157" t="s">
        <v>1236</v>
      </c>
      <c r="G54" s="1199">
        <f>G53/3510000</f>
        <v>0.923823797749288</v>
      </c>
      <c r="H54" s="1199">
        <f>H53/3510000</f>
        <v>0.922978927236467</v>
      </c>
      <c r="I54" s="1199">
        <f>I53/3510000</f>
        <v>0.907837507435898</v>
      </c>
      <c r="J54" s="747"/>
      <c r="K54" s="858"/>
      <c r="L54" s="1135"/>
      <c r="M54" s="1135"/>
      <c r="N54" s="1015"/>
      <c r="O54" s="727"/>
      <c r="P54" s="652"/>
      <c r="Q54" s="653"/>
      <c r="R54" s="653"/>
      <c r="S54" s="653"/>
      <c r="T54" s="653"/>
      <c r="U54" s="1184"/>
      <c r="V54" s="1184"/>
      <c r="W54" s="1185"/>
    </row>
    <row r="55" s="536" customFormat="1" ht="18.75" customHeight="1" spans="1:23">
      <c r="A55" s="564" t="s">
        <v>1984</v>
      </c>
      <c r="B55" s="671" t="s">
        <v>38</v>
      </c>
      <c r="C55" s="557">
        <v>117</v>
      </c>
      <c r="D55" s="250" t="s">
        <v>152</v>
      </c>
      <c r="E55" s="1265" t="s">
        <v>2704</v>
      </c>
      <c r="F55" s="591">
        <v>50000</v>
      </c>
      <c r="G55" s="596"/>
      <c r="H55" s="567">
        <f>C53*0.7</f>
        <v>245.7</v>
      </c>
      <c r="I55" s="567"/>
      <c r="J55" s="614">
        <v>6.8805</v>
      </c>
      <c r="K55" s="633"/>
      <c r="L55" s="644"/>
      <c r="M55" s="644"/>
      <c r="N55" s="572" t="s">
        <v>2705</v>
      </c>
      <c r="O55" s="731"/>
      <c r="P55" s="655"/>
      <c r="Q55" s="664"/>
      <c r="R55" s="577"/>
      <c r="S55" s="577"/>
      <c r="T55" s="1171"/>
      <c r="U55" s="664"/>
      <c r="V55" s="664"/>
      <c r="W55" s="1182"/>
    </row>
    <row r="56" s="536" customFormat="1" ht="18.75" customHeight="1" spans="1:23">
      <c r="A56" s="564"/>
      <c r="B56" s="671"/>
      <c r="C56" s="557"/>
      <c r="D56" s="250" t="s">
        <v>2267</v>
      </c>
      <c r="E56" s="250" t="s">
        <v>2268</v>
      </c>
      <c r="F56" s="591">
        <v>49351</v>
      </c>
      <c r="G56" s="596"/>
      <c r="H56" s="567"/>
      <c r="I56" s="1267">
        <v>342496</v>
      </c>
      <c r="J56" s="614">
        <v>6.94</v>
      </c>
      <c r="K56" s="633"/>
      <c r="L56" s="644">
        <v>45013</v>
      </c>
      <c r="M56" s="633" t="s">
        <v>2219</v>
      </c>
      <c r="N56" s="565" t="s">
        <v>2706</v>
      </c>
      <c r="O56" s="731"/>
      <c r="P56" s="655"/>
      <c r="Q56" s="664"/>
      <c r="R56" s="577"/>
      <c r="S56" s="577"/>
      <c r="T56" s="1171"/>
      <c r="U56" s="664"/>
      <c r="V56" s="664"/>
      <c r="W56" s="1182"/>
    </row>
    <row r="57" s="536" customFormat="1" ht="18.75" customHeight="1" spans="1:23">
      <c r="A57" s="564"/>
      <c r="B57" s="671"/>
      <c r="C57" s="557"/>
      <c r="D57" s="250" t="s">
        <v>143</v>
      </c>
      <c r="E57" s="250" t="s">
        <v>2266</v>
      </c>
      <c r="F57" s="562">
        <v>31404</v>
      </c>
      <c r="G57" s="596"/>
      <c r="H57" s="596"/>
      <c r="I57" s="596">
        <v>217944</v>
      </c>
      <c r="J57" s="597">
        <v>6.94</v>
      </c>
      <c r="K57" s="610"/>
      <c r="L57" s="855">
        <v>45016</v>
      </c>
      <c r="M57" s="855">
        <v>45017</v>
      </c>
      <c r="N57" s="937"/>
      <c r="O57" s="731"/>
      <c r="P57" s="655"/>
      <c r="Q57" s="664"/>
      <c r="R57" s="577"/>
      <c r="S57" s="577"/>
      <c r="T57" s="1171"/>
      <c r="U57" s="664"/>
      <c r="V57" s="664"/>
      <c r="W57" s="1182"/>
    </row>
    <row r="58" s="10" customFormat="1" ht="19" customHeight="1" spans="1:23">
      <c r="A58" s="721"/>
      <c r="B58" s="1247" t="s">
        <v>509</v>
      </c>
      <c r="C58" s="759">
        <v>124</v>
      </c>
      <c r="D58" s="250" t="s">
        <v>1232</v>
      </c>
      <c r="E58" s="1245" t="s">
        <v>2707</v>
      </c>
      <c r="F58" s="969">
        <v>36885</v>
      </c>
      <c r="G58" s="596">
        <v>256719.6</v>
      </c>
      <c r="H58" s="596">
        <f>G58</f>
        <v>256719.6</v>
      </c>
      <c r="I58" s="603"/>
      <c r="J58" s="614">
        <v>6.8805</v>
      </c>
      <c r="K58" s="598">
        <v>45043</v>
      </c>
      <c r="L58" s="598">
        <v>45043</v>
      </c>
      <c r="M58" s="821" t="s">
        <v>2164</v>
      </c>
      <c r="N58" s="625" t="s">
        <v>2708</v>
      </c>
      <c r="O58" s="937" t="s">
        <v>2709</v>
      </c>
      <c r="P58" s="874">
        <v>92</v>
      </c>
      <c r="Q58" s="664"/>
      <c r="R58" s="577"/>
      <c r="S58" s="1205"/>
      <c r="T58" s="1171"/>
      <c r="U58" s="664"/>
      <c r="V58" s="664"/>
      <c r="W58" s="1212"/>
    </row>
    <row r="59" s="10" customFormat="1" ht="19" customHeight="1" spans="1:23">
      <c r="A59" s="721"/>
      <c r="B59" s="1247"/>
      <c r="C59" s="759"/>
      <c r="D59" s="250" t="s">
        <v>1232</v>
      </c>
      <c r="E59" s="1248" t="s">
        <v>2710</v>
      </c>
      <c r="F59" s="1002">
        <v>19273.8</v>
      </c>
      <c r="G59" s="596">
        <v>132025.53</v>
      </c>
      <c r="H59" s="596">
        <f>G59</f>
        <v>132025.53</v>
      </c>
      <c r="I59" s="603"/>
      <c r="J59" s="614">
        <v>6.8805</v>
      </c>
      <c r="K59" s="598">
        <v>45035</v>
      </c>
      <c r="L59" s="598">
        <v>45043</v>
      </c>
      <c r="M59" s="821" t="s">
        <v>2164</v>
      </c>
      <c r="N59" s="625" t="s">
        <v>2711</v>
      </c>
      <c r="O59" s="642" t="s">
        <v>2712</v>
      </c>
      <c r="P59" s="655">
        <v>52</v>
      </c>
      <c r="Q59" s="664"/>
      <c r="R59" s="577"/>
      <c r="S59" s="1205"/>
      <c r="T59" s="1171"/>
      <c r="U59" s="664"/>
      <c r="V59" s="664"/>
      <c r="W59" s="1212"/>
    </row>
    <row r="60" s="10" customFormat="1" ht="16.5" spans="1:23">
      <c r="A60" s="721"/>
      <c r="B60" s="1264"/>
      <c r="C60" s="557"/>
      <c r="D60" s="851" t="s">
        <v>151</v>
      </c>
      <c r="E60" s="1266" t="s">
        <v>2713</v>
      </c>
      <c r="F60" s="1249">
        <v>30468</v>
      </c>
      <c r="G60" s="596">
        <f>F60*J60</f>
        <v>209635.074</v>
      </c>
      <c r="H60" s="596">
        <f>G60</f>
        <v>209635.074</v>
      </c>
      <c r="I60" s="603"/>
      <c r="J60" s="614">
        <v>6.8805</v>
      </c>
      <c r="K60" s="598" t="s">
        <v>1218</v>
      </c>
      <c r="L60" s="598">
        <v>45043</v>
      </c>
      <c r="M60" s="821" t="s">
        <v>2164</v>
      </c>
      <c r="N60" s="1214" t="s">
        <v>2714</v>
      </c>
      <c r="O60" s="642"/>
      <c r="P60" s="874"/>
      <c r="Q60" s="752"/>
      <c r="R60" s="664"/>
      <c r="S60" s="577"/>
      <c r="T60" s="1205"/>
      <c r="U60" s="1171"/>
      <c r="V60" s="664"/>
      <c r="W60" s="715"/>
    </row>
    <row r="61" s="10" customFormat="1" ht="16.5" spans="1:23">
      <c r="A61" s="721"/>
      <c r="B61" s="1264"/>
      <c r="C61" s="557"/>
      <c r="D61" s="851" t="s">
        <v>151</v>
      </c>
      <c r="E61" s="788" t="s">
        <v>1748</v>
      </c>
      <c r="F61" s="1249"/>
      <c r="G61" s="596"/>
      <c r="H61" s="596"/>
      <c r="I61" s="1267">
        <v>248048</v>
      </c>
      <c r="J61" s="614">
        <v>6.9475</v>
      </c>
      <c r="K61" s="598"/>
      <c r="L61" s="598">
        <v>45287</v>
      </c>
      <c r="M61" s="625" t="s">
        <v>2219</v>
      </c>
      <c r="N61" s="1268" t="s">
        <v>2715</v>
      </c>
      <c r="O61" s="640"/>
      <c r="P61" s="874"/>
      <c r="Q61" s="752"/>
      <c r="R61" s="664"/>
      <c r="S61" s="577"/>
      <c r="T61" s="1205"/>
      <c r="U61" s="1171"/>
      <c r="V61" s="664"/>
      <c r="W61" s="715"/>
    </row>
    <row r="62" s="10" customFormat="1" ht="16.5" spans="1:23">
      <c r="A62" s="721"/>
      <c r="B62" s="1264"/>
      <c r="C62" s="557"/>
      <c r="D62" s="250" t="s">
        <v>284</v>
      </c>
      <c r="E62" s="1248" t="s">
        <v>2716</v>
      </c>
      <c r="F62" s="969">
        <v>44136</v>
      </c>
      <c r="G62" s="596">
        <f t="shared" ref="G62:G66" si="5">F62*J62</f>
        <v>303677.748</v>
      </c>
      <c r="H62" s="596">
        <f t="shared" ref="H62:H66" si="6">G62</f>
        <v>303677.748</v>
      </c>
      <c r="I62" s="567"/>
      <c r="J62" s="614">
        <v>6.8805</v>
      </c>
      <c r="K62" s="598" t="s">
        <v>1251</v>
      </c>
      <c r="L62" s="598">
        <v>45043</v>
      </c>
      <c r="M62" s="625" t="s">
        <v>552</v>
      </c>
      <c r="N62" s="971" t="s">
        <v>2717</v>
      </c>
      <c r="O62" s="640"/>
      <c r="P62" s="874"/>
      <c r="Q62" s="752"/>
      <c r="R62" s="664"/>
      <c r="S62" s="577"/>
      <c r="T62" s="1205"/>
      <c r="U62" s="1171"/>
      <c r="V62" s="664"/>
      <c r="W62" s="715"/>
    </row>
    <row r="63" s="10" customFormat="1" ht="16.5" spans="1:23">
      <c r="A63" s="721"/>
      <c r="B63" s="1264"/>
      <c r="C63" s="557"/>
      <c r="D63" s="250" t="s">
        <v>284</v>
      </c>
      <c r="E63" s="1248" t="s">
        <v>2718</v>
      </c>
      <c r="F63" s="969">
        <v>45126</v>
      </c>
      <c r="G63" s="596">
        <f t="shared" si="5"/>
        <v>310489.443</v>
      </c>
      <c r="H63" s="596">
        <f t="shared" si="6"/>
        <v>310489.443</v>
      </c>
      <c r="I63" s="567"/>
      <c r="J63" s="614">
        <v>6.8805</v>
      </c>
      <c r="K63" s="598">
        <v>45045</v>
      </c>
      <c r="L63" s="645"/>
      <c r="M63" s="625" t="s">
        <v>552</v>
      </c>
      <c r="N63" s="579"/>
      <c r="O63" s="640"/>
      <c r="P63" s="874"/>
      <c r="Q63" s="752"/>
      <c r="R63" s="664"/>
      <c r="S63" s="577"/>
      <c r="T63" s="1205"/>
      <c r="U63" s="1171"/>
      <c r="V63" s="664"/>
      <c r="W63" s="715"/>
    </row>
    <row r="64" s="10" customFormat="1" ht="16.5" spans="1:23">
      <c r="A64" s="721"/>
      <c r="B64" s="1264"/>
      <c r="C64" s="557"/>
      <c r="D64" s="250" t="s">
        <v>2273</v>
      </c>
      <c r="E64" s="568" t="s">
        <v>2274</v>
      </c>
      <c r="F64" s="725"/>
      <c r="G64" s="596"/>
      <c r="H64" s="567"/>
      <c r="I64" s="567">
        <v>443037.6</v>
      </c>
      <c r="J64" s="614">
        <v>6.8805</v>
      </c>
      <c r="K64" s="598"/>
      <c r="L64" s="645"/>
      <c r="M64" s="625">
        <v>45024</v>
      </c>
      <c r="N64" s="574" t="s">
        <v>2719</v>
      </c>
      <c r="O64" s="731"/>
      <c r="P64" s="655"/>
      <c r="Q64" s="664"/>
      <c r="R64" s="577"/>
      <c r="S64" s="577"/>
      <c r="T64" s="1171"/>
      <c r="U64" s="664"/>
      <c r="V64" s="664"/>
      <c r="W64" s="1182"/>
    </row>
    <row r="65" s="10" customFormat="1" ht="16.5" spans="1:23">
      <c r="A65" s="721"/>
      <c r="B65" s="1264"/>
      <c r="C65" s="557"/>
      <c r="D65" s="250" t="s">
        <v>2099</v>
      </c>
      <c r="E65" s="568" t="s">
        <v>2275</v>
      </c>
      <c r="F65" s="725"/>
      <c r="G65" s="596"/>
      <c r="H65" s="567"/>
      <c r="I65" s="567">
        <v>320628</v>
      </c>
      <c r="J65" s="614">
        <v>6.8805</v>
      </c>
      <c r="K65" s="598"/>
      <c r="L65" s="645"/>
      <c r="M65" s="598">
        <v>45021</v>
      </c>
      <c r="N65" s="574" t="s">
        <v>2719</v>
      </c>
      <c r="O65" s="731"/>
      <c r="P65" s="655"/>
      <c r="Q65" s="664"/>
      <c r="R65" s="577"/>
      <c r="S65" s="577"/>
      <c r="T65" s="1171"/>
      <c r="U65" s="664"/>
      <c r="V65" s="664"/>
      <c r="W65" s="1182"/>
    </row>
    <row r="66" s="10" customFormat="1" ht="16.5" spans="1:23">
      <c r="A66" s="721"/>
      <c r="B66" s="1247"/>
      <c r="C66" s="968"/>
      <c r="D66" s="250" t="s">
        <v>1313</v>
      </c>
      <c r="E66" s="1163" t="s">
        <v>2271</v>
      </c>
      <c r="F66" s="1002">
        <v>34220</v>
      </c>
      <c r="G66" s="596"/>
      <c r="H66" s="577"/>
      <c r="I66" s="596">
        <v>237487</v>
      </c>
      <c r="J66" s="614">
        <v>6.94</v>
      </c>
      <c r="K66" s="625">
        <v>45008</v>
      </c>
      <c r="L66" s="645">
        <v>45009</v>
      </c>
      <c r="M66" s="598" t="s">
        <v>2219</v>
      </c>
      <c r="N66" s="565" t="s">
        <v>2706</v>
      </c>
      <c r="O66" s="642"/>
      <c r="P66" s="655"/>
      <c r="Q66" s="664"/>
      <c r="R66" s="577"/>
      <c r="S66" s="1205"/>
      <c r="T66" s="1171"/>
      <c r="U66" s="664"/>
      <c r="V66" s="664"/>
      <c r="W66" s="1212"/>
    </row>
    <row r="67" s="10" customFormat="1" ht="16.5" spans="1:23">
      <c r="A67" s="721"/>
      <c r="B67" s="1269" t="s">
        <v>1393</v>
      </c>
      <c r="C67" s="557">
        <v>109</v>
      </c>
      <c r="D67" s="982" t="s">
        <v>2720</v>
      </c>
      <c r="E67" s="1253" t="s">
        <v>2721</v>
      </c>
      <c r="F67" s="969">
        <v>12926</v>
      </c>
      <c r="G67" s="596">
        <f>F67*J67</f>
        <v>88937.343</v>
      </c>
      <c r="H67" s="596">
        <v>88937</v>
      </c>
      <c r="I67" s="735"/>
      <c r="J67" s="614">
        <v>6.8805</v>
      </c>
      <c r="K67" s="1234" t="s">
        <v>1294</v>
      </c>
      <c r="L67" s="625">
        <v>45042</v>
      </c>
      <c r="M67" s="1139">
        <v>45050</v>
      </c>
      <c r="N67" s="715" t="s">
        <v>2722</v>
      </c>
      <c r="O67" s="937"/>
      <c r="P67" s="571"/>
      <c r="Q67" s="1238"/>
      <c r="R67" s="1051"/>
      <c r="S67" s="1239"/>
      <c r="T67" s="1176"/>
      <c r="U67" s="664"/>
      <c r="V67" s="1187"/>
      <c r="W67" s="1182"/>
    </row>
    <row r="68" s="10" customFormat="1" ht="16.5" spans="1:23">
      <c r="A68" s="721"/>
      <c r="B68" s="671"/>
      <c r="C68" s="557"/>
      <c r="D68" s="982" t="s">
        <v>660</v>
      </c>
      <c r="E68" s="561" t="s">
        <v>2277</v>
      </c>
      <c r="F68" s="969"/>
      <c r="G68" s="577"/>
      <c r="H68" s="577"/>
      <c r="I68" s="577">
        <v>457734.64</v>
      </c>
      <c r="J68" s="614">
        <v>6.8805</v>
      </c>
      <c r="K68" s="1232"/>
      <c r="L68" s="742"/>
      <c r="M68" s="1139">
        <v>45021</v>
      </c>
      <c r="N68" s="574" t="s">
        <v>2719</v>
      </c>
      <c r="O68" s="614"/>
      <c r="P68" s="571"/>
      <c r="Q68" s="1238"/>
      <c r="R68" s="1051"/>
      <c r="S68" s="1239"/>
      <c r="T68" s="1176"/>
      <c r="U68" s="664"/>
      <c r="V68" s="1187"/>
      <c r="W68" s="1182"/>
    </row>
    <row r="69" s="10" customFormat="1" ht="16.5" spans="1:23">
      <c r="A69" s="721"/>
      <c r="B69" s="671"/>
      <c r="C69" s="557"/>
      <c r="D69" s="1229" t="s">
        <v>267</v>
      </c>
      <c r="E69" s="561" t="s">
        <v>2279</v>
      </c>
      <c r="F69" s="969"/>
      <c r="G69" s="577"/>
      <c r="H69" s="577"/>
      <c r="I69" s="577">
        <v>281174.1</v>
      </c>
      <c r="J69" s="614">
        <v>6.8805</v>
      </c>
      <c r="K69" s="1232"/>
      <c r="L69" s="742"/>
      <c r="M69" s="625">
        <v>45022</v>
      </c>
      <c r="N69" s="574" t="s">
        <v>2719</v>
      </c>
      <c r="O69" s="614"/>
      <c r="P69" s="571"/>
      <c r="Q69" s="1238"/>
      <c r="R69" s="1051"/>
      <c r="S69" s="1239"/>
      <c r="T69" s="1176"/>
      <c r="U69" s="664"/>
      <c r="V69" s="1187"/>
      <c r="W69" s="1182"/>
    </row>
    <row r="70" s="10" customFormat="1" ht="16.5" spans="1:23">
      <c r="A70" s="721"/>
      <c r="B70" s="671"/>
      <c r="C70" s="557"/>
      <c r="D70" s="1229" t="s">
        <v>2281</v>
      </c>
      <c r="E70" s="561" t="s">
        <v>2282</v>
      </c>
      <c r="F70" s="969"/>
      <c r="G70" s="577"/>
      <c r="H70" s="577"/>
      <c r="I70" s="577">
        <v>266752.78</v>
      </c>
      <c r="J70" s="614">
        <v>6.8805</v>
      </c>
      <c r="K70" s="1232"/>
      <c r="L70" s="742"/>
      <c r="M70" s="625">
        <v>45023</v>
      </c>
      <c r="N70" s="574" t="s">
        <v>2719</v>
      </c>
      <c r="O70" s="572"/>
      <c r="P70" s="571"/>
      <c r="Q70" s="1257"/>
      <c r="R70" s="1051"/>
      <c r="S70" s="1239"/>
      <c r="T70" s="1176"/>
      <c r="U70" s="664"/>
      <c r="V70" s="1187"/>
      <c r="W70" s="1182"/>
    </row>
    <row r="71" s="10" customFormat="1" ht="16.5" spans="1:23">
      <c r="A71" s="721"/>
      <c r="B71" s="671"/>
      <c r="C71" s="557"/>
      <c r="D71" s="1270" t="s">
        <v>2284</v>
      </c>
      <c r="E71" s="561" t="s">
        <v>2285</v>
      </c>
      <c r="F71" s="969"/>
      <c r="G71" s="577"/>
      <c r="H71" s="577"/>
      <c r="I71" s="577">
        <v>37519</v>
      </c>
      <c r="J71" s="614"/>
      <c r="K71" s="1232"/>
      <c r="L71" s="742"/>
      <c r="M71" s="736" t="s">
        <v>2219</v>
      </c>
      <c r="N71" s="574" t="s">
        <v>2723</v>
      </c>
      <c r="O71" s="572"/>
      <c r="P71" s="571"/>
      <c r="Q71" s="1257"/>
      <c r="R71" s="1051"/>
      <c r="S71" s="1239"/>
      <c r="T71" s="1176"/>
      <c r="U71" s="664"/>
      <c r="V71" s="1187"/>
      <c r="W71" s="1182"/>
    </row>
    <row r="72" s="10" customFormat="1" ht="16.5" spans="1:23">
      <c r="A72" s="721"/>
      <c r="B72" s="1190" t="s">
        <v>1124</v>
      </c>
      <c r="C72" s="1219">
        <f>SUM(C55:C70)</f>
        <v>350</v>
      </c>
      <c r="D72" s="1219"/>
      <c r="E72" s="1144"/>
      <c r="F72" s="1159" t="s">
        <v>1235</v>
      </c>
      <c r="G72" s="1230">
        <f>SUM(G55:G67)</f>
        <v>1301484.738</v>
      </c>
      <c r="H72" s="1230">
        <f>SUM(H55:H67)</f>
        <v>1301730.095</v>
      </c>
      <c r="I72" s="1230">
        <f>SUM(I58:I70)</f>
        <v>2254862.12</v>
      </c>
      <c r="J72" s="808"/>
      <c r="K72" s="809"/>
      <c r="L72" s="821"/>
      <c r="M72" s="996"/>
      <c r="N72" s="997"/>
      <c r="O72" s="727"/>
      <c r="P72" s="652"/>
      <c r="Q72" s="653"/>
      <c r="R72" s="809"/>
      <c r="S72" s="809"/>
      <c r="T72" s="809"/>
      <c r="U72" s="1184"/>
      <c r="V72" s="1184"/>
      <c r="W72" s="1185"/>
    </row>
    <row r="73" s="10" customFormat="1" ht="16.5" spans="1:23">
      <c r="A73" s="673"/>
      <c r="B73" s="1192"/>
      <c r="C73" s="1150"/>
      <c r="D73" s="1150"/>
      <c r="E73" s="1144"/>
      <c r="F73" s="1159" t="s">
        <v>1236</v>
      </c>
      <c r="G73" s="1160">
        <f>G72/3500000</f>
        <v>0.371852782285714</v>
      </c>
      <c r="H73" s="1160">
        <f>H72/3500000</f>
        <v>0.371922884285714</v>
      </c>
      <c r="I73" s="1160">
        <f>I72/3500000</f>
        <v>0.64424632</v>
      </c>
      <c r="J73" s="808"/>
      <c r="K73" s="809"/>
      <c r="L73" s="821"/>
      <c r="M73" s="996"/>
      <c r="N73" s="997"/>
      <c r="O73" s="727"/>
      <c r="P73" s="652"/>
      <c r="Q73" s="653"/>
      <c r="R73" s="809"/>
      <c r="S73" s="809"/>
      <c r="T73" s="809"/>
      <c r="U73" s="1184"/>
      <c r="V73" s="1184"/>
      <c r="W73" s="1185"/>
    </row>
    <row r="74" s="10" customFormat="1" ht="16.5" spans="1:23">
      <c r="A74" s="780" t="s">
        <v>1163</v>
      </c>
      <c r="B74" s="780"/>
      <c r="C74" s="652">
        <f t="shared" ref="C74:I74" si="7">C21+C53+C72</f>
        <v>901</v>
      </c>
      <c r="D74" s="652"/>
      <c r="E74" s="727"/>
      <c r="F74" s="727" t="s">
        <v>14</v>
      </c>
      <c r="G74" s="804">
        <f t="shared" si="7"/>
        <v>6489825.593045</v>
      </c>
      <c r="H74" s="804">
        <f t="shared" si="7"/>
        <v>6487105.7516</v>
      </c>
      <c r="I74" s="804">
        <f t="shared" si="7"/>
        <v>8066384.9711</v>
      </c>
      <c r="J74" s="727"/>
      <c r="K74" s="727"/>
      <c r="L74" s="854"/>
      <c r="M74" s="854"/>
      <c r="N74" s="1015"/>
      <c r="O74" s="727"/>
      <c r="P74" s="652"/>
      <c r="Q74" s="727"/>
      <c r="R74" s="727"/>
      <c r="S74" s="727"/>
      <c r="T74" s="727"/>
      <c r="U74" s="727"/>
      <c r="V74" s="727"/>
      <c r="W74" s="1185"/>
    </row>
    <row r="75" s="10" customFormat="1" ht="16.5" spans="1:23">
      <c r="A75" s="780"/>
      <c r="B75" s="780"/>
      <c r="C75" s="652"/>
      <c r="D75" s="652"/>
      <c r="E75" s="727"/>
      <c r="F75" s="727" t="s">
        <v>1236</v>
      </c>
      <c r="G75" s="796">
        <f>G74/(C74*10000)</f>
        <v>0.72029140877303</v>
      </c>
      <c r="H75" s="796">
        <f>H74/(C74*10000)</f>
        <v>0.719989539578246</v>
      </c>
      <c r="I75" s="796">
        <f>I74/(C74*10000)</f>
        <v>0.895270252064373</v>
      </c>
      <c r="J75" s="727"/>
      <c r="K75" s="727"/>
      <c r="L75" s="854"/>
      <c r="M75" s="854"/>
      <c r="N75" s="1015"/>
      <c r="O75" s="727"/>
      <c r="P75" s="727"/>
      <c r="Q75" s="727"/>
      <c r="R75" s="727"/>
      <c r="S75" s="727"/>
      <c r="T75" s="727"/>
      <c r="U75" s="727"/>
      <c r="V75" s="727"/>
      <c r="W75" s="727"/>
    </row>
    <row r="76" s="10" customFormat="1" ht="16.5" spans="1:23">
      <c r="A76" s="536"/>
      <c r="B76" s="836"/>
      <c r="C76" s="837"/>
      <c r="D76" s="837"/>
      <c r="E76" s="836"/>
      <c r="F76" s="836"/>
      <c r="G76" s="850"/>
      <c r="H76" s="850"/>
      <c r="I76" s="850"/>
      <c r="J76" s="836"/>
      <c r="K76" s="836"/>
      <c r="L76" s="870"/>
      <c r="M76" s="870"/>
      <c r="N76" s="1016"/>
      <c r="O76" s="836"/>
      <c r="P76" s="837"/>
      <c r="Q76" s="836"/>
      <c r="R76" s="836"/>
      <c r="S76" s="836"/>
      <c r="T76" s="836"/>
      <c r="U76" s="836"/>
      <c r="V76" s="836"/>
      <c r="W76" s="1177"/>
    </row>
    <row r="77" s="10" customFormat="1" ht="16.5" spans="1:23">
      <c r="A77" s="536"/>
      <c r="B77" s="836"/>
      <c r="C77" s="837"/>
      <c r="D77" s="837"/>
      <c r="E77" s="836" t="s">
        <v>139</v>
      </c>
      <c r="F77" s="836"/>
      <c r="G77" s="880"/>
      <c r="H77" s="880"/>
      <c r="I77" s="880"/>
      <c r="J77" s="836"/>
      <c r="K77" s="836"/>
      <c r="L77" s="836"/>
      <c r="M77" s="870"/>
      <c r="N77" s="1016"/>
      <c r="O77" s="836" t="s">
        <v>140</v>
      </c>
      <c r="P77" s="837"/>
      <c r="Q77" s="836"/>
      <c r="R77" s="836"/>
      <c r="S77" s="1241"/>
      <c r="T77" s="836"/>
      <c r="U77" s="1241"/>
      <c r="V77" s="836"/>
      <c r="W77" s="1177"/>
    </row>
    <row r="78" s="10" customFormat="1" ht="16.5" spans="1:23">
      <c r="A78" s="875" t="s">
        <v>1814</v>
      </c>
      <c r="B78" s="875"/>
      <c r="C78" s="875"/>
      <c r="D78" s="875"/>
      <c r="E78" s="875"/>
      <c r="F78" s="1090"/>
      <c r="G78" s="850"/>
      <c r="H78" s="850"/>
      <c r="I78" s="850"/>
      <c r="J78" s="836"/>
      <c r="K78" s="836"/>
      <c r="L78" s="870"/>
      <c r="M78" s="870"/>
      <c r="N78" s="1016"/>
      <c r="O78" s="894"/>
      <c r="P78" s="837"/>
      <c r="Q78" s="836"/>
      <c r="R78" s="836"/>
      <c r="S78" s="1241"/>
      <c r="T78" s="836"/>
      <c r="U78" s="1241"/>
      <c r="V78" s="836"/>
      <c r="W78" s="1177"/>
    </row>
    <row r="79" s="10" customFormat="1" ht="16.5" spans="1:23">
      <c r="A79" s="875" t="s">
        <v>1285</v>
      </c>
      <c r="B79" s="875"/>
      <c r="C79" s="875"/>
      <c r="D79" s="875"/>
      <c r="E79" s="875"/>
      <c r="F79" s="1090"/>
      <c r="G79" s="850"/>
      <c r="H79" s="850"/>
      <c r="I79" s="850"/>
      <c r="J79" s="836"/>
      <c r="K79" s="836"/>
      <c r="L79" s="870"/>
      <c r="M79" s="870"/>
      <c r="N79" s="1016"/>
      <c r="O79" s="894"/>
      <c r="P79" s="837"/>
      <c r="Q79" s="836"/>
      <c r="R79" s="836"/>
      <c r="S79" s="1241"/>
      <c r="T79" s="836"/>
      <c r="U79" s="1241"/>
      <c r="V79" s="836"/>
      <c r="W79" s="1177"/>
    </row>
    <row r="80" s="10" customFormat="1" ht="16.5" spans="1:23">
      <c r="A80" s="875" t="s">
        <v>1815</v>
      </c>
      <c r="B80" s="875"/>
      <c r="C80" s="875"/>
      <c r="D80" s="875"/>
      <c r="E80" s="875"/>
      <c r="F80" s="1090"/>
      <c r="G80" s="850"/>
      <c r="H80" s="850"/>
      <c r="I80" s="850"/>
      <c r="J80" s="892"/>
      <c r="K80" s="836"/>
      <c r="L80" s="870"/>
      <c r="M80" s="870"/>
      <c r="N80" s="1016"/>
      <c r="O80" s="894"/>
      <c r="P80" s="837"/>
      <c r="Q80" s="836"/>
      <c r="R80" s="836"/>
      <c r="S80" s="1241"/>
      <c r="T80" s="836"/>
      <c r="U80" s="1241"/>
      <c r="V80" s="836"/>
      <c r="W80" s="1177"/>
    </row>
    <row r="81" s="10" customFormat="1" ht="16.5" spans="1:23">
      <c r="A81" s="875" t="s">
        <v>1816</v>
      </c>
      <c r="B81" s="875"/>
      <c r="C81" s="875"/>
      <c r="D81" s="875"/>
      <c r="E81" s="875"/>
      <c r="F81" s="1090"/>
      <c r="G81" s="850"/>
      <c r="H81" s="850"/>
      <c r="I81" s="850"/>
      <c r="J81" s="836"/>
      <c r="K81" s="836"/>
      <c r="L81" s="870"/>
      <c r="M81" s="870"/>
      <c r="N81" s="1016"/>
      <c r="O81" s="894"/>
      <c r="P81" s="837"/>
      <c r="Q81" s="836"/>
      <c r="R81" s="836"/>
      <c r="S81" s="1241"/>
      <c r="T81" s="836"/>
      <c r="U81" s="1241"/>
      <c r="V81" s="836"/>
      <c r="W81" s="1177"/>
    </row>
    <row r="82" s="10" customFormat="1" ht="16.5" spans="1:23">
      <c r="A82" s="875" t="s">
        <v>1817</v>
      </c>
      <c r="B82" s="876"/>
      <c r="C82" s="876"/>
      <c r="D82" s="876"/>
      <c r="E82" s="876"/>
      <c r="F82" s="1090"/>
      <c r="G82" s="850"/>
      <c r="H82" s="850"/>
      <c r="I82" s="850"/>
      <c r="J82" s="893"/>
      <c r="K82" s="893"/>
      <c r="L82" s="870"/>
      <c r="M82" s="870"/>
      <c r="N82" s="1021"/>
      <c r="O82" s="894"/>
      <c r="P82" s="837"/>
      <c r="Q82" s="893"/>
      <c r="R82" s="893"/>
      <c r="S82" s="893"/>
      <c r="T82" s="893"/>
      <c r="U82" s="1241"/>
      <c r="V82" s="893"/>
      <c r="W82" s="1177"/>
    </row>
    <row r="83" ht="16.5" spans="1:23">
      <c r="A83" s="875" t="s">
        <v>1818</v>
      </c>
      <c r="B83" s="876"/>
      <c r="C83" s="876"/>
      <c r="D83" s="876"/>
      <c r="E83" s="876"/>
      <c r="F83" s="1090"/>
      <c r="G83" s="850"/>
      <c r="H83" s="850"/>
      <c r="I83" s="850"/>
      <c r="J83" s="877"/>
      <c r="K83" s="877"/>
      <c r="L83" s="896"/>
      <c r="M83" s="896"/>
      <c r="N83" s="887"/>
      <c r="O83" s="876"/>
      <c r="P83" s="878"/>
      <c r="Q83" s="877"/>
      <c r="R83" s="877"/>
      <c r="S83" s="877"/>
      <c r="T83" s="877"/>
      <c r="U83" s="877"/>
      <c r="V83" s="877"/>
      <c r="W83" s="1242"/>
    </row>
    <row r="84" ht="16.5" spans="1:23">
      <c r="A84" s="417"/>
      <c r="B84" s="877"/>
      <c r="C84" s="878"/>
      <c r="D84" s="878"/>
      <c r="E84" s="877"/>
      <c r="F84" s="877"/>
      <c r="G84" s="850"/>
      <c r="H84" s="850"/>
      <c r="I84" s="850"/>
      <c r="J84" s="877"/>
      <c r="K84" s="877"/>
      <c r="L84" s="896"/>
      <c r="M84" s="896"/>
      <c r="N84" s="887"/>
      <c r="O84" s="877"/>
      <c r="P84" s="878"/>
      <c r="Q84" s="877"/>
      <c r="R84" s="877"/>
      <c r="S84" s="877"/>
      <c r="T84" s="877"/>
      <c r="U84" s="877"/>
      <c r="V84" s="877"/>
      <c r="W84" s="1242"/>
    </row>
    <row r="85" ht="16.5" spans="1:23">
      <c r="A85" s="417"/>
      <c r="B85" s="417"/>
      <c r="C85" s="879"/>
      <c r="D85" s="879"/>
      <c r="E85" s="417"/>
      <c r="F85" s="417"/>
      <c r="G85" s="880"/>
      <c r="H85" s="880"/>
      <c r="I85" s="880"/>
      <c r="J85" s="417"/>
      <c r="K85" s="417"/>
      <c r="L85" s="898"/>
      <c r="M85" s="898"/>
      <c r="N85" s="888"/>
      <c r="O85" s="417"/>
      <c r="P85" s="900"/>
      <c r="Q85" s="417"/>
      <c r="R85" s="417"/>
      <c r="S85" s="417"/>
      <c r="T85" s="417"/>
      <c r="U85" s="417"/>
      <c r="V85" s="417"/>
      <c r="W85" s="1243"/>
    </row>
  </sheetData>
  <sheetProtection formatCells="0" insertHyperlinks="0" autoFilter="0"/>
  <mergeCells count="38">
    <mergeCell ref="A1:Q1"/>
    <mergeCell ref="A3:A22"/>
    <mergeCell ref="A23:A54"/>
    <mergeCell ref="A55:A73"/>
    <mergeCell ref="B3:B10"/>
    <mergeCell ref="B11:B20"/>
    <mergeCell ref="B21:B22"/>
    <mergeCell ref="B23:B29"/>
    <mergeCell ref="B30:B34"/>
    <mergeCell ref="B35:B45"/>
    <mergeCell ref="B46:B52"/>
    <mergeCell ref="B53:B54"/>
    <mergeCell ref="B55:B57"/>
    <mergeCell ref="B58:B66"/>
    <mergeCell ref="B67:B70"/>
    <mergeCell ref="B72:B73"/>
    <mergeCell ref="C3:C10"/>
    <mergeCell ref="C11:C20"/>
    <mergeCell ref="C21:C22"/>
    <mergeCell ref="C23:C29"/>
    <mergeCell ref="C30:C34"/>
    <mergeCell ref="C35:C45"/>
    <mergeCell ref="C46:C52"/>
    <mergeCell ref="C53:C54"/>
    <mergeCell ref="C55:C57"/>
    <mergeCell ref="C58:C66"/>
    <mergeCell ref="C67:C70"/>
    <mergeCell ref="C72:C73"/>
    <mergeCell ref="C74:C75"/>
    <mergeCell ref="D23:D24"/>
    <mergeCell ref="D26:D29"/>
    <mergeCell ref="D31:D32"/>
    <mergeCell ref="D33:D34"/>
    <mergeCell ref="D35:D36"/>
    <mergeCell ref="D40:D42"/>
    <mergeCell ref="D48:D49"/>
    <mergeCell ref="N62:N63"/>
    <mergeCell ref="A74:B75"/>
  </mergeCells>
  <pageMargins left="0.75" right="0.75" top="1" bottom="1" header="0.5" footer="0.5"/>
  <headerFooter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4"/>
  <dimension ref="A1:X88"/>
  <sheetViews>
    <sheetView workbookViewId="0">
      <pane xSplit="3" ySplit="2" topLeftCell="H65" activePane="bottomRight" state="frozen"/>
      <selection/>
      <selection pane="topRight"/>
      <selection pane="bottomLeft"/>
      <selection pane="bottomRight" activeCell="H65" sqref="H65"/>
    </sheetView>
  </sheetViews>
  <sheetFormatPr defaultColWidth="9" defaultRowHeight="13.5"/>
  <cols>
    <col min="1" max="1" width="6.39166666666667" customWidth="1"/>
    <col min="2" max="2" width="7.83333333333333" customWidth="1"/>
    <col min="3" max="3" width="8.625" customWidth="1"/>
    <col min="4" max="4" width="15.2583333333333" customWidth="1"/>
    <col min="5" max="5" width="17.575" customWidth="1"/>
    <col min="6" max="6" width="10.7583333333333" customWidth="1"/>
    <col min="7" max="7" width="14.125" customWidth="1"/>
    <col min="8" max="8" width="16.2583333333333" customWidth="1"/>
    <col min="9" max="9" width="14.8583333333333" customWidth="1"/>
    <col min="11" max="11" width="11.5083333333333" customWidth="1"/>
    <col min="14" max="14" width="57.3166666666667" customWidth="1"/>
    <col min="15" max="15" width="13.2166666666667" customWidth="1"/>
    <col min="16" max="16" width="9" style="510"/>
    <col min="17" max="17" width="13.125"/>
    <col min="19" max="19" width="13.2583333333333" customWidth="1"/>
    <col min="23" max="23" width="13.5" customWidth="1"/>
  </cols>
  <sheetData>
    <row r="1" s="10" customFormat="1" ht="21.65" customHeight="1" spans="1:23">
      <c r="A1" s="1094" t="s">
        <v>2724</v>
      </c>
      <c r="B1" s="1094"/>
      <c r="C1" s="1094"/>
      <c r="D1" s="1094"/>
      <c r="E1" s="1094"/>
      <c r="F1" s="1094"/>
      <c r="G1" s="1094"/>
      <c r="H1" s="1094"/>
      <c r="I1" s="1094"/>
      <c r="J1" s="1094"/>
      <c r="K1" s="1094"/>
      <c r="L1" s="1102"/>
      <c r="M1" s="1102"/>
      <c r="N1" s="1016"/>
      <c r="O1" s="1094"/>
      <c r="P1" s="1094"/>
      <c r="Q1" s="1094"/>
      <c r="R1" s="651"/>
      <c r="S1" s="651"/>
      <c r="T1" s="651"/>
      <c r="U1" s="651"/>
      <c r="V1" s="836"/>
      <c r="W1" s="1177"/>
    </row>
    <row r="2" s="10" customFormat="1" ht="30" spans="1:23">
      <c r="A2" s="780" t="s">
        <v>1092</v>
      </c>
      <c r="B2" s="1144" t="s">
        <v>1093</v>
      </c>
      <c r="C2" s="1145" t="s">
        <v>1821</v>
      </c>
      <c r="D2" s="1145" t="s">
        <v>1822</v>
      </c>
      <c r="E2" s="1152" t="s">
        <v>1095</v>
      </c>
      <c r="F2" s="1153" t="s">
        <v>362</v>
      </c>
      <c r="G2" s="1154" t="s">
        <v>1716</v>
      </c>
      <c r="H2" s="1154" t="s">
        <v>1717</v>
      </c>
      <c r="I2" s="1154" t="s">
        <v>1718</v>
      </c>
      <c r="J2" s="1164" t="s">
        <v>1096</v>
      </c>
      <c r="K2" s="1165" t="s">
        <v>1098</v>
      </c>
      <c r="L2" s="1166" t="s">
        <v>1097</v>
      </c>
      <c r="M2" s="1166" t="s">
        <v>1214</v>
      </c>
      <c r="N2" s="727" t="s">
        <v>1215</v>
      </c>
      <c r="O2" s="621" t="s">
        <v>7</v>
      </c>
      <c r="P2" s="652" t="s">
        <v>8</v>
      </c>
      <c r="Q2" s="653" t="s">
        <v>9</v>
      </c>
      <c r="R2" s="654" t="s">
        <v>1291</v>
      </c>
      <c r="S2" s="654" t="s">
        <v>13</v>
      </c>
      <c r="T2" s="1170" t="s">
        <v>14</v>
      </c>
      <c r="U2" s="1178" t="s">
        <v>15</v>
      </c>
      <c r="V2" s="1179" t="s">
        <v>1100</v>
      </c>
      <c r="W2" s="1180" t="s">
        <v>1101</v>
      </c>
    </row>
    <row r="3" s="10" customFormat="1" ht="16.5" spans="1:23">
      <c r="A3" s="721" t="s">
        <v>1823</v>
      </c>
      <c r="B3" s="1146" t="s">
        <v>1825</v>
      </c>
      <c r="C3" s="545">
        <v>118</v>
      </c>
      <c r="D3" s="250" t="s">
        <v>161</v>
      </c>
      <c r="E3" s="1245" t="s">
        <v>2725</v>
      </c>
      <c r="F3" s="1002">
        <v>39717</v>
      </c>
      <c r="G3" s="603">
        <f>F3*J3</f>
        <v>274261.7718</v>
      </c>
      <c r="H3" s="603">
        <v>274262</v>
      </c>
      <c r="I3" s="603"/>
      <c r="J3" s="614">
        <v>6.9054</v>
      </c>
      <c r="K3" s="707">
        <v>45059</v>
      </c>
      <c r="L3" s="644">
        <v>45058</v>
      </c>
      <c r="M3" s="633" t="s">
        <v>1125</v>
      </c>
      <c r="N3" s="705" t="s">
        <v>2726</v>
      </c>
      <c r="O3" s="642" t="s">
        <v>2727</v>
      </c>
      <c r="P3" s="655" t="s">
        <v>1671</v>
      </c>
      <c r="Q3" s="664"/>
      <c r="R3" s="577"/>
      <c r="S3" s="577"/>
      <c r="T3" s="1171"/>
      <c r="U3" s="664"/>
      <c r="V3" s="664"/>
      <c r="W3" s="1181"/>
    </row>
    <row r="4" s="10" customFormat="1" ht="16.5" spans="1:23">
      <c r="A4" s="721"/>
      <c r="B4" s="1146"/>
      <c r="C4" s="545"/>
      <c r="D4" s="572" t="s">
        <v>145</v>
      </c>
      <c r="E4" s="1245" t="s">
        <v>2728</v>
      </c>
      <c r="F4" s="591">
        <v>43354</v>
      </c>
      <c r="G4" s="603">
        <f>F4*J4</f>
        <v>299376.7116</v>
      </c>
      <c r="H4" s="603">
        <v>299377</v>
      </c>
      <c r="I4" s="567">
        <v>299377</v>
      </c>
      <c r="J4" s="614">
        <v>6.9054</v>
      </c>
      <c r="K4" s="708" t="s">
        <v>1218</v>
      </c>
      <c r="L4" s="644">
        <v>45064</v>
      </c>
      <c r="M4" s="644">
        <v>45077</v>
      </c>
      <c r="N4" s="574" t="s">
        <v>2729</v>
      </c>
      <c r="O4" s="635" t="s">
        <v>2730</v>
      </c>
      <c r="P4" s="655" t="s">
        <v>1671</v>
      </c>
      <c r="Q4" s="664"/>
      <c r="R4" s="577"/>
      <c r="S4" s="577"/>
      <c r="T4" s="1171"/>
      <c r="U4" s="664"/>
      <c r="V4" s="664"/>
      <c r="W4" s="1181"/>
    </row>
    <row r="5" s="10" customFormat="1" ht="16.5" spans="1:23">
      <c r="A5" s="721"/>
      <c r="B5" s="1146"/>
      <c r="C5" s="545"/>
      <c r="D5" s="572" t="s">
        <v>2731</v>
      </c>
      <c r="E5" s="1245" t="s">
        <v>2732</v>
      </c>
      <c r="F5" s="591">
        <v>40435</v>
      </c>
      <c r="G5" s="603">
        <f>F5*J5</f>
        <v>279219.849</v>
      </c>
      <c r="H5" s="603">
        <v>279220</v>
      </c>
      <c r="I5" s="567">
        <v>279220</v>
      </c>
      <c r="J5" s="614">
        <v>6.9054</v>
      </c>
      <c r="K5" s="708" t="s">
        <v>1218</v>
      </c>
      <c r="L5" s="644">
        <v>45065</v>
      </c>
      <c r="M5" s="644">
        <v>45073</v>
      </c>
      <c r="N5" s="574" t="s">
        <v>2729</v>
      </c>
      <c r="O5" s="635" t="s">
        <v>2733</v>
      </c>
      <c r="P5" s="655" t="s">
        <v>2734</v>
      </c>
      <c r="Q5" s="664"/>
      <c r="R5" s="577"/>
      <c r="S5" s="577"/>
      <c r="T5" s="1171"/>
      <c r="U5" s="664"/>
      <c r="V5" s="664"/>
      <c r="W5" s="1181"/>
    </row>
    <row r="6" s="10" customFormat="1" ht="16.5" spans="1:23">
      <c r="A6" s="1147"/>
      <c r="B6" s="715"/>
      <c r="C6" s="716"/>
      <c r="D6" s="572" t="s">
        <v>1722</v>
      </c>
      <c r="E6" s="644" t="s">
        <v>2619</v>
      </c>
      <c r="F6" s="644"/>
      <c r="G6" s="603"/>
      <c r="H6" s="603"/>
      <c r="I6" s="567">
        <v>358851</v>
      </c>
      <c r="J6" s="614">
        <v>6.9054</v>
      </c>
      <c r="K6" s="707">
        <v>45046</v>
      </c>
      <c r="L6" s="644">
        <v>45044</v>
      </c>
      <c r="M6" s="644">
        <v>45058</v>
      </c>
      <c r="N6" s="564" t="s">
        <v>2735</v>
      </c>
      <c r="O6" s="635" t="s">
        <v>2307</v>
      </c>
      <c r="P6" s="655" t="s">
        <v>1671</v>
      </c>
      <c r="Q6" s="664"/>
      <c r="R6" s="577"/>
      <c r="S6" s="577"/>
      <c r="T6" s="1171"/>
      <c r="U6" s="664"/>
      <c r="V6" s="664"/>
      <c r="W6" s="1181"/>
    </row>
    <row r="7" s="10" customFormat="1" ht="16.5" spans="1:23">
      <c r="A7" s="1147"/>
      <c r="B7" s="715"/>
      <c r="C7" s="716"/>
      <c r="D7" s="250" t="s">
        <v>161</v>
      </c>
      <c r="E7" s="633" t="s">
        <v>2736</v>
      </c>
      <c r="F7" s="644"/>
      <c r="G7" s="603"/>
      <c r="H7" s="603"/>
      <c r="I7" s="567">
        <v>50789</v>
      </c>
      <c r="J7" s="614">
        <v>6.9054</v>
      </c>
      <c r="K7" s="707"/>
      <c r="L7" s="644"/>
      <c r="M7" s="644"/>
      <c r="N7" s="564" t="s">
        <v>2737</v>
      </c>
      <c r="O7" s="642" t="s">
        <v>2727</v>
      </c>
      <c r="P7" s="655" t="s">
        <v>2738</v>
      </c>
      <c r="Q7" s="664"/>
      <c r="R7" s="577"/>
      <c r="S7" s="577"/>
      <c r="T7" s="1171"/>
      <c r="U7" s="664"/>
      <c r="V7" s="664"/>
      <c r="W7" s="1181"/>
    </row>
    <row r="8" s="10" customFormat="1" ht="16.5" spans="1:23">
      <c r="A8" s="721"/>
      <c r="B8" s="671" t="s">
        <v>224</v>
      </c>
      <c r="C8" s="557">
        <v>102</v>
      </c>
      <c r="D8" s="244" t="s">
        <v>638</v>
      </c>
      <c r="E8" s="1245" t="s">
        <v>2739</v>
      </c>
      <c r="F8" s="591">
        <v>17576</v>
      </c>
      <c r="G8" s="603">
        <f t="shared" ref="G8:G13" si="0">F8*J8</f>
        <v>121369.3104</v>
      </c>
      <c r="H8" s="603">
        <v>121369</v>
      </c>
      <c r="I8" s="603">
        <v>121369</v>
      </c>
      <c r="J8" s="614">
        <v>6.9054</v>
      </c>
      <c r="K8" s="682" t="s">
        <v>1218</v>
      </c>
      <c r="L8" s="644">
        <v>45058</v>
      </c>
      <c r="M8" s="644">
        <v>45064</v>
      </c>
      <c r="N8" s="574" t="s">
        <v>2740</v>
      </c>
      <c r="O8" s="635" t="s">
        <v>2741</v>
      </c>
      <c r="P8" s="572" t="s">
        <v>1656</v>
      </c>
      <c r="Q8" s="656"/>
      <c r="R8" s="577"/>
      <c r="S8" s="577"/>
      <c r="T8" s="1171"/>
      <c r="U8" s="664"/>
      <c r="V8" s="664"/>
      <c r="W8" s="1181"/>
    </row>
    <row r="9" s="10" customFormat="1" ht="18.75" customHeight="1" spans="1:23">
      <c r="A9" s="721"/>
      <c r="B9" s="671"/>
      <c r="C9" s="557"/>
      <c r="D9" s="244" t="s">
        <v>867</v>
      </c>
      <c r="E9" s="1245" t="s">
        <v>2742</v>
      </c>
      <c r="F9" s="591">
        <v>16250</v>
      </c>
      <c r="G9" s="603">
        <f t="shared" si="0"/>
        <v>112212.75</v>
      </c>
      <c r="H9" s="603">
        <v>112213</v>
      </c>
      <c r="I9" s="603"/>
      <c r="J9" s="614">
        <v>6.9054</v>
      </c>
      <c r="K9" s="682" t="s">
        <v>1218</v>
      </c>
      <c r="L9" s="644">
        <v>45066</v>
      </c>
      <c r="M9" s="644">
        <v>45080</v>
      </c>
      <c r="N9" s="574" t="s">
        <v>2743</v>
      </c>
      <c r="O9" s="635" t="s">
        <v>481</v>
      </c>
      <c r="P9" s="572" t="s">
        <v>1656</v>
      </c>
      <c r="Q9" s="664"/>
      <c r="R9" s="577"/>
      <c r="S9" s="577"/>
      <c r="T9" s="1171"/>
      <c r="U9" s="664"/>
      <c r="V9" s="664"/>
      <c r="W9" s="1181"/>
    </row>
    <row r="10" s="10" customFormat="1" ht="16.5" spans="1:23">
      <c r="A10" s="721"/>
      <c r="B10" s="671"/>
      <c r="C10" s="557"/>
      <c r="D10" s="244" t="s">
        <v>1038</v>
      </c>
      <c r="E10" s="1245" t="s">
        <v>2744</v>
      </c>
      <c r="F10" s="591">
        <v>17357</v>
      </c>
      <c r="G10" s="603">
        <f t="shared" si="0"/>
        <v>119857.0278</v>
      </c>
      <c r="H10" s="603">
        <v>119857</v>
      </c>
      <c r="I10" s="603"/>
      <c r="J10" s="614">
        <v>6.9054</v>
      </c>
      <c r="K10" s="1167" t="s">
        <v>1218</v>
      </c>
      <c r="L10" s="644">
        <v>45069</v>
      </c>
      <c r="M10" s="644">
        <v>45078</v>
      </c>
      <c r="N10" s="574" t="s">
        <v>2745</v>
      </c>
      <c r="O10" s="635" t="s">
        <v>2679</v>
      </c>
      <c r="P10" s="572" t="s">
        <v>1671</v>
      </c>
      <c r="Q10" s="664"/>
      <c r="R10" s="577"/>
      <c r="S10" s="577"/>
      <c r="T10" s="1171"/>
      <c r="U10" s="664"/>
      <c r="V10" s="664"/>
      <c r="W10" s="1181"/>
    </row>
    <row r="11" s="10" customFormat="1" ht="16.5" spans="1:23">
      <c r="A11" s="721"/>
      <c r="B11" s="671"/>
      <c r="C11" s="557"/>
      <c r="D11" s="561" t="s">
        <v>53</v>
      </c>
      <c r="E11" s="1245" t="s">
        <v>2746</v>
      </c>
      <c r="F11" s="722">
        <v>38754</v>
      </c>
      <c r="G11" s="603">
        <f t="shared" si="0"/>
        <v>267611.8716</v>
      </c>
      <c r="H11" s="603">
        <v>267612</v>
      </c>
      <c r="I11" s="603">
        <v>267612</v>
      </c>
      <c r="J11" s="614">
        <v>6.9054</v>
      </c>
      <c r="K11" s="682" t="s">
        <v>1218</v>
      </c>
      <c r="L11" s="644">
        <v>45071</v>
      </c>
      <c r="M11" s="644">
        <v>45077</v>
      </c>
      <c r="N11" s="568" t="s">
        <v>2745</v>
      </c>
      <c r="O11" s="635" t="s">
        <v>2679</v>
      </c>
      <c r="P11" s="655" t="s">
        <v>2640</v>
      </c>
      <c r="Q11" s="664"/>
      <c r="R11" s="577"/>
      <c r="S11" s="577"/>
      <c r="T11" s="1171"/>
      <c r="U11" s="664"/>
      <c r="V11" s="664"/>
      <c r="W11" s="1181"/>
    </row>
    <row r="12" s="10" customFormat="1" ht="19.5" customHeight="1" spans="1:23">
      <c r="A12" s="721"/>
      <c r="B12" s="671"/>
      <c r="C12" s="557"/>
      <c r="D12" s="561" t="s">
        <v>849</v>
      </c>
      <c r="E12" s="1245" t="s">
        <v>2747</v>
      </c>
      <c r="F12" s="722">
        <v>17556</v>
      </c>
      <c r="G12" s="603">
        <f t="shared" si="0"/>
        <v>121231.2024</v>
      </c>
      <c r="H12" s="603">
        <v>121231</v>
      </c>
      <c r="I12" s="603"/>
      <c r="J12" s="614">
        <v>6.9054</v>
      </c>
      <c r="K12" s="682" t="s">
        <v>1218</v>
      </c>
      <c r="L12" s="644">
        <v>45071</v>
      </c>
      <c r="M12" s="644">
        <v>45079</v>
      </c>
      <c r="N12" s="568" t="s">
        <v>2748</v>
      </c>
      <c r="O12" s="635" t="s">
        <v>1191</v>
      </c>
      <c r="P12" s="572" t="s">
        <v>1656</v>
      </c>
      <c r="Q12" s="664"/>
      <c r="R12" s="577"/>
      <c r="S12" s="577"/>
      <c r="T12" s="1171"/>
      <c r="U12" s="664"/>
      <c r="V12" s="664"/>
      <c r="W12" s="1181"/>
    </row>
    <row r="13" s="10" customFormat="1" ht="21" customHeight="1" spans="1:23">
      <c r="A13" s="721"/>
      <c r="B13" s="671"/>
      <c r="C13" s="557"/>
      <c r="D13" s="561" t="s">
        <v>408</v>
      </c>
      <c r="E13" s="1245" t="s">
        <v>2749</v>
      </c>
      <c r="F13" s="722">
        <v>15351</v>
      </c>
      <c r="G13" s="603">
        <f t="shared" si="0"/>
        <v>106004.7954</v>
      </c>
      <c r="H13" s="603">
        <v>106005</v>
      </c>
      <c r="I13" s="603"/>
      <c r="J13" s="614">
        <v>6.9054</v>
      </c>
      <c r="K13" s="682" t="s">
        <v>1218</v>
      </c>
      <c r="L13" s="644">
        <v>45075</v>
      </c>
      <c r="M13" s="644">
        <v>45084</v>
      </c>
      <c r="N13" s="568" t="s">
        <v>2750</v>
      </c>
      <c r="O13" s="635" t="s">
        <v>2751</v>
      </c>
      <c r="P13" s="572" t="s">
        <v>1656</v>
      </c>
      <c r="Q13" s="945"/>
      <c r="R13" s="945"/>
      <c r="S13" s="945"/>
      <c r="T13" s="945"/>
      <c r="U13" s="945"/>
      <c r="V13" s="945"/>
      <c r="W13" s="945"/>
    </row>
    <row r="14" s="10" customFormat="1" ht="16.5" spans="1:23">
      <c r="A14" s="721"/>
      <c r="B14" s="1194"/>
      <c r="C14" s="557"/>
      <c r="D14" s="561" t="s">
        <v>2637</v>
      </c>
      <c r="E14" s="571" t="s">
        <v>2638</v>
      </c>
      <c r="F14" s="576">
        <v>48972</v>
      </c>
      <c r="G14" s="567"/>
      <c r="H14" s="603"/>
      <c r="I14" s="567">
        <v>336951.846</v>
      </c>
      <c r="J14" s="614">
        <v>6.9054</v>
      </c>
      <c r="K14" s="638"/>
      <c r="L14" s="644"/>
      <c r="M14" s="644"/>
      <c r="N14" s="564" t="s">
        <v>2735</v>
      </c>
      <c r="O14" s="1043"/>
      <c r="P14" s="968"/>
      <c r="Q14" s="1043"/>
      <c r="R14" s="1043"/>
      <c r="S14" s="1043"/>
      <c r="T14" s="1043"/>
      <c r="U14" s="1043"/>
      <c r="V14" s="1043"/>
      <c r="W14" s="1043"/>
    </row>
    <row r="15" s="10" customFormat="1" ht="16.5" spans="1:23">
      <c r="A15" s="1147"/>
      <c r="B15" s="1244" t="s">
        <v>1124</v>
      </c>
      <c r="C15" s="1149">
        <f>SUM(C3:C13)</f>
        <v>220</v>
      </c>
      <c r="D15" s="1150"/>
      <c r="E15" s="1156"/>
      <c r="F15" s="1157" t="s">
        <v>1235</v>
      </c>
      <c r="G15" s="1158">
        <f>SUM(G3:G14)</f>
        <v>1701145.29</v>
      </c>
      <c r="H15" s="1158">
        <f>SUM(H3:H13)</f>
        <v>1701146</v>
      </c>
      <c r="I15" s="1158">
        <f>SUM(I3:I13)</f>
        <v>1377218</v>
      </c>
      <c r="J15" s="1168"/>
      <c r="K15" s="610"/>
      <c r="L15" s="644"/>
      <c r="M15" s="644"/>
      <c r="N15" s="1072"/>
      <c r="O15" s="640"/>
      <c r="P15" s="968"/>
      <c r="Q15" s="670"/>
      <c r="R15" s="766"/>
      <c r="S15" s="1173"/>
      <c r="T15" s="1174"/>
      <c r="U15" s="546"/>
      <c r="V15" s="546"/>
      <c r="W15" s="1183"/>
    </row>
    <row r="16" s="10" customFormat="1" ht="16.5" spans="1:23">
      <c r="A16" s="1151"/>
      <c r="B16" s="1244"/>
      <c r="C16" s="1149"/>
      <c r="D16" s="1149"/>
      <c r="E16" s="1144"/>
      <c r="F16" s="1159" t="s">
        <v>1236</v>
      </c>
      <c r="G16" s="1160">
        <f>G15/2200000</f>
        <v>0.773247859090909</v>
      </c>
      <c r="H16" s="1160">
        <f>H15/2200000</f>
        <v>0.773248181818182</v>
      </c>
      <c r="I16" s="1160">
        <f>I15/2200000</f>
        <v>0.626008181818182</v>
      </c>
      <c r="J16" s="1168"/>
      <c r="K16" s="858"/>
      <c r="L16" s="821"/>
      <c r="M16" s="821"/>
      <c r="N16" s="1015"/>
      <c r="O16" s="804"/>
      <c r="P16" s="652"/>
      <c r="Q16" s="653"/>
      <c r="R16" s="809"/>
      <c r="S16" s="809"/>
      <c r="T16" s="809"/>
      <c r="U16" s="1184"/>
      <c r="V16" s="1184"/>
      <c r="W16" s="1185"/>
    </row>
    <row r="17" s="10" customFormat="1" ht="16.5" spans="1:24">
      <c r="A17" s="541" t="s">
        <v>1913</v>
      </c>
      <c r="B17" s="664" t="s">
        <v>1248</v>
      </c>
      <c r="C17" s="557">
        <v>173</v>
      </c>
      <c r="D17" s="543" t="s">
        <v>299</v>
      </c>
      <c r="E17" s="1161" t="s">
        <v>2752</v>
      </c>
      <c r="F17" s="762">
        <v>31850</v>
      </c>
      <c r="G17" s="567">
        <f>F17*J17</f>
        <v>219936.99</v>
      </c>
      <c r="H17" s="577">
        <v>219936.99</v>
      </c>
      <c r="I17" s="577"/>
      <c r="J17" s="614">
        <v>6.9054</v>
      </c>
      <c r="K17" s="707">
        <v>44984</v>
      </c>
      <c r="L17" s="598">
        <v>45077</v>
      </c>
      <c r="M17" s="625">
        <v>45083</v>
      </c>
      <c r="N17" s="633" t="s">
        <v>1509</v>
      </c>
      <c r="O17" s="597" t="s">
        <v>348</v>
      </c>
      <c r="P17" s="751">
        <v>91</v>
      </c>
      <c r="Q17" s="752">
        <v>350</v>
      </c>
      <c r="R17" s="750"/>
      <c r="S17" s="1175"/>
      <c r="T17" s="1176"/>
      <c r="U17" s="1186"/>
      <c r="V17" s="1187"/>
      <c r="W17" s="1181"/>
      <c r="X17" s="1022"/>
    </row>
    <row r="18" s="10" customFormat="1" ht="16.5" spans="1:24">
      <c r="A18" s="541"/>
      <c r="B18" s="664"/>
      <c r="C18" s="557"/>
      <c r="D18" s="545"/>
      <c r="E18" s="1161" t="s">
        <v>2753</v>
      </c>
      <c r="F18" s="762">
        <v>31850</v>
      </c>
      <c r="G18" s="567">
        <f>F18*J18</f>
        <v>219936.99</v>
      </c>
      <c r="H18" s="577">
        <v>219936.99</v>
      </c>
      <c r="I18" s="577"/>
      <c r="J18" s="614">
        <v>6.9054</v>
      </c>
      <c r="K18" s="707">
        <v>44985</v>
      </c>
      <c r="L18" s="598">
        <v>45077</v>
      </c>
      <c r="M18" s="625">
        <v>45083</v>
      </c>
      <c r="N18" s="633" t="s">
        <v>1509</v>
      </c>
      <c r="O18" s="597" t="s">
        <v>348</v>
      </c>
      <c r="P18" s="751">
        <v>91</v>
      </c>
      <c r="Q18" s="752">
        <v>350</v>
      </c>
      <c r="R18" s="750"/>
      <c r="S18" s="1175"/>
      <c r="T18" s="1176"/>
      <c r="U18" s="1186"/>
      <c r="V18" s="1187"/>
      <c r="W18" s="1181"/>
      <c r="X18" s="1022"/>
    </row>
    <row r="19" s="10" customFormat="1" ht="16.5" spans="1:24">
      <c r="A19" s="541"/>
      <c r="B19" s="664"/>
      <c r="C19" s="557"/>
      <c r="D19" s="545"/>
      <c r="E19" s="1161" t="s">
        <v>2754</v>
      </c>
      <c r="F19" s="762">
        <v>31850</v>
      </c>
      <c r="G19" s="567">
        <f>F19*J19</f>
        <v>219936.99</v>
      </c>
      <c r="H19" s="577">
        <v>219936.99</v>
      </c>
      <c r="I19" s="577"/>
      <c r="J19" s="614">
        <v>6.9054</v>
      </c>
      <c r="K19" s="707">
        <v>44985</v>
      </c>
      <c r="L19" s="598">
        <v>45077</v>
      </c>
      <c r="M19" s="625">
        <v>45083</v>
      </c>
      <c r="N19" s="633" t="s">
        <v>1509</v>
      </c>
      <c r="O19" s="597" t="s">
        <v>348</v>
      </c>
      <c r="P19" s="751">
        <v>91</v>
      </c>
      <c r="Q19" s="752">
        <v>350</v>
      </c>
      <c r="R19" s="750"/>
      <c r="S19" s="1175"/>
      <c r="T19" s="1176"/>
      <c r="U19" s="1186"/>
      <c r="V19" s="1187"/>
      <c r="W19" s="1181"/>
      <c r="X19" s="1022"/>
    </row>
    <row r="20" s="10" customFormat="1" ht="16.5" spans="1:24">
      <c r="A20" s="541"/>
      <c r="B20" s="664"/>
      <c r="C20" s="557"/>
      <c r="D20" s="545"/>
      <c r="E20" s="1161" t="s">
        <v>2755</v>
      </c>
      <c r="F20" s="762">
        <v>41250</v>
      </c>
      <c r="G20" s="596">
        <f>F20*J20</f>
        <v>284847.75</v>
      </c>
      <c r="H20" s="577">
        <v>284847.75</v>
      </c>
      <c r="I20" s="577">
        <v>284847.75</v>
      </c>
      <c r="J20" s="614">
        <v>6.9054</v>
      </c>
      <c r="K20" s="707">
        <v>44995</v>
      </c>
      <c r="L20" s="644">
        <v>45059</v>
      </c>
      <c r="M20" s="644">
        <v>45063</v>
      </c>
      <c r="N20" s="625" t="s">
        <v>2756</v>
      </c>
      <c r="O20" s="250" t="s">
        <v>1622</v>
      </c>
      <c r="P20" s="751">
        <v>55</v>
      </c>
      <c r="Q20" s="752">
        <v>750</v>
      </c>
      <c r="R20" s="750"/>
      <c r="S20" s="1175"/>
      <c r="T20" s="1176"/>
      <c r="U20" s="1186"/>
      <c r="V20" s="1187"/>
      <c r="W20" s="1181"/>
      <c r="X20" s="1022"/>
    </row>
    <row r="21" s="10" customFormat="1" ht="16.5" spans="1:24">
      <c r="A21" s="541"/>
      <c r="B21" s="664"/>
      <c r="C21" s="557"/>
      <c r="D21" s="545"/>
      <c r="E21" s="764" t="s">
        <v>2655</v>
      </c>
      <c r="F21" s="762">
        <v>32032</v>
      </c>
      <c r="G21" s="567"/>
      <c r="H21" s="577"/>
      <c r="I21" s="577">
        <v>220396.176</v>
      </c>
      <c r="J21" s="614">
        <v>6.8805</v>
      </c>
      <c r="K21" s="707"/>
      <c r="L21" s="610"/>
      <c r="M21" s="633"/>
      <c r="N21" s="250" t="s">
        <v>2757</v>
      </c>
      <c r="O21" s="250"/>
      <c r="P21" s="751"/>
      <c r="Q21" s="752"/>
      <c r="R21" s="750"/>
      <c r="S21" s="1175"/>
      <c r="T21" s="1176"/>
      <c r="U21" s="1186"/>
      <c r="V21" s="1187"/>
      <c r="W21" s="1181"/>
      <c r="X21" s="1022"/>
    </row>
    <row r="22" s="10" customFormat="1" ht="16.5" spans="1:24">
      <c r="A22" s="541"/>
      <c r="B22" s="664"/>
      <c r="C22" s="557"/>
      <c r="D22" s="545"/>
      <c r="E22" s="764" t="s">
        <v>2657</v>
      </c>
      <c r="F22" s="762">
        <v>32032</v>
      </c>
      <c r="G22" s="567"/>
      <c r="H22" s="577"/>
      <c r="I22" s="577">
        <v>220396.176</v>
      </c>
      <c r="J22" s="614">
        <v>6.8805</v>
      </c>
      <c r="K22" s="707"/>
      <c r="L22" s="610"/>
      <c r="M22" s="633"/>
      <c r="N22" s="250" t="s">
        <v>2757</v>
      </c>
      <c r="O22" s="250"/>
      <c r="P22" s="751"/>
      <c r="Q22" s="752"/>
      <c r="R22" s="750"/>
      <c r="S22" s="1175"/>
      <c r="T22" s="1176"/>
      <c r="U22" s="1186"/>
      <c r="V22" s="1187"/>
      <c r="W22" s="1181"/>
      <c r="X22" s="1022"/>
    </row>
    <row r="23" s="10" customFormat="1" ht="16.5" spans="1:24">
      <c r="A23" s="541"/>
      <c r="B23" s="664"/>
      <c r="C23" s="557"/>
      <c r="D23" s="547"/>
      <c r="E23" s="764" t="s">
        <v>2658</v>
      </c>
      <c r="F23" s="762">
        <v>32032</v>
      </c>
      <c r="G23" s="567"/>
      <c r="H23" s="577"/>
      <c r="I23" s="577">
        <v>220396.176</v>
      </c>
      <c r="J23" s="614">
        <v>6.8805</v>
      </c>
      <c r="K23" s="707"/>
      <c r="L23" s="610"/>
      <c r="M23" s="633"/>
      <c r="N23" s="250" t="s">
        <v>2757</v>
      </c>
      <c r="O23" s="250"/>
      <c r="P23" s="751"/>
      <c r="Q23" s="752"/>
      <c r="R23" s="750"/>
      <c r="S23" s="1175"/>
      <c r="T23" s="1176"/>
      <c r="U23" s="1186"/>
      <c r="V23" s="1187"/>
      <c r="W23" s="1181"/>
      <c r="X23" s="1022"/>
    </row>
    <row r="24" s="10" customFormat="1" ht="16.5" spans="1:24">
      <c r="A24" s="541"/>
      <c r="B24" s="664"/>
      <c r="C24" s="557"/>
      <c r="D24" s="543" t="s">
        <v>1771</v>
      </c>
      <c r="E24" s="1161" t="s">
        <v>2758</v>
      </c>
      <c r="F24" s="762">
        <v>824</v>
      </c>
      <c r="G24" s="567">
        <f t="shared" ref="G24:G29" si="1">F24*J24</f>
        <v>5690.0496</v>
      </c>
      <c r="H24" s="600">
        <v>5690.0496</v>
      </c>
      <c r="I24" s="600">
        <f>H24</f>
        <v>5690.0496</v>
      </c>
      <c r="J24" s="614">
        <v>6.9054</v>
      </c>
      <c r="K24" s="598" t="s">
        <v>1218</v>
      </c>
      <c r="L24" s="644">
        <v>45055</v>
      </c>
      <c r="M24" s="625">
        <v>45071</v>
      </c>
      <c r="N24" s="625" t="s">
        <v>2759</v>
      </c>
      <c r="O24" s="250"/>
      <c r="P24" s="572" t="s">
        <v>2161</v>
      </c>
      <c r="Q24" s="752"/>
      <c r="R24" s="750"/>
      <c r="S24" s="1175"/>
      <c r="T24" s="1176"/>
      <c r="U24" s="1186"/>
      <c r="V24" s="1187"/>
      <c r="W24" s="1181"/>
      <c r="X24" s="1022"/>
    </row>
    <row r="25" s="10" customFormat="1" ht="16.5" spans="1:24">
      <c r="A25" s="541"/>
      <c r="B25" s="664"/>
      <c r="C25" s="557"/>
      <c r="D25" s="547"/>
      <c r="E25" s="1161" t="s">
        <v>2760</v>
      </c>
      <c r="F25" s="762">
        <v>366</v>
      </c>
      <c r="G25" s="567">
        <f t="shared" si="1"/>
        <v>2527.3764</v>
      </c>
      <c r="H25" s="600">
        <v>2527.3764</v>
      </c>
      <c r="I25" s="600">
        <f>H25</f>
        <v>2527.3764</v>
      </c>
      <c r="J25" s="614">
        <v>6.9054</v>
      </c>
      <c r="K25" s="598" t="s">
        <v>1218</v>
      </c>
      <c r="L25" s="644">
        <v>45050</v>
      </c>
      <c r="M25" s="708" t="s">
        <v>555</v>
      </c>
      <c r="N25" s="625" t="s">
        <v>2761</v>
      </c>
      <c r="O25" s="250"/>
      <c r="P25" s="572" t="s">
        <v>2161</v>
      </c>
      <c r="Q25" s="752"/>
      <c r="R25" s="750"/>
      <c r="S25" s="1175"/>
      <c r="T25" s="1176"/>
      <c r="U25" s="1186"/>
      <c r="V25" s="1187"/>
      <c r="W25" s="1181"/>
      <c r="X25" s="1022"/>
    </row>
    <row r="26" s="10" customFormat="1" ht="16.5" spans="1:24">
      <c r="A26" s="541"/>
      <c r="B26" s="664"/>
      <c r="C26" s="557"/>
      <c r="D26" s="547"/>
      <c r="E26" s="1161" t="s">
        <v>2762</v>
      </c>
      <c r="F26" s="762">
        <v>1614</v>
      </c>
      <c r="G26" s="567">
        <f t="shared" si="1"/>
        <v>11145.3156</v>
      </c>
      <c r="H26" s="600">
        <v>11145.3156</v>
      </c>
      <c r="I26" s="600">
        <f>H26</f>
        <v>11145.3156</v>
      </c>
      <c r="J26" s="614">
        <v>6.9054</v>
      </c>
      <c r="K26" s="598" t="s">
        <v>1218</v>
      </c>
      <c r="L26" s="644">
        <v>45057</v>
      </c>
      <c r="M26" s="708" t="s">
        <v>555</v>
      </c>
      <c r="N26" s="625" t="s">
        <v>2761</v>
      </c>
      <c r="O26" s="250"/>
      <c r="P26" s="572" t="s">
        <v>2161</v>
      </c>
      <c r="Q26" s="752"/>
      <c r="R26" s="750"/>
      <c r="S26" s="1175"/>
      <c r="T26" s="1176"/>
      <c r="U26" s="1186"/>
      <c r="V26" s="1187"/>
      <c r="W26" s="1181"/>
      <c r="X26" s="1022"/>
    </row>
    <row r="27" s="10" customFormat="1" ht="16.5" spans="1:24">
      <c r="A27" s="541"/>
      <c r="B27" s="664"/>
      <c r="C27" s="557"/>
      <c r="D27" s="547"/>
      <c r="E27" s="1161" t="s">
        <v>2763</v>
      </c>
      <c r="F27" s="762">
        <v>913</v>
      </c>
      <c r="G27" s="567">
        <f t="shared" si="1"/>
        <v>6304.6302</v>
      </c>
      <c r="H27" s="600">
        <v>6304.6302</v>
      </c>
      <c r="I27" s="600">
        <f>H27</f>
        <v>6304.6302</v>
      </c>
      <c r="J27" s="614">
        <v>6.9054</v>
      </c>
      <c r="K27" s="598" t="s">
        <v>1218</v>
      </c>
      <c r="L27" s="644">
        <v>45057</v>
      </c>
      <c r="M27" s="708" t="s">
        <v>555</v>
      </c>
      <c r="N27" s="625" t="s">
        <v>2761</v>
      </c>
      <c r="O27" s="250"/>
      <c r="P27" s="572" t="s">
        <v>2161</v>
      </c>
      <c r="Q27" s="752"/>
      <c r="R27" s="750"/>
      <c r="S27" s="1175"/>
      <c r="T27" s="1176"/>
      <c r="U27" s="1186"/>
      <c r="V27" s="1187"/>
      <c r="W27" s="1181"/>
      <c r="X27" s="1022"/>
    </row>
    <row r="28" s="10" customFormat="1" ht="18.75" customHeight="1" spans="1:24">
      <c r="A28" s="541"/>
      <c r="B28" s="714" t="s">
        <v>2764</v>
      </c>
      <c r="C28" s="655">
        <v>72</v>
      </c>
      <c r="D28" s="543" t="s">
        <v>165</v>
      </c>
      <c r="E28" s="1163" t="s">
        <v>2765</v>
      </c>
      <c r="F28" s="725">
        <v>20064</v>
      </c>
      <c r="G28" s="567">
        <f t="shared" si="1"/>
        <v>138549.9456</v>
      </c>
      <c r="H28" s="577">
        <v>138549.9456</v>
      </c>
      <c r="I28" s="577"/>
      <c r="J28" s="614">
        <v>6.9054</v>
      </c>
      <c r="K28" s="598" t="s">
        <v>1218</v>
      </c>
      <c r="L28" s="645">
        <v>45076</v>
      </c>
      <c r="M28" s="625">
        <v>45081</v>
      </c>
      <c r="N28" s="1214" t="s">
        <v>2766</v>
      </c>
      <c r="O28" s="572"/>
      <c r="P28" s="572"/>
      <c r="Q28" s="752"/>
      <c r="R28" s="753"/>
      <c r="S28" s="753"/>
      <c r="T28" s="750"/>
      <c r="U28" s="631"/>
      <c r="V28" s="1188"/>
      <c r="W28" s="1189"/>
      <c r="X28" s="1022"/>
    </row>
    <row r="29" s="10" customFormat="1" ht="18.75" customHeight="1" spans="1:24">
      <c r="A29" s="541"/>
      <c r="B29" s="664"/>
      <c r="C29" s="655"/>
      <c r="D29" s="543" t="s">
        <v>324</v>
      </c>
      <c r="E29" s="1163" t="s">
        <v>2767</v>
      </c>
      <c r="F29" s="725">
        <v>33215</v>
      </c>
      <c r="G29" s="567">
        <f t="shared" si="1"/>
        <v>229362.861</v>
      </c>
      <c r="H29" s="577">
        <v>229362.861</v>
      </c>
      <c r="I29" s="577">
        <v>229362.861</v>
      </c>
      <c r="J29" s="614">
        <v>6.9054</v>
      </c>
      <c r="K29" s="708">
        <v>45067</v>
      </c>
      <c r="L29" s="645">
        <v>45068</v>
      </c>
      <c r="M29" s="625">
        <v>45071</v>
      </c>
      <c r="N29" s="250" t="s">
        <v>2768</v>
      </c>
      <c r="O29" s="572" t="s">
        <v>2769</v>
      </c>
      <c r="P29" s="572" t="s">
        <v>1671</v>
      </c>
      <c r="Q29" s="752"/>
      <c r="R29" s="753"/>
      <c r="S29" s="753"/>
      <c r="T29" s="750"/>
      <c r="U29" s="631"/>
      <c r="V29" s="1188"/>
      <c r="W29" s="1189"/>
      <c r="X29" s="1022"/>
    </row>
    <row r="30" s="10" customFormat="1" ht="18.75" customHeight="1" spans="1:24">
      <c r="A30" s="541"/>
      <c r="B30" s="664"/>
      <c r="C30" s="655"/>
      <c r="D30" s="543" t="s">
        <v>165</v>
      </c>
      <c r="E30" s="250" t="s">
        <v>2665</v>
      </c>
      <c r="F30" s="725">
        <v>35690</v>
      </c>
      <c r="G30" s="567"/>
      <c r="H30" s="577"/>
      <c r="I30" s="577">
        <v>245565.045</v>
      </c>
      <c r="J30" s="614">
        <v>6.8805</v>
      </c>
      <c r="K30" s="598" t="s">
        <v>1218</v>
      </c>
      <c r="L30" s="645">
        <v>45043</v>
      </c>
      <c r="M30" s="707">
        <v>45048</v>
      </c>
      <c r="N30" s="250" t="s">
        <v>2757</v>
      </c>
      <c r="O30" s="572"/>
      <c r="P30" s="572" t="s">
        <v>1671</v>
      </c>
      <c r="Q30" s="752"/>
      <c r="R30" s="753"/>
      <c r="S30" s="753"/>
      <c r="T30" s="750"/>
      <c r="U30" s="631"/>
      <c r="V30" s="1188"/>
      <c r="W30" s="1189"/>
      <c r="X30" s="1022"/>
    </row>
    <row r="31" s="10" customFormat="1" ht="18.75" customHeight="1" spans="1:24">
      <c r="A31" s="541"/>
      <c r="B31" s="664"/>
      <c r="C31" s="655"/>
      <c r="D31" s="543" t="s">
        <v>324</v>
      </c>
      <c r="E31" s="250" t="s">
        <v>2668</v>
      </c>
      <c r="F31" s="725">
        <v>11556</v>
      </c>
      <c r="G31" s="567"/>
      <c r="H31" s="577"/>
      <c r="I31" s="577">
        <v>79511.058</v>
      </c>
      <c r="J31" s="614">
        <v>6.8805</v>
      </c>
      <c r="K31" s="708">
        <v>45036</v>
      </c>
      <c r="L31" s="645">
        <v>45040</v>
      </c>
      <c r="M31" s="625">
        <v>45047</v>
      </c>
      <c r="N31" s="250" t="s">
        <v>2757</v>
      </c>
      <c r="O31" s="572" t="s">
        <v>399</v>
      </c>
      <c r="P31" s="572" t="s">
        <v>1656</v>
      </c>
      <c r="Q31" s="752">
        <v>321</v>
      </c>
      <c r="R31" s="753"/>
      <c r="S31" s="753"/>
      <c r="T31" s="750"/>
      <c r="U31" s="631"/>
      <c r="V31" s="1188"/>
      <c r="W31" s="1189"/>
      <c r="X31" s="1022"/>
    </row>
    <row r="32" s="10" customFormat="1" ht="18.75" customHeight="1" spans="1:24">
      <c r="A32" s="669"/>
      <c r="B32" s="664" t="s">
        <v>209</v>
      </c>
      <c r="C32" s="759">
        <v>143</v>
      </c>
      <c r="D32" s="568" t="s">
        <v>1408</v>
      </c>
      <c r="E32" s="1155" t="s">
        <v>2770</v>
      </c>
      <c r="F32" s="725">
        <v>38593</v>
      </c>
      <c r="G32" s="567">
        <f>F32*J32</f>
        <v>266500.1022</v>
      </c>
      <c r="H32" s="577">
        <v>266500.1022</v>
      </c>
      <c r="I32" s="577"/>
      <c r="J32" s="614">
        <v>6.9054</v>
      </c>
      <c r="K32" s="598" t="s">
        <v>1218</v>
      </c>
      <c r="L32" s="644"/>
      <c r="M32" s="625"/>
      <c r="N32" s="1214" t="s">
        <v>2766</v>
      </c>
      <c r="O32" s="572"/>
      <c r="P32" s="572"/>
      <c r="Q32" s="752"/>
      <c r="R32" s="753"/>
      <c r="S32" s="753"/>
      <c r="T32" s="750"/>
      <c r="U32" s="631"/>
      <c r="V32" s="1188"/>
      <c r="W32" s="1189"/>
      <c r="X32" s="1022"/>
    </row>
    <row r="33" s="10" customFormat="1" ht="18.75" customHeight="1" spans="1:23">
      <c r="A33" s="669"/>
      <c r="B33" s="664"/>
      <c r="C33" s="557"/>
      <c r="D33" s="568" t="s">
        <v>1408</v>
      </c>
      <c r="E33" s="1155" t="s">
        <v>2771</v>
      </c>
      <c r="F33" s="969">
        <v>17800.56</v>
      </c>
      <c r="G33" s="567">
        <f>F33*J33</f>
        <v>122919.987024</v>
      </c>
      <c r="H33" s="567">
        <v>122919.987024</v>
      </c>
      <c r="I33" s="567">
        <v>122916.12</v>
      </c>
      <c r="J33" s="614">
        <v>6.9054</v>
      </c>
      <c r="K33" s="598" t="s">
        <v>1218</v>
      </c>
      <c r="L33" s="644">
        <v>45068</v>
      </c>
      <c r="M33" s="708"/>
      <c r="N33" s="1214" t="s">
        <v>2772</v>
      </c>
      <c r="O33" s="561"/>
      <c r="P33" s="751"/>
      <c r="Q33" s="752"/>
      <c r="R33" s="756"/>
      <c r="S33" s="1203"/>
      <c r="T33" s="1204"/>
      <c r="U33" s="715"/>
      <c r="V33" s="1211"/>
      <c r="W33" s="1182"/>
    </row>
    <row r="34" s="10" customFormat="1" ht="18.75" customHeight="1" spans="1:23">
      <c r="A34" s="669"/>
      <c r="B34" s="664"/>
      <c r="C34" s="557"/>
      <c r="D34" s="568" t="s">
        <v>243</v>
      </c>
      <c r="E34" s="1155" t="s">
        <v>2773</v>
      </c>
      <c r="F34" s="969">
       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" t="s">
        <v>1218</v>
      </c>
      <c r="L34" s="644">
        <v>45068</v>
      </c>
      <c r="M34" s="625" t="s">
        <v>555</v>
      </c>
      <c r="N34" s="625" t="s">
        <v>2761</v>
      </c>
      <c r="O34" s="250"/>
      <c r="P34" s="751"/>
      <c r="Q34" s="755"/>
      <c r="R34" s="756"/>
      <c r="S34" s="1203"/>
      <c r="T34" s="1204"/>
      <c r="U34" s="715"/>
      <c r="V34" s="1211"/>
      <c r="W34" s="1182"/>
    </row>
    <row r="35" s="10" customFormat="1" ht="18.75" customHeight="1" spans="1:23">
      <c r="A35" s="669"/>
      <c r="B35" s="664"/>
      <c r="C35" s="557"/>
      <c r="D35" s="568" t="s">
        <v>247</v>
      </c>
      <c r="E35" s="1155" t="s">
        <v>2774</v>
      </c>
      <c r="F35" s="969">
        <v>35590</v>
      </c>
      <c r="G35" s="567">
        <f>F35*J35</f>
        <v>245763.186</v>
      </c>
      <c r="H35" s="577">
        <v>245763.186</v>
      </c>
      <c r="I35" s="735"/>
      <c r="J35" s="614">
        <v>6.9054</v>
      </c>
      <c r="K35" s="598" t="s">
        <v>1218</v>
      </c>
      <c r="L35" s="598">
        <v>45077</v>
      </c>
      <c r="M35" s="625">
        <v>45080</v>
      </c>
      <c r="N35" s="1214" t="s">
        <v>2766</v>
      </c>
      <c r="O35" s="250"/>
      <c r="P35" s="751"/>
      <c r="Q35" s="755"/>
      <c r="R35" s="756"/>
      <c r="S35" s="1203"/>
      <c r="T35" s="1204"/>
      <c r="U35" s="715"/>
      <c r="V35" s="1211"/>
      <c r="W35" s="1182"/>
    </row>
    <row r="36" s="10" customFormat="1" ht="16.5" spans="1:23">
      <c r="A36" s="827"/>
      <c r="B36" s="664"/>
      <c r="C36" s="557"/>
      <c r="D36" s="561" t="s">
        <v>175</v>
      </c>
      <c r="E36" s="1155" t="s">
        <v>2775</v>
      </c>
      <c r="F36" s="969">
        <v>17190</v>
      </c>
      <c r="G36" s="567">
        <f>F36*J36</f>
        <v>118703.826</v>
      </c>
      <c r="H36" s="577">
        <v>118703.826</v>
      </c>
      <c r="I36" s="735"/>
      <c r="J36" s="614">
        <v>6.9054</v>
      </c>
      <c r="K36" s="598" t="s">
        <v>1218</v>
      </c>
      <c r="L36" s="598">
        <v>45075</v>
      </c>
      <c r="M36" s="645"/>
      <c r="N36" s="1214" t="s">
        <v>2766</v>
      </c>
      <c r="O36" s="744"/>
      <c r="P36" s="623"/>
      <c r="Q36" s="744"/>
      <c r="R36" s="754"/>
      <c r="S36" s="754"/>
      <c r="T36" s="992"/>
      <c r="U36" s="608"/>
      <c r="V36" s="1209"/>
      <c r="W36" s="1210"/>
    </row>
    <row r="37" s="10" customFormat="1" ht="16.5" spans="1:23">
      <c r="A37" s="827"/>
      <c r="B37" s="664"/>
      <c r="C37" s="557"/>
      <c r="D37" s="568" t="s">
        <v>256</v>
      </c>
      <c r="E37" s="1155" t="s">
        <v>2776</v>
      </c>
      <c r="F37" s="969">
        <v>25417</v>
      </c>
      <c r="G37" s="567">
        <f>F37*J37</f>
        <v>175514.5518</v>
      </c>
      <c r="H37" s="577">
        <v>175514.5518</v>
      </c>
      <c r="I37" s="735"/>
      <c r="J37" s="614">
        <v>6.9054</v>
      </c>
      <c r="K37" s="598" t="s">
        <v>1218</v>
      </c>
      <c r="L37" s="598">
        <v>45077</v>
      </c>
      <c r="M37" s="645">
        <v>45084</v>
      </c>
      <c r="N37" s="1214" t="s">
        <v>2766</v>
      </c>
      <c r="O37" s="744"/>
      <c r="P37" s="623"/>
      <c r="Q37" s="744"/>
      <c r="R37" s="754"/>
      <c r="S37" s="754"/>
      <c r="T37" s="992"/>
      <c r="U37" s="608"/>
      <c r="V37" s="1209"/>
      <c r="W37" s="1210"/>
    </row>
    <row r="38" s="10" customFormat="1" ht="19.5" customHeight="1" spans="1:23">
      <c r="A38" s="669"/>
      <c r="B38" s="664"/>
      <c r="C38" s="557"/>
      <c r="D38" s="568"/>
      <c r="E38" s="1155" t="s">
        <v>2777</v>
      </c>
      <c r="F38" s="969">
        <v>28630</v>
      </c>
      <c r="G38" s="567">
        <f>F38*J38</f>
        <v>197701.602</v>
      </c>
      <c r="H38" s="577">
        <v>197701.602</v>
      </c>
      <c r="I38" s="577">
        <v>197701.602</v>
      </c>
      <c r="J38" s="614">
        <v>6.9054</v>
      </c>
      <c r="K38" s="598" t="s">
        <v>1218</v>
      </c>
      <c r="L38" s="644">
        <v>45070</v>
      </c>
      <c r="M38" s="707">
        <v>45072</v>
      </c>
      <c r="N38" s="1214" t="s">
        <v>2778</v>
      </c>
      <c r="O38" s="250"/>
      <c r="P38" s="751"/>
      <c r="Q38" s="755"/>
      <c r="R38" s="756"/>
      <c r="S38" s="1203"/>
      <c r="T38" s="1204"/>
      <c r="U38" s="715"/>
      <c r="V38" s="1211"/>
      <c r="W38" s="1182"/>
    </row>
    <row r="39" s="10" customFormat="1" ht="15.75" customHeight="1" spans="1:23">
      <c r="A39" s="827"/>
      <c r="B39" s="664"/>
      <c r="C39" s="557"/>
      <c r="D39" s="561" t="s">
        <v>166</v>
      </c>
      <c r="E39" s="250" t="s">
        <v>2680</v>
      </c>
      <c r="F39" s="722">
        <v>4055</v>
      </c>
      <c r="G39" s="567"/>
      <c r="H39" s="577"/>
      <c r="I39" s="567">
        <v>27900.4275</v>
      </c>
      <c r="J39" s="614">
        <v>6.8805</v>
      </c>
      <c r="K39" s="598" t="s">
        <v>1218</v>
      </c>
      <c r="L39" s="598">
        <v>45043</v>
      </c>
      <c r="M39" s="645">
        <v>45050</v>
      </c>
      <c r="N39" s="250" t="s">
        <v>2757</v>
      </c>
      <c r="O39" s="744"/>
      <c r="P39" s="623"/>
      <c r="Q39" s="744"/>
      <c r="R39" s="754"/>
      <c r="S39" s="754"/>
      <c r="T39" s="992"/>
      <c r="U39" s="608"/>
      <c r="V39" s="1209"/>
      <c r="W39" s="1210"/>
    </row>
    <row r="40" s="10" customFormat="1" ht="16.5" spans="1:23">
      <c r="A40" s="827"/>
      <c r="B40" s="664"/>
      <c r="C40" s="557"/>
      <c r="D40" s="561"/>
      <c r="E40" s="250" t="s">
        <v>2682</v>
      </c>
      <c r="F40" s="722">
        <v>8000</v>
      </c>
      <c r="G40" s="567"/>
      <c r="H40" s="577"/>
      <c r="I40" s="567">
        <v>55044</v>
      </c>
      <c r="J40" s="614">
        <v>6.8805</v>
      </c>
      <c r="K40" s="598" t="s">
        <v>1218</v>
      </c>
      <c r="L40" s="598">
        <v>45044</v>
      </c>
      <c r="M40" s="645">
        <v>45047</v>
      </c>
      <c r="N40" s="250" t="s">
        <v>2757</v>
      </c>
      <c r="O40" s="744"/>
      <c r="P40" s="623"/>
      <c r="Q40" s="744"/>
      <c r="R40" s="754"/>
      <c r="S40" s="754"/>
      <c r="T40" s="992"/>
      <c r="U40" s="608"/>
      <c r="V40" s="1209"/>
      <c r="W40" s="1210"/>
    </row>
    <row r="41" s="10" customFormat="1" ht="16.5" spans="1:23">
      <c r="A41" s="827"/>
      <c r="B41" s="664"/>
      <c r="C41" s="557"/>
      <c r="D41" s="561" t="s">
        <v>1418</v>
      </c>
      <c r="E41" s="250" t="s">
        <v>2684</v>
      </c>
      <c r="F41" s="722">
        <v>6841</v>
      </c>
      <c r="G41" s="567"/>
      <c r="H41" s="577"/>
      <c r="I41" s="681">
        <v>46514</v>
      </c>
      <c r="J41" s="614">
        <v>6.8805</v>
      </c>
      <c r="K41" s="598" t="s">
        <v>1218</v>
      </c>
      <c r="L41" s="598">
        <v>45043</v>
      </c>
      <c r="M41" s="644">
        <v>45050</v>
      </c>
      <c r="N41" s="250" t="s">
        <v>2685</v>
      </c>
      <c r="O41" s="744"/>
      <c r="P41" s="623"/>
      <c r="Q41" s="744"/>
      <c r="R41" s="754"/>
      <c r="S41" s="754"/>
      <c r="T41" s="992"/>
      <c r="U41" s="608"/>
      <c r="V41" s="1209"/>
      <c r="W41" s="1210"/>
    </row>
    <row r="42" s="10" customFormat="1" ht="16.5" spans="1:23">
      <c r="A42" s="827"/>
      <c r="B42" s="664"/>
      <c r="C42" s="557"/>
      <c r="D42" s="568" t="s">
        <v>1405</v>
      </c>
      <c r="E42" s="250" t="s">
        <v>2675</v>
      </c>
      <c r="F42" s="969">
        <v>17000</v>
      </c>
      <c r="G42" s="567"/>
      <c r="H42" s="735"/>
      <c r="I42" s="735">
        <v>116969</v>
      </c>
      <c r="J42" s="614">
        <v>6.8805</v>
      </c>
      <c r="K42" s="598" t="s">
        <v>1218</v>
      </c>
      <c r="L42" s="625">
        <v>45044</v>
      </c>
      <c r="M42" s="625">
        <v>45050</v>
      </c>
      <c r="N42" s="250" t="s">
        <v>2676</v>
      </c>
      <c r="O42" s="744"/>
      <c r="P42" s="623"/>
      <c r="Q42" s="744"/>
      <c r="R42" s="754"/>
      <c r="S42" s="754"/>
      <c r="T42" s="992"/>
      <c r="U42" s="608"/>
      <c r="V42" s="1209"/>
      <c r="W42" s="1210"/>
    </row>
    <row r="43" s="10" customFormat="1" ht="22.2" customHeight="1" spans="1:24">
      <c r="A43" s="541"/>
      <c r="B43" s="556" t="s">
        <v>1540</v>
      </c>
      <c r="C43" s="655">
        <v>61</v>
      </c>
      <c r="D43" s="546" t="s">
        <v>2147</v>
      </c>
      <c r="E43" s="1197" t="s">
        <v>2779</v>
      </c>
      <c r="F43" s="725">
        <v>16796</v>
      </c>
      <c r="G43" s="567">
        <f t="shared" ref="G43:G49" si="2">F43*J43</f>
        <v>115983.0984</v>
      </c>
      <c r="H43" s="577">
        <v>115983.0984</v>
      </c>
      <c r="I43" s="577"/>
      <c r="J43" s="614">
        <v>6.9054</v>
      </c>
      <c r="K43" s="598" t="s">
        <v>1218</v>
      </c>
      <c r="L43" s="707">
        <v>45075</v>
      </c>
      <c r="M43" s="707">
        <v>45081</v>
      </c>
      <c r="N43" s="250" t="s">
        <v>2780</v>
      </c>
      <c r="O43" s="572"/>
      <c r="P43" s="572" t="s">
        <v>2161</v>
      </c>
      <c r="Q43" s="656"/>
      <c r="R43" s="733"/>
      <c r="S43" s="753"/>
      <c r="T43" s="753"/>
      <c r="U43" s="750"/>
      <c r="V43" s="750"/>
      <c r="W43" s="1181"/>
      <c r="X43" s="1022"/>
    </row>
    <row r="44" s="10" customFormat="1" ht="25.95" customHeight="1" spans="1:24">
      <c r="A44" s="541"/>
      <c r="B44" s="556"/>
      <c r="C44" s="655"/>
      <c r="D44" s="715" t="s">
        <v>2781</v>
      </c>
      <c r="E44" s="1163" t="s">
        <v>2782</v>
      </c>
      <c r="F44" s="725">
        <v>4521</v>
      </c>
      <c r="G44" s="567">
        <f t="shared" si="2"/>
        <v>31219.3134</v>
      </c>
      <c r="H44" s="577">
        <v>31219.3134</v>
      </c>
      <c r="I44" s="735" t="s">
        <v>1125</v>
      </c>
      <c r="J44" s="614">
        <v>6.9054</v>
      </c>
      <c r="K44" s="707" t="s">
        <v>1218</v>
      </c>
      <c r="L44" s="707">
        <v>45057</v>
      </c>
      <c r="M44" s="708" t="s">
        <v>555</v>
      </c>
      <c r="N44" s="250" t="s">
        <v>2783</v>
      </c>
      <c r="O44" s="571" t="s">
        <v>2679</v>
      </c>
      <c r="P44" s="572"/>
      <c r="Q44" s="656"/>
      <c r="R44" s="733"/>
      <c r="S44" s="753"/>
      <c r="T44" s="753"/>
      <c r="U44" s="750"/>
      <c r="V44" s="750"/>
      <c r="W44" s="1181"/>
      <c r="X44" s="1022"/>
    </row>
    <row r="45" s="10" customFormat="1" ht="22.2" customHeight="1" spans="1:24">
      <c r="A45" s="541"/>
      <c r="B45" s="556"/>
      <c r="C45" s="655"/>
      <c r="D45" s="546" t="s">
        <v>2784</v>
      </c>
      <c r="E45" s="1197" t="s">
        <v>2785</v>
      </c>
      <c r="F45" s="725">
        <v>16516</v>
      </c>
      <c r="G45" s="567">
        <f t="shared" si="2"/>
        <v>114049.5864</v>
      </c>
      <c r="H45" s="577">
        <v>114049.5864</v>
      </c>
      <c r="I45" s="577">
        <v>114049.5864</v>
      </c>
      <c r="J45" s="614">
        <v>6.9054</v>
      </c>
      <c r="K45" s="598" t="s">
        <v>1218</v>
      </c>
      <c r="L45" s="707">
        <v>45057</v>
      </c>
      <c r="M45" s="707">
        <v>45072</v>
      </c>
      <c r="N45" s="250" t="s">
        <v>2786</v>
      </c>
      <c r="O45" s="572"/>
      <c r="P45" s="572" t="s">
        <v>2161</v>
      </c>
      <c r="Q45" s="656"/>
      <c r="R45" s="733"/>
      <c r="S45" s="753"/>
      <c r="T45" s="753"/>
      <c r="U45" s="750"/>
      <c r="V45" s="750"/>
      <c r="W45" s="1181"/>
      <c r="X45" s="1022"/>
    </row>
    <row r="46" s="10" customFormat="1" ht="22.2" customHeight="1" spans="1:24">
      <c r="A46" s="541"/>
      <c r="B46" s="556"/>
      <c r="C46" s="655"/>
      <c r="D46" s="546" t="s">
        <v>1925</v>
      </c>
      <c r="E46" s="1197" t="s">
        <v>2787</v>
      </c>
      <c r="F46" s="725">
        <v>2909.31</v>
      </c>
      <c r="G46" s="567">
        <f t="shared" si="2"/>
        <v>20089.949274</v>
      </c>
      <c r="H46" s="567">
        <v>20089.949274</v>
      </c>
      <c r="I46" s="577">
        <v>20090</v>
      </c>
      <c r="J46" s="614">
        <v>6.9054</v>
      </c>
      <c r="K46" s="598" t="s">
        <v>1218</v>
      </c>
      <c r="L46" s="707">
        <v>45054</v>
      </c>
      <c r="M46" s="708" t="s">
        <v>555</v>
      </c>
      <c r="N46" s="250" t="s">
        <v>2788</v>
      </c>
      <c r="O46" s="572"/>
      <c r="P46" s="572"/>
      <c r="Q46" s="656"/>
      <c r="R46" s="733"/>
      <c r="S46" s="753"/>
      <c r="T46" s="753"/>
      <c r="U46" s="750"/>
      <c r="V46" s="750"/>
      <c r="W46" s="1181"/>
      <c r="X46" s="1022"/>
    </row>
    <row r="47" s="10" customFormat="1" ht="22.2" customHeight="1" spans="1:24">
      <c r="A47" s="541"/>
      <c r="B47" s="670"/>
      <c r="C47" s="655"/>
      <c r="D47" s="546" t="s">
        <v>287</v>
      </c>
      <c r="E47" s="1197" t="s">
        <v>2789</v>
      </c>
      <c r="F47" s="725">
        <v>6932</v>
      </c>
      <c r="G47" s="567">
        <f t="shared" si="2"/>
        <v>47868.2328</v>
      </c>
      <c r="H47" s="577">
        <v>47868.2328</v>
      </c>
      <c r="I47" s="735">
        <v>47868</v>
      </c>
      <c r="J47" s="614">
        <v>6.9054</v>
      </c>
      <c r="K47" s="598" t="s">
        <v>1218</v>
      </c>
      <c r="L47" s="707">
        <v>45075</v>
      </c>
      <c r="M47" s="708" t="s">
        <v>555</v>
      </c>
      <c r="N47" s="250" t="s">
        <v>2790</v>
      </c>
      <c r="O47" s="572"/>
      <c r="P47" s="572" t="s">
        <v>2161</v>
      </c>
      <c r="Q47" s="656"/>
      <c r="R47" s="733"/>
      <c r="S47" s="753"/>
      <c r="T47" s="753"/>
      <c r="U47" s="750"/>
      <c r="V47" s="750"/>
      <c r="W47" s="1181"/>
      <c r="X47" s="1022"/>
    </row>
    <row r="48" s="10" customFormat="1" ht="22.2" customHeight="1" spans="1:24">
      <c r="A48" s="541"/>
      <c r="B48" s="664"/>
      <c r="C48" s="655"/>
      <c r="D48" s="546" t="s">
        <v>1169</v>
      </c>
      <c r="E48" s="1197" t="s">
        <v>2791</v>
      </c>
      <c r="F48" s="725">
        <v>45672</v>
      </c>
      <c r="G48" s="567">
        <f t="shared" si="2"/>
        <v>315383.4288</v>
      </c>
      <c r="H48" s="567">
        <v>315383.4288</v>
      </c>
      <c r="I48" s="567"/>
      <c r="J48" s="614">
        <v>6.9054</v>
      </c>
      <c r="K48" s="598" t="s">
        <v>1218</v>
      </c>
      <c r="L48" s="707">
        <v>45075</v>
      </c>
      <c r="M48" s="708" t="s">
        <v>2792</v>
      </c>
      <c r="N48" s="1214" t="s">
        <v>2793</v>
      </c>
      <c r="O48" s="572"/>
      <c r="P48" s="572"/>
      <c r="Q48" s="656"/>
      <c r="R48" s="733"/>
      <c r="S48" s="753"/>
      <c r="T48" s="753"/>
      <c r="U48" s="750"/>
      <c r="V48" s="750"/>
      <c r="W48" s="1181"/>
      <c r="X48" s="1022"/>
    </row>
    <row r="49" s="10" customFormat="1" ht="22.2" customHeight="1" spans="1:24">
      <c r="A49" s="541"/>
      <c r="B49" s="666"/>
      <c r="C49" s="655"/>
      <c r="D49" s="546" t="s">
        <v>2794</v>
      </c>
      <c r="E49" s="1197" t="s">
        <v>2795</v>
      </c>
      <c r="F49" s="725">
        <v>2898</v>
      </c>
      <c r="G49" s="567">
        <f t="shared" si="2"/>
        <v>20011.8492</v>
      </c>
      <c r="H49" s="577">
        <v>20011.8492</v>
      </c>
      <c r="I49" s="577">
        <v>20011.8492</v>
      </c>
      <c r="J49" s="614">
        <v>6.9054</v>
      </c>
      <c r="K49" s="598" t="s">
        <v>1218</v>
      </c>
      <c r="L49" s="707">
        <v>45069</v>
      </c>
      <c r="M49" s="707">
        <v>45074</v>
      </c>
      <c r="N49" s="564" t="s">
        <v>2796</v>
      </c>
      <c r="O49" s="572"/>
      <c r="P49" s="572" t="s">
        <v>2161</v>
      </c>
      <c r="Q49" s="656"/>
      <c r="R49" s="733"/>
      <c r="S49" s="753"/>
      <c r="T49" s="753"/>
      <c r="U49" s="750"/>
      <c r="V49" s="750"/>
      <c r="W49" s="1181"/>
      <c r="X49" s="1022"/>
    </row>
    <row r="50" s="10" customFormat="1" ht="22.2" customHeight="1" spans="1:24">
      <c r="A50" s="541"/>
      <c r="B50" s="666"/>
      <c r="C50" s="655"/>
      <c r="D50" s="546" t="s">
        <v>167</v>
      </c>
      <c r="E50" s="568" t="s">
        <v>2696</v>
      </c>
      <c r="F50" s="725">
        <v>12188</v>
      </c>
      <c r="G50" s="567"/>
      <c r="H50" s="577"/>
      <c r="I50" s="577">
        <v>83859.534</v>
      </c>
      <c r="J50" s="614">
        <v>6.8805</v>
      </c>
      <c r="K50" s="598" t="s">
        <v>1218</v>
      </c>
      <c r="L50" s="707">
        <v>45043</v>
      </c>
      <c r="M50" s="707">
        <v>45049</v>
      </c>
      <c r="N50" s="564" t="s">
        <v>2757</v>
      </c>
      <c r="O50" s="572"/>
      <c r="P50" s="572" t="s">
        <v>1656</v>
      </c>
      <c r="Q50" s="656"/>
      <c r="R50" s="733"/>
      <c r="S50" s="753"/>
      <c r="T50" s="753"/>
      <c r="U50" s="750"/>
      <c r="V50" s="750"/>
      <c r="W50" s="1181"/>
      <c r="X50" s="1022"/>
    </row>
    <row r="51" s="10" customFormat="1" ht="22.2" customHeight="1" spans="1:24">
      <c r="A51" s="541"/>
      <c r="B51" s="556"/>
      <c r="C51" s="655"/>
      <c r="D51" s="546" t="s">
        <v>1169</v>
      </c>
      <c r="E51" s="568" t="s">
        <v>2699</v>
      </c>
      <c r="F51" s="725">
        <v>59356</v>
      </c>
      <c r="G51" s="567"/>
      <c r="H51" s="567"/>
      <c r="I51" s="577">
        <v>405433.4625</v>
      </c>
      <c r="J51" s="614">
        <v>6.8805</v>
      </c>
      <c r="K51" s="598" t="s">
        <v>1218</v>
      </c>
      <c r="L51" s="707">
        <v>45043</v>
      </c>
      <c r="M51" s="707">
        <v>45047</v>
      </c>
      <c r="N51" s="564" t="s">
        <v>2757</v>
      </c>
      <c r="O51" s="572"/>
      <c r="P51" s="572" t="s">
        <v>2131</v>
      </c>
      <c r="Q51" s="656"/>
      <c r="R51" s="733"/>
      <c r="S51" s="753"/>
      <c r="T51" s="753"/>
      <c r="U51" s="750"/>
      <c r="V51" s="750"/>
      <c r="W51" s="1181"/>
      <c r="X51" s="1022"/>
    </row>
    <row r="52" s="10" customFormat="1" ht="16.5" spans="1:23">
      <c r="A52" s="541"/>
      <c r="B52" s="1190" t="s">
        <v>1124</v>
      </c>
      <c r="C52" s="1191">
        <f>SUM(C17:C51)</f>
        <v>449</v>
      </c>
      <c r="D52" s="1191"/>
      <c r="E52" s="1198"/>
      <c r="F52" s="1157" t="s">
        <v>1235</v>
      </c>
      <c r="G52" s="1158">
        <f>SUM(G17:G51)</f>
        <v>3192917.611698</v>
      </c>
      <c r="H52" s="1158">
        <f>SUM(H17:H51)</f>
        <v>3192917.611698</v>
      </c>
      <c r="I52" s="1158">
        <f>SUM(I17:I51)</f>
        <v>2847470.1954</v>
      </c>
      <c r="J52" s="1168"/>
      <c r="K52" s="610"/>
      <c r="L52" s="644"/>
      <c r="M52" s="644"/>
      <c r="N52" s="1013"/>
      <c r="O52" s="1200"/>
      <c r="P52" s="655"/>
      <c r="Q52" s="656"/>
      <c r="R52" s="754"/>
      <c r="S52" s="754"/>
      <c r="T52" s="992"/>
      <c r="U52" s="608"/>
      <c r="V52" s="1209"/>
      <c r="W52" s="1210"/>
    </row>
    <row r="53" s="10" customFormat="1" ht="16.5" spans="1:23">
      <c r="A53" s="672"/>
      <c r="B53" s="1192"/>
      <c r="C53" s="1150"/>
      <c r="D53" s="1150"/>
      <c r="E53" s="1198"/>
      <c r="F53" s="1157" t="s">
        <v>1236</v>
      </c>
      <c r="G53" s="1199">
        <f>G52/4490000</f>
        <v>0.711117508173274</v>
      </c>
      <c r="H53" s="1199">
        <f>H52/4490000</f>
        <v>0.711117508173274</v>
      </c>
      <c r="I53" s="1199">
        <f>I52/4490000</f>
        <v>0.634180444409799</v>
      </c>
      <c r="J53" s="747"/>
      <c r="K53" s="858"/>
      <c r="L53" s="1135"/>
      <c r="M53" s="1135"/>
      <c r="N53" s="1015"/>
      <c r="O53" s="727"/>
      <c r="P53" s="652"/>
      <c r="Q53" s="653"/>
      <c r="R53" s="653"/>
      <c r="S53" s="653"/>
      <c r="T53" s="653"/>
      <c r="U53" s="1184"/>
      <c r="V53" s="1184"/>
      <c r="W53" s="1185"/>
    </row>
    <row r="54" s="536" customFormat="1" ht="18.75" customHeight="1" spans="1:23">
      <c r="A54" s="564" t="s">
        <v>1984</v>
      </c>
      <c r="B54" s="671" t="s">
        <v>38</v>
      </c>
      <c r="C54" s="557">
        <v>117</v>
      </c>
      <c r="D54" s="250"/>
      <c r="E54" s="250"/>
      <c r="F54" s="591"/>
      <c r="G54" s="596"/>
      <c r="H54" s="567"/>
      <c r="I54" s="567"/>
      <c r="J54" s="614"/>
      <c r="K54" s="633"/>
      <c r="L54" s="644"/>
      <c r="M54" s="644"/>
      <c r="N54" s="572"/>
      <c r="O54" s="731"/>
      <c r="P54" s="655"/>
      <c r="Q54" s="664"/>
      <c r="R54" s="577"/>
      <c r="S54" s="577"/>
      <c r="T54" s="1171"/>
      <c r="U54" s="664"/>
      <c r="V54" s="664"/>
      <c r="W54" s="1182"/>
    </row>
    <row r="55" s="536" customFormat="1" ht="18.75" customHeight="1" spans="1:23">
      <c r="A55" s="564"/>
      <c r="B55" s="671"/>
      <c r="C55" s="557"/>
      <c r="D55" s="250" t="s">
        <v>150</v>
      </c>
      <c r="E55" s="1248" t="s">
        <v>2797</v>
      </c>
      <c r="F55" s="591"/>
      <c r="G55" s="567">
        <v>210000</v>
      </c>
      <c r="H55" s="567">
        <f t="shared" ref="H55:H58" si="3">G55</f>
        <v>210000</v>
      </c>
      <c r="I55" s="567"/>
      <c r="J55" s="614">
        <v>6.9054</v>
      </c>
      <c r="K55" s="633"/>
      <c r="L55" s="644">
        <v>45076</v>
      </c>
      <c r="M55" s="644">
        <v>45080</v>
      </c>
      <c r="N55" s="572" t="s">
        <v>2798</v>
      </c>
      <c r="O55" s="731"/>
      <c r="P55" s="655"/>
      <c r="Q55" s="664"/>
      <c r="R55" s="577"/>
      <c r="S55" s="577"/>
      <c r="T55" s="1171"/>
      <c r="U55" s="664"/>
      <c r="V55" s="664"/>
      <c r="W55" s="1182"/>
    </row>
    <row r="56" s="536" customFormat="1" ht="18.75" customHeight="1" spans="1:23">
      <c r="A56" s="721"/>
      <c r="B56" s="671"/>
      <c r="C56" s="557"/>
      <c r="D56" s="673" t="s">
        <v>143</v>
      </c>
      <c r="E56" s="1248" t="s">
        <v>2799</v>
      </c>
      <c r="F56" s="591">
        <v>104000</v>
      </c>
      <c r="G56" s="567">
        <f>F56*J56</f>
        <v>718161.6</v>
      </c>
      <c r="H56" s="567">
        <f t="shared" si="3"/>
        <v>718161.6</v>
      </c>
      <c r="I56" s="567"/>
      <c r="J56" s="614">
        <v>6.9054</v>
      </c>
      <c r="K56" s="633"/>
      <c r="L56" s="644">
        <v>45074</v>
      </c>
      <c r="M56" s="644">
        <v>45078</v>
      </c>
      <c r="N56" s="937" t="s">
        <v>2800</v>
      </c>
      <c r="O56" s="731"/>
      <c r="P56" s="655"/>
      <c r="Q56" s="664"/>
      <c r="R56" s="577"/>
      <c r="S56" s="577"/>
      <c r="T56" s="1171"/>
      <c r="U56" s="664"/>
      <c r="V56" s="664"/>
      <c r="W56" s="1182"/>
    </row>
    <row r="57" s="10" customFormat="1" ht="16.5" spans="1:23">
      <c r="A57" s="721"/>
      <c r="B57" s="1246"/>
      <c r="C57" s="968"/>
      <c r="D57" s="673" t="s">
        <v>143</v>
      </c>
      <c r="E57" s="1248" t="s">
        <v>2801</v>
      </c>
      <c r="F57" s="591">
        <v>83000</v>
      </c>
      <c r="G57" s="567">
        <f>F57*J57</f>
        <v>573148.2</v>
      </c>
      <c r="H57" s="567">
        <f t="shared" si="3"/>
        <v>573148.2</v>
      </c>
      <c r="I57" s="567">
        <f>H57</f>
        <v>573148.2</v>
      </c>
      <c r="J57" s="614">
        <v>6.9054</v>
      </c>
      <c r="K57" s="625"/>
      <c r="L57" s="625">
        <v>45072</v>
      </c>
      <c r="M57" s="645">
        <v>45074</v>
      </c>
      <c r="N57" s="937" t="s">
        <v>2800</v>
      </c>
      <c r="O57" s="642"/>
      <c r="P57" s="655"/>
      <c r="Q57" s="664"/>
      <c r="R57" s="577"/>
      <c r="S57" s="1205"/>
      <c r="T57" s="1171"/>
      <c r="U57" s="664"/>
      <c r="V57" s="664"/>
      <c r="W57" s="1182"/>
    </row>
    <row r="58" s="10" customFormat="1" ht="19" customHeight="1" spans="1:23">
      <c r="A58" s="721"/>
      <c r="B58" s="1247" t="s">
        <v>509</v>
      </c>
      <c r="C58" s="655">
        <v>124</v>
      </c>
      <c r="D58" s="250" t="s">
        <v>2099</v>
      </c>
      <c r="E58" s="1248" t="s">
        <v>2802</v>
      </c>
      <c r="F58" s="1002">
        <v>109814</v>
      </c>
      <c r="G58" s="567">
        <f>F58*J58</f>
        <v>758309.5956</v>
      </c>
      <c r="H58" s="596">
        <f t="shared" si="3"/>
        <v>758309.5956</v>
      </c>
      <c r="I58" s="603"/>
      <c r="J58" s="614">
        <v>6.9054</v>
      </c>
      <c r="K58" s="598"/>
      <c r="L58" s="598">
        <v>45077</v>
      </c>
      <c r="M58" s="625">
        <v>45083</v>
      </c>
      <c r="N58" s="574" t="s">
        <v>2803</v>
      </c>
      <c r="O58" s="642"/>
      <c r="P58" s="655"/>
      <c r="Q58" s="664"/>
      <c r="R58" s="577"/>
      <c r="S58" s="1205"/>
      <c r="T58" s="1171"/>
      <c r="U58" s="664"/>
      <c r="V58" s="664"/>
      <c r="W58" s="1212"/>
    </row>
    <row r="59" s="10" customFormat="1" ht="16.5" spans="1:23">
      <c r="A59" s="721"/>
      <c r="B59" s="1194"/>
      <c r="C59" s="655"/>
      <c r="D59" s="250" t="s">
        <v>1232</v>
      </c>
      <c r="E59" s="568" t="s">
        <v>2707</v>
      </c>
      <c r="F59" s="969">
        <v>36885</v>
      </c>
      <c r="G59" s="596"/>
      <c r="H59" s="567"/>
      <c r="I59" s="596">
        <v>256719.6</v>
      </c>
      <c r="J59" s="614">
        <v>6.8805</v>
      </c>
      <c r="K59" s="598"/>
      <c r="L59" s="645"/>
      <c r="M59" s="625">
        <v>45065</v>
      </c>
      <c r="N59" s="574" t="s">
        <v>2804</v>
      </c>
      <c r="O59" s="642"/>
      <c r="P59" s="655"/>
      <c r="Q59" s="664"/>
      <c r="R59" s="577"/>
      <c r="S59" s="1205"/>
      <c r="T59" s="1171"/>
      <c r="U59" s="664"/>
      <c r="V59" s="664"/>
      <c r="W59" s="1212"/>
    </row>
    <row r="60" s="10" customFormat="1" ht="16.5" spans="1:23">
      <c r="A60" s="721"/>
      <c r="B60" s="1194"/>
      <c r="C60" s="655"/>
      <c r="D60" s="250" t="s">
        <v>1232</v>
      </c>
      <c r="E60" s="568" t="s">
        <v>2710</v>
      </c>
      <c r="F60" s="1002">
        <v>19273.8</v>
      </c>
      <c r="G60" s="596"/>
      <c r="H60" s="567"/>
      <c r="I60" s="596">
        <v>132025.53</v>
      </c>
      <c r="J60" s="614">
        <v>6.8805</v>
      </c>
      <c r="K60" s="598"/>
      <c r="L60" s="645"/>
      <c r="M60" s="625">
        <v>45072</v>
      </c>
      <c r="N60" s="574" t="s">
        <v>2804</v>
      </c>
      <c r="O60" s="642"/>
      <c r="P60" s="655"/>
      <c r="Q60" s="664"/>
      <c r="R60" s="577"/>
      <c r="S60" s="1205"/>
      <c r="T60" s="1171"/>
      <c r="U60" s="664"/>
      <c r="V60" s="664"/>
      <c r="W60" s="1212"/>
    </row>
    <row r="61" s="10" customFormat="1" ht="16.5" spans="1:23">
      <c r="A61" s="721"/>
      <c r="B61" s="1194"/>
      <c r="C61" s="655"/>
      <c r="D61" s="851" t="s">
        <v>151</v>
      </c>
      <c r="E61" s="788" t="s">
        <v>2272</v>
      </c>
      <c r="F61" s="1249"/>
      <c r="G61" s="596"/>
      <c r="H61" s="567"/>
      <c r="I61" s="596">
        <v>234780</v>
      </c>
      <c r="J61" s="614">
        <v>6.8805</v>
      </c>
      <c r="K61" s="598"/>
      <c r="L61" s="645"/>
      <c r="M61" s="625" t="s">
        <v>2805</v>
      </c>
      <c r="N61" s="1214" t="s">
        <v>2806</v>
      </c>
      <c r="O61" s="642"/>
      <c r="P61" s="655"/>
      <c r="Q61" s="664"/>
      <c r="R61" s="577"/>
      <c r="S61" s="1205"/>
      <c r="T61" s="1171"/>
      <c r="U61" s="664"/>
      <c r="V61" s="664"/>
      <c r="W61" s="1212"/>
    </row>
    <row r="62" s="10" customFormat="1" ht="16.5" spans="1:23">
      <c r="A62" s="721"/>
      <c r="B62" s="1194"/>
      <c r="C62" s="655"/>
      <c r="D62" s="250" t="s">
        <v>284</v>
      </c>
      <c r="E62" s="250" t="s">
        <v>2716</v>
      </c>
      <c r="F62" s="969">
        <v>44136</v>
      </c>
      <c r="G62" s="596"/>
      <c r="H62" s="577" t="s">
        <v>160</v>
      </c>
      <c r="I62" s="567">
        <v>303677.748</v>
      </c>
      <c r="J62" s="614">
        <v>6.8805</v>
      </c>
      <c r="K62" s="598"/>
      <c r="L62" s="645"/>
      <c r="M62" s="955">
        <v>45062</v>
      </c>
      <c r="N62" s="971" t="s">
        <v>2717</v>
      </c>
      <c r="O62" s="642"/>
      <c r="P62" s="655"/>
      <c r="Q62" s="664"/>
      <c r="R62" s="577"/>
      <c r="S62" s="1205"/>
      <c r="T62" s="1171"/>
      <c r="U62" s="664"/>
      <c r="V62" s="664"/>
      <c r="W62" s="1212"/>
    </row>
    <row r="63" s="10" customFormat="1" ht="16.5" spans="1:23">
      <c r="A63" s="721"/>
      <c r="B63" s="1194"/>
      <c r="C63" s="655"/>
      <c r="D63" s="250" t="s">
        <v>284</v>
      </c>
      <c r="E63" s="250" t="s">
        <v>2718</v>
      </c>
      <c r="F63" s="969">
        <v>45126</v>
      </c>
      <c r="G63" s="596"/>
      <c r="H63" s="567"/>
      <c r="I63" s="596">
        <v>310489.443</v>
      </c>
      <c r="J63" s="614">
        <v>6.8805</v>
      </c>
      <c r="K63" s="598"/>
      <c r="L63" s="645"/>
      <c r="M63" s="625">
        <v>45063</v>
      </c>
      <c r="N63" s="579"/>
      <c r="O63" s="642"/>
      <c r="P63" s="655"/>
      <c r="Q63" s="664"/>
      <c r="R63" s="577"/>
      <c r="S63" s="1205"/>
      <c r="T63" s="1171"/>
      <c r="U63" s="664"/>
      <c r="V63" s="664"/>
      <c r="W63" s="1212"/>
    </row>
    <row r="64" s="10" customFormat="1" ht="16.5" spans="1:23">
      <c r="A64" s="721"/>
      <c r="B64" s="1194"/>
      <c r="C64" s="655"/>
      <c r="D64" s="250" t="s">
        <v>284</v>
      </c>
      <c r="E64" s="250" t="s">
        <v>2807</v>
      </c>
      <c r="F64" s="969"/>
      <c r="G64" s="596"/>
      <c r="H64" s="567"/>
      <c r="I64" s="596">
        <v>11518</v>
      </c>
      <c r="J64" s="614">
        <v>6.8805</v>
      </c>
      <c r="K64" s="598"/>
      <c r="L64" s="645"/>
      <c r="M64" s="625"/>
      <c r="N64" s="947" t="s">
        <v>555</v>
      </c>
      <c r="O64" s="642"/>
      <c r="P64" s="655"/>
      <c r="Q64" s="664"/>
      <c r="R64" s="577"/>
      <c r="S64" s="1205"/>
      <c r="T64" s="1171"/>
      <c r="U64" s="664"/>
      <c r="V64" s="664"/>
      <c r="W64" s="1212"/>
    </row>
    <row r="65" s="10" customFormat="1" ht="16.5" spans="1:23">
      <c r="A65" s="721"/>
      <c r="B65" s="1250"/>
      <c r="C65" s="655"/>
      <c r="D65" s="250" t="s">
        <v>526</v>
      </c>
      <c r="E65" s="568" t="s">
        <v>2163</v>
      </c>
      <c r="F65" s="969"/>
      <c r="G65" s="577"/>
      <c r="H65" s="577"/>
      <c r="I65" s="577">
        <v>248606</v>
      </c>
      <c r="J65" s="614">
        <v>6.8805</v>
      </c>
      <c r="K65" s="598"/>
      <c r="L65" s="645"/>
      <c r="M65" s="625" t="s">
        <v>2805</v>
      </c>
      <c r="N65" s="574" t="s">
        <v>2808</v>
      </c>
      <c r="O65" s="642"/>
      <c r="P65" s="655"/>
      <c r="Q65" s="664"/>
      <c r="R65" s="577"/>
      <c r="S65" s="1205"/>
      <c r="T65" s="1171"/>
      <c r="U65" s="664"/>
      <c r="V65" s="664"/>
      <c r="W65" s="1212"/>
    </row>
    <row r="66" s="929" customFormat="1" ht="16.5" spans="1:23">
      <c r="A66" s="541"/>
      <c r="B66" s="1215" t="s">
        <v>1393</v>
      </c>
      <c r="C66" s="1206">
        <v>109</v>
      </c>
      <c r="D66" s="917"/>
      <c r="E66" s="250"/>
      <c r="F66" s="725"/>
      <c r="G66" s="596"/>
      <c r="H66" s="567"/>
      <c r="I66" s="567"/>
      <c r="J66" s="614">
        <v>6.9054</v>
      </c>
      <c r="K66" s="598"/>
      <c r="L66" s="645"/>
      <c r="M66" s="625"/>
      <c r="N66" s="574"/>
      <c r="O66" s="626"/>
      <c r="P66" s="1202"/>
      <c r="Q66" s="1206"/>
      <c r="R66" s="714"/>
      <c r="S66" s="1207"/>
      <c r="T66" s="1208"/>
      <c r="U66" s="1213"/>
      <c r="V66" s="714"/>
      <c r="W66" s="1214"/>
    </row>
    <row r="67" s="10" customFormat="1" ht="16.5" spans="1:23">
      <c r="A67" s="721"/>
      <c r="B67" s="825"/>
      <c r="C67" s="655"/>
      <c r="D67" s="1229" t="s">
        <v>660</v>
      </c>
      <c r="E67" s="1252" t="s">
        <v>2809</v>
      </c>
      <c r="F67" s="979"/>
      <c r="G67" s="577"/>
      <c r="H67" s="577"/>
      <c r="I67" s="577"/>
      <c r="J67" s="614">
        <v>6.9054</v>
      </c>
      <c r="K67" s="1234"/>
      <c r="L67" s="625"/>
      <c r="M67" s="625"/>
      <c r="N67" s="715" t="s">
        <v>2810</v>
      </c>
      <c r="O67" s="937"/>
      <c r="P67" s="1256"/>
      <c r="Q67" s="655"/>
      <c r="R67" s="664"/>
      <c r="S67" s="577"/>
      <c r="T67" s="1205"/>
      <c r="U67" s="1171"/>
      <c r="V67" s="664"/>
      <c r="W67" s="715"/>
    </row>
    <row r="68" s="10" customFormat="1" ht="16.5" spans="1:23">
      <c r="A68" s="721"/>
      <c r="B68" s="825"/>
      <c r="C68" s="655"/>
      <c r="D68" s="1229" t="s">
        <v>2811</v>
      </c>
      <c r="E68" s="1253" t="s">
        <v>2812</v>
      </c>
      <c r="F68" s="979">
        <v>7009</v>
      </c>
      <c r="G68" s="596">
        <f t="shared" ref="G68:G72" si="4">F68*J68</f>
        <v>48399.9486</v>
      </c>
      <c r="H68" s="577">
        <f>G68</f>
        <v>48399.9486</v>
      </c>
      <c r="I68" s="735"/>
      <c r="J68" s="614">
        <v>6.9054</v>
      </c>
      <c r="K68" s="1234" t="s">
        <v>1218</v>
      </c>
      <c r="L68" s="742"/>
      <c r="M68" s="625"/>
      <c r="N68" s="715" t="s">
        <v>2813</v>
      </c>
      <c r="O68" s="937"/>
      <c r="P68" s="642"/>
      <c r="Q68" s="655"/>
      <c r="R68" s="664"/>
      <c r="S68" s="577"/>
      <c r="T68" s="1205"/>
      <c r="U68" s="1171"/>
      <c r="V68" s="664"/>
      <c r="W68" s="715"/>
    </row>
    <row r="69" s="10" customFormat="1" ht="16.5" spans="1:23">
      <c r="A69" s="721"/>
      <c r="B69" s="825"/>
      <c r="C69" s="655"/>
      <c r="D69" s="982" t="s">
        <v>355</v>
      </c>
      <c r="E69" s="1252" t="s">
        <v>2814</v>
      </c>
      <c r="F69" s="1254">
        <v>30800</v>
      </c>
      <c r="G69" s="596">
        <f t="shared" si="4"/>
        <v>212686.32</v>
      </c>
      <c r="H69" s="577">
        <f>G69</f>
        <v>212686.32</v>
      </c>
      <c r="I69" s="735">
        <f>H69</f>
        <v>212686.32</v>
      </c>
      <c r="J69" s="614">
        <v>6.9054</v>
      </c>
      <c r="K69" s="1234" t="s">
        <v>1251</v>
      </c>
      <c r="L69" s="966">
        <v>45063</v>
      </c>
      <c r="M69" s="633">
        <v>45065</v>
      </c>
      <c r="N69" s="664" t="s">
        <v>2815</v>
      </c>
      <c r="O69" s="614"/>
      <c r="P69" s="571"/>
      <c r="Q69" s="1238"/>
      <c r="R69" s="1051"/>
      <c r="S69" s="1239"/>
      <c r="T69" s="1176"/>
      <c r="U69" s="664"/>
      <c r="V69" s="1187"/>
      <c r="W69" s="1182"/>
    </row>
    <row r="70" s="10" customFormat="1" ht="16.5" spans="1:23">
      <c r="A70" s="721"/>
      <c r="B70" s="825"/>
      <c r="C70" s="655"/>
      <c r="D70" s="982" t="s">
        <v>267</v>
      </c>
      <c r="E70" s="1252" t="s">
        <v>2816</v>
      </c>
      <c r="F70" s="969">
        <v>42126</v>
      </c>
      <c r="G70" s="596">
        <f t="shared" si="4"/>
        <v>290896.8804</v>
      </c>
      <c r="H70" s="577">
        <f>G70</f>
        <v>290896.8804</v>
      </c>
      <c r="I70" s="577">
        <f>H70</f>
        <v>290896.8804</v>
      </c>
      <c r="J70" s="614">
        <v>6.9054</v>
      </c>
      <c r="K70" s="1234" t="s">
        <v>1218</v>
      </c>
      <c r="L70" s="742">
        <v>45061</v>
      </c>
      <c r="M70" s="625">
        <v>45064</v>
      </c>
      <c r="N70" s="715" t="s">
        <v>2817</v>
      </c>
      <c r="O70" s="572"/>
      <c r="P70" s="571"/>
      <c r="Q70" s="1257"/>
      <c r="R70" s="1051"/>
      <c r="S70" s="1239"/>
      <c r="T70" s="1176"/>
      <c r="U70" s="664"/>
      <c r="V70" s="1187"/>
      <c r="W70" s="1182"/>
    </row>
    <row r="71" s="10" customFormat="1" ht="16.5" spans="1:23">
      <c r="A71" s="721"/>
      <c r="B71" s="825"/>
      <c r="C71" s="655"/>
      <c r="D71" s="982" t="s">
        <v>267</v>
      </c>
      <c r="E71" s="1252" t="s">
        <v>2818</v>
      </c>
      <c r="F71" s="1255">
        <v>26728</v>
      </c>
      <c r="G71" s="596">
        <f t="shared" si="4"/>
        <v>184567.5312</v>
      </c>
      <c r="H71" s="577">
        <f>G71</f>
        <v>184567.5312</v>
      </c>
      <c r="I71" s="577"/>
      <c r="J71" s="614">
        <v>6.9054</v>
      </c>
      <c r="K71" s="1234" t="s">
        <v>1218</v>
      </c>
      <c r="L71" s="625"/>
      <c r="M71" s="625">
        <v>45078</v>
      </c>
      <c r="N71" s="715" t="s">
        <v>2819</v>
      </c>
      <c r="O71" s="572"/>
      <c r="P71" s="571"/>
      <c r="Q71" s="1257"/>
      <c r="R71" s="1051"/>
      <c r="S71" s="1239"/>
      <c r="T71" s="1176"/>
      <c r="U71" s="664"/>
      <c r="V71" s="1187"/>
      <c r="W71" s="1182"/>
    </row>
    <row r="72" s="10" customFormat="1" ht="16.5" spans="1:23">
      <c r="A72" s="721"/>
      <c r="B72" s="825"/>
      <c r="C72" s="655"/>
      <c r="D72" s="982" t="s">
        <v>2720</v>
      </c>
      <c r="E72" s="561" t="s">
        <v>2721</v>
      </c>
      <c r="F72" s="969">
        <v>12926</v>
      </c>
      <c r="G72" s="596"/>
      <c r="H72" s="596"/>
      <c r="I72" s="735">
        <v>88937</v>
      </c>
      <c r="J72" s="614">
        <v>6.8805</v>
      </c>
      <c r="K72" s="1234" t="s">
        <v>1294</v>
      </c>
      <c r="L72" s="625">
        <v>45042</v>
      </c>
      <c r="M72" s="1139">
        <v>45050</v>
      </c>
      <c r="N72" s="715" t="s">
        <v>2722</v>
      </c>
      <c r="O72" s="572"/>
      <c r="P72" s="571"/>
      <c r="Q72" s="1257"/>
      <c r="R72" s="1051"/>
      <c r="S72" s="1239"/>
      <c r="T72" s="1176"/>
      <c r="U72" s="664"/>
      <c r="V72" s="1187"/>
      <c r="W72" s="1182"/>
    </row>
    <row r="73" s="10" customFormat="1" ht="16.5" spans="1:23">
      <c r="A73" s="721"/>
      <c r="B73" s="825"/>
      <c r="C73" s="655"/>
      <c r="D73" s="1251" t="s">
        <v>660</v>
      </c>
      <c r="E73" s="1253" t="s">
        <v>2820</v>
      </c>
      <c r="F73" s="979">
        <v>22380</v>
      </c>
      <c r="G73" s="596">
        <f>F73*J73</f>
        <v>154542.852</v>
      </c>
      <c r="H73" s="577">
        <f>G73</f>
        <v>154542.852</v>
      </c>
      <c r="I73" s="735">
        <f>H73</f>
        <v>154542.852</v>
      </c>
      <c r="J73" s="614">
        <v>6.9054</v>
      </c>
      <c r="K73" s="1232"/>
      <c r="L73" s="625">
        <v>45068</v>
      </c>
      <c r="M73" s="625">
        <v>45071</v>
      </c>
      <c r="N73" s="664" t="s">
        <v>2821</v>
      </c>
      <c r="O73" s="572"/>
      <c r="P73" s="571"/>
      <c r="Q73" s="1257"/>
      <c r="R73" s="1051"/>
      <c r="S73" s="1239"/>
      <c r="T73" s="1176"/>
      <c r="U73" s="664"/>
      <c r="V73" s="1187"/>
      <c r="W73" s="1182"/>
    </row>
    <row r="74" s="10" customFormat="1" ht="16.5" spans="1:23">
      <c r="A74" s="721"/>
      <c r="B74" s="825"/>
      <c r="C74" s="557"/>
      <c r="D74" s="1251"/>
      <c r="E74" s="561"/>
      <c r="F74" s="979"/>
      <c r="G74" s="596"/>
      <c r="H74" s="577"/>
      <c r="I74" s="735"/>
      <c r="J74" s="614"/>
      <c r="K74" s="1232"/>
      <c r="L74" s="625"/>
      <c r="M74" s="625"/>
      <c r="N74" s="664"/>
      <c r="O74" s="572"/>
      <c r="P74" s="571"/>
      <c r="Q74" s="1257"/>
      <c r="R74" s="1051"/>
      <c r="S74" s="1239"/>
      <c r="T74" s="1176"/>
      <c r="U74" s="664"/>
      <c r="V74" s="1187"/>
      <c r="W74" s="1182"/>
    </row>
    <row r="75" s="10" customFormat="1" ht="16.5" spans="1:23">
      <c r="A75" s="721"/>
      <c r="B75" s="1190" t="s">
        <v>1124</v>
      </c>
      <c r="C75" s="1219">
        <f>SUM(C54:C73)</f>
        <v>350</v>
      </c>
      <c r="D75" s="1219"/>
      <c r="E75" s="1144"/>
      <c r="F75" s="1159" t="s">
        <v>1235</v>
      </c>
      <c r="G75" s="1230">
        <f>SUM(G54:G73)</f>
        <v>3150712.9278</v>
      </c>
      <c r="H75" s="1230">
        <f>SUM(H54:H73)</f>
        <v>3150712.9278</v>
      </c>
      <c r="I75" s="1230">
        <f>SUM(I54:I73)</f>
        <v>2818027.5734</v>
      </c>
      <c r="J75" s="808"/>
      <c r="K75" s="809"/>
      <c r="L75" s="821"/>
      <c r="M75" s="996"/>
      <c r="N75" s="997"/>
      <c r="O75" s="727"/>
      <c r="P75" s="652"/>
      <c r="Q75" s="653"/>
      <c r="R75" s="809"/>
      <c r="S75" s="809"/>
      <c r="T75" s="809"/>
      <c r="U75" s="1184"/>
      <c r="V75" s="1184"/>
      <c r="W75" s="1185"/>
    </row>
    <row r="76" s="10" customFormat="1" ht="16.5" spans="1:23">
      <c r="A76" s="673"/>
      <c r="B76" s="1192"/>
      <c r="C76" s="1150"/>
      <c r="D76" s="1150"/>
      <c r="E76" s="1144"/>
      <c r="F76" s="1159" t="s">
        <v>1236</v>
      </c>
      <c r="G76" s="1160">
        <f>G75/3500000</f>
        <v>0.900203693657143</v>
      </c>
      <c r="H76" s="1160">
        <f>H75/3500000</f>
        <v>0.900203693657143</v>
      </c>
      <c r="I76" s="1160">
        <f>I75/2750000</f>
        <v>1.02473729941818</v>
      </c>
      <c r="J76" s="808"/>
      <c r="K76" s="809"/>
      <c r="L76" s="821"/>
      <c r="M76" s="996"/>
      <c r="N76" s="997"/>
      <c r="O76" s="727"/>
      <c r="P76" s="652"/>
      <c r="Q76" s="653"/>
      <c r="R76" s="809"/>
      <c r="S76" s="809"/>
      <c r="T76" s="809"/>
      <c r="U76" s="1184"/>
      <c r="V76" s="1184"/>
      <c r="W76" s="1185"/>
    </row>
    <row r="77" s="10" customFormat="1" ht="16.5" spans="1:23">
      <c r="A77" s="780" t="s">
        <v>1163</v>
      </c>
      <c r="B77" s="780"/>
      <c r="C77" s="652">
        <f t="shared" ref="C77:I77" si="5">C15+C52+C75</f>
        <v>1019</v>
      </c>
      <c r="D77" s="652"/>
      <c r="E77" s="727"/>
      <c r="F77" s="727" t="s">
        <v>14</v>
      </c>
      <c r="G77" s="804">
        <f t="shared" si="5"/>
        <v>8044775.829498</v>
      </c>
      <c r="H77" s="804">
        <f t="shared" si="5"/>
        <v>8044776.539498</v>
      </c>
      <c r="I77" s="804">
        <f t="shared" si="5"/>
        <v>7042715.7688</v>
      </c>
      <c r="J77" s="727"/>
      <c r="K77" s="727"/>
      <c r="L77" s="854"/>
      <c r="M77" s="854"/>
      <c r="N77" s="1015"/>
      <c r="O77" s="727"/>
      <c r="P77" s="652"/>
      <c r="Q77" s="727"/>
      <c r="R77" s="727"/>
      <c r="S77" s="727"/>
      <c r="T77" s="727"/>
      <c r="U77" s="727"/>
      <c r="V77" s="727"/>
      <c r="W77" s="1185"/>
    </row>
    <row r="78" s="10" customFormat="1" ht="16.5" spans="1:23">
      <c r="A78" s="780"/>
      <c r="B78" s="780"/>
      <c r="C78" s="652"/>
      <c r="D78" s="652"/>
      <c r="E78" s="727"/>
      <c r="F78" s="727" t="s">
        <v>1236</v>
      </c>
      <c r="G78" s="796">
        <f>G77/(C77*10000)</f>
        <v>0.789477510254956</v>
      </c>
      <c r="H78" s="796">
        <f>H77/(C77*10000)</f>
        <v>0.789477579931109</v>
      </c>
      <c r="I78" s="796">
        <f>I77/(C77*10000)</f>
        <v>0.691139918429833</v>
      </c>
      <c r="J78" s="727"/>
      <c r="K78" s="727"/>
      <c r="L78" s="854"/>
      <c r="M78" s="854"/>
      <c r="N78" s="1015"/>
      <c r="O78" s="727"/>
      <c r="P78" s="727"/>
      <c r="Q78" s="727"/>
      <c r="R78" s="727"/>
      <c r="S78" s="727"/>
      <c r="T78" s="727"/>
      <c r="U78" s="727"/>
      <c r="V78" s="727"/>
      <c r="W78" s="727"/>
    </row>
    <row r="79" s="10" customFormat="1" ht="16.5" spans="1:23">
      <c r="A79" s="536"/>
      <c r="B79" s="836"/>
      <c r="C79" s="837"/>
      <c r="D79" s="837"/>
      <c r="E79" s="836"/>
      <c r="F79" s="836"/>
      <c r="G79" s="850"/>
      <c r="H79" s="850"/>
      <c r="I79" s="850"/>
      <c r="J79" s="836"/>
      <c r="K79" s="836"/>
      <c r="L79" s="870"/>
      <c r="M79" s="870"/>
      <c r="N79" s="1016"/>
      <c r="O79" s="836"/>
      <c r="P79" s="837"/>
      <c r="Q79" s="836"/>
      <c r="R79" s="836"/>
      <c r="S79" s="836"/>
      <c r="T79" s="836"/>
      <c r="U79" s="836"/>
      <c r="V79" s="836"/>
      <c r="W79" s="1177"/>
    </row>
    <row r="80" s="10" customFormat="1" ht="16.5" spans="1:23">
      <c r="A80" s="536"/>
      <c r="B80" s="836"/>
      <c r="C80" s="837"/>
      <c r="D80" s="837"/>
      <c r="E80" s="836" t="s">
        <v>139</v>
      </c>
      <c r="F80" s="836"/>
      <c r="G80" s="880"/>
      <c r="H80" s="880"/>
      <c r="I80" s="880"/>
      <c r="J80" s="836"/>
      <c r="K80" s="836"/>
      <c r="L80" s="870"/>
      <c r="M80" s="870"/>
      <c r="N80" s="1016"/>
      <c r="O80" s="836" t="s">
        <v>140</v>
      </c>
      <c r="P80" s="837"/>
      <c r="Q80" s="836"/>
      <c r="R80" s="836"/>
      <c r="S80" s="1241"/>
      <c r="T80" s="836"/>
      <c r="U80" s="1241"/>
      <c r="V80" s="836"/>
      <c r="W80" s="1177"/>
    </row>
    <row r="81" s="10" customFormat="1" ht="16.5" spans="1:23">
      <c r="A81" s="875" t="s">
        <v>1814</v>
      </c>
      <c r="B81" s="875"/>
      <c r="C81" s="875"/>
      <c r="D81" s="875"/>
      <c r="E81" s="875"/>
      <c r="F81" s="1090"/>
      <c r="G81" s="850"/>
      <c r="H81" s="850"/>
      <c r="I81" s="850"/>
      <c r="J81" s="836"/>
      <c r="K81" s="836"/>
      <c r="L81" s="870"/>
      <c r="M81" s="870"/>
      <c r="N81" s="1016"/>
      <c r="O81" s="894"/>
      <c r="P81" s="837"/>
      <c r="Q81" s="836"/>
      <c r="R81" s="836"/>
      <c r="S81" s="1241"/>
      <c r="T81" s="836"/>
      <c r="U81" s="1241"/>
      <c r="V81" s="836"/>
      <c r="W81" s="1177"/>
    </row>
    <row r="82" s="10" customFormat="1" ht="16.5" spans="1:23">
      <c r="A82" s="875" t="s">
        <v>1285</v>
      </c>
      <c r="B82" s="875"/>
      <c r="C82" s="875"/>
      <c r="D82" s="875"/>
      <c r="E82" s="875"/>
      <c r="F82" s="1090"/>
      <c r="G82" s="850"/>
      <c r="H82" s="850"/>
      <c r="I82" s="850"/>
      <c r="J82" s="836"/>
      <c r="K82" s="836"/>
      <c r="L82" s="870"/>
      <c r="M82" s="870"/>
      <c r="N82" s="1016"/>
      <c r="O82" s="894"/>
      <c r="P82" s="837"/>
      <c r="Q82" s="836"/>
      <c r="R82" s="836"/>
      <c r="S82" s="1241"/>
      <c r="T82" s="836"/>
      <c r="U82" s="1241"/>
      <c r="V82" s="836"/>
      <c r="W82" s="1177"/>
    </row>
    <row r="83" s="10" customFormat="1" ht="16.5" spans="1:23">
      <c r="A83" s="875" t="s">
        <v>1815</v>
      </c>
      <c r="B83" s="875"/>
      <c r="C83" s="875"/>
      <c r="D83" s="875"/>
      <c r="E83" s="875"/>
      <c r="F83" s="1090"/>
      <c r="G83" s="850"/>
      <c r="H83" s="850"/>
      <c r="I83" s="850"/>
      <c r="J83" s="892"/>
      <c r="K83" s="836"/>
      <c r="L83" s="870"/>
      <c r="M83" s="870"/>
      <c r="N83" s="1016"/>
      <c r="O83" s="894"/>
      <c r="P83" s="837"/>
      <c r="Q83" s="836"/>
      <c r="R83" s="836"/>
      <c r="S83" s="1241"/>
      <c r="T83" s="836"/>
      <c r="U83" s="1241"/>
      <c r="V83" s="836"/>
      <c r="W83" s="1177"/>
    </row>
    <row r="84" s="10" customFormat="1" ht="16.5" spans="1:23">
      <c r="A84" s="875" t="s">
        <v>1816</v>
      </c>
      <c r="B84" s="875"/>
      <c r="C84" s="875"/>
      <c r="D84" s="875"/>
      <c r="E84" s="875"/>
      <c r="F84" s="1090"/>
      <c r="G84" s="850"/>
      <c r="H84" s="850"/>
      <c r="I84" s="850"/>
      <c r="J84" s="836"/>
      <c r="K84" s="836"/>
      <c r="L84" s="870"/>
      <c r="M84" s="870"/>
      <c r="N84" s="1016"/>
      <c r="O84" s="894"/>
      <c r="P84" s="837"/>
      <c r="Q84" s="836"/>
      <c r="R84" s="836"/>
      <c r="S84" s="1241"/>
      <c r="T84" s="836"/>
      <c r="U84" s="1241"/>
      <c r="V84" s="836"/>
      <c r="W84" s="1177"/>
    </row>
    <row r="85" s="10" customFormat="1" ht="16.5" spans="1:23">
      <c r="A85" s="875" t="s">
        <v>1817</v>
      </c>
      <c r="B85" s="876"/>
      <c r="C85" s="876"/>
      <c r="D85" s="876"/>
      <c r="E85" s="876"/>
      <c r="F85" s="1090"/>
      <c r="G85" s="850"/>
      <c r="H85" s="850"/>
      <c r="I85" s="850"/>
      <c r="J85" s="893"/>
      <c r="K85" s="893"/>
      <c r="L85" s="870"/>
      <c r="M85" s="870"/>
      <c r="N85" s="1021"/>
      <c r="O85" s="894"/>
      <c r="P85" s="837"/>
      <c r="Q85" s="893"/>
      <c r="R85" s="893"/>
      <c r="S85" s="893"/>
      <c r="T85" s="893"/>
      <c r="U85" s="1241"/>
      <c r="V85" s="893"/>
      <c r="W85" s="1177"/>
    </row>
    <row r="86" ht="16.5" spans="1:23">
      <c r="A86" s="875" t="s">
        <v>1818</v>
      </c>
      <c r="B86" s="876"/>
      <c r="C86" s="876"/>
      <c r="D86" s="876"/>
      <c r="E86" s="876"/>
      <c r="F86" s="1090"/>
      <c r="G86" s="850"/>
      <c r="H86" s="850"/>
      <c r="I86" s="850"/>
      <c r="J86" s="877"/>
      <c r="K86" s="877"/>
      <c r="L86" s="896"/>
      <c r="M86" s="896"/>
      <c r="N86" s="887"/>
      <c r="O86" s="876"/>
      <c r="P86" s="878"/>
      <c r="Q86" s="877"/>
      <c r="R86" s="877"/>
      <c r="S86" s="877"/>
      <c r="T86" s="877"/>
      <c r="U86" s="877"/>
      <c r="V86" s="877"/>
      <c r="W86" s="1242"/>
    </row>
    <row r="87" ht="16.5" spans="1:23">
      <c r="A87" s="417"/>
      <c r="B87" s="877"/>
      <c r="C87" s="878"/>
      <c r="D87" s="878"/>
      <c r="E87" s="877"/>
      <c r="F87" s="877"/>
      <c r="G87" s="850"/>
      <c r="H87" s="850"/>
      <c r="I87" s="850"/>
      <c r="J87" s="877"/>
      <c r="K87" s="877"/>
      <c r="L87" s="896"/>
      <c r="M87" s="896"/>
      <c r="N87" s="887"/>
      <c r="O87" s="877"/>
      <c r="P87" s="878"/>
      <c r="Q87" s="877"/>
      <c r="R87" s="877"/>
      <c r="S87" s="877"/>
      <c r="T87" s="877"/>
      <c r="U87" s="877"/>
      <c r="V87" s="877"/>
      <c r="W87" s="1242"/>
    </row>
    <row r="88" ht="16.5" spans="1:23">
      <c r="A88" s="417"/>
      <c r="B88" s="417"/>
      <c r="C88" s="879"/>
      <c r="D88" s="879"/>
      <c r="E88" s="417"/>
      <c r="F88" s="417"/>
      <c r="G88" s="880"/>
      <c r="H88" s="880"/>
      <c r="I88" s="880"/>
      <c r="J88" s="417"/>
      <c r="K88" s="417"/>
      <c r="L88" s="898"/>
      <c r="M88" s="898"/>
      <c r="N88" s="888"/>
      <c r="O88" s="417"/>
      <c r="P88" s="900"/>
      <c r="Q88" s="417"/>
      <c r="R88" s="417"/>
      <c r="S88" s="417"/>
      <c r="T88" s="417"/>
      <c r="U88" s="417"/>
      <c r="V88" s="417"/>
      <c r="W88" s="1243"/>
    </row>
  </sheetData>
  <sheetProtection formatCells="0" insertHyperlinks="0" autoFilter="0"/>
  <mergeCells count="35">
    <mergeCell ref="A1:Q1"/>
    <mergeCell ref="A3:A16"/>
    <mergeCell ref="A17:A53"/>
    <mergeCell ref="A54:A76"/>
    <mergeCell ref="B3:B7"/>
    <mergeCell ref="B8:B13"/>
    <mergeCell ref="B15:B16"/>
    <mergeCell ref="B17:B27"/>
    <mergeCell ref="B28:B31"/>
    <mergeCell ref="B32:B42"/>
    <mergeCell ref="B43:B51"/>
    <mergeCell ref="B52:B53"/>
    <mergeCell ref="B54:B57"/>
    <mergeCell ref="B58:B65"/>
    <mergeCell ref="B66:B73"/>
    <mergeCell ref="B75:B76"/>
    <mergeCell ref="C3:C7"/>
    <mergeCell ref="C8:C13"/>
    <mergeCell ref="C15:C16"/>
    <mergeCell ref="C17:C27"/>
    <mergeCell ref="C28:C31"/>
    <mergeCell ref="C32:C42"/>
    <mergeCell ref="C43:C51"/>
    <mergeCell ref="C52:C53"/>
    <mergeCell ref="C54:C57"/>
    <mergeCell ref="C58:C65"/>
    <mergeCell ref="C66:C73"/>
    <mergeCell ref="C75:C76"/>
    <mergeCell ref="C77:C78"/>
    <mergeCell ref="D17:D23"/>
    <mergeCell ref="D24:D27"/>
    <mergeCell ref="D37:D38"/>
    <mergeCell ref="D39:D40"/>
    <mergeCell ref="N62:N63"/>
    <mergeCell ref="A77:B78"/>
  </mergeCells>
  <pageMargins left="0.75" right="0.75" top="1" bottom="1" header="0.5" footer="0.5"/>
  <headerFooter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5"/>
  <dimension ref="A1:X89"/>
  <sheetViews>
    <sheetView workbookViewId="0">
      <pane xSplit="3" ySplit="2" topLeftCell="D68" activePane="bottomRight" state="frozen"/>
      <selection/>
      <selection pane="topRight"/>
      <selection pane="bottomLeft"/>
      <selection pane="bottomRight" activeCell="D3" sqref="$A1:$XFD1048576"/>
    </sheetView>
  </sheetViews>
  <sheetFormatPr defaultColWidth="9" defaultRowHeight="13.5"/>
  <cols>
    <col min="2" max="2" width="8.375" customWidth="1"/>
    <col min="3" max="3" width="8.125" customWidth="1"/>
    <col min="4" max="4" width="17.4583333333333" customWidth="1"/>
    <col min="5" max="5" width="17.575" customWidth="1"/>
    <col min="6" max="6" width="10.7583333333333" customWidth="1"/>
    <col min="7" max="7" width="15.575" customWidth="1"/>
    <col min="8" max="8" width="15.0583333333333" customWidth="1"/>
    <col min="9" max="9" width="15.1666666666667" customWidth="1"/>
    <col min="11" max="11" width="11.825" customWidth="1"/>
    <col min="14" max="14" width="57.325" style="12" customWidth="1"/>
    <col min="15" max="15" width="16.625" customWidth="1"/>
    <col min="16" max="16" width="10.625" style="510" customWidth="1"/>
    <col min="17" max="17" width="13.125"/>
    <col min="19" max="19" width="13.2583333333333" customWidth="1"/>
    <col min="23" max="23" width="13.5" customWidth="1"/>
  </cols>
  <sheetData>
    <row r="1" s="10" customFormat="1" ht="21.65" customHeight="1" spans="1:23">
      <c r="A1" s="1094" t="s">
        <v>2822</v>
      </c>
      <c r="B1" s="1094"/>
      <c r="C1" s="1094"/>
      <c r="D1" s="1094"/>
      <c r="E1" s="1094"/>
      <c r="F1" s="1094"/>
      <c r="G1" s="1094"/>
      <c r="H1" s="1094"/>
      <c r="I1" s="1094"/>
      <c r="J1" s="1094"/>
      <c r="K1" s="1094"/>
      <c r="L1" s="1102"/>
      <c r="M1" s="1102"/>
      <c r="N1" s="1016"/>
      <c r="O1" s="1094"/>
      <c r="P1" s="1094"/>
      <c r="Q1" s="1094"/>
      <c r="R1" s="651"/>
      <c r="S1" s="651"/>
      <c r="T1" s="651"/>
      <c r="U1" s="651"/>
      <c r="V1" s="836"/>
      <c r="W1" s="1177"/>
    </row>
    <row r="2" s="10" customFormat="1" ht="30" spans="1:23">
      <c r="A2" s="780" t="s">
        <v>1092</v>
      </c>
      <c r="B2" s="1144" t="s">
        <v>1093</v>
      </c>
      <c r="C2" s="1145" t="s">
        <v>1821</v>
      </c>
      <c r="D2" s="1145" t="s">
        <v>1822</v>
      </c>
      <c r="E2" s="1152" t="s">
        <v>1095</v>
      </c>
      <c r="F2" s="1153" t="s">
        <v>362</v>
      </c>
      <c r="G2" s="1154" t="s">
        <v>1716</v>
      </c>
      <c r="H2" s="1154" t="s">
        <v>1717</v>
      </c>
      <c r="I2" s="1154" t="s">
        <v>1718</v>
      </c>
      <c r="J2" s="1164" t="s">
        <v>1096</v>
      </c>
      <c r="K2" s="1165" t="s">
        <v>1098</v>
      </c>
      <c r="L2" s="1166" t="s">
        <v>1097</v>
      </c>
      <c r="M2" s="1166" t="s">
        <v>1214</v>
      </c>
      <c r="N2" s="1015" t="s">
        <v>1215</v>
      </c>
      <c r="O2" s="621" t="s">
        <v>7</v>
      </c>
      <c r="P2" s="652" t="s">
        <v>8</v>
      </c>
      <c r="Q2" s="653" t="s">
        <v>9</v>
      </c>
      <c r="R2" s="654" t="s">
        <v>1291</v>
      </c>
      <c r="S2" s="654" t="s">
        <v>13</v>
      </c>
      <c r="T2" s="1170" t="s">
        <v>14</v>
      </c>
      <c r="U2" s="1178" t="s">
        <v>15</v>
      </c>
      <c r="V2" s="1179" t="s">
        <v>1100</v>
      </c>
      <c r="W2" s="1180" t="s">
        <v>1101</v>
      </c>
    </row>
    <row r="3" s="10" customFormat="1" ht="16.5" spans="1:23">
      <c r="A3" s="721" t="s">
        <v>1823</v>
      </c>
      <c r="B3" s="1146" t="s">
        <v>1825</v>
      </c>
      <c r="C3" s="545">
        <v>124</v>
      </c>
      <c r="D3" s="572" t="s">
        <v>1544</v>
      </c>
      <c r="E3" s="1155" t="s">
        <v>2823</v>
      </c>
      <c r="F3" s="591">
        <v>44673</v>
      </c>
      <c r="G3" s="567">
        <f t="shared" ref="G3:G8" si="0">F3*J3</f>
        <v>317021.9445</v>
      </c>
      <c r="H3" s="567">
        <v>317022</v>
      </c>
      <c r="I3" s="567"/>
      <c r="J3" s="614">
        <v>7.0965</v>
      </c>
      <c r="K3" s="708">
        <v>45106</v>
      </c>
      <c r="L3" s="644">
        <v>45107</v>
      </c>
      <c r="M3" s="1169">
        <v>45114</v>
      </c>
      <c r="N3" s="1030" t="s">
        <v>2824</v>
      </c>
      <c r="O3" s="635" t="s">
        <v>2825</v>
      </c>
      <c r="P3" s="655" t="s">
        <v>2131</v>
      </c>
      <c r="Q3" s="664"/>
      <c r="R3" s="577"/>
      <c r="S3" s="577"/>
      <c r="T3" s="1171"/>
      <c r="U3" s="664"/>
      <c r="V3" s="664"/>
      <c r="W3" s="1181"/>
    </row>
    <row r="4" s="10" customFormat="1" ht="16.5" spans="1:23">
      <c r="A4" s="1147"/>
      <c r="B4" s="715"/>
      <c r="C4" s="716"/>
      <c r="D4" s="572" t="s">
        <v>201</v>
      </c>
      <c r="E4" s="1155" t="s">
        <v>2826</v>
      </c>
      <c r="F4" s="591">
        <v>47400</v>
      </c>
      <c r="G4" s="567">
        <f t="shared" si="0"/>
        <v>336374.1</v>
      </c>
      <c r="H4" s="567">
        <v>336374</v>
      </c>
      <c r="I4" s="567">
        <v>336374</v>
      </c>
      <c r="J4" s="614">
        <v>7.0965</v>
      </c>
      <c r="K4" s="708">
        <v>45098</v>
      </c>
      <c r="L4" s="644">
        <v>45098</v>
      </c>
      <c r="M4" s="644">
        <v>45105</v>
      </c>
      <c r="N4" s="994" t="s">
        <v>2827</v>
      </c>
      <c r="O4" s="635" t="s">
        <v>2828</v>
      </c>
      <c r="P4" s="655" t="s">
        <v>1671</v>
      </c>
      <c r="Q4" s="664"/>
      <c r="R4" s="577"/>
      <c r="S4" s="577"/>
      <c r="T4" s="1171"/>
      <c r="U4" s="664"/>
      <c r="V4" s="664"/>
      <c r="W4" s="1181"/>
    </row>
    <row r="5" s="10" customFormat="1" ht="16.5" spans="1:23">
      <c r="A5" s="1147"/>
      <c r="B5" s="715"/>
      <c r="C5" s="716"/>
      <c r="D5" s="572" t="s">
        <v>2050</v>
      </c>
      <c r="E5" s="1155" t="s">
        <v>2829</v>
      </c>
      <c r="F5" s="591">
        <v>28270</v>
      </c>
      <c r="G5" s="567">
        <f t="shared" si="0"/>
        <v>200618.055</v>
      </c>
      <c r="H5" s="567">
        <v>200618</v>
      </c>
      <c r="I5" s="567"/>
      <c r="J5" s="614">
        <v>7.0965</v>
      </c>
      <c r="K5" s="708" t="s">
        <v>1218</v>
      </c>
      <c r="L5" s="644">
        <v>45098</v>
      </c>
      <c r="M5" s="1169">
        <v>45113</v>
      </c>
      <c r="N5" s="994" t="s">
        <v>2830</v>
      </c>
      <c r="O5" s="635" t="s">
        <v>2831</v>
      </c>
      <c r="P5" s="655" t="s">
        <v>1656</v>
      </c>
      <c r="Q5" s="664"/>
      <c r="R5" s="577"/>
      <c r="S5" s="577"/>
      <c r="T5" s="1171"/>
      <c r="U5" s="664"/>
      <c r="V5" s="664"/>
      <c r="W5" s="1181"/>
    </row>
    <row r="6" s="10" customFormat="1" ht="16.5" spans="1:23">
      <c r="A6" s="1147"/>
      <c r="B6" s="715"/>
      <c r="C6" s="716"/>
      <c r="D6" s="572" t="s">
        <v>1057</v>
      </c>
      <c r="E6" s="1155" t="s">
        <v>2832</v>
      </c>
      <c r="F6" s="591">
        <v>22590</v>
      </c>
      <c r="G6" s="567">
        <f t="shared" si="0"/>
        <v>160309.935</v>
      </c>
      <c r="H6" s="567">
        <v>160310</v>
      </c>
      <c r="I6" s="567"/>
      <c r="J6" s="614">
        <v>7.0965</v>
      </c>
      <c r="K6" s="708" t="s">
        <v>1218</v>
      </c>
      <c r="L6" s="644">
        <v>45104</v>
      </c>
      <c r="M6" s="1135">
        <v>45111</v>
      </c>
      <c r="N6" s="994" t="s">
        <v>2833</v>
      </c>
      <c r="O6" s="635" t="s">
        <v>2834</v>
      </c>
      <c r="P6" s="655" t="s">
        <v>1656</v>
      </c>
      <c r="Q6" s="664"/>
      <c r="R6" s="577"/>
      <c r="S6" s="577"/>
      <c r="T6" s="1171"/>
      <c r="U6" s="664"/>
      <c r="V6" s="664"/>
      <c r="W6" s="1181"/>
    </row>
    <row r="7" s="10" customFormat="1" ht="16.5" spans="1:23">
      <c r="A7" s="1147"/>
      <c r="B7" s="715"/>
      <c r="C7" s="716"/>
      <c r="D7" s="572" t="s">
        <v>2835</v>
      </c>
      <c r="E7" s="1155" t="s">
        <v>2836</v>
      </c>
      <c r="F7" s="591">
        <v>12000</v>
      </c>
      <c r="G7" s="567">
        <f t="shared" si="0"/>
        <v>85158</v>
      </c>
      <c r="H7" s="567">
        <f>G7</f>
        <v>85158</v>
      </c>
      <c r="I7" s="567"/>
      <c r="J7" s="614">
        <v>7.0965</v>
      </c>
      <c r="K7" s="708" t="s">
        <v>1218</v>
      </c>
      <c r="L7" s="633" t="s">
        <v>2792</v>
      </c>
      <c r="M7" s="633" t="s">
        <v>2792</v>
      </c>
      <c r="N7" s="994" t="s">
        <v>2837</v>
      </c>
      <c r="O7" s="635"/>
      <c r="P7" s="655" t="s">
        <v>2838</v>
      </c>
      <c r="Q7" s="664"/>
      <c r="R7" s="577"/>
      <c r="S7" s="577"/>
      <c r="T7" s="1171"/>
      <c r="U7" s="664"/>
      <c r="V7" s="664"/>
      <c r="W7" s="1181"/>
    </row>
    <row r="8" s="10" customFormat="1" ht="16.5" spans="1:23">
      <c r="A8" s="1147"/>
      <c r="B8" s="715"/>
      <c r="C8" s="716"/>
      <c r="D8" s="572" t="s">
        <v>145</v>
      </c>
      <c r="E8" s="568" t="s">
        <v>2728</v>
      </c>
      <c r="F8" s="591"/>
      <c r="G8" s="603"/>
      <c r="H8" s="603"/>
      <c r="I8" s="567">
        <v>299377</v>
      </c>
      <c r="J8" s="614">
        <v>7.0965</v>
      </c>
      <c r="K8" s="708" t="s">
        <v>1218</v>
      </c>
      <c r="L8" s="644">
        <v>45064</v>
      </c>
      <c r="M8" s="644">
        <v>45079</v>
      </c>
      <c r="N8" s="994" t="s">
        <v>2839</v>
      </c>
      <c r="O8" s="635" t="s">
        <v>2730</v>
      </c>
      <c r="P8" s="655" t="s">
        <v>1671</v>
      </c>
      <c r="Q8" s="664"/>
      <c r="R8" s="577"/>
      <c r="S8" s="577"/>
      <c r="T8" s="1171"/>
      <c r="U8" s="664"/>
      <c r="V8" s="664"/>
      <c r="W8" s="1181"/>
    </row>
    <row r="9" s="10" customFormat="1" ht="16.5" spans="1:23">
      <c r="A9" s="1147"/>
      <c r="B9" s="715"/>
      <c r="C9" s="716"/>
      <c r="D9" s="572" t="s">
        <v>2840</v>
      </c>
      <c r="E9" s="568" t="s">
        <v>2625</v>
      </c>
      <c r="F9" s="591"/>
      <c r="H9" s="603"/>
      <c r="I9" s="567">
        <v>21013</v>
      </c>
      <c r="J9" s="614">
        <v>6.9054</v>
      </c>
      <c r="K9" s="708" t="s">
        <v>1218</v>
      </c>
      <c r="L9" s="644">
        <v>45034</v>
      </c>
      <c r="M9" s="644">
        <v>45087</v>
      </c>
      <c r="N9" s="1030" t="s">
        <v>2735</v>
      </c>
      <c r="O9" s="635" t="s">
        <v>1060</v>
      </c>
      <c r="P9" s="655" t="s">
        <v>1659</v>
      </c>
      <c r="Q9" s="664"/>
      <c r="R9" s="577"/>
      <c r="S9" s="577"/>
      <c r="T9" s="1171"/>
      <c r="U9" s="664"/>
      <c r="V9" s="664"/>
      <c r="W9" s="1181"/>
    </row>
    <row r="10" s="10" customFormat="1" ht="16.5" spans="1:23">
      <c r="A10" s="1147"/>
      <c r="B10" s="715"/>
      <c r="C10" s="716"/>
      <c r="D10" s="250" t="s">
        <v>161</v>
      </c>
      <c r="E10" s="644" t="s">
        <v>2176</v>
      </c>
      <c r="F10" s="1002"/>
      <c r="G10" s="603"/>
      <c r="H10" s="603"/>
      <c r="I10" s="603">
        <v>275636</v>
      </c>
      <c r="J10" s="614">
        <v>7.0965</v>
      </c>
      <c r="K10" s="598">
        <v>45014</v>
      </c>
      <c r="L10" s="644">
        <v>45015</v>
      </c>
      <c r="M10" s="644">
        <v>45079</v>
      </c>
      <c r="N10" s="1030" t="s">
        <v>2841</v>
      </c>
      <c r="O10" s="635" t="s">
        <v>2842</v>
      </c>
      <c r="P10" s="655" t="s">
        <v>1671</v>
      </c>
      <c r="Q10" s="664"/>
      <c r="R10" s="577"/>
      <c r="S10" s="577"/>
      <c r="T10" s="1171"/>
      <c r="U10" s="664"/>
      <c r="V10" s="664"/>
      <c r="W10" s="1181"/>
    </row>
    <row r="11" s="10" customFormat="1" ht="21.05" customHeight="1" spans="1:23">
      <c r="A11" s="721"/>
      <c r="B11" s="671" t="s">
        <v>224</v>
      </c>
      <c r="C11" s="557">
        <v>106</v>
      </c>
      <c r="D11" s="561" t="s">
        <v>53</v>
      </c>
      <c r="E11" s="1155" t="s">
        <v>2843</v>
      </c>
      <c r="F11" s="722">
        <v>89658</v>
      </c>
      <c r="G11" s="567">
        <f t="shared" ref="G10:G15" si="1">F11*J11</f>
        <v>636257.997</v>
      </c>
      <c r="H11" s="603">
        <f>G11</f>
        <v>636257.997</v>
      </c>
      <c r="I11" s="577"/>
      <c r="J11" s="614">
        <v>7.0965</v>
      </c>
      <c r="K11" s="682" t="s">
        <v>1218</v>
      </c>
      <c r="L11" s="644">
        <v>45102</v>
      </c>
      <c r="M11" s="633">
        <v>45107</v>
      </c>
      <c r="N11" s="622" t="s">
        <v>2844</v>
      </c>
      <c r="O11" s="635" t="s">
        <v>2845</v>
      </c>
      <c r="P11" s="655" t="s">
        <v>2131</v>
      </c>
      <c r="Q11" s="656"/>
      <c r="R11" s="577"/>
      <c r="S11" s="577"/>
      <c r="T11" s="1171"/>
      <c r="U11" s="664"/>
      <c r="V11" s="664"/>
      <c r="W11" s="1181"/>
    </row>
    <row r="12" s="10" customFormat="1" ht="16.5" spans="1:23">
      <c r="A12" s="721"/>
      <c r="B12" s="671"/>
      <c r="C12" s="557"/>
      <c r="D12" s="561" t="s">
        <v>2425</v>
      </c>
      <c r="E12" s="1155" t="s">
        <v>2846</v>
      </c>
      <c r="F12" s="722">
        <v>57678</v>
      </c>
      <c r="G12" s="567">
        <f t="shared" si="1"/>
        <v>409311.927</v>
      </c>
      <c r="H12" s="567">
        <v>409311.927</v>
      </c>
      <c r="I12" s="577"/>
      <c r="J12" s="614">
        <v>7.0965</v>
      </c>
      <c r="K12" s="682" t="s">
        <v>1218</v>
      </c>
      <c r="L12" s="644">
        <v>45092</v>
      </c>
      <c r="M12" s="1135">
        <v>45108</v>
      </c>
      <c r="N12" s="622" t="s">
        <v>2847</v>
      </c>
      <c r="O12" s="635" t="s">
        <v>2848</v>
      </c>
      <c r="P12" s="655" t="s">
        <v>2640</v>
      </c>
      <c r="Q12" s="656"/>
      <c r="R12" s="577"/>
      <c r="S12" s="577"/>
      <c r="T12" s="1171"/>
      <c r="U12" s="664"/>
      <c r="V12" s="664"/>
      <c r="W12" s="1181"/>
    </row>
    <row r="13" s="10" customFormat="1" ht="20" customHeight="1" spans="1:23">
      <c r="A13" s="721"/>
      <c r="B13" s="671"/>
      <c r="C13" s="557"/>
      <c r="D13" s="561" t="s">
        <v>775</v>
      </c>
      <c r="E13" s="1155" t="s">
        <v>2849</v>
      </c>
      <c r="F13" s="722">
        <v>41766</v>
      </c>
      <c r="G13" s="567">
        <f t="shared" si="1"/>
        <v>296392.419</v>
      </c>
      <c r="H13" s="603">
        <f>G13</f>
        <v>296392.419</v>
      </c>
      <c r="I13" s="577">
        <v>296392</v>
      </c>
      <c r="J13" s="614">
        <v>7.0965</v>
      </c>
      <c r="K13" s="682" t="s">
        <v>2850</v>
      </c>
      <c r="L13" s="644">
        <v>45102</v>
      </c>
      <c r="M13" s="644">
        <v>45105</v>
      </c>
      <c r="N13" s="622" t="s">
        <v>2851</v>
      </c>
      <c r="O13" s="635" t="s">
        <v>2852</v>
      </c>
      <c r="P13" s="655" t="s">
        <v>2640</v>
      </c>
      <c r="Q13" s="656"/>
      <c r="R13" s="577"/>
      <c r="S13" s="577"/>
      <c r="T13" s="1171"/>
      <c r="U13" s="664"/>
      <c r="V13" s="664"/>
      <c r="W13" s="1181"/>
    </row>
    <row r="14" s="10" customFormat="1" ht="16.5" spans="1:23">
      <c r="A14" s="721"/>
      <c r="B14" s="671"/>
      <c r="C14" s="557"/>
      <c r="D14" s="561" t="s">
        <v>400</v>
      </c>
      <c r="E14" s="1155" t="s">
        <v>2853</v>
      </c>
      <c r="F14" s="722">
        <v>1269</v>
      </c>
      <c r="G14" s="567">
        <f t="shared" si="1"/>
        <v>9005.4585</v>
      </c>
      <c r="H14" s="603">
        <v>9005</v>
      </c>
      <c r="I14" s="577">
        <f>H14</f>
        <v>9005</v>
      </c>
      <c r="J14" s="614">
        <v>7.0965</v>
      </c>
      <c r="K14" s="682" t="s">
        <v>1218</v>
      </c>
      <c r="L14" s="644">
        <v>45090</v>
      </c>
      <c r="M14" s="644">
        <v>45098</v>
      </c>
      <c r="N14" s="622" t="s">
        <v>2854</v>
      </c>
      <c r="O14" s="635" t="s">
        <v>2855</v>
      </c>
      <c r="P14" s="655" t="s">
        <v>2856</v>
      </c>
      <c r="Q14" s="656"/>
      <c r="R14" s="577"/>
      <c r="S14" s="577"/>
      <c r="T14" s="1171"/>
      <c r="U14" s="664"/>
      <c r="V14" s="664"/>
      <c r="W14" s="1181"/>
    </row>
    <row r="15" s="536" customFormat="1" ht="18.75" customHeight="1" spans="1:23">
      <c r="A15" s="721"/>
      <c r="B15" s="1146"/>
      <c r="C15" s="545"/>
      <c r="D15" s="250" t="s">
        <v>867</v>
      </c>
      <c r="E15" s="568" t="s">
        <v>2742</v>
      </c>
      <c r="F15" s="562"/>
      <c r="G15" s="602"/>
      <c r="H15" s="596"/>
      <c r="I15" s="596">
        <v>112213</v>
      </c>
      <c r="J15" s="614">
        <v>7.0965</v>
      </c>
      <c r="K15" s="682"/>
      <c r="L15" s="855"/>
      <c r="M15" s="644">
        <v>45080</v>
      </c>
      <c r="N15" s="1030" t="s">
        <v>2857</v>
      </c>
      <c r="O15" s="1026" t="s">
        <v>481</v>
      </c>
      <c r="P15" s="655" t="s">
        <v>1656</v>
      </c>
      <c r="Q15" s="715"/>
      <c r="R15" s="602"/>
      <c r="S15" s="602"/>
      <c r="T15" s="1172"/>
      <c r="U15" s="715"/>
      <c r="V15" s="715"/>
      <c r="W15" s="1182"/>
    </row>
    <row r="16" s="536" customFormat="1" ht="16.5" spans="1:23">
      <c r="A16" s="721"/>
      <c r="B16" s="1146"/>
      <c r="C16" s="545"/>
      <c r="D16" s="250" t="s">
        <v>1038</v>
      </c>
      <c r="E16" s="568" t="s">
        <v>2744</v>
      </c>
      <c r="F16" s="562"/>
      <c r="G16" s="596"/>
      <c r="H16" s="596"/>
      <c r="I16" s="596">
        <v>119857</v>
      </c>
      <c r="J16" s="614">
        <v>7.0965</v>
      </c>
      <c r="K16" s="1167"/>
      <c r="L16" s="855"/>
      <c r="M16" s="644">
        <v>45078</v>
      </c>
      <c r="N16" s="1030" t="s">
        <v>2857</v>
      </c>
      <c r="O16" s="1026" t="s">
        <v>2679</v>
      </c>
      <c r="P16" s="655" t="s">
        <v>1671</v>
      </c>
      <c r="Q16" s="715"/>
      <c r="R16" s="602"/>
      <c r="S16" s="602"/>
      <c r="T16" s="1172"/>
      <c r="U16" s="715"/>
      <c r="V16" s="715"/>
      <c r="W16" s="1182"/>
    </row>
    <row r="17" s="536" customFormat="1" ht="19.5" customHeight="1" spans="1:23">
      <c r="A17" s="721"/>
      <c r="B17" s="1146"/>
      <c r="C17" s="545"/>
      <c r="D17" s="561" t="s">
        <v>849</v>
      </c>
      <c r="E17" s="568" t="s">
        <v>2747</v>
      </c>
      <c r="F17" s="576"/>
      <c r="G17" s="596"/>
      <c r="H17" s="596"/>
      <c r="I17" s="596">
        <v>121231</v>
      </c>
      <c r="J17" s="614">
        <v>7.0965</v>
      </c>
      <c r="K17" s="682"/>
      <c r="L17" s="855"/>
      <c r="M17" s="644">
        <v>45079</v>
      </c>
      <c r="N17" s="1030" t="s">
        <v>2857</v>
      </c>
      <c r="O17" s="1026" t="s">
        <v>1191</v>
      </c>
      <c r="P17" s="655" t="s">
        <v>1656</v>
      </c>
      <c r="Q17" s="715"/>
      <c r="R17" s="602"/>
      <c r="S17" s="602"/>
      <c r="T17" s="1172"/>
      <c r="U17" s="715"/>
      <c r="V17" s="715"/>
      <c r="W17" s="1182"/>
    </row>
    <row r="18" s="536" customFormat="1" ht="19.5" customHeight="1" spans="1:23">
      <c r="A18" s="721"/>
      <c r="B18" s="1146"/>
      <c r="C18" s="545"/>
      <c r="D18" s="250" t="s">
        <v>283</v>
      </c>
      <c r="E18" s="571" t="s">
        <v>2633</v>
      </c>
      <c r="F18" s="725"/>
      <c r="G18" s="567"/>
      <c r="H18" s="603"/>
      <c r="I18" s="567">
        <v>50035</v>
      </c>
      <c r="J18" s="614">
        <v>7.0965</v>
      </c>
      <c r="K18" s="638"/>
      <c r="L18" s="644"/>
      <c r="M18" s="644">
        <v>45101</v>
      </c>
      <c r="N18" s="1030" t="s">
        <v>2858</v>
      </c>
      <c r="O18" s="1026" t="s">
        <v>2859</v>
      </c>
      <c r="P18" s="655" t="s">
        <v>1659</v>
      </c>
      <c r="Q18" s="715"/>
      <c r="R18" s="602"/>
      <c r="S18" s="602"/>
      <c r="T18" s="1172"/>
      <c r="U18" s="715"/>
      <c r="V18" s="715"/>
      <c r="W18" s="1182"/>
    </row>
    <row r="19" s="536" customFormat="1" ht="21" customHeight="1" spans="1:23">
      <c r="A19" s="721"/>
      <c r="B19" s="1146"/>
      <c r="C19" s="545"/>
      <c r="D19" s="561" t="s">
        <v>408</v>
      </c>
      <c r="E19" s="568" t="s">
        <v>2749</v>
      </c>
      <c r="F19" s="576"/>
      <c r="G19" s="596"/>
      <c r="H19" s="596"/>
      <c r="I19" s="596">
        <v>106005</v>
      </c>
      <c r="J19" s="614">
        <v>7.0965</v>
      </c>
      <c r="K19" s="682"/>
      <c r="L19" s="855"/>
      <c r="M19" s="644">
        <v>45084</v>
      </c>
      <c r="N19" s="706" t="s">
        <v>2857</v>
      </c>
      <c r="O19" s="1026" t="s">
        <v>2751</v>
      </c>
      <c r="P19" s="655" t="s">
        <v>1656</v>
      </c>
      <c r="Q19" s="744"/>
      <c r="R19" s="744"/>
      <c r="S19" s="744"/>
      <c r="T19" s="744"/>
      <c r="U19" s="744"/>
      <c r="V19" s="744"/>
      <c r="W19" s="744"/>
    </row>
    <row r="20" s="10" customFormat="1" ht="16.5" spans="1:23">
      <c r="A20" s="1147"/>
      <c r="B20" s="1148" t="s">
        <v>1124</v>
      </c>
      <c r="C20" s="1149">
        <f>SUM(C3:C19)</f>
        <v>230</v>
      </c>
      <c r="D20" s="1150"/>
      <c r="E20" s="1156"/>
      <c r="F20" s="1157" t="s">
        <v>1235</v>
      </c>
      <c r="G20" s="1158">
        <f>SUM(G3:G19)</f>
        <v>2450449.836</v>
      </c>
      <c r="H20" s="1158">
        <f>SUM(H3:H19)</f>
        <v>2450449.343</v>
      </c>
      <c r="I20" s="1158">
        <f>SUM(I3:I19)</f>
        <v>1747138</v>
      </c>
      <c r="J20" s="1168"/>
      <c r="K20" s="610"/>
      <c r="L20" s="644"/>
      <c r="M20" s="644"/>
      <c r="N20" s="1072"/>
      <c r="O20" s="640"/>
      <c r="P20" s="968"/>
      <c r="Q20" s="670"/>
      <c r="R20" s="766"/>
      <c r="S20" s="1173"/>
      <c r="T20" s="1174"/>
      <c r="U20" s="546"/>
      <c r="V20" s="546"/>
      <c r="W20" s="1183"/>
    </row>
    <row r="21" s="10" customFormat="1" ht="16.5" spans="1:23">
      <c r="A21" s="1151"/>
      <c r="B21" s="1148"/>
      <c r="C21" s="1149"/>
      <c r="D21" s="1149"/>
      <c r="E21" s="1144"/>
      <c r="F21" s="1159" t="s">
        <v>1236</v>
      </c>
      <c r="G21" s="1160">
        <f>G20/2300000</f>
        <v>1.06541297217391</v>
      </c>
      <c r="H21" s="1160">
        <f>H20/2300000</f>
        <v>1.06541275782609</v>
      </c>
      <c r="I21" s="1160">
        <f>I20/2300000</f>
        <v>0.759625217391304</v>
      </c>
      <c r="J21" s="1168"/>
      <c r="K21" s="858"/>
      <c r="L21" s="821"/>
      <c r="M21" s="821"/>
      <c r="N21" s="1015"/>
      <c r="O21" s="804"/>
      <c r="P21" s="655"/>
      <c r="Q21" s="653"/>
      <c r="R21" s="809"/>
      <c r="S21" s="809"/>
      <c r="T21" s="809"/>
      <c r="U21" s="1184"/>
      <c r="V21" s="1184"/>
      <c r="W21" s="1185"/>
    </row>
    <row r="22" s="10" customFormat="1" ht="16.5" spans="1:24">
      <c r="A22" s="541" t="s">
        <v>1913</v>
      </c>
      <c r="B22" s="556" t="s">
        <v>1248</v>
      </c>
      <c r="C22" s="557">
        <v>143</v>
      </c>
      <c r="D22" s="655" t="s">
        <v>299</v>
      </c>
      <c r="E22" s="1161" t="s">
        <v>2860</v>
      </c>
      <c r="F22" s="969">
        <v>46935</v>
      </c>
      <c r="G22" s="567">
        <f>F22*J22</f>
        <v>333074.2275</v>
      </c>
      <c r="H22" s="577">
        <v>333074.2275</v>
      </c>
      <c r="I22" s="577"/>
      <c r="J22" s="614">
        <v>7.0965</v>
      </c>
      <c r="K22" s="708" t="s">
        <v>1251</v>
      </c>
      <c r="L22" s="610">
        <v>45105</v>
      </c>
      <c r="M22" s="633">
        <v>45107</v>
      </c>
      <c r="N22" s="740" t="s">
        <v>2861</v>
      </c>
      <c r="O22" s="250" t="s">
        <v>2862</v>
      </c>
      <c r="P22" s="655" t="s">
        <v>2640</v>
      </c>
      <c r="Q22" s="752"/>
      <c r="R22" s="750"/>
      <c r="S22" s="1175"/>
      <c r="T22" s="1176"/>
      <c r="U22" s="1186"/>
      <c r="V22" s="1187"/>
      <c r="W22" s="1181"/>
      <c r="X22" s="1022"/>
    </row>
    <row r="23" s="10" customFormat="1" ht="16.5" spans="1:24">
      <c r="A23" s="541"/>
      <c r="B23" s="556"/>
      <c r="C23" s="557"/>
      <c r="D23" s="655"/>
      <c r="E23" s="1162" t="s">
        <v>2863</v>
      </c>
      <c r="F23" s="725">
        <v>39480</v>
      </c>
      <c r="G23" s="567">
        <f>F23*J23</f>
        <v>280169.82</v>
      </c>
      <c r="H23" s="577">
        <v>280169.82</v>
      </c>
      <c r="I23" s="577"/>
      <c r="J23" s="614">
        <v>7.0965</v>
      </c>
      <c r="K23" s="708" t="s">
        <v>1251</v>
      </c>
      <c r="L23" s="610">
        <v>45105</v>
      </c>
      <c r="M23" s="633">
        <v>45107</v>
      </c>
      <c r="N23" s="740" t="s">
        <v>2861</v>
      </c>
      <c r="O23" s="250" t="s">
        <v>2075</v>
      </c>
      <c r="P23" s="655" t="s">
        <v>2640</v>
      </c>
      <c r="Q23" s="752"/>
      <c r="R23" s="750"/>
      <c r="S23" s="1175"/>
      <c r="T23" s="1176"/>
      <c r="U23" s="1186"/>
      <c r="V23" s="1187"/>
      <c r="W23" s="1181"/>
      <c r="X23" s="1022"/>
    </row>
    <row r="24" s="10" customFormat="1" ht="16.5" spans="1:24">
      <c r="A24" s="541"/>
      <c r="B24" s="556"/>
      <c r="C24" s="557"/>
      <c r="D24" s="655"/>
      <c r="E24" s="764" t="s">
        <v>2752</v>
      </c>
      <c r="F24" s="762">
        <v>31850</v>
      </c>
      <c r="G24" s="567"/>
      <c r="H24" s="577"/>
      <c r="I24" s="577">
        <v>219936.99</v>
      </c>
      <c r="J24" s="614">
        <v>6.9054</v>
      </c>
      <c r="K24" s="707">
        <v>44984</v>
      </c>
      <c r="L24" s="598">
        <v>45077</v>
      </c>
      <c r="M24" s="625">
        <v>45083</v>
      </c>
      <c r="N24" s="706" t="s">
        <v>2864</v>
      </c>
      <c r="O24" s="250" t="s">
        <v>2154</v>
      </c>
      <c r="P24" s="655" t="s">
        <v>2640</v>
      </c>
      <c r="Q24" s="752"/>
      <c r="R24" s="750"/>
      <c r="S24" s="1175"/>
      <c r="T24" s="1176"/>
      <c r="U24" s="1186"/>
      <c r="V24" s="1187"/>
      <c r="W24" s="1181"/>
      <c r="X24" s="1022"/>
    </row>
    <row r="25" s="10" customFormat="1" ht="16.5" spans="1:24">
      <c r="A25" s="541"/>
      <c r="B25" s="556"/>
      <c r="C25" s="557"/>
      <c r="D25" s="655"/>
      <c r="E25" s="764" t="s">
        <v>2753</v>
      </c>
      <c r="F25" s="762">
        <v>31850</v>
      </c>
      <c r="G25" s="567"/>
      <c r="H25" s="577"/>
      <c r="I25" s="577">
        <v>219936.99</v>
      </c>
      <c r="J25" s="614">
        <v>6.9054</v>
      </c>
      <c r="K25" s="707">
        <v>44985</v>
      </c>
      <c r="L25" s="598">
        <v>45077</v>
      </c>
      <c r="M25" s="625">
        <v>45083</v>
      </c>
      <c r="N25" s="706" t="s">
        <v>2864</v>
      </c>
      <c r="O25" s="250" t="s">
        <v>2154</v>
      </c>
      <c r="P25" s="655" t="s">
        <v>2640</v>
      </c>
      <c r="Q25" s="752"/>
      <c r="R25" s="750"/>
      <c r="S25" s="1175"/>
      <c r="T25" s="1176"/>
      <c r="U25" s="1186"/>
      <c r="V25" s="1187"/>
      <c r="W25" s="1181"/>
      <c r="X25" s="1022"/>
    </row>
    <row r="26" s="10" customFormat="1" ht="16.5" spans="1:24">
      <c r="A26" s="541"/>
      <c r="B26" s="556"/>
      <c r="C26" s="557"/>
      <c r="D26" s="655"/>
      <c r="E26" s="764" t="s">
        <v>2754</v>
      </c>
      <c r="F26" s="762">
        <v>31850</v>
      </c>
      <c r="G26" s="567"/>
      <c r="H26" s="577"/>
      <c r="I26" s="577">
        <v>219936.99</v>
      </c>
      <c r="J26" s="614">
        <v>6.9054</v>
      </c>
      <c r="K26" s="707">
        <v>44985</v>
      </c>
      <c r="L26" s="598">
        <v>45077</v>
      </c>
      <c r="M26" s="625">
        <v>45083</v>
      </c>
      <c r="N26" s="706" t="s">
        <v>2864</v>
      </c>
      <c r="O26" s="250" t="s">
        <v>2154</v>
      </c>
      <c r="P26" s="655" t="s">
        <v>2640</v>
      </c>
      <c r="Q26" s="752"/>
      <c r="R26" s="750"/>
      <c r="S26" s="1175"/>
      <c r="T26" s="1176"/>
      <c r="U26" s="1186"/>
      <c r="V26" s="1187"/>
      <c r="W26" s="1181"/>
      <c r="X26" s="1022"/>
    </row>
    <row r="27" s="10" customFormat="1" ht="16.5" spans="1:24">
      <c r="A27" s="541"/>
      <c r="B27" s="556"/>
      <c r="C27" s="557"/>
      <c r="D27" s="655" t="s">
        <v>1771</v>
      </c>
      <c r="E27" s="1163" t="s">
        <v>2865</v>
      </c>
      <c r="F27" s="755">
        <v>98920</v>
      </c>
      <c r="G27" s="596">
        <f t="shared" ref="G27:G32" si="2">F27*J27</f>
        <v>701985.78</v>
      </c>
      <c r="H27" s="602">
        <v>701985.78</v>
      </c>
      <c r="I27" s="602"/>
      <c r="J27" s="597">
        <v>7.0965</v>
      </c>
      <c r="K27" s="598" t="s">
        <v>1218</v>
      </c>
      <c r="L27" s="610">
        <v>45105</v>
      </c>
      <c r="M27" s="821" t="s">
        <v>2866</v>
      </c>
      <c r="N27" s="740" t="s">
        <v>2867</v>
      </c>
      <c r="O27" s="250"/>
      <c r="P27" s="751"/>
      <c r="Q27" s="752"/>
      <c r="R27" s="750"/>
      <c r="S27" s="1175"/>
      <c r="T27" s="1176"/>
      <c r="U27" s="1186"/>
      <c r="V27" s="1187"/>
      <c r="W27" s="1181"/>
      <c r="X27" s="1022"/>
    </row>
    <row r="28" s="10" customFormat="1" ht="18.75" customHeight="1" spans="1:24">
      <c r="A28" s="541"/>
      <c r="B28" s="556"/>
      <c r="C28" s="557"/>
      <c r="D28" s="655"/>
      <c r="E28" s="1163" t="s">
        <v>2868</v>
      </c>
      <c r="F28" s="725">
        <v>740</v>
      </c>
      <c r="G28" s="567">
        <f t="shared" si="2"/>
        <v>5251.41</v>
      </c>
      <c r="H28" s="577">
        <v>5251.41</v>
      </c>
      <c r="I28" s="577">
        <v>5251.41</v>
      </c>
      <c r="J28" s="614">
        <v>7.0965</v>
      </c>
      <c r="K28" s="598" t="s">
        <v>1218</v>
      </c>
      <c r="L28" s="644"/>
      <c r="M28" s="633" t="s">
        <v>2792</v>
      </c>
      <c r="N28" s="1057" t="s">
        <v>2761</v>
      </c>
      <c r="O28" s="572"/>
      <c r="P28" s="572"/>
      <c r="Q28" s="752"/>
      <c r="R28" s="753"/>
      <c r="S28" s="753"/>
      <c r="T28" s="750"/>
      <c r="U28" s="631"/>
      <c r="V28" s="1188"/>
      <c r="W28" s="1189"/>
      <c r="X28" s="1022"/>
    </row>
    <row r="29" s="10" customFormat="1" ht="18.75" customHeight="1" spans="1:24">
      <c r="A29" s="541"/>
      <c r="B29" s="556"/>
      <c r="C29" s="557"/>
      <c r="D29" s="655"/>
      <c r="E29" s="1163" t="s">
        <v>2869</v>
      </c>
      <c r="F29" s="725">
        <v>9765</v>
      </c>
      <c r="G29" s="567">
        <f t="shared" si="2"/>
        <v>69297.3225</v>
      </c>
      <c r="H29" s="577">
        <v>69297.3225</v>
      </c>
      <c r="I29" s="577">
        <v>69297.3225</v>
      </c>
      <c r="J29" s="614">
        <v>7.0965</v>
      </c>
      <c r="K29" s="598" t="s">
        <v>1218</v>
      </c>
      <c r="L29" s="644"/>
      <c r="M29" s="633" t="s">
        <v>2792</v>
      </c>
      <c r="N29" s="1057" t="s">
        <v>2761</v>
      </c>
      <c r="O29" s="572"/>
      <c r="P29" s="572"/>
      <c r="Q29" s="752"/>
      <c r="R29" s="753"/>
      <c r="S29" s="753"/>
      <c r="T29" s="750"/>
      <c r="U29" s="631"/>
      <c r="V29" s="1188"/>
      <c r="W29" s="1189"/>
      <c r="X29" s="1022"/>
    </row>
    <row r="30" s="10" customFormat="1" ht="18.75" customHeight="1" spans="1:24">
      <c r="A30" s="541"/>
      <c r="B30" s="556"/>
      <c r="C30" s="557"/>
      <c r="D30" s="655"/>
      <c r="E30" s="1163" t="s">
        <v>2870</v>
      </c>
      <c r="F30" s="725">
        <v>835</v>
      </c>
      <c r="G30" s="567">
        <f t="shared" si="2"/>
        <v>5925.5775</v>
      </c>
      <c r="H30" s="577">
        <v>5925.5775</v>
      </c>
      <c r="I30" s="577">
        <v>5925.5775</v>
      </c>
      <c r="J30" s="614">
        <v>7.0965</v>
      </c>
      <c r="K30" s="598" t="s">
        <v>1218</v>
      </c>
      <c r="L30" s="644"/>
      <c r="M30" s="633" t="s">
        <v>2792</v>
      </c>
      <c r="N30" s="1057" t="s">
        <v>2761</v>
      </c>
      <c r="O30" s="572"/>
      <c r="P30" s="572"/>
      <c r="Q30" s="752"/>
      <c r="R30" s="753"/>
      <c r="S30" s="753"/>
      <c r="T30" s="750"/>
      <c r="U30" s="631"/>
      <c r="V30" s="1188"/>
      <c r="W30" s="1189"/>
      <c r="X30" s="1022"/>
    </row>
    <row r="31" s="10" customFormat="1" ht="18.75" customHeight="1" spans="1:24">
      <c r="A31" s="541"/>
      <c r="B31" s="670"/>
      <c r="C31" s="968"/>
      <c r="D31" s="655"/>
      <c r="E31" s="1163" t="s">
        <v>2871</v>
      </c>
      <c r="F31" s="725">
        <v>1113</v>
      </c>
      <c r="G31" s="567">
        <f t="shared" si="2"/>
        <v>7898.4045</v>
      </c>
      <c r="H31" s="577">
        <v>7898.4045</v>
      </c>
      <c r="I31" s="577">
        <v>7898.4045</v>
      </c>
      <c r="J31" s="614">
        <v>7.0965</v>
      </c>
      <c r="K31" s="598" t="s">
        <v>1218</v>
      </c>
      <c r="L31" s="856">
        <v>45103</v>
      </c>
      <c r="M31" s="633" t="s">
        <v>2792</v>
      </c>
      <c r="N31" s="1057" t="s">
        <v>2761</v>
      </c>
      <c r="O31" s="572"/>
      <c r="P31" s="572"/>
      <c r="Q31" s="752"/>
      <c r="R31" s="753"/>
      <c r="S31" s="753"/>
      <c r="T31" s="750"/>
      <c r="U31" s="631"/>
      <c r="V31" s="1188"/>
      <c r="W31" s="1189"/>
      <c r="X31" s="1022"/>
    </row>
    <row r="32" s="10" customFormat="1" ht="18.75" customHeight="1" spans="1:24">
      <c r="A32" s="541"/>
      <c r="B32" s="714" t="s">
        <v>1922</v>
      </c>
      <c r="C32" s="655">
        <v>74</v>
      </c>
      <c r="D32" s="655" t="s">
        <v>165</v>
      </c>
      <c r="E32" s="1163" t="s">
        <v>2872</v>
      </c>
      <c r="F32" s="576">
        <v>36575</v>
      </c>
      <c r="G32" s="596">
        <f t="shared" si="2"/>
        <v>259554.4875</v>
      </c>
      <c r="H32" s="602">
        <v>259554.4875</v>
      </c>
      <c r="I32" s="602">
        <v>259554.4875</v>
      </c>
      <c r="J32" s="597">
        <v>7.0965</v>
      </c>
      <c r="K32" s="598" t="s">
        <v>1218</v>
      </c>
      <c r="L32" s="856">
        <v>45104</v>
      </c>
      <c r="M32" s="625">
        <v>45107</v>
      </c>
      <c r="N32" s="740" t="s">
        <v>2873</v>
      </c>
      <c r="O32" s="572"/>
      <c r="P32" s="655" t="s">
        <v>2640</v>
      </c>
      <c r="Q32" s="752"/>
      <c r="R32" s="753"/>
      <c r="S32" s="753"/>
      <c r="T32" s="750"/>
      <c r="U32" s="631"/>
      <c r="V32" s="1188"/>
      <c r="W32" s="1189"/>
      <c r="X32" s="1022"/>
    </row>
    <row r="33" s="10" customFormat="1" ht="18.75" customHeight="1" spans="1:24">
      <c r="A33" s="541"/>
      <c r="B33" s="664"/>
      <c r="C33" s="655"/>
      <c r="D33" s="655"/>
      <c r="E33" s="250" t="s">
        <v>2765</v>
      </c>
      <c r="F33" s="725">
        <v>20064</v>
      </c>
      <c r="G33" s="567"/>
      <c r="H33" s="577"/>
      <c r="I33" s="577">
        <v>138549.9456</v>
      </c>
      <c r="J33" s="614">
        <v>6.9054</v>
      </c>
      <c r="K33" s="598" t="s">
        <v>1218</v>
      </c>
      <c r="L33" s="645">
        <v>45076</v>
      </c>
      <c r="M33" s="625">
        <v>45083</v>
      </c>
      <c r="N33" s="740" t="s">
        <v>2874</v>
      </c>
      <c r="O33" s="572"/>
      <c r="P33" s="572"/>
      <c r="Q33" s="752"/>
      <c r="R33" s="753"/>
      <c r="S33" s="753"/>
      <c r="T33" s="750"/>
      <c r="U33" s="631"/>
      <c r="V33" s="1188"/>
      <c r="W33" s="1189"/>
      <c r="X33" s="1022"/>
    </row>
    <row r="34" s="10" customFormat="1" ht="16.5" spans="1:23">
      <c r="A34" s="827"/>
      <c r="B34" s="664" t="s">
        <v>209</v>
      </c>
      <c r="C34" s="655">
        <v>143</v>
      </c>
      <c r="D34" s="561" t="s">
        <v>274</v>
      </c>
      <c r="E34" s="1163" t="s">
        <v>2875</v>
      </c>
      <c r="F34" s="725">
        <v>37202</v>
      </c>
      <c r="G34" s="567">
        <f t="shared" ref="G34:G40" si="3">F34*J34</f>
        <v>264003.993</v>
      </c>
      <c r="H34" s="735">
        <v>264003.993</v>
      </c>
      <c r="I34" s="735"/>
      <c r="J34" s="614">
        <v>7.0965</v>
      </c>
      <c r="K34" s="598" t="s">
        <v>1218</v>
      </c>
      <c r="L34" s="598">
        <v>45107</v>
      </c>
      <c r="M34" s="854">
        <v>45108</v>
      </c>
      <c r="N34" s="740" t="s">
        <v>2876</v>
      </c>
      <c r="O34" s="744"/>
      <c r="P34" s="655" t="s">
        <v>2640</v>
      </c>
      <c r="Q34" s="744"/>
      <c r="R34" s="754"/>
      <c r="S34" s="754"/>
      <c r="T34" s="992"/>
      <c r="U34" s="608"/>
      <c r="V34" s="1209"/>
      <c r="W34" s="1210"/>
    </row>
    <row r="35" s="10" customFormat="1" ht="18.75" customHeight="1" spans="1:23">
      <c r="A35" s="669"/>
      <c r="B35" s="664"/>
      <c r="C35" s="655"/>
      <c r="D35" s="561" t="s">
        <v>256</v>
      </c>
      <c r="E35" s="1155" t="s">
        <v>2877</v>
      </c>
      <c r="F35" s="725">
        <v>56735</v>
      </c>
      <c r="G35" s="567">
        <f t="shared" si="3"/>
        <v>402619.9275</v>
      </c>
      <c r="H35" s="567">
        <v>402619.54</v>
      </c>
      <c r="I35" s="577"/>
      <c r="J35" s="614">
        <v>7.0965</v>
      </c>
      <c r="K35" s="598" t="s">
        <v>1218</v>
      </c>
      <c r="L35" s="598">
        <v>45103</v>
      </c>
      <c r="M35" s="854">
        <v>45112</v>
      </c>
      <c r="N35" s="740" t="s">
        <v>2878</v>
      </c>
      <c r="O35" s="561"/>
      <c r="P35" s="655" t="s">
        <v>1864</v>
      </c>
      <c r="Q35" s="752"/>
      <c r="R35" s="756"/>
      <c r="S35" s="1203"/>
      <c r="T35" s="1204"/>
      <c r="U35" s="715"/>
      <c r="V35" s="1211"/>
      <c r="W35" s="1182"/>
    </row>
    <row r="36" s="10" customFormat="1" ht="18.75" customHeight="1" spans="1:23">
      <c r="A36" s="669"/>
      <c r="B36" s="664"/>
      <c r="C36" s="655"/>
      <c r="D36" s="571" t="s">
        <v>243</v>
      </c>
      <c r="E36" s="1155" t="s">
        <v>2879</v>
      </c>
      <c r="F36" s="969">
        <v>18246</v>
      </c>
      <c r="G36" s="567">
        <f t="shared" si="3"/>
        <v>129482.739</v>
      </c>
      <c r="H36" s="577">
        <v>129482.739</v>
      </c>
      <c r="I36" s="577">
        <v>129482.739</v>
      </c>
      <c r="J36" s="614">
        <v>7.0965</v>
      </c>
      <c r="K36" s="598" t="s">
        <v>1218</v>
      </c>
      <c r="L36" s="598">
        <v>45102</v>
      </c>
      <c r="M36" s="625">
        <v>45106</v>
      </c>
      <c r="N36" s="740" t="s">
        <v>2880</v>
      </c>
      <c r="O36" s="250"/>
      <c r="P36" s="250" t="s">
        <v>1656</v>
      </c>
      <c r="Q36" s="755"/>
      <c r="R36" s="756"/>
      <c r="S36" s="1203"/>
      <c r="T36" s="1204"/>
      <c r="U36" s="715"/>
      <c r="V36" s="1211"/>
      <c r="W36" s="1182"/>
    </row>
    <row r="37" s="10" customFormat="1" ht="16.5" spans="1:23">
      <c r="A37" s="827"/>
      <c r="B37" s="664"/>
      <c r="C37" s="655"/>
      <c r="D37" s="971" t="s">
        <v>1483</v>
      </c>
      <c r="E37" s="1195" t="s">
        <v>2881</v>
      </c>
      <c r="F37" s="722">
        <v>10047</v>
      </c>
      <c r="G37" s="567">
        <f t="shared" si="3"/>
        <v>71298.5355</v>
      </c>
      <c r="H37" s="735">
        <v>71298.5355</v>
      </c>
      <c r="I37" s="735">
        <v>71298.5355</v>
      </c>
      <c r="J37" s="614">
        <v>7.0965</v>
      </c>
      <c r="K37" s="598" t="s">
        <v>1218</v>
      </c>
      <c r="L37" s="645">
        <v>45102</v>
      </c>
      <c r="M37" s="625" t="s">
        <v>2792</v>
      </c>
      <c r="N37" s="1057" t="s">
        <v>2761</v>
      </c>
      <c r="O37" s="744"/>
      <c r="P37" s="572" t="s">
        <v>2161</v>
      </c>
      <c r="Q37" s="744"/>
      <c r="R37" s="754"/>
      <c r="S37" s="754"/>
      <c r="T37" s="992"/>
      <c r="U37" s="608"/>
      <c r="V37" s="1209"/>
      <c r="W37" s="1210"/>
    </row>
    <row r="38" s="10" customFormat="1" ht="16.5" spans="1:23">
      <c r="A38" s="827"/>
      <c r="B38" s="664"/>
      <c r="C38" s="655"/>
      <c r="D38" s="904"/>
      <c r="E38" s="1195" t="s">
        <v>2882</v>
      </c>
      <c r="F38" s="722">
        <v>3000</v>
      </c>
      <c r="G38" s="567">
        <f t="shared" si="3"/>
        <v>21289.5</v>
      </c>
      <c r="H38" s="735">
        <v>21289.5</v>
      </c>
      <c r="I38" s="735">
        <v>21289.5</v>
      </c>
      <c r="J38" s="614">
        <v>7.0965</v>
      </c>
      <c r="K38" s="598" t="s">
        <v>1218</v>
      </c>
      <c r="L38" s="625">
        <v>45105</v>
      </c>
      <c r="M38" s="625" t="s">
        <v>2792</v>
      </c>
      <c r="N38" s="1057" t="s">
        <v>2761</v>
      </c>
      <c r="O38" s="744"/>
      <c r="P38" s="572" t="s">
        <v>2161</v>
      </c>
      <c r="Q38" s="744"/>
      <c r="R38" s="754"/>
      <c r="S38" s="754"/>
      <c r="T38" s="992"/>
      <c r="U38" s="608"/>
      <c r="V38" s="1209"/>
      <c r="W38" s="1210"/>
    </row>
    <row r="39" s="10" customFormat="1" ht="18.75" customHeight="1" spans="1:23">
      <c r="A39" s="669"/>
      <c r="B39" s="664"/>
      <c r="C39" s="655"/>
      <c r="D39" s="568" t="s">
        <v>166</v>
      </c>
      <c r="E39" s="1195" t="s">
        <v>2883</v>
      </c>
      <c r="F39" s="969">
        <v>10060</v>
      </c>
      <c r="G39" s="567">
        <f t="shared" si="3"/>
        <v>71390.79</v>
      </c>
      <c r="H39" s="567">
        <v>71390.79</v>
      </c>
      <c r="I39" s="567">
        <v>71390.79</v>
      </c>
      <c r="J39" s="614">
        <v>7.0965</v>
      </c>
      <c r="K39" s="598" t="s">
        <v>1218</v>
      </c>
      <c r="L39" s="625">
        <v>45105</v>
      </c>
      <c r="M39" s="625">
        <v>45106</v>
      </c>
      <c r="N39" s="740" t="s">
        <v>2873</v>
      </c>
      <c r="O39" s="598"/>
      <c r="P39" s="250" t="s">
        <v>1656</v>
      </c>
      <c r="Q39" s="755"/>
      <c r="R39" s="756"/>
      <c r="S39" s="1203"/>
      <c r="T39" s="1204"/>
      <c r="U39" s="715"/>
      <c r="V39" s="1211"/>
      <c r="W39" s="1182"/>
    </row>
    <row r="40" s="10" customFormat="1" ht="18.75" customHeight="1" spans="1:23">
      <c r="A40" s="669"/>
      <c r="B40" s="664"/>
      <c r="C40" s="655"/>
      <c r="D40" s="723" t="s">
        <v>1418</v>
      </c>
      <c r="E40" s="1195" t="s">
        <v>2884</v>
      </c>
      <c r="F40" s="969">
        <v>7313</v>
      </c>
      <c r="G40" s="567">
        <f t="shared" si="3"/>
        <v>51896.7045</v>
      </c>
      <c r="H40" s="567">
        <v>51896.7045</v>
      </c>
      <c r="I40" s="567">
        <v>51896.7045</v>
      </c>
      <c r="J40" s="614">
        <v>7.0965</v>
      </c>
      <c r="K40" s="598" t="s">
        <v>1218</v>
      </c>
      <c r="L40" s="598"/>
      <c r="M40" s="625" t="s">
        <v>2885</v>
      </c>
      <c r="N40" s="740" t="s">
        <v>2886</v>
      </c>
      <c r="O40" s="598"/>
      <c r="P40" s="716" t="s">
        <v>2161</v>
      </c>
      <c r="Q40" s="755"/>
      <c r="R40" s="756"/>
      <c r="S40" s="1203"/>
      <c r="T40" s="1204"/>
      <c r="U40" s="715"/>
      <c r="V40" s="1211"/>
      <c r="W40" s="1182"/>
    </row>
    <row r="41" s="10" customFormat="1" ht="18.75" customHeight="1" spans="1:24">
      <c r="A41" s="669"/>
      <c r="B41" s="664"/>
      <c r="C41" s="655"/>
      <c r="D41" s="571" t="s">
        <v>1408</v>
      </c>
      <c r="E41" s="561" t="s">
        <v>2770</v>
      </c>
      <c r="F41" s="725">
        <v>38593</v>
      </c>
      <c r="G41" s="567"/>
      <c r="H41" s="577"/>
      <c r="I41" s="577">
        <v>266500.1022</v>
      </c>
      <c r="J41" s="614">
        <v>6.9054</v>
      </c>
      <c r="K41" s="598" t="s">
        <v>1218</v>
      </c>
      <c r="L41" s="644">
        <v>45077</v>
      </c>
      <c r="M41" s="625">
        <v>45091</v>
      </c>
      <c r="N41" s="740" t="s">
        <v>2766</v>
      </c>
      <c r="O41" s="572"/>
      <c r="P41" s="572"/>
      <c r="Q41" s="752"/>
      <c r="R41" s="753"/>
      <c r="S41" s="753"/>
      <c r="T41" s="750"/>
      <c r="U41" s="631"/>
      <c r="V41" s="1188"/>
      <c r="W41" s="1189"/>
      <c r="X41" s="1022"/>
    </row>
    <row r="42" s="10" customFormat="1" ht="18.75" customHeight="1" spans="1:23">
      <c r="A42" s="669"/>
      <c r="B42" s="664"/>
      <c r="C42" s="655"/>
      <c r="D42" s="571" t="s">
        <v>247</v>
      </c>
      <c r="E42" s="561" t="s">
        <v>2774</v>
      </c>
      <c r="F42" s="969">
        <v>35590</v>
      </c>
      <c r="G42" s="567"/>
      <c r="H42" s="577"/>
      <c r="I42" s="577">
        <v>245763.186</v>
      </c>
      <c r="J42" s="614">
        <v>6.9054</v>
      </c>
      <c r="K42" s="598" t="s">
        <v>1218</v>
      </c>
      <c r="L42" s="598">
        <v>45077</v>
      </c>
      <c r="M42" s="625">
        <v>45080</v>
      </c>
      <c r="N42" s="740" t="s">
        <v>2766</v>
      </c>
      <c r="O42" s="250"/>
      <c r="P42" s="751"/>
      <c r="Q42" s="755"/>
      <c r="R42" s="756"/>
      <c r="S42" s="1203"/>
      <c r="T42" s="1204"/>
      <c r="U42" s="715"/>
      <c r="V42" s="1211"/>
      <c r="W42" s="1182"/>
    </row>
    <row r="43" s="10" customFormat="1" ht="16.5" spans="1:23">
      <c r="A43" s="827"/>
      <c r="B43" s="664"/>
      <c r="C43" s="655"/>
      <c r="D43" s="561" t="s">
        <v>175</v>
      </c>
      <c r="E43" s="561" t="s">
        <v>2775</v>
      </c>
      <c r="F43" s="969">
        <v>17190</v>
      </c>
      <c r="G43" s="567"/>
      <c r="H43" s="577"/>
      <c r="I43" s="577">
        <v>118703.826</v>
      </c>
      <c r="J43" s="614">
        <v>6.9054</v>
      </c>
      <c r="K43" s="598" t="s">
        <v>1218</v>
      </c>
      <c r="L43" s="598">
        <v>45075</v>
      </c>
      <c r="M43" s="625">
        <v>45082</v>
      </c>
      <c r="N43" s="740" t="s">
        <v>2766</v>
      </c>
      <c r="O43" s="744"/>
      <c r="P43" s="623"/>
      <c r="Q43" s="744"/>
      <c r="R43" s="754"/>
      <c r="S43" s="754"/>
      <c r="T43" s="992"/>
      <c r="U43" s="608"/>
      <c r="V43" s="1209"/>
      <c r="W43" s="1210"/>
    </row>
    <row r="44" s="10" customFormat="1" ht="19.5" customHeight="1" spans="1:23">
      <c r="A44" s="669"/>
      <c r="B44" s="664"/>
      <c r="C44" s="655"/>
      <c r="D44" s="571" t="s">
        <v>256</v>
      </c>
      <c r="E44" s="561" t="s">
        <v>2776</v>
      </c>
      <c r="F44" s="969">
        <v>25417</v>
      </c>
      <c r="G44" s="567"/>
      <c r="H44" s="577"/>
      <c r="I44" s="577">
        <v>175515</v>
      </c>
      <c r="J44" s="614">
        <v>6.9054</v>
      </c>
      <c r="K44" s="598" t="s">
        <v>1218</v>
      </c>
      <c r="L44" s="644">
        <v>45070</v>
      </c>
      <c r="M44" s="625">
        <v>45078</v>
      </c>
      <c r="N44" s="706" t="s">
        <v>2864</v>
      </c>
      <c r="O44" s="250"/>
      <c r="P44" s="751"/>
      <c r="Q44" s="755"/>
      <c r="R44" s="756"/>
      <c r="S44" s="1203"/>
      <c r="T44" s="1204"/>
      <c r="U44" s="715"/>
      <c r="V44" s="1211"/>
      <c r="W44" s="1182"/>
    </row>
    <row r="45" s="10" customFormat="1" ht="17.15" customHeight="1" spans="1:24">
      <c r="A45" s="541"/>
      <c r="B45" s="556" t="s">
        <v>1437</v>
      </c>
      <c r="C45" s="968">
        <v>66</v>
      </c>
      <c r="D45" s="544" t="s">
        <v>1169</v>
      </c>
      <c r="E45" s="568" t="s">
        <v>2791</v>
      </c>
      <c r="F45" s="725">
        <v>45672</v>
      </c>
      <c r="G45" s="567"/>
      <c r="H45" s="567"/>
      <c r="I45" s="567">
        <v>315383</v>
      </c>
      <c r="J45" s="614">
        <v>6.9054</v>
      </c>
      <c r="K45" s="598" t="s">
        <v>1218</v>
      </c>
      <c r="L45" s="707">
        <v>45075</v>
      </c>
      <c r="M45" s="708" t="s">
        <v>2792</v>
      </c>
      <c r="N45" s="706" t="s">
        <v>2887</v>
      </c>
      <c r="O45" s="571"/>
      <c r="P45" s="572" t="s">
        <v>2888</v>
      </c>
      <c r="Q45" s="656"/>
      <c r="R45" s="733"/>
      <c r="S45" s="753"/>
      <c r="T45" s="753"/>
      <c r="U45" s="750"/>
      <c r="V45" s="750"/>
      <c r="W45" s="1181"/>
      <c r="X45" s="1022"/>
    </row>
    <row r="46" s="10" customFormat="1" ht="25.95" customHeight="1" spans="1:24">
      <c r="A46" s="541"/>
      <c r="B46" s="556"/>
      <c r="C46" s="968"/>
      <c r="D46" s="546"/>
      <c r="E46" s="1195" t="s">
        <v>2889</v>
      </c>
      <c r="F46" s="1196">
        <v>700</v>
      </c>
      <c r="G46" s="567">
        <f>F46*J46</f>
        <v>4967.55</v>
      </c>
      <c r="H46" s="735">
        <v>4967.55</v>
      </c>
      <c r="I46" s="735">
        <v>4967.55</v>
      </c>
      <c r="J46" s="614">
        <v>7.0965</v>
      </c>
      <c r="K46" s="598" t="s">
        <v>1218</v>
      </c>
      <c r="L46" s="644">
        <v>45082</v>
      </c>
      <c r="M46" s="633" t="s">
        <v>2792</v>
      </c>
      <c r="N46" s="1057" t="s">
        <v>2761</v>
      </c>
      <c r="O46" s="571"/>
      <c r="P46" s="572" t="s">
        <v>2161</v>
      </c>
      <c r="Q46" s="656"/>
      <c r="R46" s="733"/>
      <c r="S46" s="753"/>
      <c r="T46" s="753"/>
      <c r="U46" s="750"/>
      <c r="V46" s="750"/>
      <c r="W46" s="1181"/>
      <c r="X46" s="1022"/>
    </row>
    <row r="47" s="10" customFormat="1" ht="23.55" customHeight="1" spans="1:24">
      <c r="A47" s="541"/>
      <c r="B47" s="556"/>
      <c r="C47" s="968"/>
      <c r="D47" s="715" t="s">
        <v>2147</v>
      </c>
      <c r="E47" s="1195" t="s">
        <v>2890</v>
      </c>
      <c r="F47" s="783">
        <v>42006</v>
      </c>
      <c r="G47" s="567">
        <f>F47*J47</f>
        <v>298095.579</v>
      </c>
      <c r="H47" s="735">
        <v>298095.579</v>
      </c>
      <c r="I47" s="735">
        <v>298095.579</v>
      </c>
      <c r="J47" s="614">
        <v>7.0965</v>
      </c>
      <c r="K47" s="707" t="s">
        <v>1218</v>
      </c>
      <c r="L47" s="856">
        <v>45104</v>
      </c>
      <c r="M47" s="598">
        <v>45106</v>
      </c>
      <c r="N47" s="937" t="s">
        <v>2891</v>
      </c>
      <c r="O47" s="572" t="s">
        <v>2648</v>
      </c>
      <c r="P47" s="250" t="s">
        <v>1656</v>
      </c>
      <c r="Q47" s="656"/>
      <c r="R47" s="733"/>
      <c r="S47" s="753"/>
      <c r="T47" s="753"/>
      <c r="U47" s="750"/>
      <c r="V47" s="750"/>
      <c r="W47" s="1181"/>
      <c r="X47" s="1022"/>
    </row>
    <row r="48" s="10" customFormat="1" ht="22.2" customHeight="1" spans="1:24">
      <c r="A48" s="541"/>
      <c r="B48" s="664"/>
      <c r="C48" s="655"/>
      <c r="D48" s="715" t="s">
        <v>167</v>
      </c>
      <c r="E48" s="1197" t="s">
        <v>2892</v>
      </c>
      <c r="F48" s="725">
        <v>16866</v>
      </c>
      <c r="G48" s="567">
        <f>F48*J48</f>
        <v>119689.569</v>
      </c>
      <c r="H48" s="577">
        <v>119689.569</v>
      </c>
      <c r="I48" s="577">
        <v>119689.569</v>
      </c>
      <c r="J48" s="614">
        <v>7.0965</v>
      </c>
      <c r="K48" s="598" t="s">
        <v>1218</v>
      </c>
      <c r="L48" s="598">
        <v>45103</v>
      </c>
      <c r="M48" s="625">
        <v>45105</v>
      </c>
      <c r="N48" s="740" t="s">
        <v>2893</v>
      </c>
      <c r="O48" s="572"/>
      <c r="P48" s="655" t="s">
        <v>2640</v>
      </c>
      <c r="Q48" s="656"/>
      <c r="R48" s="733"/>
      <c r="S48" s="753"/>
      <c r="T48" s="753"/>
      <c r="U48" s="750"/>
      <c r="V48" s="750"/>
      <c r="W48" s="1181"/>
      <c r="X48" s="1022"/>
    </row>
    <row r="49" s="10" customFormat="1" ht="22.2" customHeight="1" spans="1:24">
      <c r="A49" s="541"/>
      <c r="B49" s="664"/>
      <c r="C49" s="655"/>
      <c r="D49" s="715" t="s">
        <v>2147</v>
      </c>
      <c r="E49" s="568" t="s">
        <v>2779</v>
      </c>
      <c r="F49" s="725"/>
      <c r="G49" s="567"/>
      <c r="H49" s="577"/>
      <c r="I49" s="577">
        <v>115983.0984</v>
      </c>
      <c r="J49" s="614">
        <v>7.0965</v>
      </c>
      <c r="K49" s="598" t="s">
        <v>1218</v>
      </c>
      <c r="L49" s="707">
        <v>45075</v>
      </c>
      <c r="M49" s="707">
        <v>45081</v>
      </c>
      <c r="N49" s="706" t="s">
        <v>2864</v>
      </c>
      <c r="O49" s="572"/>
      <c r="P49" s="572" t="s">
        <v>2161</v>
      </c>
      <c r="Q49" s="656"/>
      <c r="R49" s="733"/>
      <c r="S49" s="753"/>
      <c r="T49" s="753"/>
      <c r="U49" s="750"/>
      <c r="V49" s="750"/>
      <c r="W49" s="1181"/>
      <c r="X49" s="1022"/>
    </row>
    <row r="50" s="10" customFormat="1" ht="16.5" spans="1:23">
      <c r="A50" s="541"/>
      <c r="B50" s="1190" t="s">
        <v>1124</v>
      </c>
      <c r="C50" s="1191">
        <f>SUM(C22:C49)</f>
        <v>426</v>
      </c>
      <c r="D50" s="1191"/>
      <c r="E50" s="1198"/>
      <c r="F50" s="1157" t="s">
        <v>1235</v>
      </c>
      <c r="G50" s="1158">
        <f>SUM(G22:G49)</f>
        <v>3097891.917</v>
      </c>
      <c r="H50" s="1158">
        <f>SUM(H22:H49)</f>
        <v>3097891.5295</v>
      </c>
      <c r="I50" s="1158">
        <f>SUM(I22:I49)</f>
        <v>3152247.2972</v>
      </c>
      <c r="J50" s="614"/>
      <c r="K50" s="610"/>
      <c r="L50" s="644"/>
      <c r="M50" s="644"/>
      <c r="N50" s="1013"/>
      <c r="O50" s="1200"/>
      <c r="P50" s="655"/>
      <c r="Q50" s="656"/>
      <c r="R50" s="754"/>
      <c r="S50" s="754"/>
      <c r="T50" s="992"/>
      <c r="U50" s="608"/>
      <c r="V50" s="1209"/>
      <c r="W50" s="1210"/>
    </row>
    <row r="51" s="10" customFormat="1" ht="16.5" spans="1:23">
      <c r="A51" s="672"/>
      <c r="B51" s="1192"/>
      <c r="C51" s="1150"/>
      <c r="D51" s="1150"/>
      <c r="E51" s="1198"/>
      <c r="F51" s="1157" t="s">
        <v>1236</v>
      </c>
      <c r="G51" s="1199">
        <f>G50/4260000</f>
        <v>0.727204675352113</v>
      </c>
      <c r="H51" s="1199">
        <f>H50/4260000</f>
        <v>0.727204584389671</v>
      </c>
      <c r="I51" s="1199">
        <f>I50/4260000</f>
        <v>0.7399641542723</v>
      </c>
      <c r="J51" s="614"/>
      <c r="K51" s="858"/>
      <c r="L51" s="1135"/>
      <c r="M51" s="1135"/>
      <c r="N51" s="1015"/>
      <c r="O51" s="727"/>
      <c r="P51" s="652"/>
      <c r="Q51" s="653"/>
      <c r="R51" s="653"/>
      <c r="S51" s="653"/>
      <c r="T51" s="653"/>
      <c r="U51" s="1184"/>
      <c r="V51" s="1184"/>
      <c r="W51" s="1185"/>
    </row>
    <row r="52" s="536" customFormat="1" ht="18.75" customHeight="1" spans="1:23">
      <c r="A52" s="564" t="s">
        <v>1984</v>
      </c>
      <c r="B52" s="671" t="s">
        <v>38</v>
      </c>
      <c r="C52" s="557">
        <v>142</v>
      </c>
      <c r="D52" s="250" t="s">
        <v>150</v>
      </c>
      <c r="E52" s="1163" t="s">
        <v>2894</v>
      </c>
      <c r="F52" s="591">
        <v>71025</v>
      </c>
      <c r="G52" s="577">
        <f>F52*J52</f>
        <v>504028.9125</v>
      </c>
      <c r="H52" s="577">
        <f>G52</f>
        <v>504028.9125</v>
      </c>
      <c r="I52" s="567"/>
      <c r="J52" s="614">
        <v>7.0965</v>
      </c>
      <c r="K52" s="633">
        <v>45103</v>
      </c>
      <c r="L52" s="644">
        <v>45103</v>
      </c>
      <c r="M52" s="1135">
        <v>45108</v>
      </c>
      <c r="N52" s="937" t="s">
        <v>2895</v>
      </c>
      <c r="O52" s="987"/>
      <c r="P52" s="655"/>
      <c r="Q52" s="664"/>
      <c r="R52" s="577"/>
      <c r="S52" s="577"/>
      <c r="T52" s="1171"/>
      <c r="U52" s="664"/>
      <c r="V52" s="664"/>
      <c r="W52" s="1182"/>
    </row>
    <row r="53" s="536" customFormat="1" ht="18.75" customHeight="1" spans="1:23">
      <c r="A53" s="564"/>
      <c r="B53" s="671"/>
      <c r="C53" s="557"/>
      <c r="D53" s="250" t="s">
        <v>143</v>
      </c>
      <c r="E53" s="1163" t="s">
        <v>2896</v>
      </c>
      <c r="F53" s="591">
        <v>94046</v>
      </c>
      <c r="G53" s="577">
        <f>F53*J53</f>
        <v>667397.439</v>
      </c>
      <c r="H53" s="567">
        <f>G53</f>
        <v>667397.439</v>
      </c>
      <c r="I53" s="567">
        <f>H53</f>
        <v>667397.439</v>
      </c>
      <c r="J53" s="614">
        <v>7.0965</v>
      </c>
      <c r="K53" s="633" t="s">
        <v>1218</v>
      </c>
      <c r="L53" s="644">
        <v>45098</v>
      </c>
      <c r="M53" s="644">
        <v>45101</v>
      </c>
      <c r="N53" s="937" t="s">
        <v>2897</v>
      </c>
      <c r="O53" s="731"/>
      <c r="P53" s="655"/>
      <c r="Q53" s="664"/>
      <c r="R53" s="577"/>
      <c r="S53" s="577"/>
      <c r="T53" s="1171"/>
      <c r="U53" s="664"/>
      <c r="V53" s="664"/>
      <c r="W53" s="1182"/>
    </row>
    <row r="54" s="536" customFormat="1" ht="18.75" customHeight="1" spans="1:23">
      <c r="A54" s="564"/>
      <c r="B54" s="671"/>
      <c r="C54" s="557"/>
      <c r="D54" s="250" t="s">
        <v>150</v>
      </c>
      <c r="E54" s="250" t="s">
        <v>2797</v>
      </c>
      <c r="F54" s="591"/>
      <c r="G54" s="577"/>
      <c r="H54" s="567"/>
      <c r="I54" s="567">
        <v>210000</v>
      </c>
      <c r="J54" s="614">
        <v>6.9054</v>
      </c>
      <c r="K54" s="633"/>
      <c r="L54" s="644">
        <v>45076</v>
      </c>
      <c r="M54" s="644">
        <v>45080</v>
      </c>
      <c r="N54" s="937"/>
      <c r="O54" s="731"/>
      <c r="P54" s="655"/>
      <c r="Q54" s="664"/>
      <c r="R54" s="577"/>
      <c r="S54" s="577"/>
      <c r="T54" s="1171"/>
      <c r="U54" s="664"/>
      <c r="V54" s="664"/>
      <c r="W54" s="1182"/>
    </row>
    <row r="55" s="536" customFormat="1" ht="18.75" customHeight="1" spans="1:23">
      <c r="A55" s="721"/>
      <c r="B55" s="671"/>
      <c r="C55" s="557"/>
      <c r="D55" s="673" t="s">
        <v>143</v>
      </c>
      <c r="E55" s="250" t="s">
        <v>2898</v>
      </c>
      <c r="F55" s="591"/>
      <c r="G55" s="577"/>
      <c r="H55" s="567"/>
      <c r="I55" s="567">
        <v>718162</v>
      </c>
      <c r="J55" s="614">
        <v>6.9054</v>
      </c>
      <c r="K55" s="610"/>
      <c r="L55" s="644">
        <v>45074</v>
      </c>
      <c r="M55" s="644">
        <v>45078</v>
      </c>
      <c r="N55" s="937"/>
      <c r="O55" s="731"/>
      <c r="P55" s="655"/>
      <c r="Q55" s="664"/>
      <c r="R55" s="577"/>
      <c r="S55" s="577"/>
      <c r="T55" s="1171"/>
      <c r="U55" s="664"/>
      <c r="V55" s="664"/>
      <c r="W55" s="1182"/>
    </row>
    <row r="56" s="10" customFormat="1" ht="19" customHeight="1" spans="1:23">
      <c r="A56" s="721"/>
      <c r="B56" s="1193" t="s">
        <v>509</v>
      </c>
      <c r="C56" s="759">
        <v>151</v>
      </c>
      <c r="D56" s="250" t="s">
        <v>1232</v>
      </c>
      <c r="E56" s="1163" t="s">
        <v>2899</v>
      </c>
      <c r="F56" s="969"/>
      <c r="G56" s="745">
        <v>142082.33</v>
      </c>
      <c r="H56" s="596">
        <f t="shared" ref="H56:H62" si="4">G56</f>
        <v>142082.33</v>
      </c>
      <c r="I56" s="603"/>
      <c r="J56" s="614">
        <v>7.0965</v>
      </c>
      <c r="K56" s="598">
        <v>45105</v>
      </c>
      <c r="L56" s="645">
        <v>45105</v>
      </c>
      <c r="M56" s="821" t="s">
        <v>2900</v>
      </c>
      <c r="N56" s="1057" t="s">
        <v>2901</v>
      </c>
      <c r="O56" s="572" t="s">
        <v>2902</v>
      </c>
      <c r="P56" s="874">
        <v>50</v>
      </c>
      <c r="Q56" s="625"/>
      <c r="R56" s="631"/>
      <c r="S56" s="1205"/>
      <c r="T56" s="1171"/>
      <c r="U56" s="664"/>
      <c r="V56" s="664"/>
      <c r="W56" s="1212"/>
    </row>
    <row r="57" s="10" customFormat="1" ht="19" customHeight="1" spans="1:23">
      <c r="A57" s="721"/>
      <c r="B57" s="1194"/>
      <c r="C57" s="557"/>
      <c r="D57" s="917" t="s">
        <v>768</v>
      </c>
      <c r="E57" s="1163" t="s">
        <v>2903</v>
      </c>
      <c r="F57" s="1002">
        <v>40094</v>
      </c>
      <c r="G57" s="577">
        <f>F57*J57</f>
        <v>284527.071</v>
      </c>
      <c r="H57" s="596">
        <f t="shared" si="4"/>
        <v>284527.071</v>
      </c>
      <c r="I57" s="596">
        <f>G57</f>
        <v>284527.071</v>
      </c>
      <c r="J57" s="614">
        <v>7.0965</v>
      </c>
      <c r="K57" s="598" t="s">
        <v>1218</v>
      </c>
      <c r="L57" s="598">
        <v>45089</v>
      </c>
      <c r="M57" s="625">
        <v>45094</v>
      </c>
      <c r="N57" s="994" t="s">
        <v>2904</v>
      </c>
      <c r="O57" s="572"/>
      <c r="P57" s="874"/>
      <c r="Q57" s="625"/>
      <c r="R57" s="631"/>
      <c r="S57" s="1205"/>
      <c r="T57" s="1171"/>
      <c r="U57" s="664"/>
      <c r="V57" s="664"/>
      <c r="W57" s="1212"/>
    </row>
    <row r="58" s="10" customFormat="1" ht="16.5" spans="1:23">
      <c r="A58" s="721"/>
      <c r="B58" s="1194"/>
      <c r="C58" s="557"/>
      <c r="D58" s="851" t="s">
        <v>2099</v>
      </c>
      <c r="E58" s="1163" t="s">
        <v>2905</v>
      </c>
      <c r="F58" s="969">
        <v>39160</v>
      </c>
      <c r="G58" s="577">
        <v>277904</v>
      </c>
      <c r="H58" s="567">
        <f t="shared" si="4"/>
        <v>277904</v>
      </c>
      <c r="I58" s="596">
        <f>H58</f>
        <v>277904</v>
      </c>
      <c r="J58" s="614">
        <v>7.0965</v>
      </c>
      <c r="K58" s="598" t="s">
        <v>1218</v>
      </c>
      <c r="L58" s="645">
        <v>45102</v>
      </c>
      <c r="M58" s="625">
        <v>45105</v>
      </c>
      <c r="N58" s="994" t="s">
        <v>2906</v>
      </c>
      <c r="O58" s="731"/>
      <c r="P58" s="655"/>
      <c r="Q58" s="664"/>
      <c r="R58" s="577"/>
      <c r="S58" s="577"/>
      <c r="T58" s="1171"/>
      <c r="U58" s="664"/>
      <c r="V58" s="664"/>
      <c r="W58" s="1182"/>
    </row>
    <row r="59" s="10" customFormat="1" ht="16.5" spans="1:23">
      <c r="A59" s="721"/>
      <c r="B59" s="1194"/>
      <c r="C59" s="557"/>
      <c r="D59" s="982" t="s">
        <v>151</v>
      </c>
      <c r="E59" s="1197" t="s">
        <v>2907</v>
      </c>
      <c r="F59" s="979">
        <v>33699</v>
      </c>
      <c r="G59" s="577">
        <f>F59*J59</f>
        <v>239144.9535</v>
      </c>
      <c r="H59" s="567">
        <f t="shared" si="4"/>
        <v>239144.9535</v>
      </c>
      <c r="I59" s="602"/>
      <c r="J59" s="614">
        <v>7.0965</v>
      </c>
      <c r="K59" s="598" t="s">
        <v>1218</v>
      </c>
      <c r="L59" s="645">
        <v>45106</v>
      </c>
      <c r="M59" s="821" t="s">
        <v>2900</v>
      </c>
      <c r="N59" s="740" t="s">
        <v>2908</v>
      </c>
      <c r="O59" s="731"/>
      <c r="P59" s="655"/>
      <c r="Q59" s="664"/>
      <c r="R59" s="577"/>
      <c r="S59" s="577"/>
      <c r="T59" s="1171"/>
      <c r="U59" s="664"/>
      <c r="V59" s="664"/>
      <c r="W59" s="1182"/>
    </row>
    <row r="60" s="10" customFormat="1" ht="16.5" spans="1:23">
      <c r="A60" s="721"/>
      <c r="B60" s="1194"/>
      <c r="C60" s="557"/>
      <c r="D60" s="982" t="s">
        <v>2273</v>
      </c>
      <c r="E60" s="1197" t="s">
        <v>2909</v>
      </c>
      <c r="F60" s="979">
        <v>16694</v>
      </c>
      <c r="G60" s="577">
        <v>118467</v>
      </c>
      <c r="H60" s="577">
        <f t="shared" si="4"/>
        <v>118467</v>
      </c>
      <c r="I60" s="602"/>
      <c r="J60" s="614">
        <v>7.0965</v>
      </c>
      <c r="K60" s="598"/>
      <c r="L60" s="645">
        <v>45106</v>
      </c>
      <c r="M60" s="821" t="s">
        <v>2900</v>
      </c>
      <c r="N60" s="1201" t="s">
        <v>2714</v>
      </c>
      <c r="O60" s="731"/>
      <c r="P60" s="655"/>
      <c r="Q60" s="664"/>
      <c r="R60" s="577"/>
      <c r="S60" s="577"/>
      <c r="T60" s="1171"/>
      <c r="U60" s="664"/>
      <c r="V60" s="664"/>
      <c r="W60" s="1182"/>
    </row>
    <row r="61" s="10" customFormat="1" ht="16.5" spans="1:23">
      <c r="A61" s="721"/>
      <c r="B61" s="1194"/>
      <c r="C61" s="557"/>
      <c r="D61" s="250" t="s">
        <v>453</v>
      </c>
      <c r="E61" s="1197" t="s">
        <v>2910</v>
      </c>
      <c r="F61" s="979">
        <v>2500</v>
      </c>
      <c r="G61" s="577">
        <f>F61*J61</f>
        <v>17741.25</v>
      </c>
      <c r="H61" s="577">
        <f t="shared" si="4"/>
        <v>17741.25</v>
      </c>
      <c r="I61" s="602">
        <f>H61</f>
        <v>17741.25</v>
      </c>
      <c r="J61" s="614">
        <v>7.0965</v>
      </c>
      <c r="K61" s="598"/>
      <c r="L61" s="1139"/>
      <c r="M61" s="1139" t="s">
        <v>2792</v>
      </c>
      <c r="N61" s="1201" t="s">
        <v>2911</v>
      </c>
      <c r="O61" s="731"/>
      <c r="P61" s="655"/>
      <c r="Q61" s="664"/>
      <c r="R61" s="577"/>
      <c r="S61" s="577"/>
      <c r="T61" s="1171"/>
      <c r="U61" s="664"/>
      <c r="V61" s="664"/>
      <c r="W61" s="1182"/>
    </row>
    <row r="62" s="10" customFormat="1" ht="16.5" spans="1:23">
      <c r="A62" s="721"/>
      <c r="B62" s="1194"/>
      <c r="C62" s="557"/>
      <c r="D62" s="982" t="s">
        <v>151</v>
      </c>
      <c r="E62" s="1197" t="s">
        <v>2912</v>
      </c>
      <c r="F62" s="979">
        <v>3000</v>
      </c>
      <c r="G62" s="577">
        <f>F62*J62</f>
        <v>21289.5</v>
      </c>
      <c r="H62" s="577">
        <f t="shared" si="4"/>
        <v>21289.5</v>
      </c>
      <c r="I62" s="602">
        <f>H62</f>
        <v>21289.5</v>
      </c>
      <c r="J62" s="614">
        <v>7.0965</v>
      </c>
      <c r="K62" s="598"/>
      <c r="L62" s="1139"/>
      <c r="M62" s="1139" t="s">
        <v>2792</v>
      </c>
      <c r="N62" s="1201" t="s">
        <v>2911</v>
      </c>
      <c r="O62" s="731"/>
      <c r="P62" s="655"/>
      <c r="Q62" s="664"/>
      <c r="R62" s="577"/>
      <c r="S62" s="577"/>
      <c r="T62" s="1171"/>
      <c r="U62" s="664"/>
      <c r="V62" s="664"/>
      <c r="W62" s="1182"/>
    </row>
    <row r="63" s="10" customFormat="1" ht="19" customHeight="1" spans="1:23">
      <c r="A63" s="721"/>
      <c r="B63" s="1194"/>
      <c r="C63" s="557"/>
      <c r="D63" s="250" t="s">
        <v>2099</v>
      </c>
      <c r="E63" s="250" t="s">
        <v>2802</v>
      </c>
      <c r="F63" s="1002"/>
      <c r="G63" s="567"/>
      <c r="H63" s="596"/>
      <c r="I63" s="596">
        <v>758310</v>
      </c>
      <c r="J63" s="614">
        <v>6.9054</v>
      </c>
      <c r="K63" s="598"/>
      <c r="L63" s="598">
        <v>45077</v>
      </c>
      <c r="M63" s="625">
        <v>45083</v>
      </c>
      <c r="N63" s="994" t="s">
        <v>2913</v>
      </c>
      <c r="O63" s="642"/>
      <c r="P63" s="655"/>
      <c r="Q63" s="664"/>
      <c r="R63" s="577"/>
      <c r="S63" s="1205"/>
      <c r="T63" s="1171"/>
      <c r="U63" s="664"/>
      <c r="V63" s="664"/>
      <c r="W63" s="1212"/>
    </row>
    <row r="64" s="929" customFormat="1" ht="16.5" spans="1:23">
      <c r="A64" s="541"/>
      <c r="B64" s="1194"/>
      <c r="C64" s="557"/>
      <c r="D64" s="982"/>
      <c r="E64" s="561"/>
      <c r="F64" s="979"/>
      <c r="G64" s="577"/>
      <c r="H64" s="577"/>
      <c r="I64" s="577"/>
      <c r="J64" s="614"/>
      <c r="K64" s="1131"/>
      <c r="L64" s="1139"/>
      <c r="M64" s="1140"/>
      <c r="N64" s="1201"/>
      <c r="O64" s="626"/>
      <c r="P64" s="1202"/>
      <c r="Q64" s="1206"/>
      <c r="R64" s="714"/>
      <c r="S64" s="1207"/>
      <c r="T64" s="1208"/>
      <c r="U64" s="1213"/>
      <c r="V64" s="714"/>
      <c r="W64" s="1214"/>
    </row>
    <row r="65" s="929" customFormat="1" ht="16.5" spans="1:23">
      <c r="A65" s="541"/>
      <c r="B65" s="1215" t="s">
        <v>1393</v>
      </c>
      <c r="C65" s="1216">
        <v>132</v>
      </c>
      <c r="D65" s="982" t="s">
        <v>660</v>
      </c>
      <c r="E65" s="1155" t="s">
        <v>2914</v>
      </c>
      <c r="F65" s="979">
        <v>19925</v>
      </c>
      <c r="G65" s="577">
        <f>F65*J65</f>
        <v>141397.7625</v>
      </c>
      <c r="H65" s="577">
        <f>G65</f>
        <v>141397.7625</v>
      </c>
      <c r="I65" s="577"/>
      <c r="J65" s="614">
        <v>7.0965</v>
      </c>
      <c r="K65" s="1131">
        <v>45094</v>
      </c>
      <c r="L65" s="1139">
        <v>45105</v>
      </c>
      <c r="M65" s="1140">
        <v>45109</v>
      </c>
      <c r="N65" s="740" t="s">
        <v>2915</v>
      </c>
      <c r="O65" s="626"/>
      <c r="P65" s="1202"/>
      <c r="Q65" s="1206"/>
      <c r="R65" s="714"/>
      <c r="S65" s="1207"/>
      <c r="T65" s="1208"/>
      <c r="U65" s="1213"/>
      <c r="V65" s="714"/>
      <c r="W65" s="1214"/>
    </row>
    <row r="66" s="10" customFormat="1" ht="16.5" spans="1:23">
      <c r="A66" s="721"/>
      <c r="B66" s="825"/>
      <c r="C66" s="557"/>
      <c r="D66" s="1217" t="s">
        <v>258</v>
      </c>
      <c r="E66" s="1155" t="s">
        <v>2916</v>
      </c>
      <c r="F66" s="979">
        <v>34912</v>
      </c>
      <c r="G66" s="577">
        <f t="shared" ref="G65:G68" si="5">F66*J66</f>
        <v>247753.008</v>
      </c>
      <c r="H66" s="577">
        <f>G66</f>
        <v>247753.008</v>
      </c>
      <c r="I66" s="735">
        <v>247753</v>
      </c>
      <c r="J66" s="614">
        <v>7.0965</v>
      </c>
      <c r="K66" s="1232"/>
      <c r="L66" s="625"/>
      <c r="M66" s="625">
        <v>45086</v>
      </c>
      <c r="N66" s="1235" t="s">
        <v>2917</v>
      </c>
      <c r="O66" s="1236"/>
      <c r="P66" s="571"/>
      <c r="Q66" s="1238"/>
      <c r="R66" s="1051"/>
      <c r="S66" s="1239"/>
      <c r="T66" s="1176"/>
      <c r="U66" s="664"/>
      <c r="V66" s="1187"/>
      <c r="W66" s="1182"/>
    </row>
    <row r="67" s="10" customFormat="1" ht="16.5" spans="1:23">
      <c r="A67" s="721"/>
      <c r="B67" s="825"/>
      <c r="C67" s="557"/>
      <c r="D67" s="250" t="s">
        <v>1563</v>
      </c>
      <c r="E67" s="1155" t="s">
        <v>2918</v>
      </c>
      <c r="F67" s="1227">
        <v>16234</v>
      </c>
      <c r="G67" s="577">
        <f t="shared" si="5"/>
        <v>115204.581</v>
      </c>
      <c r="H67" s="567">
        <f>G67</f>
        <v>115204.581</v>
      </c>
      <c r="I67" s="570">
        <f>H67</f>
        <v>115204.581</v>
      </c>
      <c r="J67" s="614">
        <v>7.0965</v>
      </c>
      <c r="K67" s="1233" t="s">
        <v>1218</v>
      </c>
      <c r="L67" s="967">
        <v>45098</v>
      </c>
      <c r="M67" s="967">
        <v>45107</v>
      </c>
      <c r="N67" s="1237" t="s">
        <v>2919</v>
      </c>
      <c r="O67" s="614"/>
      <c r="P67" s="571"/>
      <c r="Q67" s="1238"/>
      <c r="R67" s="1051"/>
      <c r="S67" s="1239"/>
      <c r="T67" s="1176"/>
      <c r="U67" s="664"/>
      <c r="V67" s="1187"/>
      <c r="W67" s="1182"/>
    </row>
    <row r="68" s="10" customFormat="1" ht="16.5" spans="1:23">
      <c r="A68" s="721"/>
      <c r="B68" s="825"/>
      <c r="C68" s="557"/>
      <c r="D68" s="917" t="s">
        <v>2920</v>
      </c>
      <c r="E68" s="1228" t="s">
        <v>2921</v>
      </c>
      <c r="F68" s="979">
        <v>30880</v>
      </c>
      <c r="G68" s="577">
        <f t="shared" si="5"/>
        <v>219139.92</v>
      </c>
      <c r="H68" s="567">
        <f>G68</f>
        <v>219139.92</v>
      </c>
      <c r="I68" s="735">
        <f>H68</f>
        <v>219139.92</v>
      </c>
      <c r="J68" s="614">
        <v>7.0965</v>
      </c>
      <c r="K68" s="1233" t="s">
        <v>1218</v>
      </c>
      <c r="L68" s="1131">
        <v>45097</v>
      </c>
      <c r="M68" s="636">
        <v>45100</v>
      </c>
      <c r="N68" s="1237" t="s">
        <v>2922</v>
      </c>
      <c r="O68" s="614"/>
      <c r="P68" s="571"/>
      <c r="Q68" s="1238"/>
      <c r="R68" s="1051"/>
      <c r="S68" s="1239"/>
      <c r="T68" s="1176"/>
      <c r="U68" s="664"/>
      <c r="V68" s="1187"/>
      <c r="W68" s="1182"/>
    </row>
    <row r="69" s="536" customFormat="1" ht="16.5" spans="1:23">
      <c r="A69" s="721"/>
      <c r="B69" s="1218"/>
      <c r="C69" s="716"/>
      <c r="D69" s="982" t="s">
        <v>267</v>
      </c>
      <c r="E69" s="1229" t="s">
        <v>2818</v>
      </c>
      <c r="F69" s="1196"/>
      <c r="G69" s="596"/>
      <c r="H69" s="602"/>
      <c r="I69" s="602">
        <v>184568</v>
      </c>
      <c r="J69" s="597">
        <v>6.9054</v>
      </c>
      <c r="K69" s="1234" t="s">
        <v>1218</v>
      </c>
      <c r="L69" s="598"/>
      <c r="M69" s="598">
        <v>45078</v>
      </c>
      <c r="N69" s="1013"/>
      <c r="O69" s="250"/>
      <c r="P69" s="568"/>
      <c r="Q69" s="1240"/>
      <c r="R69" s="756"/>
      <c r="S69" s="1203"/>
      <c r="T69" s="1204"/>
      <c r="U69" s="715"/>
      <c r="V69" s="1211"/>
      <c r="W69" s="1182"/>
    </row>
    <row r="70" s="536" customFormat="1" ht="16.5" spans="1:23">
      <c r="A70" s="721"/>
      <c r="B70" s="1218"/>
      <c r="C70" s="545"/>
      <c r="D70" s="982" t="s">
        <v>2811</v>
      </c>
      <c r="E70" s="1229" t="s">
        <v>2812</v>
      </c>
      <c r="F70" s="1196">
        <v>7009</v>
      </c>
      <c r="G70" s="596"/>
      <c r="H70" s="602"/>
      <c r="I70" s="602">
        <v>48400</v>
      </c>
      <c r="J70" s="597">
        <v>6.9054</v>
      </c>
      <c r="K70" s="1234" t="s">
        <v>1218</v>
      </c>
      <c r="L70" s="976"/>
      <c r="M70" s="598" t="s">
        <v>2792</v>
      </c>
      <c r="N70" s="1013" t="s">
        <v>2923</v>
      </c>
      <c r="O70" s="250"/>
      <c r="P70" s="568"/>
      <c r="Q70" s="1240"/>
      <c r="R70" s="756"/>
      <c r="S70" s="1203"/>
      <c r="T70" s="1204"/>
      <c r="U70" s="715"/>
      <c r="V70" s="1211"/>
      <c r="W70" s="1182"/>
    </row>
    <row r="71" s="10" customFormat="1" ht="16.5" spans="1:23">
      <c r="A71" s="721"/>
      <c r="B71" s="1190" t="s">
        <v>1124</v>
      </c>
      <c r="C71" s="1219">
        <f>SUM(C52:C70)</f>
        <v>425</v>
      </c>
      <c r="D71" s="1219"/>
      <c r="E71" s="1144"/>
      <c r="F71" s="1159" t="s">
        <v>1235</v>
      </c>
      <c r="G71" s="1230">
        <f>SUM(G52:G70)</f>
        <v>2996077.7275</v>
      </c>
      <c r="H71" s="1230">
        <f>SUM(H52:H70)</f>
        <v>2996077.7275</v>
      </c>
      <c r="I71" s="1230">
        <f>SUM(I52:I70)</f>
        <v>3770396.761</v>
      </c>
      <c r="J71" s="808"/>
      <c r="K71" s="809"/>
      <c r="L71" s="821"/>
      <c r="M71" s="996"/>
      <c r="N71" s="997"/>
      <c r="O71" s="727"/>
      <c r="P71" s="652"/>
      <c r="Q71" s="653"/>
      <c r="R71" s="809"/>
      <c r="S71" s="809"/>
      <c r="T71" s="809"/>
      <c r="U71" s="1184"/>
      <c r="V71" s="1184"/>
      <c r="W71" s="1185"/>
    </row>
    <row r="72" s="10" customFormat="1" ht="16.5" spans="1:23">
      <c r="A72" s="673"/>
      <c r="B72" s="1192"/>
      <c r="C72" s="1150"/>
      <c r="D72" s="1150"/>
      <c r="E72" s="1144"/>
      <c r="F72" s="1159" t="s">
        <v>1236</v>
      </c>
      <c r="G72" s="1160">
        <f>G71/4250000</f>
        <v>0.704959465294118</v>
      </c>
      <c r="H72" s="1160">
        <f>H71/4250000</f>
        <v>0.704959465294118</v>
      </c>
      <c r="I72" s="1160">
        <f>I71/4250000</f>
        <v>0.887152179058823</v>
      </c>
      <c r="J72" s="808"/>
      <c r="K72" s="809"/>
      <c r="L72" s="821"/>
      <c r="M72" s="996"/>
      <c r="N72" s="997"/>
      <c r="O72" s="727"/>
      <c r="P72" s="652"/>
      <c r="Q72" s="653"/>
      <c r="R72" s="809"/>
      <c r="S72" s="809"/>
      <c r="T72" s="809"/>
      <c r="U72" s="1184"/>
      <c r="V72" s="1184"/>
      <c r="W72" s="1185"/>
    </row>
    <row r="73" s="10" customFormat="1" ht="16.5" spans="1:23">
      <c r="A73" s="780" t="s">
        <v>1163</v>
      </c>
      <c r="B73" s="780"/>
      <c r="C73" s="652">
        <f t="shared" ref="C73:I73" si="6">C20+C50+C71</f>
        <v>1081</v>
      </c>
      <c r="D73" s="652"/>
      <c r="E73" s="727"/>
      <c r="F73" s="727" t="s">
        <v>14</v>
      </c>
      <c r="G73" s="804">
        <f t="shared" si="6"/>
        <v>8544419.4805</v>
      </c>
      <c r="H73" s="804">
        <f t="shared" si="6"/>
        <v>8544418.6</v>
      </c>
      <c r="I73" s="804">
        <f t="shared" si="6"/>
        <v>8669782.0582</v>
      </c>
      <c r="J73" s="727"/>
      <c r="K73" s="727"/>
      <c r="L73" s="854"/>
      <c r="M73" s="854"/>
      <c r="N73" s="1015"/>
      <c r="O73" s="727"/>
      <c r="P73" s="652"/>
      <c r="Q73" s="727"/>
      <c r="R73" s="727"/>
      <c r="S73" s="727"/>
      <c r="T73" s="727"/>
      <c r="U73" s="727"/>
      <c r="V73" s="727"/>
      <c r="W73" s="1185"/>
    </row>
    <row r="74" s="10" customFormat="1" ht="16.5" spans="1:23">
      <c r="A74" s="780"/>
      <c r="B74" s="780"/>
      <c r="C74" s="652"/>
      <c r="D74" s="652"/>
      <c r="E74" s="727"/>
      <c r="F74" s="727" t="s">
        <v>1236</v>
      </c>
      <c r="G74" s="796">
        <f>G73/(C73*10000)</f>
        <v>0.790418083302498</v>
      </c>
      <c r="H74" s="796">
        <f>H73/(C73*10000)</f>
        <v>0.790418001850139</v>
      </c>
      <c r="I74" s="796">
        <f>I73/(C73*10000)</f>
        <v>0.802014991507863</v>
      </c>
      <c r="J74" s="727"/>
      <c r="K74" s="727"/>
      <c r="L74" s="854"/>
      <c r="M74" s="854"/>
      <c r="O74" s="727"/>
      <c r="P74" s="727"/>
      <c r="Q74" s="727"/>
      <c r="R74" s="727"/>
      <c r="S74" s="727"/>
      <c r="T74" s="727"/>
      <c r="U74" s="727"/>
      <c r="V74" s="727"/>
      <c r="W74" s="727"/>
    </row>
    <row r="75" s="10" customFormat="1" ht="16.5" spans="1:23">
      <c r="A75" s="536"/>
      <c r="B75" s="836"/>
      <c r="C75" s="837"/>
      <c r="D75" s="837"/>
      <c r="E75" s="836"/>
      <c r="F75" s="836"/>
      <c r="G75" s="850"/>
      <c r="H75" s="850" t="s">
        <v>2924</v>
      </c>
      <c r="I75" s="850">
        <v>8690000</v>
      </c>
      <c r="J75" s="836"/>
      <c r="K75" s="836"/>
      <c r="L75" s="870"/>
      <c r="M75" s="870"/>
      <c r="N75" s="1015"/>
      <c r="O75" s="836"/>
      <c r="P75" s="837"/>
      <c r="Q75" s="836"/>
      <c r="R75" s="836"/>
      <c r="S75" s="836"/>
      <c r="T75" s="836"/>
      <c r="U75" s="836"/>
      <c r="V75" s="836"/>
      <c r="W75" s="1177"/>
    </row>
    <row r="76" s="10" customFormat="1" ht="16.5" spans="1:23">
      <c r="A76" s="536"/>
      <c r="B76" s="836"/>
      <c r="C76" s="837"/>
      <c r="D76" s="837"/>
      <c r="E76" s="836" t="s">
        <v>139</v>
      </c>
      <c r="F76" s="836"/>
      <c r="G76" s="880"/>
      <c r="H76" s="1231" t="s">
        <v>2925</v>
      </c>
      <c r="I76" s="880">
        <f>I73-I75</f>
        <v>-20217.9418000001</v>
      </c>
      <c r="J76" s="836"/>
      <c r="K76" s="836"/>
      <c r="L76" s="870"/>
      <c r="M76" s="870"/>
      <c r="N76" s="1016"/>
      <c r="O76" s="836" t="s">
        <v>140</v>
      </c>
      <c r="P76" s="837"/>
      <c r="Q76" s="836"/>
      <c r="R76" s="836"/>
      <c r="S76" s="1241"/>
      <c r="T76" s="836"/>
      <c r="U76" s="1241"/>
      <c r="V76" s="836"/>
      <c r="W76" s="1177"/>
    </row>
    <row r="77" s="10" customFormat="1" ht="16.5" spans="1:23">
      <c r="A77" s="875" t="s">
        <v>1814</v>
      </c>
      <c r="B77" s="875"/>
      <c r="C77" s="875"/>
      <c r="D77" s="875"/>
      <c r="E77" s="875"/>
      <c r="F77" s="1090"/>
      <c r="G77" s="850"/>
      <c r="H77" s="850"/>
      <c r="I77" s="850"/>
      <c r="J77" s="836"/>
      <c r="K77" s="836"/>
      <c r="L77" s="870"/>
      <c r="M77" s="870"/>
      <c r="N77" s="1016"/>
      <c r="O77" s="894"/>
      <c r="P77" s="837"/>
      <c r="Q77" s="836"/>
      <c r="R77" s="836"/>
      <c r="S77" s="1241"/>
      <c r="T77" s="836"/>
      <c r="U77" s="1241"/>
      <c r="V77" s="836"/>
      <c r="W77" s="1177"/>
    </row>
    <row r="78" s="10" customFormat="1" ht="16.5" spans="1:23">
      <c r="A78" s="875" t="s">
        <v>1285</v>
      </c>
      <c r="B78" s="875"/>
      <c r="C78" s="875"/>
      <c r="D78" s="875"/>
      <c r="E78" s="875"/>
      <c r="F78" s="1090"/>
      <c r="G78" s="850"/>
      <c r="H78" s="850"/>
      <c r="I78" s="850"/>
      <c r="J78" s="836"/>
      <c r="K78" s="836"/>
      <c r="L78" s="870"/>
      <c r="M78" s="870"/>
      <c r="N78" s="1016"/>
      <c r="O78" s="894"/>
      <c r="P78" s="837"/>
      <c r="Q78" s="836"/>
      <c r="R78" s="836"/>
      <c r="S78" s="1241"/>
      <c r="T78" s="836"/>
      <c r="U78" s="1241"/>
      <c r="V78" s="836"/>
      <c r="W78" s="1177"/>
    </row>
    <row r="79" s="10" customFormat="1" ht="16.5" spans="1:23">
      <c r="A79" s="875" t="s">
        <v>1815</v>
      </c>
      <c r="B79" s="875"/>
      <c r="C79" s="875"/>
      <c r="D79" s="875"/>
      <c r="E79" s="875"/>
      <c r="F79" s="1090"/>
      <c r="G79" s="850"/>
      <c r="H79" s="850"/>
      <c r="I79" s="850"/>
      <c r="J79" s="892"/>
      <c r="K79" s="836"/>
      <c r="L79" s="870"/>
      <c r="M79" s="870"/>
      <c r="N79" s="1016"/>
      <c r="O79" s="894"/>
      <c r="P79" s="837"/>
      <c r="Q79" s="836"/>
      <c r="R79" s="836"/>
      <c r="S79" s="1241"/>
      <c r="T79" s="836"/>
      <c r="U79" s="1241"/>
      <c r="V79" s="836"/>
      <c r="W79" s="1177"/>
    </row>
    <row r="80" s="10" customFormat="1" ht="16.5" spans="1:23">
      <c r="A80" s="875" t="s">
        <v>1816</v>
      </c>
      <c r="B80" s="875"/>
      <c r="C80" s="875"/>
      <c r="D80" s="875"/>
      <c r="E80" s="875"/>
      <c r="F80" s="1090"/>
      <c r="G80" s="850"/>
      <c r="H80" s="850"/>
      <c r="I80" s="850"/>
      <c r="J80" s="836"/>
      <c r="K80" s="836"/>
      <c r="L80" s="870"/>
      <c r="M80" s="870"/>
      <c r="N80" s="1016"/>
      <c r="O80" s="894"/>
      <c r="P80" s="837"/>
      <c r="Q80" s="836"/>
      <c r="R80" s="836"/>
      <c r="S80" s="1241"/>
      <c r="T80" s="836"/>
      <c r="U80" s="1241"/>
      <c r="V80" s="836"/>
      <c r="W80" s="1177"/>
    </row>
    <row r="81" s="10" customFormat="1" ht="16.5" spans="1:23">
      <c r="A81" s="875" t="s">
        <v>1817</v>
      </c>
      <c r="B81" s="876"/>
      <c r="C81" s="876"/>
      <c r="D81" s="876"/>
      <c r="E81" s="876"/>
      <c r="F81" s="1090"/>
      <c r="G81" s="850"/>
      <c r="H81" s="850"/>
      <c r="I81" s="850"/>
      <c r="J81" s="893"/>
      <c r="K81" s="893"/>
      <c r="L81" s="870"/>
      <c r="M81" s="870"/>
      <c r="N81" s="1021"/>
      <c r="O81" s="894"/>
      <c r="P81" s="837"/>
      <c r="Q81" s="893"/>
      <c r="R81" s="893"/>
      <c r="S81" s="893"/>
      <c r="T81" s="893"/>
      <c r="U81" s="1241"/>
      <c r="V81" s="893"/>
      <c r="W81" s="1177"/>
    </row>
    <row r="82" ht="16.5" spans="1:23">
      <c r="A82" s="875" t="s">
        <v>1818</v>
      </c>
      <c r="B82" s="876"/>
      <c r="C82" s="876"/>
      <c r="D82" s="876"/>
      <c r="E82" s="876"/>
      <c r="F82" s="1090"/>
      <c r="G82" s="850"/>
      <c r="H82" s="850"/>
      <c r="I82" s="850"/>
      <c r="J82" s="877"/>
      <c r="K82" s="877"/>
      <c r="L82" s="896"/>
      <c r="M82" s="896"/>
      <c r="N82" s="887"/>
      <c r="O82" s="876"/>
      <c r="P82" s="878"/>
      <c r="Q82" s="877"/>
      <c r="R82" s="877"/>
      <c r="S82" s="877"/>
      <c r="T82" s="877"/>
      <c r="U82" s="877"/>
      <c r="V82" s="877"/>
      <c r="W82" s="1242"/>
    </row>
    <row r="83" ht="16.5" spans="1:23">
      <c r="A83" s="1220" t="s">
        <v>2926</v>
      </c>
      <c r="B83" s="1221"/>
      <c r="C83" s="1222"/>
      <c r="D83" s="878"/>
      <c r="E83" s="877"/>
      <c r="F83" s="877"/>
      <c r="G83" s="850"/>
      <c r="H83" s="850"/>
      <c r="I83" s="850"/>
      <c r="J83" s="877"/>
      <c r="K83" s="877"/>
      <c r="L83" s="896"/>
      <c r="M83" s="896"/>
      <c r="N83" s="887"/>
      <c r="O83" s="877"/>
      <c r="P83" s="878"/>
      <c r="Q83" s="877"/>
      <c r="R83" s="877"/>
      <c r="S83" s="877"/>
      <c r="T83" s="877"/>
      <c r="U83" s="877"/>
      <c r="V83" s="877"/>
      <c r="W83" s="1242"/>
    </row>
    <row r="84" ht="16.5" spans="1:23">
      <c r="A84" s="1223" t="s">
        <v>2927</v>
      </c>
      <c r="B84" s="1224"/>
      <c r="C84" s="1225"/>
      <c r="D84" s="879"/>
      <c r="E84" s="417"/>
      <c r="F84" s="417"/>
      <c r="G84" s="880"/>
      <c r="H84" s="880"/>
      <c r="I84" s="880"/>
      <c r="J84" s="417"/>
      <c r="K84" s="417"/>
      <c r="L84" s="898"/>
      <c r="M84" s="898"/>
      <c r="N84" s="888"/>
      <c r="O84" s="417"/>
      <c r="P84" s="900"/>
      <c r="Q84" s="417"/>
      <c r="R84" s="417"/>
      <c r="S84" s="417"/>
      <c r="T84" s="417"/>
      <c r="U84" s="417"/>
      <c r="V84" s="417"/>
      <c r="W84" s="1243"/>
    </row>
    <row r="85" spans="1:1">
      <c r="A85" s="265" t="s">
        <v>2928</v>
      </c>
    </row>
    <row r="86" spans="1:1">
      <c r="A86" s="1226" t="s">
        <v>1509</v>
      </c>
    </row>
    <row r="89" spans="6:6">
      <c r="F89" s="265" t="s">
        <v>2929</v>
      </c>
    </row>
  </sheetData>
  <sheetProtection formatCells="0" insertHyperlinks="0" autoFilter="0"/>
  <autoFilter xmlns:etc="http://www.wps.cn/officeDocument/2017/etCustomData" ref="A1:W86" etc:filterBottomFollowUsedRange="0">
    <extLst/>
  </autoFilter>
  <mergeCells count="35">
    <mergeCell ref="A1:Q1"/>
    <mergeCell ref="A3:A21"/>
    <mergeCell ref="A22:A51"/>
    <mergeCell ref="A52:A72"/>
    <mergeCell ref="B3:B10"/>
    <mergeCell ref="B11:B19"/>
    <mergeCell ref="B20:B21"/>
    <mergeCell ref="B22:B31"/>
    <mergeCell ref="B32:B33"/>
    <mergeCell ref="B34:B44"/>
    <mergeCell ref="B45:B49"/>
    <mergeCell ref="B50:B51"/>
    <mergeCell ref="B52:B55"/>
    <mergeCell ref="B56:B64"/>
    <mergeCell ref="B65:B70"/>
    <mergeCell ref="B71:B72"/>
    <mergeCell ref="C3:C10"/>
    <mergeCell ref="C11:C19"/>
    <mergeCell ref="C20:C21"/>
    <mergeCell ref="C22:C31"/>
    <mergeCell ref="C32:C33"/>
    <mergeCell ref="C34:C44"/>
    <mergeCell ref="C45:C49"/>
    <mergeCell ref="C50:C51"/>
    <mergeCell ref="C52:C55"/>
    <mergeCell ref="C56:C64"/>
    <mergeCell ref="C65:C70"/>
    <mergeCell ref="C71:C72"/>
    <mergeCell ref="C73:C74"/>
    <mergeCell ref="D22:D26"/>
    <mergeCell ref="D27:D31"/>
    <mergeCell ref="D32:D33"/>
    <mergeCell ref="D37:D38"/>
    <mergeCell ref="D45:D46"/>
    <mergeCell ref="A73:B74"/>
  </mergeCells>
  <pageMargins left="0.75" right="0.75" top="1" bottom="1" header="0.5" footer="0.5"/>
  <headerFooter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6"/>
  <dimension ref="A1:T114"/>
  <sheetViews>
    <sheetView workbookViewId="0">
      <pane xSplit="5" ySplit="1" topLeftCell="G19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3.5"/>
  <cols>
    <col min="3" max="3" width="8.375" customWidth="1"/>
    <col min="4" max="4" width="8.125" customWidth="1"/>
    <col min="5" max="5" width="20.7583333333333" customWidth="1"/>
    <col min="6" max="6" width="17.575" customWidth="1"/>
    <col min="7" max="7" width="12.625" customWidth="1"/>
    <col min="8" max="8" width="16.6083333333333" customWidth="1"/>
    <col min="9" max="9" width="18" customWidth="1"/>
    <col min="10" max="10" width="14.625" customWidth="1"/>
    <col min="11" max="11" width="9.25833333333333"/>
    <col min="12" max="12" width="16.625"/>
    <col min="13" max="13" width="12.2583333333333" customWidth="1"/>
    <col min="15" max="15" width="68.675" customWidth="1"/>
    <col min="16" max="16" width="26" customWidth="1"/>
    <col min="17" max="17" width="9" style="510"/>
    <col min="18" max="18" width="13.125"/>
  </cols>
  <sheetData>
    <row r="1" s="10" customFormat="1" ht="28.15" customHeight="1" spans="1:19">
      <c r="A1" s="28" t="s">
        <v>2930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420"/>
      <c r="N1" s="420"/>
      <c r="O1" s="931"/>
      <c r="P1" s="28"/>
      <c r="Q1" s="28"/>
      <c r="R1" s="28"/>
      <c r="S1" s="651"/>
    </row>
    <row r="2" s="10" customFormat="1" ht="30" spans="1:19">
      <c r="A2" s="537" t="s">
        <v>1092</v>
      </c>
      <c r="B2" s="537" t="s">
        <v>1820</v>
      </c>
      <c r="C2" s="538" t="s">
        <v>1093</v>
      </c>
      <c r="D2" s="539" t="s">
        <v>1821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1097</v>
      </c>
      <c r="N2" s="619" t="s">
        <v>1214</v>
      </c>
      <c r="O2" s="727" t="s">
        <v>1215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827" t="s">
        <v>1823</v>
      </c>
      <c r="B3" s="705" t="s">
        <v>1824</v>
      </c>
      <c r="C3" s="715" t="s">
        <v>1825</v>
      </c>
      <c r="D3" s="716">
        <v>109</v>
      </c>
      <c r="E3" s="572" t="s">
        <v>1542</v>
      </c>
      <c r="F3" s="561" t="s">
        <v>2931</v>
      </c>
      <c r="G3" s="591">
        <v>12250</v>
      </c>
      <c r="H3" s="567">
        <f>G3*K3</f>
        <v>88392.325</v>
      </c>
      <c r="I3" s="603">
        <v>88392</v>
      </c>
      <c r="J3" s="567">
        <v>88392</v>
      </c>
      <c r="K3" s="614">
        <v>7.2157</v>
      </c>
      <c r="L3" s="682">
        <v>45114</v>
      </c>
      <c r="M3" s="644">
        <v>45112</v>
      </c>
      <c r="N3" s="644">
        <v>45121</v>
      </c>
      <c r="O3" s="994" t="s">
        <v>2932</v>
      </c>
      <c r="P3" s="635" t="s">
        <v>2831</v>
      </c>
      <c r="Q3" s="655" t="s">
        <v>1659</v>
      </c>
      <c r="R3" s="664"/>
      <c r="S3" s="577"/>
    </row>
    <row r="4" s="10" customFormat="1" ht="16.5" spans="1:19">
      <c r="A4" s="827"/>
      <c r="B4" s="541"/>
      <c r="C4" s="715"/>
      <c r="D4" s="716"/>
      <c r="E4" s="250" t="s">
        <v>161</v>
      </c>
      <c r="F4" s="561" t="s">
        <v>2933</v>
      </c>
      <c r="G4" s="591">
        <v>39717</v>
      </c>
      <c r="H4" s="567">
        <f>G4*K4</f>
        <v>286585.9569</v>
      </c>
      <c r="I4" s="567">
        <v>286586</v>
      </c>
      <c r="J4" s="577"/>
      <c r="K4" s="614">
        <v>7.2157</v>
      </c>
      <c r="L4" s="708">
        <v>45106</v>
      </c>
      <c r="M4" s="644">
        <v>45118</v>
      </c>
      <c r="N4" s="633" t="s">
        <v>1125</v>
      </c>
      <c r="O4" s="1030" t="s">
        <v>2934</v>
      </c>
      <c r="P4" s="635" t="s">
        <v>98</v>
      </c>
      <c r="Q4" s="655" t="s">
        <v>1671</v>
      </c>
      <c r="R4" s="664"/>
      <c r="S4" s="577"/>
    </row>
    <row r="5" s="10" customFormat="1" ht="16.5" spans="1:19">
      <c r="A5" s="827"/>
      <c r="B5" s="541"/>
      <c r="C5" s="715"/>
      <c r="D5" s="716"/>
      <c r="E5" s="572" t="s">
        <v>2050</v>
      </c>
      <c r="F5" s="250" t="s">
        <v>2829</v>
      </c>
      <c r="G5" s="591">
        <v>28270</v>
      </c>
      <c r="H5" s="567"/>
      <c r="I5" s="567"/>
      <c r="J5" s="567">
        <v>200618</v>
      </c>
      <c r="K5" s="614">
        <v>7.2157</v>
      </c>
      <c r="L5" s="707" t="s">
        <v>1218</v>
      </c>
      <c r="M5" s="644">
        <v>45098</v>
      </c>
      <c r="N5" s="644">
        <v>45113</v>
      </c>
      <c r="O5" s="994" t="s">
        <v>2935</v>
      </c>
      <c r="P5" s="635" t="s">
        <v>2831</v>
      </c>
      <c r="Q5" s="655" t="s">
        <v>1656</v>
      </c>
      <c r="R5" s="664"/>
      <c r="S5" s="577"/>
    </row>
    <row r="6" s="10" customFormat="1" ht="16.5" spans="1:19">
      <c r="A6" s="827"/>
      <c r="B6" s="541"/>
      <c r="C6" s="715"/>
      <c r="D6" s="716"/>
      <c r="E6" s="572" t="s">
        <v>1544</v>
      </c>
      <c r="F6" s="250" t="s">
        <v>2823</v>
      </c>
      <c r="G6" s="591">
        <v>44673</v>
      </c>
      <c r="H6" s="567"/>
      <c r="I6" s="567"/>
      <c r="J6" s="567">
        <v>317022</v>
      </c>
      <c r="K6" s="614">
        <v>7.2157</v>
      </c>
      <c r="L6" s="707">
        <v>45106</v>
      </c>
      <c r="M6" s="644">
        <v>45107</v>
      </c>
      <c r="N6" s="644">
        <v>45114</v>
      </c>
      <c r="O6" s="994" t="s">
        <v>2936</v>
      </c>
      <c r="P6" s="635" t="s">
        <v>2825</v>
      </c>
      <c r="Q6" s="655" t="s">
        <v>2131</v>
      </c>
      <c r="R6" s="664"/>
      <c r="S6" s="577"/>
    </row>
    <row r="7" s="10" customFormat="1" ht="16.5" spans="1:19">
      <c r="A7" s="827"/>
      <c r="B7" s="541"/>
      <c r="C7" s="715"/>
      <c r="D7" s="716"/>
      <c r="E7" s="572" t="s">
        <v>1057</v>
      </c>
      <c r="F7" s="250" t="s">
        <v>2832</v>
      </c>
      <c r="G7" s="591">
        <v>22590</v>
      </c>
      <c r="H7" s="567"/>
      <c r="I7" s="567"/>
      <c r="J7" s="567">
        <v>160310</v>
      </c>
      <c r="K7" s="614">
        <v>7.2157</v>
      </c>
      <c r="L7" s="707" t="s">
        <v>1218</v>
      </c>
      <c r="M7" s="644">
        <v>45104</v>
      </c>
      <c r="N7" s="644">
        <v>45111</v>
      </c>
      <c r="O7" s="994" t="s">
        <v>2937</v>
      </c>
      <c r="P7" s="635" t="s">
        <v>2834</v>
      </c>
      <c r="Q7" s="655" t="s">
        <v>1656</v>
      </c>
      <c r="R7" s="664"/>
      <c r="S7" s="577"/>
    </row>
    <row r="8" s="10" customFormat="1" ht="16.5" spans="1:19">
      <c r="A8" s="827"/>
      <c r="B8" s="541"/>
      <c r="C8" s="715" t="s">
        <v>224</v>
      </c>
      <c r="D8" s="545">
        <v>81</v>
      </c>
      <c r="E8" s="244" t="s">
        <v>2938</v>
      </c>
      <c r="F8" s="571" t="s">
        <v>2939</v>
      </c>
      <c r="G8" s="591">
        <v>144887</v>
      </c>
      <c r="H8" s="567">
        <f>G8*K8</f>
        <v>1045461.1259</v>
      </c>
      <c r="I8" s="600">
        <v>1045461</v>
      </c>
      <c r="J8" s="600">
        <v>1045461</v>
      </c>
      <c r="K8" s="614">
        <v>7.2157</v>
      </c>
      <c r="L8" s="638" t="s">
        <v>1218</v>
      </c>
      <c r="M8" s="644">
        <v>45132</v>
      </c>
      <c r="N8" s="644">
        <v>45137</v>
      </c>
      <c r="O8" s="622" t="s">
        <v>2940</v>
      </c>
      <c r="P8" s="635" t="s">
        <v>2941</v>
      </c>
      <c r="Q8" s="655" t="s">
        <v>2942</v>
      </c>
      <c r="R8" s="664"/>
      <c r="S8" s="577"/>
    </row>
    <row r="9" s="10" customFormat="1" ht="16.5" spans="1:19">
      <c r="A9" s="827"/>
      <c r="B9" s="541"/>
      <c r="C9" s="715"/>
      <c r="D9" s="545"/>
      <c r="E9" s="244" t="s">
        <v>840</v>
      </c>
      <c r="F9" s="571" t="s">
        <v>2943</v>
      </c>
      <c r="G9" s="591">
        <v>48149</v>
      </c>
      <c r="H9" s="567">
        <f>G9*K9</f>
        <v>347428.7393</v>
      </c>
      <c r="I9" s="600">
        <v>347429</v>
      </c>
      <c r="J9" s="600">
        <v>347429</v>
      </c>
      <c r="K9" s="614">
        <v>7.2157</v>
      </c>
      <c r="L9" s="638" t="s">
        <v>1218</v>
      </c>
      <c r="M9" s="644">
        <v>45124</v>
      </c>
      <c r="N9" s="644">
        <v>45127</v>
      </c>
      <c r="O9" s="622" t="s">
        <v>2944</v>
      </c>
      <c r="P9" s="635" t="s">
        <v>2945</v>
      </c>
      <c r="Q9" s="655" t="s">
        <v>1671</v>
      </c>
      <c r="R9" s="664"/>
      <c r="S9" s="577"/>
    </row>
    <row r="10" s="10" customFormat="1" ht="16.5" spans="1:19">
      <c r="A10" s="827"/>
      <c r="B10" s="541"/>
      <c r="C10" s="715"/>
      <c r="D10" s="545"/>
      <c r="E10" s="561" t="s">
        <v>479</v>
      </c>
      <c r="F10" s="571" t="s">
        <v>2946</v>
      </c>
      <c r="G10" s="722">
        <v>55482</v>
      </c>
      <c r="H10" s="567">
        <f>G10*K10</f>
        <v>400341.4674</v>
      </c>
      <c r="I10" s="600">
        <v>400341</v>
      </c>
      <c r="J10" s="600">
        <v>400341</v>
      </c>
      <c r="K10" s="614">
        <v>7.2157</v>
      </c>
      <c r="L10" s="682" t="s">
        <v>2947</v>
      </c>
      <c r="M10" s="644">
        <v>45121</v>
      </c>
      <c r="N10" s="644">
        <v>45130</v>
      </c>
      <c r="O10" s="622" t="s">
        <v>2948</v>
      </c>
      <c r="P10" s="635" t="s">
        <v>2949</v>
      </c>
      <c r="Q10" s="655" t="s">
        <v>1671</v>
      </c>
      <c r="R10" s="664"/>
      <c r="S10" s="577"/>
    </row>
    <row r="11" s="10" customFormat="1" ht="16.5" spans="1:19">
      <c r="A11" s="827"/>
      <c r="B11" s="541"/>
      <c r="C11" s="715"/>
      <c r="D11" s="545"/>
      <c r="E11" s="244" t="s">
        <v>2950</v>
      </c>
      <c r="F11" s="571" t="s">
        <v>2951</v>
      </c>
      <c r="G11" s="591">
        <v>38201</v>
      </c>
      <c r="H11" s="567">
        <f>G11*K11</f>
        <v>275646.9557</v>
      </c>
      <c r="I11" s="567">
        <v>275646.9557</v>
      </c>
      <c r="J11" s="602"/>
      <c r="K11" s="614">
        <v>7.2157</v>
      </c>
      <c r="L11" s="638" t="s">
        <v>1218</v>
      </c>
      <c r="M11" s="644">
        <v>45128</v>
      </c>
      <c r="N11" s="644">
        <v>45146</v>
      </c>
      <c r="O11" s="622" t="s">
        <v>2952</v>
      </c>
      <c r="P11" s="635" t="s">
        <v>2953</v>
      </c>
      <c r="Q11" s="655" t="s">
        <v>1671</v>
      </c>
      <c r="R11" s="664"/>
      <c r="S11" s="577"/>
    </row>
    <row r="12" s="10" customFormat="1" ht="16.5" spans="1:19">
      <c r="A12" s="827"/>
      <c r="B12" s="541"/>
      <c r="C12" s="715"/>
      <c r="D12" s="545"/>
      <c r="E12" s="561" t="s">
        <v>394</v>
      </c>
      <c r="F12" s="571" t="s">
        <v>633</v>
      </c>
      <c r="G12" s="722">
        <v>36721</v>
      </c>
      <c r="H12" s="567">
        <f>G12*K12</f>
        <v>264967.7197</v>
      </c>
      <c r="I12" s="600">
        <v>264968</v>
      </c>
      <c r="J12" s="602">
        <f>I12</f>
        <v>264968</v>
      </c>
      <c r="K12" s="614">
        <v>7.2157</v>
      </c>
      <c r="L12" s="682">
        <v>45128</v>
      </c>
      <c r="M12" s="644">
        <v>45128</v>
      </c>
      <c r="N12" s="633">
        <v>45132</v>
      </c>
      <c r="O12" s="622" t="s">
        <v>2954</v>
      </c>
      <c r="P12" s="632" t="s">
        <v>2955</v>
      </c>
      <c r="Q12" s="655" t="s">
        <v>1864</v>
      </c>
      <c r="R12" s="664"/>
      <c r="S12" s="577"/>
    </row>
    <row r="13" s="10" customFormat="1" ht="16.5" spans="1:19">
      <c r="A13" s="827"/>
      <c r="B13" s="541"/>
      <c r="C13" s="715"/>
      <c r="D13" s="545"/>
      <c r="E13" s="561" t="s">
        <v>53</v>
      </c>
      <c r="F13" s="561" t="s">
        <v>2843</v>
      </c>
      <c r="G13" s="722">
        <v>89658</v>
      </c>
      <c r="H13" s="577"/>
      <c r="I13" s="570"/>
      <c r="J13" s="577">
        <v>636258</v>
      </c>
      <c r="K13" s="614">
        <v>7.2157</v>
      </c>
      <c r="L13" s="682" t="s">
        <v>1218</v>
      </c>
      <c r="M13" s="644">
        <v>45102</v>
      </c>
      <c r="N13" s="633">
        <v>45109</v>
      </c>
      <c r="O13" s="622" t="s">
        <v>2956</v>
      </c>
      <c r="P13" s="635" t="s">
        <v>2845</v>
      </c>
      <c r="Q13" s="655" t="s">
        <v>2131</v>
      </c>
      <c r="R13" s="664"/>
      <c r="S13" s="577"/>
    </row>
    <row r="14" s="10" customFormat="1" ht="16.5" spans="1:19">
      <c r="A14" s="1069"/>
      <c r="B14" s="541"/>
      <c r="C14" s="715"/>
      <c r="D14" s="545"/>
      <c r="E14" s="561" t="s">
        <v>2425</v>
      </c>
      <c r="F14" s="568" t="s">
        <v>2846</v>
      </c>
      <c r="G14" s="722">
        <v>57678</v>
      </c>
      <c r="H14" s="567"/>
      <c r="I14" s="570"/>
      <c r="J14" s="567">
        <v>409311.927</v>
      </c>
      <c r="K14" s="614">
        <v>7.2157</v>
      </c>
      <c r="L14" s="682" t="s">
        <v>1218</v>
      </c>
      <c r="M14" s="644">
        <v>45092</v>
      </c>
      <c r="N14" s="633">
        <v>45108</v>
      </c>
      <c r="O14" s="622" t="s">
        <v>2847</v>
      </c>
      <c r="P14" s="635" t="s">
        <v>2848</v>
      </c>
      <c r="Q14" s="655" t="s">
        <v>2640</v>
      </c>
      <c r="R14" s="664"/>
      <c r="S14" s="577"/>
    </row>
    <row r="15" s="10" customFormat="1" ht="22.5" customHeight="1" spans="1:19">
      <c r="A15" s="827"/>
      <c r="B15" s="541"/>
      <c r="C15" s="548" t="s">
        <v>1124</v>
      </c>
      <c r="D15" s="1062">
        <f>SUM(D3:D14)</f>
        <v>190</v>
      </c>
      <c r="E15" s="1062"/>
      <c r="F15" s="572"/>
      <c r="G15" s="1097" t="s">
        <v>1235</v>
      </c>
      <c r="H15" s="732">
        <f>SUM(H3:H14)</f>
        <v>2708824.2899</v>
      </c>
      <c r="I15" s="732">
        <f>SUM(I3:I14)</f>
        <v>2708823.9557</v>
      </c>
      <c r="J15" s="732">
        <f>SUM(J3:J14)</f>
        <v>3870110.927</v>
      </c>
      <c r="K15" s="614"/>
      <c r="L15" s="598"/>
      <c r="M15" s="645"/>
      <c r="N15" s="645"/>
      <c r="O15" s="622"/>
      <c r="P15" s="632"/>
      <c r="Q15" s="655"/>
      <c r="R15" s="656"/>
      <c r="S15" s="657"/>
    </row>
    <row r="16" s="10" customFormat="1" ht="22.5" customHeight="1" spans="1:19">
      <c r="A16" s="827"/>
      <c r="B16" s="541"/>
      <c r="C16" s="548"/>
      <c r="D16" s="582"/>
      <c r="E16" s="582"/>
      <c r="F16" s="583"/>
      <c r="G16" s="584" t="s">
        <v>1236</v>
      </c>
      <c r="H16" s="585">
        <f t="shared" ref="H16:J16" si="0">H15/1900000</f>
        <v>1.42569699468421</v>
      </c>
      <c r="I16" s="585">
        <f t="shared" si="0"/>
        <v>1.42569681878947</v>
      </c>
      <c r="J16" s="585">
        <f t="shared" si="0"/>
        <v>2.03690048789474</v>
      </c>
      <c r="K16" s="611"/>
      <c r="L16" s="612"/>
      <c r="M16" s="941"/>
      <c r="N16" s="941"/>
      <c r="O16" s="624"/>
      <c r="P16" s="632"/>
      <c r="Q16" s="655"/>
      <c r="R16" s="656"/>
      <c r="S16" s="657"/>
    </row>
    <row r="17" s="10" customFormat="1" ht="32.85" customHeight="1" spans="1:19">
      <c r="A17" s="827"/>
      <c r="B17" s="537" t="s">
        <v>1820</v>
      </c>
      <c r="C17" s="538" t="s">
        <v>1093</v>
      </c>
      <c r="D17" s="539" t="s">
        <v>1821</v>
      </c>
      <c r="E17" s="539" t="s">
        <v>1822</v>
      </c>
      <c r="F17" s="558" t="s">
        <v>1095</v>
      </c>
      <c r="G17" s="559" t="s">
        <v>362</v>
      </c>
      <c r="H17" s="1115" t="s">
        <v>1865</v>
      </c>
      <c r="I17" s="1115"/>
      <c r="J17" s="1115"/>
      <c r="K17" s="1115" t="s">
        <v>1866</v>
      </c>
      <c r="L17" s="595" t="s">
        <v>1098</v>
      </c>
      <c r="M17" s="1115" t="s">
        <v>1867</v>
      </c>
      <c r="N17" s="1116"/>
      <c r="O17" s="624"/>
      <c r="P17" s="632"/>
      <c r="Q17" s="655"/>
      <c r="R17" s="656"/>
      <c r="S17" s="657"/>
    </row>
    <row r="18" s="10" customFormat="1" ht="22.9" customHeight="1" spans="1:19">
      <c r="A18" s="827"/>
      <c r="B18" s="541" t="s">
        <v>2957</v>
      </c>
      <c r="C18" s="556" t="s">
        <v>1825</v>
      </c>
      <c r="D18" s="557" t="s">
        <v>1125</v>
      </c>
      <c r="E18" s="572" t="s">
        <v>157</v>
      </c>
      <c r="F18" s="572" t="s">
        <v>1837</v>
      </c>
      <c r="G18" s="722">
        <v>81000</v>
      </c>
      <c r="H18" s="603">
        <f t="shared" ref="H18:H22" si="1">G18*K18</f>
        <v>584471.7</v>
      </c>
      <c r="I18" s="603"/>
      <c r="J18" s="603"/>
      <c r="K18" s="614">
        <v>7.2157</v>
      </c>
      <c r="L18" s="682">
        <v>45168</v>
      </c>
      <c r="M18" s="682"/>
      <c r="N18" s="644"/>
      <c r="O18" s="622" t="s">
        <v>2958</v>
      </c>
      <c r="P18" s="632" t="s">
        <v>2312</v>
      </c>
      <c r="Q18" s="635" t="s">
        <v>2640</v>
      </c>
      <c r="R18" s="655"/>
      <c r="S18" s="657"/>
    </row>
    <row r="19" s="10" customFormat="1" ht="22.9" customHeight="1" spans="1:19">
      <c r="A19" s="827"/>
      <c r="B19" s="541"/>
      <c r="C19" s="556"/>
      <c r="D19" s="557"/>
      <c r="E19" s="572" t="s">
        <v>157</v>
      </c>
      <c r="F19" s="572" t="s">
        <v>1839</v>
      </c>
      <c r="G19" s="591">
        <v>41000</v>
      </c>
      <c r="H19" s="603">
        <f t="shared" si="1"/>
        <v>295843.7</v>
      </c>
      <c r="I19" s="603"/>
      <c r="J19" s="567"/>
      <c r="K19" s="614">
        <v>7.2157</v>
      </c>
      <c r="L19" s="682">
        <v>45168</v>
      </c>
      <c r="M19" s="644"/>
      <c r="N19" s="644"/>
      <c r="O19" s="622" t="s">
        <v>2958</v>
      </c>
      <c r="P19" s="635" t="s">
        <v>2309</v>
      </c>
      <c r="Q19" s="655" t="s">
        <v>2640</v>
      </c>
      <c r="R19" s="655"/>
      <c r="S19" s="657"/>
    </row>
    <row r="20" s="10" customFormat="1" ht="22.9" customHeight="1" spans="1:19">
      <c r="A20" s="827"/>
      <c r="B20" s="541"/>
      <c r="C20" s="556"/>
      <c r="D20" s="557"/>
      <c r="E20" s="572" t="s">
        <v>1722</v>
      </c>
      <c r="F20" s="572" t="s">
        <v>1842</v>
      </c>
      <c r="G20" s="722">
        <v>43764</v>
      </c>
      <c r="H20" s="603">
        <f t="shared" si="1"/>
        <v>315787.8948</v>
      </c>
      <c r="I20" s="603"/>
      <c r="J20" s="567"/>
      <c r="K20" s="614">
        <v>7.2157</v>
      </c>
      <c r="L20" s="682">
        <v>45174</v>
      </c>
      <c r="M20" s="682"/>
      <c r="N20" s="644"/>
      <c r="O20" s="622" t="s">
        <v>2959</v>
      </c>
      <c r="P20" s="635" t="s">
        <v>2309</v>
      </c>
      <c r="Q20" s="635" t="s">
        <v>1671</v>
      </c>
      <c r="R20" s="655"/>
      <c r="S20" s="657"/>
    </row>
    <row r="21" s="10" customFormat="1" ht="22.9" customHeight="1" spans="1:19">
      <c r="A21" s="827"/>
      <c r="B21" s="541"/>
      <c r="C21" s="556"/>
      <c r="D21" s="557"/>
      <c r="E21" s="572" t="s">
        <v>1722</v>
      </c>
      <c r="F21" s="572" t="s">
        <v>2960</v>
      </c>
      <c r="G21" s="722">
        <v>146587</v>
      </c>
      <c r="H21" s="603">
        <f t="shared" si="1"/>
        <v>1057727.8159</v>
      </c>
      <c r="I21" s="603"/>
      <c r="J21" s="567"/>
      <c r="K21" s="614">
        <v>7.2157</v>
      </c>
      <c r="L21" s="682">
        <v>45199</v>
      </c>
      <c r="M21" s="682"/>
      <c r="N21" s="644"/>
      <c r="O21" s="622" t="s">
        <v>2961</v>
      </c>
      <c r="P21" s="635" t="s">
        <v>1830</v>
      </c>
      <c r="Q21" s="635" t="s">
        <v>2962</v>
      </c>
      <c r="R21" s="655"/>
      <c r="S21" s="657"/>
    </row>
    <row r="22" s="10" customFormat="1" ht="20.65" customHeight="1" spans="1:19">
      <c r="A22" s="827"/>
      <c r="B22" s="541"/>
      <c r="C22" s="670"/>
      <c r="D22" s="557"/>
      <c r="E22" s="572" t="s">
        <v>157</v>
      </c>
      <c r="F22" s="572" t="s">
        <v>1826</v>
      </c>
      <c r="G22" s="722">
        <v>50339</v>
      </c>
      <c r="H22" s="603">
        <f t="shared" si="1"/>
        <v>363231.1223</v>
      </c>
      <c r="I22" s="603"/>
      <c r="J22" s="567"/>
      <c r="K22" s="614">
        <v>7.2157</v>
      </c>
      <c r="L22" s="572" t="s">
        <v>621</v>
      </c>
      <c r="M22" s="682"/>
      <c r="N22" s="644"/>
      <c r="O22" s="622" t="s">
        <v>2963</v>
      </c>
      <c r="P22" s="635" t="s">
        <v>401</v>
      </c>
      <c r="Q22" s="635" t="s">
        <v>1671</v>
      </c>
      <c r="R22" s="667"/>
      <c r="S22" s="657"/>
    </row>
    <row r="23" s="10" customFormat="1" ht="20.65" customHeight="1" spans="1:19">
      <c r="A23" s="827"/>
      <c r="B23" s="541"/>
      <c r="C23" s="556" t="s">
        <v>224</v>
      </c>
      <c r="D23" s="557"/>
      <c r="E23" s="561" t="s">
        <v>1852</v>
      </c>
      <c r="F23" s="568" t="s">
        <v>1853</v>
      </c>
      <c r="G23" s="722">
        <v>6729</v>
      </c>
      <c r="H23" s="567">
        <f t="shared" ref="H23:H26" si="2">G23*K23</f>
        <v>48554.4453</v>
      </c>
      <c r="I23" s="1099"/>
      <c r="J23" s="694"/>
      <c r="K23" s="614">
        <v>7.2157</v>
      </c>
      <c r="L23" s="682"/>
      <c r="M23" s="644"/>
      <c r="N23" s="644"/>
      <c r="O23" s="1117" t="s">
        <v>2964</v>
      </c>
      <c r="P23" s="632" t="s">
        <v>1855</v>
      </c>
      <c r="Q23" s="655" t="s">
        <v>1656</v>
      </c>
      <c r="R23" s="656"/>
      <c r="S23" s="657"/>
    </row>
    <row r="24" s="10" customFormat="1" ht="20.65" customHeight="1" spans="1:19">
      <c r="A24" s="827"/>
      <c r="B24" s="541"/>
      <c r="C24" s="556"/>
      <c r="D24" s="557"/>
      <c r="E24" s="561" t="s">
        <v>2965</v>
      </c>
      <c r="F24" s="568" t="s">
        <v>2966</v>
      </c>
      <c r="G24" s="722">
        <v>27577</v>
      </c>
      <c r="H24" s="567">
        <f t="shared" si="2"/>
        <v>198987.3589</v>
      </c>
      <c r="I24" s="600"/>
      <c r="J24" s="602"/>
      <c r="K24" s="614">
        <v>7.2157</v>
      </c>
      <c r="L24" s="682" t="s">
        <v>2967</v>
      </c>
      <c r="M24" s="644">
        <v>45150</v>
      </c>
      <c r="N24" s="644"/>
      <c r="O24" s="622" t="s">
        <v>2968</v>
      </c>
      <c r="P24" s="632" t="s">
        <v>2969</v>
      </c>
      <c r="Q24" s="655" t="s">
        <v>2640</v>
      </c>
      <c r="R24" s="656"/>
      <c r="S24" s="657"/>
    </row>
    <row r="25" s="10" customFormat="1" ht="20.65" customHeight="1" spans="1:19">
      <c r="A25" s="827"/>
      <c r="B25" s="541"/>
      <c r="C25" s="556"/>
      <c r="D25" s="557"/>
      <c r="E25" s="561" t="s">
        <v>400</v>
      </c>
      <c r="F25" s="571" t="s">
        <v>2970</v>
      </c>
      <c r="G25" s="722">
        <v>100000</v>
      </c>
      <c r="H25" s="567">
        <f t="shared" si="2"/>
        <v>721570</v>
      </c>
      <c r="I25" s="600"/>
      <c r="J25" s="602"/>
      <c r="K25" s="614">
        <v>7.2157</v>
      </c>
      <c r="L25" s="638"/>
      <c r="M25" s="644"/>
      <c r="N25" s="644"/>
      <c r="O25" s="706" t="s">
        <v>2971</v>
      </c>
      <c r="P25" s="1043"/>
      <c r="Q25" s="572"/>
      <c r="R25" s="656"/>
      <c r="S25" s="657"/>
    </row>
    <row r="26" s="10" customFormat="1" ht="16.5" spans="1:19">
      <c r="A26" s="827"/>
      <c r="B26" s="541"/>
      <c r="C26" s="670"/>
      <c r="D26" s="557"/>
      <c r="E26" s="561" t="s">
        <v>1844</v>
      </c>
      <c r="F26" s="571" t="s">
        <v>1845</v>
      </c>
      <c r="G26" s="722">
        <v>28465</v>
      </c>
      <c r="H26" s="567">
        <f t="shared" si="2"/>
        <v>205394.9005</v>
      </c>
      <c r="I26" s="600"/>
      <c r="J26" s="602"/>
      <c r="K26" s="614">
        <v>7.2157</v>
      </c>
      <c r="L26" s="682"/>
      <c r="M26" s="644"/>
      <c r="N26" s="644"/>
      <c r="O26" s="622" t="s">
        <v>2972</v>
      </c>
      <c r="P26" s="635"/>
      <c r="Q26" s="572"/>
      <c r="R26" s="656"/>
      <c r="S26" s="657"/>
    </row>
    <row r="27" s="10" customFormat="1" ht="16.5" spans="1:19">
      <c r="A27" s="827"/>
      <c r="B27" s="672"/>
      <c r="C27" s="1095" t="s">
        <v>1874</v>
      </c>
      <c r="D27" s="1096"/>
      <c r="E27" s="1096"/>
      <c r="F27" s="1096"/>
      <c r="G27" s="1098"/>
      <c r="H27" s="675">
        <f>SUM(H18:H26)</f>
        <v>3791568.9377</v>
      </c>
      <c r="I27" s="600"/>
      <c r="J27" s="602"/>
      <c r="K27" s="614"/>
      <c r="L27" s="682"/>
      <c r="M27" s="644"/>
      <c r="N27" s="644"/>
      <c r="O27" s="622"/>
      <c r="P27" s="570"/>
      <c r="Q27" s="570"/>
      <c r="R27" s="656"/>
      <c r="S27" s="657"/>
    </row>
    <row r="28" s="10" customFormat="1" ht="16.5" spans="1:19">
      <c r="A28" s="827"/>
      <c r="B28" s="541" t="s">
        <v>1875</v>
      </c>
      <c r="C28" s="556" t="s">
        <v>1825</v>
      </c>
      <c r="D28" s="557"/>
      <c r="E28" s="561" t="s">
        <v>2973</v>
      </c>
      <c r="F28" s="571" t="s">
        <v>2974</v>
      </c>
      <c r="G28" s="722">
        <v>37000</v>
      </c>
      <c r="H28" s="567">
        <f>G28*K28</f>
        <v>266980.9</v>
      </c>
      <c r="I28" s="600"/>
      <c r="J28" s="602"/>
      <c r="K28" s="614">
        <v>7.2157</v>
      </c>
      <c r="L28" s="682"/>
      <c r="M28" s="644"/>
      <c r="N28" s="644"/>
      <c r="O28" s="624" t="s">
        <v>2975</v>
      </c>
      <c r="P28" s="632" t="s">
        <v>2976</v>
      </c>
      <c r="Q28" s="655" t="s">
        <v>2640</v>
      </c>
      <c r="R28" s="656"/>
      <c r="S28" s="657"/>
    </row>
    <row r="29" s="10" customFormat="1" ht="16.5" spans="1:19">
      <c r="A29" s="827"/>
      <c r="B29" s="541"/>
      <c r="C29" s="556"/>
      <c r="D29" s="557"/>
      <c r="E29" s="572" t="s">
        <v>2977</v>
      </c>
      <c r="F29" s="568" t="s">
        <v>2978</v>
      </c>
      <c r="G29" s="591">
        <v>100000</v>
      </c>
      <c r="H29" s="567">
        <f t="shared" ref="H29:H35" si="3">G29*K29</f>
        <v>721570</v>
      </c>
      <c r="I29" s="567"/>
      <c r="J29" s="567"/>
      <c r="K29" s="614">
        <v>7.2157</v>
      </c>
      <c r="L29" s="682"/>
      <c r="M29" s="644"/>
      <c r="N29" s="644"/>
      <c r="O29" s="994" t="s">
        <v>2979</v>
      </c>
      <c r="P29" s="635" t="s">
        <v>1830</v>
      </c>
      <c r="Q29" s="655"/>
      <c r="R29" s="656"/>
      <c r="S29" s="657"/>
    </row>
    <row r="30" s="10" customFormat="1" ht="16.5" spans="1:19">
      <c r="A30" s="827"/>
      <c r="B30" s="541"/>
      <c r="C30" s="556"/>
      <c r="D30" s="557"/>
      <c r="E30" s="572" t="s">
        <v>1876</v>
      </c>
      <c r="F30" s="568" t="s">
        <v>1877</v>
      </c>
      <c r="G30" s="591">
        <v>100000</v>
      </c>
      <c r="H30" s="567">
        <f t="shared" si="3"/>
        <v>721570</v>
      </c>
      <c r="I30" s="603"/>
      <c r="J30" s="567"/>
      <c r="K30" s="614">
        <v>7.2157</v>
      </c>
      <c r="L30" s="708"/>
      <c r="M30" s="644"/>
      <c r="N30" s="644"/>
      <c r="O30" s="994" t="s">
        <v>2980</v>
      </c>
      <c r="P30" s="635" t="s">
        <v>1830</v>
      </c>
      <c r="Q30" s="655"/>
      <c r="R30" s="656"/>
      <c r="S30" s="657"/>
    </row>
    <row r="31" s="10" customFormat="1" ht="16.5" spans="1:19">
      <c r="A31" s="827"/>
      <c r="B31" s="541"/>
      <c r="C31" s="556"/>
      <c r="D31" s="557"/>
      <c r="E31" s="572" t="s">
        <v>1381</v>
      </c>
      <c r="F31" s="250" t="s">
        <v>2304</v>
      </c>
      <c r="G31" s="591">
        <v>28000</v>
      </c>
      <c r="H31" s="567">
        <f t="shared" si="3"/>
        <v>202039.6</v>
      </c>
      <c r="I31" s="567"/>
      <c r="J31" s="567"/>
      <c r="K31" s="614">
        <v>7.2157</v>
      </c>
      <c r="L31" s="707"/>
      <c r="M31" s="644"/>
      <c r="N31" s="644"/>
      <c r="O31" s="994" t="s">
        <v>2981</v>
      </c>
      <c r="P31" s="635"/>
      <c r="Q31" s="655"/>
      <c r="R31" s="656"/>
      <c r="S31" s="657"/>
    </row>
    <row r="32" s="10" customFormat="1" ht="16.5" spans="1:19">
      <c r="A32" s="827"/>
      <c r="B32" s="541"/>
      <c r="C32" s="670"/>
      <c r="D32" s="557"/>
      <c r="E32" s="572" t="s">
        <v>1869</v>
      </c>
      <c r="F32" s="250" t="s">
        <v>1882</v>
      </c>
      <c r="G32" s="591">
        <v>50000</v>
      </c>
      <c r="H32" s="567">
        <f t="shared" si="3"/>
        <v>360785</v>
      </c>
      <c r="I32" s="603"/>
      <c r="J32" s="567"/>
      <c r="K32" s="614">
        <v>7.2157</v>
      </c>
      <c r="L32" s="598"/>
      <c r="M32" s="644"/>
      <c r="N32" s="644"/>
      <c r="O32" s="994" t="s">
        <v>1883</v>
      </c>
      <c r="P32" s="635"/>
      <c r="Q32" s="655"/>
      <c r="R32" s="656"/>
      <c r="S32" s="657"/>
    </row>
    <row r="33" s="10" customFormat="1" ht="16.5" spans="1:19">
      <c r="A33" s="827"/>
      <c r="B33" s="541"/>
      <c r="C33" s="671" t="s">
        <v>224</v>
      </c>
      <c r="D33" s="557"/>
      <c r="E33" s="561" t="s">
        <v>1890</v>
      </c>
      <c r="F33" s="571" t="s">
        <v>1891</v>
      </c>
      <c r="G33" s="722">
        <v>480000</v>
      </c>
      <c r="H33" s="567">
        <f t="shared" si="3"/>
        <v>3463536</v>
      </c>
      <c r="I33" s="600"/>
      <c r="J33" s="602"/>
      <c r="K33" s="614">
        <v>7.2157</v>
      </c>
      <c r="L33" s="638" t="s">
        <v>1218</v>
      </c>
      <c r="M33" s="644"/>
      <c r="N33" s="644"/>
      <c r="O33" s="706" t="s">
        <v>2982</v>
      </c>
      <c r="P33" s="1043"/>
      <c r="Q33" s="572" t="s">
        <v>1893</v>
      </c>
      <c r="R33" s="664"/>
      <c r="S33" s="577"/>
    </row>
    <row r="34" s="10" customFormat="1" ht="23.45" customHeight="1" spans="1:19">
      <c r="A34" s="827"/>
      <c r="B34" s="541"/>
      <c r="C34" s="671"/>
      <c r="D34" s="557"/>
      <c r="E34" s="561" t="s">
        <v>408</v>
      </c>
      <c r="F34" s="571" t="s">
        <v>2749</v>
      </c>
      <c r="G34" s="722">
        <v>20000</v>
      </c>
      <c r="H34" s="567">
        <f t="shared" si="3"/>
        <v>144314</v>
      </c>
      <c r="I34" s="600"/>
      <c r="J34" s="602"/>
      <c r="K34" s="614">
        <v>7.2157</v>
      </c>
      <c r="L34" s="682" t="s">
        <v>1218</v>
      </c>
      <c r="M34" s="644"/>
      <c r="N34" s="644"/>
      <c r="O34" s="622" t="s">
        <v>2983</v>
      </c>
      <c r="P34" s="635" t="s">
        <v>2984</v>
      </c>
      <c r="Q34" s="572" t="s">
        <v>1656</v>
      </c>
      <c r="R34" s="656"/>
      <c r="S34" s="577"/>
    </row>
    <row r="35" s="10" customFormat="1" ht="16.5" spans="1:19">
      <c r="A35" s="1069"/>
      <c r="B35" s="541"/>
      <c r="C35" s="712" t="s">
        <v>1874</v>
      </c>
      <c r="D35" s="712"/>
      <c r="E35" s="712"/>
      <c r="F35" s="712"/>
      <c r="G35" s="712"/>
      <c r="H35" s="549">
        <f>SUM(H28:H34)</f>
        <v>5880795.5</v>
      </c>
      <c r="I35" s="732"/>
      <c r="J35" s="732"/>
      <c r="K35" s="1100"/>
      <c r="L35" s="1101"/>
      <c r="M35" s="941"/>
      <c r="N35" s="941"/>
      <c r="O35" s="1104"/>
      <c r="P35" s="907"/>
      <c r="Q35" s="557"/>
      <c r="R35" s="556"/>
      <c r="S35" s="1105"/>
    </row>
    <row r="36" s="10" customFormat="1" ht="16.5" spans="1:19">
      <c r="A36" s="1118"/>
      <c r="B36" s="1118"/>
      <c r="C36" s="1118"/>
      <c r="D36" s="1118"/>
      <c r="E36" s="1118"/>
      <c r="F36" s="1118"/>
      <c r="G36" s="1118"/>
      <c r="H36" s="1118"/>
      <c r="I36" s="1118"/>
      <c r="J36" s="1118"/>
      <c r="K36" s="1118"/>
      <c r="L36" s="1118"/>
      <c r="M36" s="1118"/>
      <c r="N36" s="1118"/>
      <c r="O36" s="1118"/>
      <c r="P36" s="1118"/>
      <c r="Q36" s="1118"/>
      <c r="R36" s="1118"/>
      <c r="S36" s="1118"/>
    </row>
    <row r="37" s="10" customFormat="1" ht="33.55" customHeight="1" spans="1:19">
      <c r="A37" s="537" t="s">
        <v>1092</v>
      </c>
      <c r="B37" s="537" t="s">
        <v>1820</v>
      </c>
      <c r="C37" s="538" t="s">
        <v>1093</v>
      </c>
      <c r="D37" s="539" t="s">
        <v>1821</v>
      </c>
      <c r="E37" s="539" t="s">
        <v>1822</v>
      </c>
      <c r="F37" s="558" t="s">
        <v>1095</v>
      </c>
      <c r="G37" s="559" t="s">
        <v>362</v>
      </c>
      <c r="H37" s="560" t="s">
        <v>1716</v>
      </c>
      <c r="I37" s="560" t="s">
        <v>1717</v>
      </c>
      <c r="J37" s="560" t="s">
        <v>1718</v>
      </c>
      <c r="K37" s="594" t="s">
        <v>1096</v>
      </c>
      <c r="L37" s="595" t="s">
        <v>1098</v>
      </c>
      <c r="M37" s="619" t="s">
        <v>1097</v>
      </c>
      <c r="N37" s="619" t="s">
        <v>1214</v>
      </c>
      <c r="O37" s="727" t="s">
        <v>1215</v>
      </c>
      <c r="P37" s="621" t="s">
        <v>7</v>
      </c>
      <c r="Q37" s="652" t="s">
        <v>8</v>
      </c>
      <c r="R37" s="653" t="s">
        <v>9</v>
      </c>
      <c r="S37" s="654" t="s">
        <v>1291</v>
      </c>
    </row>
    <row r="38" s="10" customFormat="1" ht="16.5" spans="1:20">
      <c r="A38" s="672" t="s">
        <v>1913</v>
      </c>
      <c r="B38" s="541" t="s">
        <v>1824</v>
      </c>
      <c r="C38" s="556" t="s">
        <v>1248</v>
      </c>
      <c r="D38" s="557">
        <v>118</v>
      </c>
      <c r="E38" s="968" t="s">
        <v>299</v>
      </c>
      <c r="F38" s="764" t="s">
        <v>2860</v>
      </c>
      <c r="G38" s="969">
        <v>46935</v>
      </c>
      <c r="H38" s="567"/>
      <c r="I38" s="577"/>
      <c r="J38" s="577">
        <v>333074.2275</v>
      </c>
      <c r="K38" s="614">
        <v>7.0965</v>
      </c>
      <c r="L38" s="708" t="s">
        <v>1251</v>
      </c>
      <c r="M38" s="610">
        <v>45105</v>
      </c>
      <c r="N38" s="633" t="s">
        <v>2866</v>
      </c>
      <c r="O38" s="740" t="s">
        <v>2985</v>
      </c>
      <c r="P38" s="806"/>
      <c r="Q38" s="748"/>
      <c r="R38" s="749"/>
      <c r="S38" s="1122"/>
      <c r="T38" s="1022"/>
    </row>
    <row r="39" s="10" customFormat="1" ht="16.5" spans="1:20">
      <c r="A39" s="568"/>
      <c r="B39" s="541"/>
      <c r="C39" s="556"/>
      <c r="D39" s="557"/>
      <c r="E39" s="655"/>
      <c r="F39" s="763" t="s">
        <v>2863</v>
      </c>
      <c r="G39" s="725">
        <v>39480</v>
      </c>
      <c r="H39" s="567"/>
      <c r="I39" s="577"/>
      <c r="J39" s="577">
        <v>280169.82</v>
      </c>
      <c r="K39" s="614">
        <v>7.0965</v>
      </c>
      <c r="L39" s="708" t="s">
        <v>1251</v>
      </c>
      <c r="M39" s="610">
        <v>45105</v>
      </c>
      <c r="N39" s="633" t="s">
        <v>2866</v>
      </c>
      <c r="O39" s="740" t="s">
        <v>2985</v>
      </c>
      <c r="P39" s="597"/>
      <c r="Q39" s="751"/>
      <c r="R39" s="752"/>
      <c r="S39" s="750"/>
      <c r="T39" s="1022"/>
    </row>
    <row r="40" s="10" customFormat="1" ht="16.5" spans="1:20">
      <c r="A40" s="568"/>
      <c r="B40" s="541"/>
      <c r="C40" s="556"/>
      <c r="D40" s="557"/>
      <c r="E40" s="655" t="s">
        <v>2986</v>
      </c>
      <c r="F40" s="250" t="s">
        <v>2865</v>
      </c>
      <c r="G40" s="755">
        <v>98920</v>
      </c>
      <c r="H40" s="596"/>
      <c r="I40" s="602"/>
      <c r="J40" s="602">
        <v>701985.78</v>
      </c>
      <c r="K40" s="597">
        <v>7.0965</v>
      </c>
      <c r="L40" s="598" t="s">
        <v>1218</v>
      </c>
      <c r="M40" s="610">
        <v>45105</v>
      </c>
      <c r="N40" s="821" t="s">
        <v>2866</v>
      </c>
      <c r="O40" s="740" t="s">
        <v>2987</v>
      </c>
      <c r="P40" s="250"/>
      <c r="Q40" s="751"/>
      <c r="R40" s="752"/>
      <c r="S40" s="750"/>
      <c r="T40" s="1022"/>
    </row>
    <row r="41" s="10" customFormat="1" ht="16.5" spans="1:20">
      <c r="A41" s="568"/>
      <c r="B41" s="541"/>
      <c r="C41" s="556"/>
      <c r="D41" s="557"/>
      <c r="E41" s="655" t="s">
        <v>2986</v>
      </c>
      <c r="F41" s="764" t="s">
        <v>2988</v>
      </c>
      <c r="G41" s="762">
        <v>2300</v>
      </c>
      <c r="H41" s="596">
        <f t="shared" ref="H41:H45" si="4">G41*K41</f>
        <v>16596.11</v>
      </c>
      <c r="I41" s="577">
        <v>16596.11</v>
      </c>
      <c r="J41" s="577">
        <v>16596.11</v>
      </c>
      <c r="K41" s="614">
        <v>7.2157</v>
      </c>
      <c r="L41" s="598" t="s">
        <v>1218</v>
      </c>
      <c r="M41" s="625">
        <v>45117</v>
      </c>
      <c r="N41" s="633" t="s">
        <v>2866</v>
      </c>
      <c r="O41" s="1057" t="s">
        <v>2761</v>
      </c>
      <c r="P41" s="250"/>
      <c r="Q41" s="751"/>
      <c r="R41" s="752"/>
      <c r="S41" s="750"/>
      <c r="T41" s="1022"/>
    </row>
    <row r="42" s="10" customFormat="1" ht="18.75" customHeight="1" spans="1:20">
      <c r="A42" s="568"/>
      <c r="B42" s="541"/>
      <c r="C42" s="965" t="s">
        <v>1922</v>
      </c>
      <c r="D42" s="759">
        <v>56</v>
      </c>
      <c r="E42" s="715" t="s">
        <v>167</v>
      </c>
      <c r="F42" s="571" t="s">
        <v>2989</v>
      </c>
      <c r="G42" s="969">
        <v>1087</v>
      </c>
      <c r="H42" s="596">
        <f t="shared" si="4"/>
        <v>7843.4659</v>
      </c>
      <c r="I42" s="577">
        <v>7843.4659</v>
      </c>
      <c r="J42" s="735">
        <v>7843.4659</v>
      </c>
      <c r="K42" s="614">
        <v>7.2157</v>
      </c>
      <c r="L42" s="598" t="s">
        <v>1218</v>
      </c>
      <c r="M42" s="644">
        <v>45112</v>
      </c>
      <c r="N42" s="644">
        <v>45116</v>
      </c>
      <c r="O42" s="740" t="s">
        <v>2990</v>
      </c>
      <c r="P42" s="572"/>
      <c r="Q42" s="572"/>
      <c r="R42" s="752"/>
      <c r="S42" s="753"/>
      <c r="T42" s="1022"/>
    </row>
    <row r="43" s="10" customFormat="1" ht="18.75" customHeight="1" spans="1:20">
      <c r="A43" s="568"/>
      <c r="B43" s="541"/>
      <c r="C43" s="913"/>
      <c r="D43" s="557"/>
      <c r="E43" s="715" t="s">
        <v>167</v>
      </c>
      <c r="F43" s="568" t="s">
        <v>2991</v>
      </c>
      <c r="G43" s="969">
        <v>8312</v>
      </c>
      <c r="H43" s="596">
        <f t="shared" si="4"/>
        <v>59976.8984</v>
      </c>
      <c r="I43" s="735">
        <v>59976.8984</v>
      </c>
      <c r="J43" s="735">
        <v>59976.8984</v>
      </c>
      <c r="K43" s="614">
        <v>7.2157</v>
      </c>
      <c r="L43" s="598" t="s">
        <v>1218</v>
      </c>
      <c r="M43" s="644">
        <v>45134</v>
      </c>
      <c r="N43" s="633" t="s">
        <v>2866</v>
      </c>
      <c r="O43" s="740" t="s">
        <v>2992</v>
      </c>
      <c r="P43" s="572"/>
      <c r="Q43" s="572"/>
      <c r="R43" s="752"/>
      <c r="S43" s="753"/>
      <c r="T43" s="1022"/>
    </row>
    <row r="44" s="10" customFormat="1" ht="18.75" customHeight="1" spans="1:20">
      <c r="A44" s="568"/>
      <c r="B44" s="541"/>
      <c r="C44" s="913"/>
      <c r="D44" s="557"/>
      <c r="E44" s="571" t="s">
        <v>1169</v>
      </c>
      <c r="F44" s="672" t="s">
        <v>1923</v>
      </c>
      <c r="G44" s="722">
        <v>47000</v>
      </c>
      <c r="H44" s="596">
        <f t="shared" si="4"/>
        <v>339137.9</v>
      </c>
      <c r="I44" s="735">
        <v>339137.9</v>
      </c>
      <c r="J44" s="735"/>
      <c r="K44" s="614">
        <v>7.2157</v>
      </c>
      <c r="L44" s="598" t="s">
        <v>1218</v>
      </c>
      <c r="M44" s="598">
        <v>45132</v>
      </c>
      <c r="N44" s="625" t="s">
        <v>2993</v>
      </c>
      <c r="O44" s="740" t="s">
        <v>1924</v>
      </c>
      <c r="P44" s="572"/>
      <c r="Q44" s="572"/>
      <c r="R44" s="752"/>
      <c r="S44" s="753"/>
      <c r="T44" s="1022"/>
    </row>
    <row r="45" s="10" customFormat="1" ht="18.75" customHeight="1" spans="1:20">
      <c r="A45" s="568"/>
      <c r="B45" s="541"/>
      <c r="C45" s="913"/>
      <c r="D45" s="557"/>
      <c r="E45" s="571" t="s">
        <v>165</v>
      </c>
      <c r="F45" s="250" t="s">
        <v>2872</v>
      </c>
      <c r="G45" s="576">
        <v>36575</v>
      </c>
      <c r="H45" s="596"/>
      <c r="I45" s="602"/>
      <c r="J45" s="602">
        <v>259554.4875</v>
      </c>
      <c r="K45" s="597">
        <v>7.0965</v>
      </c>
      <c r="L45" s="598" t="s">
        <v>1218</v>
      </c>
      <c r="M45" s="856">
        <v>45104</v>
      </c>
      <c r="N45" s="625" t="s">
        <v>2866</v>
      </c>
      <c r="O45" s="740" t="s">
        <v>2994</v>
      </c>
      <c r="P45" s="572"/>
      <c r="Q45" s="572"/>
      <c r="R45" s="752"/>
      <c r="S45" s="753"/>
      <c r="T45" s="1022"/>
    </row>
    <row r="46" s="10" customFormat="1" ht="18.75" customHeight="1" spans="1:20">
      <c r="A46" s="568"/>
      <c r="B46" s="541"/>
      <c r="C46" s="666" t="s">
        <v>209</v>
      </c>
      <c r="D46" s="759">
        <v>126</v>
      </c>
      <c r="E46" s="568" t="s">
        <v>2467</v>
      </c>
      <c r="F46" s="561" t="s">
        <v>2995</v>
      </c>
      <c r="G46" s="725">
        <v>42971</v>
      </c>
      <c r="H46" s="596">
        <f>G46*K46</f>
        <v>310065.8447</v>
      </c>
      <c r="I46" s="735">
        <v>310065.8447</v>
      </c>
      <c r="J46" s="735">
        <v>310065.8447</v>
      </c>
      <c r="K46" s="614">
        <v>7.2157</v>
      </c>
      <c r="L46" s="598" t="s">
        <v>1218</v>
      </c>
      <c r="M46" s="625">
        <v>45108</v>
      </c>
      <c r="N46" s="625">
        <v>45112</v>
      </c>
      <c r="O46" s="740" t="s">
        <v>2996</v>
      </c>
      <c r="P46" s="572"/>
      <c r="Q46" s="572"/>
      <c r="R46" s="752"/>
      <c r="S46" s="753"/>
      <c r="T46" s="1022"/>
    </row>
    <row r="47" s="10" customFormat="1" ht="18.75" customHeight="1" spans="1:20">
      <c r="A47" s="568"/>
      <c r="B47" s="541"/>
      <c r="C47" s="556"/>
      <c r="D47" s="557"/>
      <c r="E47" s="741" t="s">
        <v>166</v>
      </c>
      <c r="F47" s="672" t="s">
        <v>2883</v>
      </c>
      <c r="G47" s="969">
        <v>10060</v>
      </c>
      <c r="H47" s="567"/>
      <c r="I47" s="570"/>
      <c r="J47" s="735">
        <f>G47*K47</f>
        <v>71390.79</v>
      </c>
      <c r="K47" s="614">
        <v>7.0965</v>
      </c>
      <c r="L47" s="625">
        <v>45105</v>
      </c>
      <c r="M47" s="625">
        <v>45106</v>
      </c>
      <c r="N47" s="740" t="s">
        <v>2873</v>
      </c>
      <c r="O47" s="740"/>
      <c r="P47" s="572"/>
      <c r="Q47" s="572"/>
      <c r="R47" s="752"/>
      <c r="S47" s="753"/>
      <c r="T47" s="1022"/>
    </row>
    <row r="48" s="10" customFormat="1" ht="18.75" customHeight="1" spans="1:20">
      <c r="A48" s="568"/>
      <c r="B48" s="541"/>
      <c r="C48" s="556"/>
      <c r="D48" s="557"/>
      <c r="E48" s="561" t="s">
        <v>274</v>
      </c>
      <c r="F48" s="250" t="s">
        <v>2875</v>
      </c>
      <c r="G48" s="725">
        <v>37202</v>
      </c>
      <c r="H48" s="744"/>
      <c r="I48" s="577"/>
      <c r="J48" s="735">
        <v>264003.993</v>
      </c>
      <c r="K48" s="614">
        <v>7.0965</v>
      </c>
      <c r="L48" s="598" t="s">
        <v>1218</v>
      </c>
      <c r="M48" s="598">
        <v>45107</v>
      </c>
      <c r="N48" s="644">
        <v>45108</v>
      </c>
      <c r="O48" s="740" t="s">
        <v>2997</v>
      </c>
      <c r="P48" s="572"/>
      <c r="Q48" s="572"/>
      <c r="R48" s="752"/>
      <c r="S48" s="753"/>
      <c r="T48" s="1022"/>
    </row>
    <row r="49" s="10" customFormat="1" ht="16.5" spans="1:19">
      <c r="A49" s="250"/>
      <c r="B49" s="541"/>
      <c r="C49" s="664"/>
      <c r="D49" s="557"/>
      <c r="E49" s="561" t="s">
        <v>274</v>
      </c>
      <c r="F49" s="724" t="s">
        <v>1929</v>
      </c>
      <c r="G49" s="725">
        <v>30000</v>
      </c>
      <c r="H49" s="567">
        <f>G49*K49</f>
        <v>216471</v>
      </c>
      <c r="I49" s="735"/>
      <c r="J49" s="735"/>
      <c r="K49" s="614">
        <v>7.2157</v>
      </c>
      <c r="L49" s="598" t="s">
        <v>1218</v>
      </c>
      <c r="M49" s="709">
        <v>45153</v>
      </c>
      <c r="N49" s="975"/>
      <c r="O49" s="740" t="s">
        <v>2998</v>
      </c>
      <c r="P49" s="744"/>
      <c r="Q49" s="572"/>
      <c r="R49" s="744"/>
      <c r="S49" s="754"/>
    </row>
    <row r="50" s="10" customFormat="1" ht="18.75" customHeight="1" spans="1:20">
      <c r="A50" s="568"/>
      <c r="B50" s="541"/>
      <c r="C50" s="556"/>
      <c r="D50" s="557"/>
      <c r="E50" s="561" t="s">
        <v>1205</v>
      </c>
      <c r="F50" s="250" t="s">
        <v>2999</v>
      </c>
      <c r="G50" s="725">
        <v>4782</v>
      </c>
      <c r="H50" s="596">
        <f>G50*K50</f>
        <v>34505.4774</v>
      </c>
      <c r="I50" s="735">
        <f>H50</f>
        <v>34505.4774</v>
      </c>
      <c r="J50" s="735">
        <f>I50</f>
        <v>34505.4774</v>
      </c>
      <c r="K50" s="614">
        <v>7.2157</v>
      </c>
      <c r="L50" s="598" t="s">
        <v>1218</v>
      </c>
      <c r="M50" s="638">
        <v>45127</v>
      </c>
      <c r="N50" s="644">
        <v>45135</v>
      </c>
      <c r="O50" s="740" t="s">
        <v>3000</v>
      </c>
      <c r="P50" s="572"/>
      <c r="Q50" s="572"/>
      <c r="R50" s="752"/>
      <c r="S50" s="753"/>
      <c r="T50" s="1022"/>
    </row>
    <row r="51" s="10" customFormat="1" ht="18.75" customHeight="1" spans="1:20">
      <c r="A51" s="568"/>
      <c r="B51" s="541"/>
      <c r="C51" s="556"/>
      <c r="D51" s="557"/>
      <c r="E51" s="561" t="s">
        <v>256</v>
      </c>
      <c r="F51" s="561" t="s">
        <v>2877</v>
      </c>
      <c r="G51" s="725">
        <v>56735</v>
      </c>
      <c r="H51" s="596"/>
      <c r="I51" s="567"/>
      <c r="J51" s="567">
        <v>402619.54</v>
      </c>
      <c r="K51" s="614">
        <v>7.0965</v>
      </c>
      <c r="L51" s="598" t="s">
        <v>1218</v>
      </c>
      <c r="M51" s="598">
        <v>45103</v>
      </c>
      <c r="N51" s="854">
        <v>45112</v>
      </c>
      <c r="O51" s="740" t="s">
        <v>2997</v>
      </c>
      <c r="P51" s="572"/>
      <c r="Q51" s="572"/>
      <c r="R51" s="752"/>
      <c r="S51" s="753"/>
      <c r="T51" s="1022"/>
    </row>
    <row r="52" s="10" customFormat="1" ht="18.75" customHeight="1" spans="1:20">
      <c r="A52" s="568"/>
      <c r="B52" s="541"/>
      <c r="C52" s="666" t="s">
        <v>1437</v>
      </c>
      <c r="D52" s="759">
        <v>49</v>
      </c>
      <c r="E52" s="561" t="s">
        <v>97</v>
      </c>
      <c r="F52" s="561" t="s">
        <v>3001</v>
      </c>
      <c r="G52" s="722">
        <v>18174</v>
      </c>
      <c r="H52" s="596">
        <f>G52*K52</f>
        <v>131138.1318</v>
      </c>
      <c r="I52" s="735">
        <v>131138.1318</v>
      </c>
      <c r="J52" s="735">
        <v>131138.1318</v>
      </c>
      <c r="K52" s="614">
        <v>7.2157</v>
      </c>
      <c r="L52" s="598" t="s">
        <v>1218</v>
      </c>
      <c r="M52" s="598">
        <v>45127</v>
      </c>
      <c r="N52" s="598">
        <v>45129</v>
      </c>
      <c r="O52" s="740" t="s">
        <v>3002</v>
      </c>
      <c r="P52" s="572"/>
      <c r="Q52" s="572"/>
      <c r="R52" s="752"/>
      <c r="S52" s="753"/>
      <c r="T52" s="1022"/>
    </row>
    <row r="53" s="10" customFormat="1" ht="18.75" customHeight="1" spans="1:20">
      <c r="A53" s="568"/>
      <c r="B53" s="541"/>
      <c r="C53" s="556"/>
      <c r="D53" s="557"/>
      <c r="E53" s="715" t="s">
        <v>3003</v>
      </c>
      <c r="F53" s="568" t="s">
        <v>3004</v>
      </c>
      <c r="G53" s="969">
        <v>1770</v>
      </c>
      <c r="H53" s="596">
        <f>G53*K53</f>
        <v>12771.789</v>
      </c>
      <c r="I53" s="577">
        <v>12771.789</v>
      </c>
      <c r="J53" s="577">
        <v>12771.789</v>
      </c>
      <c r="K53" s="614">
        <v>7.2157</v>
      </c>
      <c r="L53" s="598" t="s">
        <v>1218</v>
      </c>
      <c r="M53" s="598">
        <v>45133</v>
      </c>
      <c r="N53" s="625" t="s">
        <v>1125</v>
      </c>
      <c r="O53" s="740" t="s">
        <v>3005</v>
      </c>
      <c r="P53" s="572"/>
      <c r="Q53" s="572"/>
      <c r="R53" s="752"/>
      <c r="S53" s="753"/>
      <c r="T53" s="1022"/>
    </row>
    <row r="54" s="10" customFormat="1" ht="25.5" customHeight="1" spans="1:20">
      <c r="A54" s="568"/>
      <c r="B54" s="541"/>
      <c r="C54" s="670"/>
      <c r="D54" s="968"/>
      <c r="E54" s="715" t="s">
        <v>1501</v>
      </c>
      <c r="F54" s="568" t="s">
        <v>3006</v>
      </c>
      <c r="G54" s="969"/>
      <c r="H54" s="596">
        <v>56401</v>
      </c>
      <c r="I54" s="577">
        <v>56401</v>
      </c>
      <c r="J54" s="735">
        <v>56401</v>
      </c>
      <c r="K54" s="614">
        <v>7.2157</v>
      </c>
      <c r="L54" s="598" t="s">
        <v>1218</v>
      </c>
      <c r="M54" s="598">
        <v>45124</v>
      </c>
      <c r="N54" s="633" t="s">
        <v>1125</v>
      </c>
      <c r="O54" s="740" t="s">
        <v>3007</v>
      </c>
      <c r="P54" s="572"/>
      <c r="Q54" s="572"/>
      <c r="R54" s="752"/>
      <c r="S54" s="753"/>
      <c r="T54" s="1022"/>
    </row>
    <row r="55" s="10" customFormat="1" ht="18.75" customHeight="1" spans="1:20">
      <c r="A55" s="568"/>
      <c r="B55" s="541"/>
      <c r="C55" s="666" t="s">
        <v>1124</v>
      </c>
      <c r="D55" s="759">
        <f>SUM(D38:D52)</f>
        <v>349</v>
      </c>
      <c r="E55" s="715"/>
      <c r="F55" s="571"/>
      <c r="G55" s="726" t="s">
        <v>1235</v>
      </c>
      <c r="H55" s="675">
        <f>SUM(H38:H54)</f>
        <v>1184907.6172</v>
      </c>
      <c r="I55" s="567">
        <f>SUM(I38:I54)</f>
        <v>968436.6172</v>
      </c>
      <c r="J55" s="567">
        <f>SUM(J38:J54)</f>
        <v>2942097.3552</v>
      </c>
      <c r="K55"/>
      <c r="L55" s="598"/>
      <c r="M55" s="644"/>
      <c r="N55" s="644"/>
      <c r="O55" s="740"/>
      <c r="P55" s="572"/>
      <c r="Q55" s="572"/>
      <c r="R55" s="752"/>
      <c r="S55" s="753"/>
      <c r="T55" s="1022"/>
    </row>
    <row r="56" s="10" customFormat="1" ht="18.75" customHeight="1" spans="1:20">
      <c r="A56" s="568"/>
      <c r="B56" s="541"/>
      <c r="C56" s="670"/>
      <c r="D56" s="968"/>
      <c r="E56" s="715"/>
      <c r="F56" s="571"/>
      <c r="G56" s="726" t="s">
        <v>1236</v>
      </c>
      <c r="H56" s="728">
        <f>H55/3490000</f>
        <v>0.339515076561605</v>
      </c>
      <c r="I56" s="970">
        <f>I55/3490000</f>
        <v>0.277489002063037</v>
      </c>
      <c r="J56" s="970">
        <f>J55/3490000</f>
        <v>0.843007838166189</v>
      </c>
      <c r="K56" s="614"/>
      <c r="L56" s="598"/>
      <c r="M56" s="644"/>
      <c r="N56" s="644"/>
      <c r="O56" s="740"/>
      <c r="P56" s="572"/>
      <c r="Q56" s="572"/>
      <c r="R56" s="752"/>
      <c r="S56" s="753"/>
      <c r="T56" s="1022"/>
    </row>
    <row r="57" s="10" customFormat="1" ht="30" spans="1:19">
      <c r="A57" s="250"/>
      <c r="B57" s="537" t="s">
        <v>1820</v>
      </c>
      <c r="C57" s="538" t="s">
        <v>1093</v>
      </c>
      <c r="D57" s="539" t="s">
        <v>1821</v>
      </c>
      <c r="E57" s="539" t="s">
        <v>1822</v>
      </c>
      <c r="F57" s="558" t="s">
        <v>1095</v>
      </c>
      <c r="G57" s="559" t="s">
        <v>362</v>
      </c>
      <c r="H57" s="1115" t="s">
        <v>1865</v>
      </c>
      <c r="I57" s="1115"/>
      <c r="J57" s="1115"/>
      <c r="K57" s="1115" t="s">
        <v>1866</v>
      </c>
      <c r="L57" s="595" t="s">
        <v>1098</v>
      </c>
      <c r="M57" s="1115" t="s">
        <v>1867</v>
      </c>
      <c r="N57" s="1116"/>
      <c r="O57" s="740"/>
      <c r="P57" s="744"/>
      <c r="Q57" s="572"/>
      <c r="R57" s="744"/>
      <c r="S57" s="754"/>
    </row>
    <row r="58" s="10" customFormat="1" ht="16.5" spans="1:19">
      <c r="A58" s="250"/>
      <c r="B58" s="541" t="s">
        <v>3008</v>
      </c>
      <c r="C58" s="666" t="s">
        <v>1248</v>
      </c>
      <c r="D58" s="759" t="s">
        <v>1125</v>
      </c>
      <c r="E58" s="568" t="s">
        <v>299</v>
      </c>
      <c r="F58" s="764" t="s">
        <v>3009</v>
      </c>
      <c r="G58" s="762">
        <v>8157</v>
      </c>
      <c r="H58" s="567">
        <f>G58*K58</f>
        <v>58858.4649</v>
      </c>
      <c r="I58" s="577"/>
      <c r="J58" s="577"/>
      <c r="K58" s="614">
        <v>7.2157</v>
      </c>
      <c r="L58" s="598" t="s">
        <v>3010</v>
      </c>
      <c r="M58" s="636" t="s">
        <v>621</v>
      </c>
      <c r="N58" s="975"/>
      <c r="O58" s="740" t="s">
        <v>3011</v>
      </c>
      <c r="P58" s="744"/>
      <c r="Q58" s="572"/>
      <c r="R58" s="744"/>
      <c r="S58" s="754"/>
    </row>
    <row r="59" s="10" customFormat="1" ht="16.5" spans="1:19">
      <c r="A59" s="250"/>
      <c r="B59" s="541"/>
      <c r="C59" s="664" t="s">
        <v>209</v>
      </c>
      <c r="D59" s="557"/>
      <c r="E59" s="561" t="s">
        <v>274</v>
      </c>
      <c r="F59" s="724" t="s">
        <v>1958</v>
      </c>
      <c r="G59" s="725">
        <v>11000</v>
      </c>
      <c r="H59" s="567">
        <f>G59*K59</f>
        <v>79372.7</v>
      </c>
      <c r="I59" s="735"/>
      <c r="J59" s="735"/>
      <c r="K59" s="614">
        <v>7.2157</v>
      </c>
      <c r="L59" s="598" t="s">
        <v>1218</v>
      </c>
      <c r="M59" s="709">
        <v>45153</v>
      </c>
      <c r="N59" s="975"/>
      <c r="O59" s="740" t="s">
        <v>2998</v>
      </c>
      <c r="P59" s="744"/>
      <c r="Q59" s="572"/>
      <c r="R59" s="744"/>
      <c r="S59" s="754"/>
    </row>
    <row r="60" s="10" customFormat="1" ht="18.75" customHeight="1" spans="1:19">
      <c r="A60" s="568"/>
      <c r="B60" s="541"/>
      <c r="C60" s="664" t="s">
        <v>209</v>
      </c>
      <c r="D60" s="968"/>
      <c r="E60" s="571"/>
      <c r="F60" s="571"/>
      <c r="G60" s="571"/>
      <c r="H60" s="567"/>
      <c r="I60" s="735"/>
      <c r="J60" s="735"/>
      <c r="K60" s="614"/>
      <c r="L60" s="598"/>
      <c r="M60" s="682"/>
      <c r="N60" s="976"/>
      <c r="O60" s="740"/>
      <c r="P60" s="250"/>
      <c r="Q60" s="751"/>
      <c r="R60" s="755"/>
      <c r="S60" s="756"/>
    </row>
    <row r="61" s="10" customFormat="1" ht="18.75" customHeight="1" spans="1:19">
      <c r="A61" s="568"/>
      <c r="B61" s="672"/>
      <c r="C61" s="1119" t="s">
        <v>1874</v>
      </c>
      <c r="D61" s="1120"/>
      <c r="E61" s="1120"/>
      <c r="F61" s="1120"/>
      <c r="G61" s="1121"/>
      <c r="H61" s="675">
        <f>SUM(H58:H60)</f>
        <v>138231.1649</v>
      </c>
      <c r="I61" s="735"/>
      <c r="J61" s="735"/>
      <c r="K61" s="614"/>
      <c r="L61" s="598"/>
      <c r="M61" s="682"/>
      <c r="N61" s="976"/>
      <c r="O61" s="740"/>
      <c r="P61" s="250"/>
      <c r="Q61" s="751"/>
      <c r="R61" s="755"/>
      <c r="S61" s="756"/>
    </row>
    <row r="62" s="10" customFormat="1" ht="18.75" customHeight="1" spans="1:19">
      <c r="A62" s="568"/>
      <c r="B62" s="568" t="s">
        <v>1875</v>
      </c>
      <c r="C62" s="666" t="s">
        <v>1248</v>
      </c>
      <c r="D62" s="655" t="s">
        <v>1125</v>
      </c>
      <c r="E62" s="571" t="s">
        <v>299</v>
      </c>
      <c r="F62" s="764" t="s">
        <v>1914</v>
      </c>
      <c r="G62" s="762">
        <v>31850</v>
      </c>
      <c r="H62" s="567">
        <f>G62*K62</f>
        <v>229820.045</v>
      </c>
      <c r="I62" s="577"/>
      <c r="J62" s="577"/>
      <c r="K62" s="614">
        <v>7.2157</v>
      </c>
      <c r="L62" s="708" t="s">
        <v>1949</v>
      </c>
      <c r="M62" s="636" t="s">
        <v>621</v>
      </c>
      <c r="N62" s="975"/>
      <c r="O62" s="740" t="s">
        <v>3012</v>
      </c>
      <c r="P62" s="250"/>
      <c r="Q62" s="751"/>
      <c r="R62" s="755"/>
      <c r="S62" s="756"/>
    </row>
    <row r="63" s="10" customFormat="1" ht="18.75" customHeight="1" spans="1:19">
      <c r="A63" s="568"/>
      <c r="B63" s="568"/>
      <c r="C63" s="556"/>
      <c r="D63" s="655"/>
      <c r="E63" s="571"/>
      <c r="F63" s="764" t="s">
        <v>1948</v>
      </c>
      <c r="G63" s="762">
        <v>31850</v>
      </c>
      <c r="H63" s="567">
        <f>G63*K63</f>
        <v>229820.045</v>
      </c>
      <c r="I63" s="577"/>
      <c r="J63" s="577"/>
      <c r="K63" s="614">
        <v>7.2157</v>
      </c>
      <c r="L63" s="708" t="s">
        <v>1949</v>
      </c>
      <c r="M63" s="636" t="s">
        <v>621</v>
      </c>
      <c r="N63" s="975"/>
      <c r="O63" s="740" t="s">
        <v>3012</v>
      </c>
      <c r="P63" s="250"/>
      <c r="Q63" s="751"/>
      <c r="R63" s="755"/>
      <c r="S63" s="756"/>
    </row>
    <row r="64" s="10" customFormat="1" ht="18.75" customHeight="1" spans="1:19">
      <c r="A64" s="568"/>
      <c r="B64" s="568"/>
      <c r="C64" s="556"/>
      <c r="D64" s="655"/>
      <c r="E64" s="571"/>
      <c r="F64" s="764" t="s">
        <v>1952</v>
      </c>
      <c r="G64" s="762">
        <v>31850</v>
      </c>
      <c r="H64" s="567">
        <f>G64*K64</f>
        <v>229820.045</v>
      </c>
      <c r="I64" s="577"/>
      <c r="J64" s="577"/>
      <c r="K64" s="614">
        <v>7.2157</v>
      </c>
      <c r="L64" s="708" t="s">
        <v>1949</v>
      </c>
      <c r="M64" s="636" t="s">
        <v>621</v>
      </c>
      <c r="N64" s="975"/>
      <c r="O64" s="740" t="s">
        <v>3012</v>
      </c>
      <c r="P64" s="250"/>
      <c r="Q64" s="751"/>
      <c r="R64" s="755"/>
      <c r="S64" s="756"/>
    </row>
    <row r="65" s="10" customFormat="1" ht="18.75" customHeight="1" spans="1:19">
      <c r="A65" s="568"/>
      <c r="B65" s="568"/>
      <c r="C65" s="670"/>
      <c r="D65" s="655"/>
      <c r="E65" s="571" t="s">
        <v>246</v>
      </c>
      <c r="F65" s="904" t="s">
        <v>3013</v>
      </c>
      <c r="G65" s="722">
        <v>30000</v>
      </c>
      <c r="H65" s="567">
        <f>G65*K65</f>
        <v>216471</v>
      </c>
      <c r="I65" s="735"/>
      <c r="J65" s="735"/>
      <c r="K65" s="614">
        <v>7.2157</v>
      </c>
      <c r="L65" s="598" t="s">
        <v>1218</v>
      </c>
      <c r="M65" s="636" t="s">
        <v>621</v>
      </c>
      <c r="N65" s="975"/>
      <c r="O65" s="740" t="s">
        <v>3014</v>
      </c>
      <c r="P65" s="250"/>
      <c r="Q65" s="751"/>
      <c r="R65" s="755"/>
      <c r="S65" s="756"/>
    </row>
    <row r="66" s="10" customFormat="1" ht="18.75" customHeight="1" spans="1:19">
      <c r="A66" s="568"/>
      <c r="B66" s="568"/>
      <c r="C66" s="664" t="s">
        <v>2764</v>
      </c>
      <c r="D66" s="655"/>
      <c r="E66" s="571" t="s">
        <v>287</v>
      </c>
      <c r="F66" s="904" t="s">
        <v>3015</v>
      </c>
      <c r="G66" s="722">
        <v>10000</v>
      </c>
      <c r="H66" s="567">
        <f>G66*K66</f>
        <v>72157</v>
      </c>
      <c r="I66" s="735"/>
      <c r="J66" s="735"/>
      <c r="K66" s="614">
        <v>7.2157</v>
      </c>
      <c r="L66" s="598" t="s">
        <v>1218</v>
      </c>
      <c r="M66" s="636" t="s">
        <v>621</v>
      </c>
      <c r="N66" s="975"/>
      <c r="O66" s="740" t="s">
        <v>1963</v>
      </c>
      <c r="P66" s="250"/>
      <c r="Q66" s="751"/>
      <c r="R66" s="755"/>
      <c r="S66" s="756"/>
    </row>
    <row r="67" s="10" customFormat="1" ht="16.5" spans="1:19">
      <c r="A67" s="568"/>
      <c r="B67" s="568"/>
      <c r="C67" s="652" t="s">
        <v>1874</v>
      </c>
      <c r="D67" s="652"/>
      <c r="E67" s="652"/>
      <c r="F67" s="652"/>
      <c r="G67" s="652"/>
      <c r="H67" s="782">
        <f>SUM(H62:H66)</f>
        <v>978088.135</v>
      </c>
      <c r="I67" s="782"/>
      <c r="J67" s="782"/>
      <c r="K67" s="614"/>
      <c r="L67" s="610"/>
      <c r="M67" s="644"/>
      <c r="N67" s="644"/>
      <c r="O67" s="1013"/>
      <c r="P67" s="623"/>
      <c r="Q67" s="655"/>
      <c r="R67" s="656"/>
      <c r="S67" s="754"/>
    </row>
    <row r="68" s="1065" customFormat="1" ht="18.75" customHeight="1" spans="1:19">
      <c r="A68" s="676"/>
      <c r="B68" s="1123"/>
      <c r="C68" s="1124"/>
      <c r="D68" s="843"/>
      <c r="E68" s="678"/>
      <c r="F68" s="678"/>
      <c r="G68" s="1125"/>
      <c r="H68" s="734"/>
      <c r="I68" s="734"/>
      <c r="J68" s="1128"/>
      <c r="K68" s="1118"/>
      <c r="L68" s="1129"/>
      <c r="M68" s="1068"/>
      <c r="N68" s="1132"/>
      <c r="O68" s="1133"/>
      <c r="P68" s="1134"/>
      <c r="Q68" s="840"/>
      <c r="R68" s="1141"/>
      <c r="S68" s="737"/>
    </row>
    <row r="69" s="536" customFormat="1" ht="39" customHeight="1" spans="1:19">
      <c r="A69" s="537" t="s">
        <v>1092</v>
      </c>
      <c r="B69" s="537" t="s">
        <v>1820</v>
      </c>
      <c r="C69" s="538" t="s">
        <v>1093</v>
      </c>
      <c r="D69" s="539" t="s">
        <v>1821</v>
      </c>
      <c r="E69" s="539" t="s">
        <v>1822</v>
      </c>
      <c r="F69" s="558" t="s">
        <v>1095</v>
      </c>
      <c r="G69" s="559" t="s">
        <v>362</v>
      </c>
      <c r="H69" s="560" t="s">
        <v>1716</v>
      </c>
      <c r="I69" s="560" t="s">
        <v>1717</v>
      </c>
      <c r="J69" s="560" t="s">
        <v>1718</v>
      </c>
      <c r="K69" s="594" t="s">
        <v>1096</v>
      </c>
      <c r="L69" s="595" t="s">
        <v>1098</v>
      </c>
      <c r="M69" s="619" t="s">
        <v>1097</v>
      </c>
      <c r="N69" s="619" t="s">
        <v>1214</v>
      </c>
      <c r="O69" s="937"/>
      <c r="P69" s="987"/>
      <c r="Q69" s="655"/>
      <c r="R69" s="664"/>
      <c r="S69" s="577"/>
    </row>
    <row r="70" s="536" customFormat="1" ht="18.75" customHeight="1" spans="1:19">
      <c r="A70" s="564" t="s">
        <v>1984</v>
      </c>
      <c r="B70" s="568" t="s">
        <v>1824</v>
      </c>
      <c r="C70" s="666" t="s">
        <v>38</v>
      </c>
      <c r="D70" s="759">
        <v>67</v>
      </c>
      <c r="E70" s="250" t="s">
        <v>150</v>
      </c>
      <c r="F70" s="673" t="s">
        <v>2894</v>
      </c>
      <c r="G70" s="978"/>
      <c r="H70" s="577"/>
      <c r="I70" s="577"/>
      <c r="J70" s="567">
        <v>504029</v>
      </c>
      <c r="K70" s="614">
        <v>7.0965</v>
      </c>
      <c r="L70" s="633">
        <v>45103</v>
      </c>
      <c r="M70" s="644">
        <v>45103</v>
      </c>
      <c r="N70" s="1135">
        <v>45108</v>
      </c>
      <c r="O70" s="937" t="s">
        <v>2895</v>
      </c>
      <c r="P70" s="987"/>
      <c r="Q70" s="655"/>
      <c r="R70" s="664"/>
      <c r="S70" s="577"/>
    </row>
    <row r="71" s="10" customFormat="1" ht="16.5" spans="1:19">
      <c r="A71" s="721"/>
      <c r="B71" s="705"/>
      <c r="C71" s="670"/>
      <c r="D71" s="557"/>
      <c r="E71" s="572" t="s">
        <v>143</v>
      </c>
      <c r="F71" s="1126" t="s">
        <v>3016</v>
      </c>
      <c r="G71" s="725">
        <v>43784</v>
      </c>
      <c r="H71" s="567">
        <f>G71*K71</f>
        <v>315932.2088</v>
      </c>
      <c r="I71" s="567">
        <f>H71</f>
        <v>315932.2088</v>
      </c>
      <c r="J71" s="567">
        <v>315932</v>
      </c>
      <c r="K71" s="614">
        <v>7.2157</v>
      </c>
      <c r="L71" s="625" t="s">
        <v>1218</v>
      </c>
      <c r="M71" s="645">
        <v>45129</v>
      </c>
      <c r="N71" s="645">
        <v>45132</v>
      </c>
      <c r="O71" s="937"/>
      <c r="P71" s="727"/>
      <c r="Q71" s="652"/>
      <c r="R71" s="727"/>
      <c r="S71" s="727"/>
    </row>
    <row r="72" s="10" customFormat="1" ht="19" customHeight="1" spans="1:19">
      <c r="A72" s="721"/>
      <c r="B72" s="568"/>
      <c r="C72" s="666" t="s">
        <v>1987</v>
      </c>
      <c r="D72" s="759">
        <v>50</v>
      </c>
      <c r="E72" s="250"/>
      <c r="F72" s="568"/>
      <c r="G72" s="969"/>
      <c r="H72" s="596"/>
      <c r="I72" s="596"/>
      <c r="J72" s="603"/>
      <c r="K72" s="614"/>
      <c r="L72" s="598"/>
      <c r="M72" s="598"/>
      <c r="N72" s="1044"/>
      <c r="O72" s="1057"/>
      <c r="P72" s="572"/>
      <c r="Q72" s="874" t="s">
        <v>2161</v>
      </c>
      <c r="R72" s="625"/>
      <c r="S72" s="631"/>
    </row>
    <row r="73" s="10" customFormat="1" ht="19" customHeight="1" spans="1:19">
      <c r="A73" s="721"/>
      <c r="B73" s="776"/>
      <c r="C73" s="664" t="s">
        <v>509</v>
      </c>
      <c r="D73" s="655">
        <v>124</v>
      </c>
      <c r="E73" s="572" t="s">
        <v>1232</v>
      </c>
      <c r="F73" s="250" t="s">
        <v>3017</v>
      </c>
      <c r="G73" s="1002"/>
      <c r="H73" s="596">
        <v>397302.19</v>
      </c>
      <c r="I73" s="981">
        <f>H73</f>
        <v>397302.19</v>
      </c>
      <c r="J73" s="603"/>
      <c r="K73" s="614">
        <v>7.2157</v>
      </c>
      <c r="L73" s="598">
        <v>45135</v>
      </c>
      <c r="M73" s="598">
        <v>45138</v>
      </c>
      <c r="N73" s="821" t="s">
        <v>3018</v>
      </c>
      <c r="O73" s="1009" t="s">
        <v>3019</v>
      </c>
      <c r="P73" s="642"/>
      <c r="Q73" s="655"/>
      <c r="R73" s="664"/>
      <c r="S73" s="577"/>
    </row>
    <row r="74" s="10" customFormat="1" ht="19" customHeight="1" spans="1:19">
      <c r="A74" s="721"/>
      <c r="B74" s="776"/>
      <c r="C74" s="664"/>
      <c r="D74" s="655"/>
      <c r="E74" s="250" t="s">
        <v>1232</v>
      </c>
      <c r="F74" s="250" t="s">
        <v>2899</v>
      </c>
      <c r="G74" s="969"/>
      <c r="H74" s="567"/>
      <c r="I74" s="596"/>
      <c r="J74" s="603">
        <v>142082.33</v>
      </c>
      <c r="K74" s="614">
        <v>7.0965</v>
      </c>
      <c r="L74" s="598">
        <v>45105</v>
      </c>
      <c r="M74" s="645">
        <v>45105</v>
      </c>
      <c r="N74" s="1136">
        <v>45117</v>
      </c>
      <c r="O74" s="1057" t="s">
        <v>2901</v>
      </c>
      <c r="P74" s="572"/>
      <c r="Q74" s="874"/>
      <c r="R74" s="625"/>
      <c r="S74" s="631"/>
    </row>
    <row r="75" s="10" customFormat="1" ht="19" customHeight="1" spans="1:19">
      <c r="A75" s="721"/>
      <c r="B75" s="776"/>
      <c r="C75" s="664"/>
      <c r="D75" s="655"/>
      <c r="E75" s="788" t="s">
        <v>2273</v>
      </c>
      <c r="F75" s="568" t="s">
        <v>2909</v>
      </c>
      <c r="G75" s="979"/>
      <c r="H75" s="567"/>
      <c r="I75" s="577"/>
      <c r="J75" s="602">
        <v>118467</v>
      </c>
      <c r="K75" s="614">
        <v>7.0965</v>
      </c>
      <c r="L75" s="598" t="s">
        <v>1218</v>
      </c>
      <c r="M75" s="645">
        <v>45106</v>
      </c>
      <c r="N75" s="1137">
        <v>45116</v>
      </c>
      <c r="O75" s="1138" t="s">
        <v>2714</v>
      </c>
      <c r="P75" s="572"/>
      <c r="Q75" s="874"/>
      <c r="R75" s="625"/>
      <c r="S75" s="631"/>
    </row>
    <row r="76" s="10" customFormat="1" ht="16.5" spans="1:19">
      <c r="A76" s="721"/>
      <c r="B76" s="776"/>
      <c r="C76" s="664" t="s">
        <v>1393</v>
      </c>
      <c r="D76" s="759">
        <v>109</v>
      </c>
      <c r="E76" s="982" t="s">
        <v>267</v>
      </c>
      <c r="F76" s="568" t="s">
        <v>3020</v>
      </c>
      <c r="G76" s="979">
        <v>39172</v>
      </c>
      <c r="H76" s="567">
        <f>G76*K76</f>
        <v>282653.4004</v>
      </c>
      <c r="I76" s="577">
        <f>H76</f>
        <v>282653.4004</v>
      </c>
      <c r="J76" s="577">
        <f>I76</f>
        <v>282653.4004</v>
      </c>
      <c r="K76" s="614">
        <v>7.2157</v>
      </c>
      <c r="L76" s="598" t="s">
        <v>1218</v>
      </c>
      <c r="M76" s="645">
        <v>45131</v>
      </c>
      <c r="N76" s="1139">
        <v>45137</v>
      </c>
      <c r="O76" s="740" t="s">
        <v>3021</v>
      </c>
      <c r="P76" s="572" t="s">
        <v>3022</v>
      </c>
      <c r="Q76" s="874" t="s">
        <v>1671</v>
      </c>
      <c r="R76" s="664"/>
      <c r="S76" s="577"/>
    </row>
    <row r="77" s="10" customFormat="1" ht="16.5" spans="1:19">
      <c r="A77" s="721"/>
      <c r="B77" s="776"/>
      <c r="C77" s="664"/>
      <c r="D77" s="557"/>
      <c r="E77" s="1127" t="s">
        <v>1563</v>
      </c>
      <c r="F77" s="716" t="s">
        <v>3023</v>
      </c>
      <c r="G77" s="979">
        <v>31436</v>
      </c>
      <c r="H77" s="567">
        <f>G77*K77</f>
        <v>226832.7452</v>
      </c>
      <c r="I77" s="602">
        <f>H77</f>
        <v>226832.7452</v>
      </c>
      <c r="J77" s="1130">
        <f>I77</f>
        <v>226832.7452</v>
      </c>
      <c r="K77" s="614">
        <v>7.2157</v>
      </c>
      <c r="L77" s="598" t="s">
        <v>1218</v>
      </c>
      <c r="M77" s="645">
        <v>45132</v>
      </c>
      <c r="N77" s="863">
        <v>45136</v>
      </c>
      <c r="O77" s="1012" t="s">
        <v>3024</v>
      </c>
      <c r="P77" s="572" t="s">
        <v>3022</v>
      </c>
      <c r="Q77" s="874" t="s">
        <v>1671</v>
      </c>
      <c r="R77" s="664"/>
      <c r="S77" s="577"/>
    </row>
    <row r="78" s="10" customFormat="1" ht="16.5" spans="1:19">
      <c r="A78" s="721"/>
      <c r="B78" s="776"/>
      <c r="C78" s="664"/>
      <c r="D78" s="968"/>
      <c r="E78" s="982" t="s">
        <v>660</v>
      </c>
      <c r="F78" s="561" t="s">
        <v>2914</v>
      </c>
      <c r="G78" s="979"/>
      <c r="H78" s="577"/>
      <c r="I78" s="577"/>
      <c r="J78" s="577">
        <v>141398</v>
      </c>
      <c r="K78" s="614">
        <v>7.0965</v>
      </c>
      <c r="L78" s="1131">
        <v>45094</v>
      </c>
      <c r="M78" s="1139">
        <v>45105</v>
      </c>
      <c r="N78" s="1140">
        <v>45109</v>
      </c>
      <c r="O78" s="740" t="s">
        <v>2915</v>
      </c>
      <c r="P78" s="572">
        <v>8901</v>
      </c>
      <c r="Q78" s="874" t="s">
        <v>1656</v>
      </c>
      <c r="R78" s="664"/>
      <c r="S78" s="577"/>
    </row>
    <row r="79" s="10" customFormat="1" ht="16.5" spans="1:19">
      <c r="A79" s="721"/>
      <c r="B79" s="568"/>
      <c r="C79" s="777" t="s">
        <v>1124</v>
      </c>
      <c r="D79" s="778">
        <f>D70+D72+D73+D76</f>
        <v>350</v>
      </c>
      <c r="E79" s="652"/>
      <c r="F79" s="727"/>
      <c r="G79" s="795" t="s">
        <v>1235</v>
      </c>
      <c r="H79" s="804">
        <f>SUM(H70:H78)</f>
        <v>1222720.5444</v>
      </c>
      <c r="I79" s="804">
        <f>SUM(I70:I78)</f>
        <v>1222720.5444</v>
      </c>
      <c r="J79" s="804">
        <f>SUM(J70:J78)</f>
        <v>1731394.4756</v>
      </c>
      <c r="K79" s="808"/>
      <c r="L79" s="809"/>
      <c r="M79" s="821"/>
      <c r="N79" s="996"/>
      <c r="O79" s="997"/>
      <c r="P79" s="727"/>
      <c r="Q79" s="652"/>
      <c r="R79" s="653"/>
      <c r="S79" s="809"/>
    </row>
    <row r="80" s="10" customFormat="1" ht="16.5" spans="1:19">
      <c r="A80" s="721"/>
      <c r="B80" s="568"/>
      <c r="C80" s="779"/>
      <c r="D80" s="746"/>
      <c r="E80" s="652"/>
      <c r="F80" s="727"/>
      <c r="G80" s="795" t="s">
        <v>1236</v>
      </c>
      <c r="H80" s="796">
        <f>H79/3500000</f>
        <v>0.349348726971429</v>
      </c>
      <c r="I80" s="796">
        <f>I79/3500000</f>
        <v>0.349348726971429</v>
      </c>
      <c r="J80" s="796">
        <f>J79/3500000</f>
        <v>0.494684135885714</v>
      </c>
      <c r="K80" s="808"/>
      <c r="L80" s="809"/>
      <c r="M80" s="821"/>
      <c r="N80" s="996"/>
      <c r="O80" s="997"/>
      <c r="P80" s="727"/>
      <c r="Q80" s="652"/>
      <c r="R80" s="653"/>
      <c r="S80" s="809"/>
    </row>
    <row r="81" s="10" customFormat="1" ht="30" spans="1:19">
      <c r="A81" s="721"/>
      <c r="B81" s="537" t="s">
        <v>1820</v>
      </c>
      <c r="C81" s="538" t="s">
        <v>1093</v>
      </c>
      <c r="D81" s="539" t="s">
        <v>1821</v>
      </c>
      <c r="E81" s="539" t="s">
        <v>1822</v>
      </c>
      <c r="F81" s="558" t="s">
        <v>1095</v>
      </c>
      <c r="G81" s="559" t="s">
        <v>362</v>
      </c>
      <c r="H81" s="1115" t="s">
        <v>1865</v>
      </c>
      <c r="I81" s="560" t="s">
        <v>1717</v>
      </c>
      <c r="J81" s="560" t="s">
        <v>1718</v>
      </c>
      <c r="K81" s="1115" t="s">
        <v>1866</v>
      </c>
      <c r="L81" s="595" t="s">
        <v>1098</v>
      </c>
      <c r="M81" s="1115" t="s">
        <v>1867</v>
      </c>
      <c r="N81" s="1116"/>
      <c r="O81" s="997"/>
      <c r="P81" s="727"/>
      <c r="Q81" s="652"/>
      <c r="R81" s="727"/>
      <c r="S81" s="727"/>
    </row>
    <row r="82" s="10" customFormat="1" ht="16.5" spans="1:19">
      <c r="A82" s="721"/>
      <c r="B82" s="541" t="s">
        <v>2957</v>
      </c>
      <c r="C82" s="250" t="s">
        <v>1987</v>
      </c>
      <c r="D82" s="545" t="s">
        <v>1125</v>
      </c>
      <c r="E82" s="547"/>
      <c r="F82" s="715"/>
      <c r="G82" s="715"/>
      <c r="H82" s="839"/>
      <c r="I82" s="839"/>
      <c r="J82" s="839"/>
      <c r="K82" s="614">
        <v>7.2157</v>
      </c>
      <c r="L82" s="598"/>
      <c r="M82" s="598"/>
      <c r="N82" s="863"/>
      <c r="O82" s="997"/>
      <c r="P82" s="727"/>
      <c r="Q82" s="652"/>
      <c r="R82" s="727"/>
      <c r="S82" s="727"/>
    </row>
    <row r="83" s="10" customFormat="1" ht="16.5" spans="1:19">
      <c r="A83" s="721"/>
      <c r="B83" s="541"/>
      <c r="C83" s="564" t="s">
        <v>509</v>
      </c>
      <c r="D83" s="545"/>
      <c r="E83" s="250" t="s">
        <v>2025</v>
      </c>
      <c r="F83" s="250" t="s">
        <v>1238</v>
      </c>
      <c r="G83" s="562">
        <v>88961</v>
      </c>
      <c r="H83" s="596">
        <f>G83*K83</f>
        <v>641915.8877</v>
      </c>
      <c r="I83" s="981"/>
      <c r="J83" s="603"/>
      <c r="K83" s="614">
        <v>7.2157</v>
      </c>
      <c r="L83" s="598"/>
      <c r="M83" s="598" t="s">
        <v>199</v>
      </c>
      <c r="N83" s="625"/>
      <c r="O83" s="1009" t="s">
        <v>3025</v>
      </c>
      <c r="P83" s="727"/>
      <c r="Q83" s="652"/>
      <c r="R83" s="727"/>
      <c r="S83" s="727"/>
    </row>
    <row r="84" s="10" customFormat="1" ht="16.5" spans="1:19">
      <c r="A84" s="721"/>
      <c r="B84" s="541"/>
      <c r="C84" s="564"/>
      <c r="D84" s="545"/>
      <c r="E84" s="572" t="s">
        <v>2099</v>
      </c>
      <c r="F84" s="250" t="s">
        <v>3026</v>
      </c>
      <c r="G84" s="1002"/>
      <c r="H84" s="567">
        <v>716043</v>
      </c>
      <c r="I84" s="981"/>
      <c r="J84" s="603"/>
      <c r="K84" s="614">
        <v>7.2157</v>
      </c>
      <c r="L84" s="598"/>
      <c r="M84" s="598" t="s">
        <v>1386</v>
      </c>
      <c r="N84" s="625">
        <v>45148</v>
      </c>
      <c r="O84" s="1009" t="s">
        <v>3027</v>
      </c>
      <c r="P84" s="727"/>
      <c r="Q84" s="652"/>
      <c r="R84" s="727"/>
      <c r="S84" s="727"/>
    </row>
    <row r="85" s="10" customFormat="1" ht="16.5" spans="1:19">
      <c r="A85" s="721"/>
      <c r="B85" s="541"/>
      <c r="C85" s="564" t="s">
        <v>1393</v>
      </c>
      <c r="D85" s="545"/>
      <c r="E85" s="982" t="s">
        <v>258</v>
      </c>
      <c r="F85" s="788" t="s">
        <v>1998</v>
      </c>
      <c r="G85" s="979">
        <v>32760</v>
      </c>
      <c r="H85" s="567">
        <f>G85*K85</f>
        <v>236386.332</v>
      </c>
      <c r="I85" s="839"/>
      <c r="J85" s="839"/>
      <c r="K85" s="614">
        <v>7.2157</v>
      </c>
      <c r="L85" s="598">
        <v>45128</v>
      </c>
      <c r="M85" s="598" t="s">
        <v>3028</v>
      </c>
      <c r="N85" s="598" t="s">
        <v>3028</v>
      </c>
      <c r="O85" s="997" t="s">
        <v>3029</v>
      </c>
      <c r="P85" s="727"/>
      <c r="Q85" s="652"/>
      <c r="R85" s="727"/>
      <c r="S85" s="727"/>
    </row>
    <row r="86" s="10" customFormat="1" ht="16.5" spans="1:19">
      <c r="A86" s="721"/>
      <c r="B86" s="541"/>
      <c r="C86" s="673"/>
      <c r="D86" s="545"/>
      <c r="E86" s="788" t="s">
        <v>841</v>
      </c>
      <c r="F86" s="576" t="s">
        <v>3030</v>
      </c>
      <c r="G86" s="562">
        <v>70121</v>
      </c>
      <c r="H86" s="596">
        <f>G86*K86</f>
        <v>505972.0997</v>
      </c>
      <c r="I86" s="851"/>
      <c r="J86" s="788"/>
      <c r="K86" s="614">
        <v>7.2157</v>
      </c>
      <c r="L86" s="856" t="s">
        <v>1218</v>
      </c>
      <c r="M86" s="598">
        <v>45138</v>
      </c>
      <c r="N86" s="863">
        <v>45145</v>
      </c>
      <c r="O86" s="997" t="s">
        <v>3031</v>
      </c>
      <c r="P86" s="727"/>
      <c r="Q86" s="652"/>
      <c r="R86" s="727"/>
      <c r="S86" s="727"/>
    </row>
    <row r="87" s="10" customFormat="1" ht="16.5" spans="1:19">
      <c r="A87" s="721"/>
      <c r="B87" s="672"/>
      <c r="C87" s="652" t="s">
        <v>1874</v>
      </c>
      <c r="D87" s="652"/>
      <c r="E87" s="652"/>
      <c r="F87" s="652"/>
      <c r="G87" s="652"/>
      <c r="H87" s="804">
        <f>SUM(H82:H85)</f>
        <v>1594345.2197</v>
      </c>
      <c r="I87" s="839"/>
      <c r="J87" s="839"/>
      <c r="K87" s="614">
        <v>7.2157</v>
      </c>
      <c r="L87" s="598"/>
      <c r="M87" s="598"/>
      <c r="N87" s="863"/>
      <c r="O87" s="997"/>
      <c r="P87" s="727"/>
      <c r="Q87" s="652"/>
      <c r="R87" s="727"/>
      <c r="S87" s="727"/>
    </row>
    <row r="88" s="10" customFormat="1" ht="16.5" spans="1:19">
      <c r="A88" s="721"/>
      <c r="B88" s="564" t="s">
        <v>1875</v>
      </c>
      <c r="C88" s="250" t="s">
        <v>38</v>
      </c>
      <c r="D88" s="545" t="s">
        <v>1125</v>
      </c>
      <c r="E88" s="572" t="s">
        <v>152</v>
      </c>
      <c r="F88" s="250" t="s">
        <v>2018</v>
      </c>
      <c r="G88" s="725">
        <v>100000</v>
      </c>
      <c r="H88" s="567">
        <f t="shared" ref="H88:H94" si="5">G88*K88</f>
        <v>721570</v>
      </c>
      <c r="I88" s="567"/>
      <c r="J88" s="567"/>
      <c r="K88" s="614">
        <v>7.2157</v>
      </c>
      <c r="L88" s="625" t="s">
        <v>1218</v>
      </c>
      <c r="M88" s="598"/>
      <c r="N88" s="863"/>
      <c r="O88" s="937" t="s">
        <v>3032</v>
      </c>
      <c r="P88" s="727"/>
      <c r="Q88" s="652"/>
      <c r="R88" s="727"/>
      <c r="S88" s="727"/>
    </row>
    <row r="89" s="10" customFormat="1" ht="16.5" spans="1:19">
      <c r="A89" s="721"/>
      <c r="B89" s="721"/>
      <c r="C89" s="250"/>
      <c r="D89" s="545"/>
      <c r="E89" s="572" t="s">
        <v>150</v>
      </c>
      <c r="F89" s="250"/>
      <c r="G89" s="725">
        <v>30000</v>
      </c>
      <c r="H89" s="567">
        <f t="shared" si="5"/>
        <v>216471</v>
      </c>
      <c r="I89" s="567"/>
      <c r="J89" s="567"/>
      <c r="K89" s="614">
        <v>7.2157</v>
      </c>
      <c r="L89" s="625"/>
      <c r="M89" s="598"/>
      <c r="N89" s="863"/>
      <c r="O89" s="937"/>
      <c r="P89" s="727"/>
      <c r="Q89" s="652"/>
      <c r="R89" s="727"/>
      <c r="S89" s="727"/>
    </row>
    <row r="90" s="10" customFormat="1" ht="16.5" spans="1:19">
      <c r="A90" s="721"/>
      <c r="B90" s="721"/>
      <c r="C90" s="250"/>
      <c r="D90" s="545"/>
      <c r="E90" s="250" t="s">
        <v>2595</v>
      </c>
      <c r="F90" s="250" t="s">
        <v>2596</v>
      </c>
      <c r="G90" s="591">
        <v>16020</v>
      </c>
      <c r="H90" s="567">
        <f t="shared" si="5"/>
        <v>115595.514</v>
      </c>
      <c r="I90" s="567"/>
      <c r="J90" s="567"/>
      <c r="K90" s="614">
        <v>7.2157</v>
      </c>
      <c r="L90" s="625" t="s">
        <v>1218</v>
      </c>
      <c r="M90" s="854"/>
      <c r="N90" s="863"/>
      <c r="O90" s="937" t="s">
        <v>3033</v>
      </c>
      <c r="P90" s="727"/>
      <c r="Q90" s="652"/>
      <c r="R90" s="727"/>
      <c r="S90" s="727"/>
    </row>
    <row r="91" s="10" customFormat="1" ht="16.5" spans="1:19">
      <c r="A91" s="721"/>
      <c r="B91" s="721"/>
      <c r="C91" s="250" t="s">
        <v>1987</v>
      </c>
      <c r="D91" s="545"/>
      <c r="E91" s="746"/>
      <c r="F91" s="727"/>
      <c r="G91" s="727"/>
      <c r="H91" s="567"/>
      <c r="I91" s="804"/>
      <c r="J91" s="804"/>
      <c r="K91" s="614">
        <v>7.2157</v>
      </c>
      <c r="L91" s="854"/>
      <c r="M91" s="854"/>
      <c r="N91" s="863"/>
      <c r="O91" s="997"/>
      <c r="P91" s="727"/>
      <c r="Q91" s="652"/>
      <c r="R91" s="727"/>
      <c r="S91" s="727"/>
    </row>
    <row r="92" s="10" customFormat="1" ht="16.5" spans="1:19">
      <c r="A92" s="721"/>
      <c r="B92" s="541"/>
      <c r="C92" s="250" t="s">
        <v>509</v>
      </c>
      <c r="D92" s="545"/>
      <c r="E92" s="787" t="s">
        <v>527</v>
      </c>
      <c r="F92" s="788" t="s">
        <v>3034</v>
      </c>
      <c r="G92" s="1002">
        <v>483888</v>
      </c>
      <c r="H92" s="567">
        <f t="shared" si="5"/>
        <v>3491590.6416</v>
      </c>
      <c r="I92" s="851"/>
      <c r="J92" s="788"/>
      <c r="K92" s="614">
        <v>7.2157</v>
      </c>
      <c r="L92" s="856"/>
      <c r="M92" s="596"/>
      <c r="N92" s="603"/>
      <c r="O92" s="937" t="s">
        <v>3035</v>
      </c>
      <c r="P92" s="727"/>
      <c r="Q92" s="652"/>
      <c r="R92" s="727"/>
      <c r="S92" s="727"/>
    </row>
    <row r="93" s="10" customFormat="1" ht="16.5" spans="1:19">
      <c r="A93" s="721"/>
      <c r="B93" s="721"/>
      <c r="C93" s="721" t="s">
        <v>1393</v>
      </c>
      <c r="D93" s="545"/>
      <c r="E93" s="788" t="s">
        <v>841</v>
      </c>
      <c r="F93" s="722" t="s">
        <v>2037</v>
      </c>
      <c r="G93" s="1002">
        <v>11452</v>
      </c>
      <c r="H93" s="567">
        <f t="shared" si="5"/>
        <v>82634.1964</v>
      </c>
      <c r="I93" s="851"/>
      <c r="J93" s="788"/>
      <c r="K93" s="614">
        <v>7.2157</v>
      </c>
      <c r="L93" s="856" t="s">
        <v>1218</v>
      </c>
      <c r="M93" s="596"/>
      <c r="N93" s="605"/>
      <c r="O93" s="994" t="s">
        <v>3036</v>
      </c>
      <c r="P93" s="727"/>
      <c r="Q93" s="652"/>
      <c r="R93" s="727"/>
      <c r="S93" s="727"/>
    </row>
    <row r="94" s="10" customFormat="1" ht="16.5" spans="1:19">
      <c r="A94" s="721"/>
      <c r="B94" s="721"/>
      <c r="C94" s="721"/>
      <c r="D94" s="545"/>
      <c r="E94" s="788" t="s">
        <v>2003</v>
      </c>
      <c r="F94" s="788" t="s">
        <v>2004</v>
      </c>
      <c r="G94" s="722">
        <v>37046</v>
      </c>
      <c r="H94" s="567">
        <f t="shared" si="5"/>
        <v>267312.8222</v>
      </c>
      <c r="I94" s="851"/>
      <c r="J94" s="788"/>
      <c r="K94" s="614">
        <v>7.2157</v>
      </c>
      <c r="L94" s="856" t="s">
        <v>1218</v>
      </c>
      <c r="M94" s="596"/>
      <c r="N94" s="605"/>
      <c r="O94" s="994" t="s">
        <v>3037</v>
      </c>
      <c r="P94" s="727"/>
      <c r="Q94" s="652"/>
      <c r="R94" s="727"/>
      <c r="S94" s="727"/>
    </row>
    <row r="95" s="10" customFormat="1" ht="16.5" spans="1:19">
      <c r="A95" s="673"/>
      <c r="B95" s="673"/>
      <c r="C95" s="652" t="s">
        <v>1874</v>
      </c>
      <c r="D95" s="652"/>
      <c r="E95" s="652"/>
      <c r="F95" s="652"/>
      <c r="G95" s="652"/>
      <c r="H95" s="804">
        <f>SUM(H88:H94)</f>
        <v>4895174.1742</v>
      </c>
      <c r="I95" s="804"/>
      <c r="J95" s="804"/>
      <c r="K95" s="928"/>
      <c r="L95" s="854"/>
      <c r="M95" s="854"/>
      <c r="N95" s="863"/>
      <c r="O95" s="997"/>
      <c r="P95" s="727"/>
      <c r="Q95" s="652"/>
      <c r="R95" s="727"/>
      <c r="S95" s="727"/>
    </row>
    <row r="96" s="1065" customFormat="1" ht="16.5" spans="1:19">
      <c r="A96" s="1085"/>
      <c r="B96" s="1085"/>
      <c r="C96" s="1086"/>
      <c r="D96" s="1087"/>
      <c r="E96" s="1087"/>
      <c r="F96" s="1088"/>
      <c r="G96" s="1088"/>
      <c r="H96" s="1089"/>
      <c r="I96" s="1089"/>
      <c r="J96" s="1089"/>
      <c r="K96" s="1088"/>
      <c r="L96" s="1088"/>
      <c r="M96" s="1091"/>
      <c r="N96" s="1092"/>
      <c r="O96" s="1093"/>
      <c r="P96" s="1088"/>
      <c r="Q96" s="1087"/>
      <c r="R96" s="1088"/>
      <c r="S96" s="1088"/>
    </row>
    <row r="97" s="10" customFormat="1" ht="16.5" spans="1:19">
      <c r="A97" s="738" t="s">
        <v>3038</v>
      </c>
      <c r="B97" s="780"/>
      <c r="C97" s="780"/>
      <c r="D97" s="652">
        <f>D15+D55+D79</f>
        <v>889</v>
      </c>
      <c r="E97" s="652"/>
      <c r="F97" s="727"/>
      <c r="G97" s="727" t="s">
        <v>1235</v>
      </c>
      <c r="H97" s="804">
        <f>H15+H55+H79</f>
        <v>5116452.4515</v>
      </c>
      <c r="I97" s="804">
        <f>I15+I55+I79</f>
        <v>4899981.1173</v>
      </c>
      <c r="J97" s="804">
        <f>J15+J55+J79</f>
        <v>8543602.7578</v>
      </c>
      <c r="K97" s="727"/>
      <c r="L97" s="727"/>
      <c r="M97" s="854"/>
      <c r="N97" s="854"/>
      <c r="O97" s="1015"/>
      <c r="P97" s="727"/>
      <c r="Q97" s="652"/>
      <c r="R97" s="727"/>
      <c r="S97" s="727"/>
    </row>
    <row r="98" s="10" customFormat="1" ht="16.5" spans="1:19">
      <c r="A98" s="780"/>
      <c r="B98" s="780"/>
      <c r="C98" s="780"/>
      <c r="D98" s="652"/>
      <c r="E98" s="652"/>
      <c r="F98" s="727"/>
      <c r="G98" s="727" t="s">
        <v>1236</v>
      </c>
      <c r="H98" s="796">
        <f>H97/(D97*10000)</f>
        <v>0.575528959673791</v>
      </c>
      <c r="I98" s="796">
        <f>I97/(D97*10000)</f>
        <v>0.551178978323959</v>
      </c>
      <c r="J98" s="796">
        <f>J97/(D97*10000)</f>
        <v>0.961035180854893</v>
      </c>
      <c r="K98" s="727"/>
      <c r="L98" s="727"/>
      <c r="M98" s="854"/>
      <c r="N98" s="854"/>
      <c r="O98" s="1015"/>
      <c r="P98" s="727"/>
      <c r="Q98" s="727"/>
      <c r="R98" s="727"/>
      <c r="S98" s="727"/>
    </row>
    <row r="99" s="10" customFormat="1" ht="16.5" spans="1:19">
      <c r="A99" s="536"/>
      <c r="B99" s="536"/>
      <c r="C99" s="836"/>
      <c r="D99" s="837"/>
      <c r="E99" s="837"/>
      <c r="F99" s="836"/>
      <c r="G99" s="836"/>
      <c r="H99" s="850"/>
      <c r="I99" s="850"/>
      <c r="J99" s="850"/>
      <c r="K99" s="836"/>
      <c r="L99" s="836"/>
      <c r="M99" s="870"/>
      <c r="N99" s="870"/>
      <c r="O99" s="1016"/>
      <c r="P99" s="836"/>
      <c r="Q99" s="837"/>
      <c r="R99" s="836"/>
      <c r="S99" s="836"/>
    </row>
    <row r="100" s="10" customFormat="1" ht="16.5" spans="1:19">
      <c r="A100" s="536"/>
      <c r="B100" s="536"/>
      <c r="C100" s="836"/>
      <c r="D100" s="837"/>
      <c r="E100" s="837"/>
      <c r="F100" s="836" t="s">
        <v>139</v>
      </c>
      <c r="G100" s="836"/>
      <c r="H100" s="1142"/>
      <c r="I100" s="1143"/>
      <c r="J100" s="880"/>
      <c r="K100" s="836"/>
      <c r="L100" s="836"/>
      <c r="M100" s="870"/>
      <c r="N100" s="870"/>
      <c r="O100" s="1016"/>
      <c r="P100" s="836" t="s">
        <v>140</v>
      </c>
      <c r="Q100" s="837"/>
      <c r="R100" s="836"/>
      <c r="S100" s="836"/>
    </row>
    <row r="101" s="10" customFormat="1" ht="16.5" spans="1:19">
      <c r="A101" s="875" t="s">
        <v>1814</v>
      </c>
      <c r="B101" s="875"/>
      <c r="C101" s="875"/>
      <c r="D101" s="875"/>
      <c r="E101" s="875"/>
      <c r="F101" s="875"/>
      <c r="G101" s="1090"/>
      <c r="H101" s="850"/>
      <c r="I101" s="850"/>
      <c r="J101" s="850"/>
      <c r="K101" s="836"/>
      <c r="L101" s="836"/>
      <c r="M101" s="870"/>
      <c r="N101" s="870"/>
      <c r="O101" s="1016"/>
      <c r="P101" s="894"/>
      <c r="Q101" s="837"/>
      <c r="R101" s="836"/>
      <c r="S101" s="836"/>
    </row>
    <row r="102" s="10" customFormat="1" ht="16.5" spans="1:19">
      <c r="A102" s="875" t="s">
        <v>2045</v>
      </c>
      <c r="B102" s="875"/>
      <c r="C102" s="875"/>
      <c r="D102" s="875"/>
      <c r="E102" s="875"/>
      <c r="F102" s="875"/>
      <c r="G102" s="1090"/>
      <c r="J102" s="850"/>
      <c r="K102" s="836"/>
      <c r="L102" s="836"/>
      <c r="M102" s="870"/>
      <c r="N102" s="870"/>
      <c r="O102" s="1016"/>
      <c r="P102" s="894"/>
      <c r="Q102" s="837"/>
      <c r="R102" s="836"/>
      <c r="S102" s="836"/>
    </row>
    <row r="103" s="10" customFormat="1" ht="16.5" spans="1:19">
      <c r="A103" s="875" t="s">
        <v>2046</v>
      </c>
      <c r="B103" s="875"/>
      <c r="C103" s="875"/>
      <c r="D103" s="875"/>
      <c r="E103" s="875"/>
      <c r="F103" s="875"/>
      <c r="G103" s="1090"/>
      <c r="H103" s="850"/>
      <c r="I103" s="850"/>
      <c r="J103" s="850"/>
      <c r="K103" s="892"/>
      <c r="L103" s="836"/>
      <c r="M103" s="870"/>
      <c r="N103" s="870"/>
      <c r="O103" s="1016"/>
      <c r="P103" s="894"/>
      <c r="Q103" s="837"/>
      <c r="R103" s="836"/>
      <c r="S103" s="836"/>
    </row>
    <row r="104" s="10" customFormat="1" ht="16.5" spans="1:19">
      <c r="A104" s="875" t="s">
        <v>2047</v>
      </c>
      <c r="B104" s="875"/>
      <c r="C104" s="875"/>
      <c r="D104" s="875"/>
      <c r="E104" s="875"/>
      <c r="F104" s="875"/>
      <c r="G104" s="1090"/>
      <c r="H104" s="850"/>
      <c r="I104" s="850"/>
      <c r="J104" s="850"/>
      <c r="K104" s="836"/>
      <c r="L104" s="836"/>
      <c r="M104" s="870"/>
      <c r="N104" s="870"/>
      <c r="O104" s="1016"/>
      <c r="P104" s="894"/>
      <c r="Q104" s="837"/>
      <c r="R104" s="836"/>
      <c r="S104" s="836"/>
    </row>
    <row r="105" ht="16.5" spans="1:19">
      <c r="A105" s="417"/>
      <c r="B105" s="417"/>
      <c r="C105" s="877"/>
      <c r="D105" s="878"/>
      <c r="E105" s="878"/>
      <c r="F105" s="877"/>
      <c r="G105" s="877"/>
      <c r="H105" s="850"/>
      <c r="I105" s="850"/>
      <c r="J105" s="850"/>
      <c r="K105" s="877"/>
      <c r="L105" s="877"/>
      <c r="M105" s="896"/>
      <c r="N105" s="896"/>
      <c r="O105" s="887"/>
      <c r="P105" s="877"/>
      <c r="Q105" s="878"/>
      <c r="R105" s="877"/>
      <c r="S105" s="877"/>
    </row>
    <row r="106" ht="16.5" spans="1:19">
      <c r="A106" s="417"/>
      <c r="B106" s="417"/>
      <c r="C106" s="417"/>
      <c r="D106" s="879"/>
      <c r="E106" s="879"/>
      <c r="F106" s="417"/>
      <c r="G106" s="417"/>
      <c r="H106" s="880"/>
      <c r="I106" s="880"/>
      <c r="J106" s="880"/>
      <c r="K106" s="417"/>
      <c r="L106" s="417"/>
      <c r="M106" s="898"/>
      <c r="N106" s="898"/>
      <c r="O106" s="888"/>
      <c r="P106" s="417"/>
      <c r="Q106" s="900"/>
      <c r="R106" s="417"/>
      <c r="S106" s="417"/>
    </row>
    <row r="114" spans="10:10">
      <c r="J114">
        <v>1</v>
      </c>
    </row>
  </sheetData>
  <sheetProtection formatCells="0" insertHyperlinks="0" autoFilter="0"/>
  <mergeCells count="77">
    <mergeCell ref="A1:R1"/>
    <mergeCell ref="I17:J17"/>
    <mergeCell ref="M17:N17"/>
    <mergeCell ref="C27:G27"/>
    <mergeCell ref="C35:G35"/>
    <mergeCell ref="A36:S36"/>
    <mergeCell ref="M49:N49"/>
    <mergeCell ref="I57:J57"/>
    <mergeCell ref="M57:N57"/>
    <mergeCell ref="M58:N58"/>
    <mergeCell ref="M59:N59"/>
    <mergeCell ref="M60:N60"/>
    <mergeCell ref="C61:G61"/>
    <mergeCell ref="M61:N61"/>
    <mergeCell ref="M62:N62"/>
    <mergeCell ref="M63:N63"/>
    <mergeCell ref="M64:N64"/>
    <mergeCell ref="M65:N65"/>
    <mergeCell ref="M66:N66"/>
    <mergeCell ref="C67:G67"/>
    <mergeCell ref="M81:N81"/>
    <mergeCell ref="C87:G87"/>
    <mergeCell ref="C95:G95"/>
    <mergeCell ref="A3:A35"/>
    <mergeCell ref="A38:A67"/>
    <mergeCell ref="A70:A95"/>
    <mergeCell ref="B3:B16"/>
    <mergeCell ref="B18:B27"/>
    <mergeCell ref="B28:B35"/>
    <mergeCell ref="B38:B56"/>
    <mergeCell ref="B58:B61"/>
    <mergeCell ref="B62:B67"/>
    <mergeCell ref="B70:B80"/>
    <mergeCell ref="B82:B87"/>
    <mergeCell ref="B88:B95"/>
    <mergeCell ref="C3:C7"/>
    <mergeCell ref="C8:C14"/>
    <mergeCell ref="C15:C16"/>
    <mergeCell ref="C18:C22"/>
    <mergeCell ref="C23:C26"/>
    <mergeCell ref="C28:C32"/>
    <mergeCell ref="C33:C34"/>
    <mergeCell ref="C38:C41"/>
    <mergeCell ref="C42:C45"/>
    <mergeCell ref="C46:C51"/>
    <mergeCell ref="C52:C54"/>
    <mergeCell ref="C55:C56"/>
    <mergeCell ref="C62:C65"/>
    <mergeCell ref="C70:C71"/>
    <mergeCell ref="C73:C75"/>
    <mergeCell ref="C76:C78"/>
    <mergeCell ref="C79:C80"/>
    <mergeCell ref="C85:C86"/>
    <mergeCell ref="C88:C90"/>
    <mergeCell ref="C93:C94"/>
    <mergeCell ref="D3:D7"/>
    <mergeCell ref="D8:D14"/>
    <mergeCell ref="D15:D16"/>
    <mergeCell ref="D18:D26"/>
    <mergeCell ref="D28:D34"/>
    <mergeCell ref="D38:D41"/>
    <mergeCell ref="D42:D45"/>
    <mergeCell ref="D46:D51"/>
    <mergeCell ref="D52:D54"/>
    <mergeCell ref="D55:D56"/>
    <mergeCell ref="D58:D60"/>
    <mergeCell ref="D62:D66"/>
    <mergeCell ref="D70:D71"/>
    <mergeCell ref="D73:D75"/>
    <mergeCell ref="D76:D78"/>
    <mergeCell ref="D79:D80"/>
    <mergeCell ref="D82:D86"/>
    <mergeCell ref="D88:D94"/>
    <mergeCell ref="D97:D98"/>
    <mergeCell ref="E38:E39"/>
    <mergeCell ref="E62:E64"/>
    <mergeCell ref="A97:C98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7"/>
  <dimension ref="A1:T129"/>
  <sheetViews>
    <sheetView workbookViewId="0">
      <pane xSplit="5" ySplit="1" topLeftCell="P72" activePane="bottomRight" state="frozen"/>
      <selection/>
      <selection pane="topRight"/>
      <selection pane="bottomLeft"/>
      <selection pane="bottomRight" activeCell="P72" sqref="P72"/>
    </sheetView>
  </sheetViews>
  <sheetFormatPr defaultColWidth="9" defaultRowHeight="13.5"/>
  <cols>
    <col min="1" max="1" width="5.34166666666667" customWidth="1"/>
    <col min="2" max="2" width="7.625" customWidth="1"/>
    <col min="3" max="3" width="8.375" customWidth="1"/>
    <col min="4" max="4" width="8.38333333333333" customWidth="1"/>
    <col min="5" max="5" width="16.6916666666667" customWidth="1"/>
    <col min="6" max="6" width="19.225" customWidth="1"/>
    <col min="7" max="7" width="12.625" customWidth="1"/>
    <col min="8" max="8" width="15.375" customWidth="1"/>
    <col min="9" max="9" width="16.1833333333333" customWidth="1"/>
    <col min="10" max="10" width="14.625" customWidth="1"/>
    <col min="11" max="11" width="9.25833333333333"/>
    <col min="12" max="12" width="16.625"/>
    <col min="13" max="13" width="10.5916666666667" customWidth="1"/>
    <col min="14" max="14" width="10.1166666666667" customWidth="1"/>
    <col min="15" max="15" width="63.875" customWidth="1"/>
    <col min="16" max="16" width="17.9666666666667" customWidth="1"/>
    <col min="17" max="17" width="9" style="510"/>
    <col min="18" max="18" width="13.125"/>
  </cols>
  <sheetData>
    <row r="1" s="10" customFormat="1" ht="21.65" customHeight="1" spans="1:19">
      <c r="A1" s="1094" t="s">
        <v>3039</v>
      </c>
      <c r="B1" s="1094"/>
      <c r="C1" s="1094"/>
      <c r="D1" s="1094"/>
      <c r="E1" s="1094"/>
      <c r="F1" s="1094"/>
      <c r="G1" s="1094"/>
      <c r="H1" s="1094"/>
      <c r="I1" s="1094"/>
      <c r="J1" s="1094"/>
      <c r="K1" s="1094"/>
      <c r="L1" s="1094"/>
      <c r="M1" s="1102"/>
      <c r="N1" s="1102"/>
      <c r="O1" s="1016"/>
      <c r="P1" s="1094"/>
      <c r="Q1" s="1094"/>
      <c r="R1" s="1094"/>
      <c r="S1" s="651"/>
    </row>
    <row r="2" s="10" customFormat="1" ht="30" spans="1:19">
      <c r="A2" s="537" t="s">
        <v>1092</v>
      </c>
      <c r="B2" s="537" t="s">
        <v>1820</v>
      </c>
      <c r="C2" s="538" t="s">
        <v>1946</v>
      </c>
      <c r="D2" s="539" t="s">
        <v>1821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1097</v>
      </c>
      <c r="N2" s="619" t="s">
        <v>1214</v>
      </c>
      <c r="O2" s="727" t="s">
        <v>1215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1066" t="s">
        <v>1823</v>
      </c>
      <c r="B3" s="705" t="s">
        <v>1824</v>
      </c>
      <c r="C3" s="715" t="s">
        <v>1825</v>
      </c>
      <c r="D3" s="716">
        <v>110</v>
      </c>
      <c r="E3" s="561" t="s">
        <v>1216</v>
      </c>
      <c r="F3" s="571" t="s">
        <v>3040</v>
      </c>
      <c r="G3" s="722">
        <v>19879</v>
      </c>
      <c r="H3" s="567">
        <f t="shared" ref="H3:H12" si="0">G3*K3</f>
        <v>141703.4757</v>
      </c>
      <c r="I3" s="600">
        <v>141703</v>
      </c>
      <c r="J3" s="602">
        <v>143441</v>
      </c>
      <c r="K3" s="597">
        <v>7.1283</v>
      </c>
      <c r="L3" s="707" t="s">
        <v>1218</v>
      </c>
      <c r="M3" s="644">
        <v>45137</v>
      </c>
      <c r="N3" s="644">
        <v>45145</v>
      </c>
      <c r="O3" s="622" t="s">
        <v>3041</v>
      </c>
      <c r="P3" s="632" t="s">
        <v>3042</v>
      </c>
      <c r="Q3" s="655" t="s">
        <v>1671</v>
      </c>
      <c r="R3" s="664"/>
      <c r="S3" s="577"/>
    </row>
    <row r="4" s="10" customFormat="1" ht="16.5" spans="1:19">
      <c r="A4" s="1066"/>
      <c r="B4" s="541"/>
      <c r="C4" s="715"/>
      <c r="D4" s="716"/>
      <c r="E4" s="572" t="s">
        <v>157</v>
      </c>
      <c r="F4" s="572" t="s">
        <v>1837</v>
      </c>
      <c r="G4" s="722">
        <v>81655.2</v>
      </c>
      <c r="H4" s="603">
        <f t="shared" si="0"/>
        <v>582062.76216</v>
      </c>
      <c r="I4" s="603">
        <v>582063</v>
      </c>
      <c r="J4" s="603"/>
      <c r="K4" s="597">
        <v>7.1283</v>
      </c>
      <c r="L4" s="682">
        <v>45166</v>
      </c>
      <c r="M4" s="644">
        <v>45163</v>
      </c>
      <c r="N4" s="644">
        <v>45170</v>
      </c>
      <c r="O4" s="622" t="s">
        <v>3043</v>
      </c>
      <c r="P4" s="632" t="s">
        <v>2312</v>
      </c>
      <c r="Q4" s="655" t="s">
        <v>1671</v>
      </c>
      <c r="R4" s="664"/>
      <c r="S4" s="577"/>
    </row>
    <row r="5" s="10" customFormat="1" ht="16.5" spans="1:19">
      <c r="A5" s="1066"/>
      <c r="B5" s="541"/>
      <c r="C5" s="715"/>
      <c r="D5" s="716"/>
      <c r="E5" s="572" t="s">
        <v>157</v>
      </c>
      <c r="F5" s="572" t="s">
        <v>1839</v>
      </c>
      <c r="G5" s="591">
        <v>41508.9</v>
      </c>
      <c r="H5" s="603">
        <f t="shared" si="0"/>
        <v>295887.89187</v>
      </c>
      <c r="I5" s="603">
        <v>295888</v>
      </c>
      <c r="J5" s="567"/>
      <c r="K5" s="597">
        <v>7.1283</v>
      </c>
      <c r="L5" s="682">
        <v>45166</v>
      </c>
      <c r="M5" s="644">
        <v>45163</v>
      </c>
      <c r="N5" s="644">
        <v>45170</v>
      </c>
      <c r="O5" s="622" t="s">
        <v>3043</v>
      </c>
      <c r="P5" s="635" t="s">
        <v>2309</v>
      </c>
      <c r="Q5" s="655" t="s">
        <v>1671</v>
      </c>
      <c r="R5" s="664"/>
      <c r="S5" s="577"/>
    </row>
    <row r="6" s="10" customFormat="1" ht="16.5" spans="1:19">
      <c r="A6" s="1066"/>
      <c r="B6" s="541"/>
      <c r="C6" s="715"/>
      <c r="D6" s="716"/>
      <c r="E6" s="572" t="s">
        <v>1722</v>
      </c>
      <c r="F6" s="572" t="s">
        <v>1840</v>
      </c>
      <c r="G6" s="722">
        <v>35830</v>
      </c>
      <c r="H6" s="603">
        <f t="shared" si="0"/>
        <v>255406.989</v>
      </c>
      <c r="I6" s="603">
        <v>255407</v>
      </c>
      <c r="J6" s="567"/>
      <c r="K6" s="597">
        <v>7.1283</v>
      </c>
      <c r="L6" s="682">
        <v>45167</v>
      </c>
      <c r="M6" s="644">
        <v>45167</v>
      </c>
      <c r="N6" s="644">
        <v>45176</v>
      </c>
      <c r="O6" s="622" t="s">
        <v>3044</v>
      </c>
      <c r="P6" s="635" t="s">
        <v>1830</v>
      </c>
      <c r="Q6" s="635" t="s">
        <v>2962</v>
      </c>
      <c r="R6" s="655"/>
      <c r="S6" s="577"/>
    </row>
    <row r="7" s="10" customFormat="1" ht="16.5" spans="1:19">
      <c r="A7" s="1066"/>
      <c r="B7" s="541"/>
      <c r="C7" s="715"/>
      <c r="D7" s="716"/>
      <c r="E7" s="572" t="s">
        <v>1722</v>
      </c>
      <c r="F7" s="572" t="s">
        <v>1842</v>
      </c>
      <c r="G7" s="722">
        <v>42108</v>
      </c>
      <c r="H7" s="603">
        <f t="shared" si="0"/>
        <v>300158.4564</v>
      </c>
      <c r="I7" s="603">
        <v>300158</v>
      </c>
      <c r="J7" s="567"/>
      <c r="K7" s="597">
        <v>7.1283</v>
      </c>
      <c r="L7" s="682">
        <v>45162</v>
      </c>
      <c r="M7" s="644">
        <v>45167</v>
      </c>
      <c r="N7" s="644">
        <v>45173</v>
      </c>
      <c r="O7" s="622" t="s">
        <v>3045</v>
      </c>
      <c r="P7" s="635" t="s">
        <v>2309</v>
      </c>
      <c r="Q7" s="635" t="s">
        <v>1671</v>
      </c>
      <c r="R7" s="664"/>
      <c r="S7" s="577"/>
    </row>
    <row r="8" s="10" customFormat="1" ht="16.5" spans="1:19">
      <c r="A8" s="1066"/>
      <c r="B8" s="669"/>
      <c r="C8" s="715" t="s">
        <v>224</v>
      </c>
      <c r="D8" s="716">
        <v>90</v>
      </c>
      <c r="E8" s="561" t="s">
        <v>283</v>
      </c>
      <c r="F8" s="571" t="s">
        <v>3046</v>
      </c>
      <c r="G8" s="722">
        <v>44000</v>
      </c>
      <c r="H8" s="567">
        <f t="shared" si="0"/>
        <v>313645.2</v>
      </c>
      <c r="I8" s="600">
        <v>313645</v>
      </c>
      <c r="J8" s="602">
        <v>313645</v>
      </c>
      <c r="K8" s="597">
        <v>7.1283</v>
      </c>
      <c r="L8" s="638">
        <v>45141</v>
      </c>
      <c r="M8" s="644">
        <v>45142</v>
      </c>
      <c r="N8" s="633">
        <v>45148</v>
      </c>
      <c r="O8" s="622" t="s">
        <v>3047</v>
      </c>
      <c r="P8" s="635" t="s">
        <v>2309</v>
      </c>
      <c r="Q8" s="655" t="s">
        <v>1671</v>
      </c>
      <c r="R8" s="664"/>
      <c r="S8" s="577"/>
    </row>
    <row r="9" s="10" customFormat="1" ht="16.5" spans="1:19">
      <c r="A9" s="1066"/>
      <c r="B9" s="669"/>
      <c r="C9" s="715"/>
      <c r="D9" s="716"/>
      <c r="E9" s="244" t="s">
        <v>840</v>
      </c>
      <c r="F9" s="571" t="s">
        <v>3048</v>
      </c>
      <c r="G9" s="591">
        <v>48347</v>
      </c>
      <c r="H9" s="567">
        <f t="shared" si="0"/>
        <v>344631.9201</v>
      </c>
      <c r="I9" s="567">
        <v>344631.9201</v>
      </c>
      <c r="J9" s="602">
        <f t="shared" ref="J9:J12" si="1">I9</f>
        <v>344631.9201</v>
      </c>
      <c r="K9" s="597">
        <v>7.1283</v>
      </c>
      <c r="L9" s="682">
        <v>45148</v>
      </c>
      <c r="M9" s="644">
        <v>45152</v>
      </c>
      <c r="N9" s="644">
        <v>45155</v>
      </c>
      <c r="O9" s="626" t="s">
        <v>3049</v>
      </c>
      <c r="P9" s="635" t="s">
        <v>3050</v>
      </c>
      <c r="Q9" s="655" t="s">
        <v>1671</v>
      </c>
      <c r="R9" s="664"/>
      <c r="S9" s="577"/>
    </row>
    <row r="10" s="10" customFormat="1" ht="16.5" spans="1:19">
      <c r="A10" s="1066"/>
      <c r="B10" s="669"/>
      <c r="C10" s="715"/>
      <c r="D10" s="716"/>
      <c r="E10" s="561" t="s">
        <v>2965</v>
      </c>
      <c r="F10" s="568" t="s">
        <v>2966</v>
      </c>
      <c r="G10" s="722">
        <v>19174</v>
      </c>
      <c r="H10" s="567">
        <f t="shared" si="0"/>
        <v>136678.0242</v>
      </c>
      <c r="I10" s="567">
        <v>136678.0242</v>
      </c>
      <c r="J10" s="602">
        <f t="shared" si="1"/>
        <v>136678.0242</v>
      </c>
      <c r="K10" s="597">
        <v>7.1283</v>
      </c>
      <c r="L10" s="682">
        <v>45151</v>
      </c>
      <c r="M10" s="644">
        <v>45153</v>
      </c>
      <c r="N10" s="644">
        <v>45160</v>
      </c>
      <c r="O10" s="622" t="s">
        <v>3051</v>
      </c>
      <c r="P10" s="632" t="s">
        <v>2969</v>
      </c>
      <c r="Q10" s="655" t="s">
        <v>1671</v>
      </c>
      <c r="R10" s="664"/>
      <c r="S10" s="577"/>
    </row>
    <row r="11" s="10" customFormat="1" ht="16.5" spans="1:19">
      <c r="A11" s="1076"/>
      <c r="B11" s="669"/>
      <c r="C11" s="715"/>
      <c r="D11" s="716"/>
      <c r="E11" s="244" t="s">
        <v>638</v>
      </c>
      <c r="F11" s="244" t="s">
        <v>3052</v>
      </c>
      <c r="G11" s="591">
        <v>18171</v>
      </c>
      <c r="H11" s="567">
        <f t="shared" si="0"/>
        <v>129528.3393</v>
      </c>
      <c r="I11" s="567">
        <v>129528</v>
      </c>
      <c r="J11" s="602">
        <f t="shared" si="1"/>
        <v>129528</v>
      </c>
      <c r="K11" s="597">
        <v>7.1283</v>
      </c>
      <c r="L11" s="638" t="s">
        <v>1218</v>
      </c>
      <c r="M11" s="644">
        <v>45154</v>
      </c>
      <c r="N11" s="644">
        <v>45161</v>
      </c>
      <c r="O11" s="691" t="s">
        <v>3053</v>
      </c>
      <c r="P11" s="691" t="s">
        <v>3054</v>
      </c>
      <c r="Q11" s="572" t="s">
        <v>1656</v>
      </c>
      <c r="R11" s="664"/>
      <c r="S11" s="577"/>
    </row>
    <row r="12" s="10" customFormat="1" ht="16.5" spans="1:19">
      <c r="A12" s="1066"/>
      <c r="B12" s="669"/>
      <c r="C12" s="715"/>
      <c r="D12" s="716"/>
      <c r="E12" s="244" t="s">
        <v>53</v>
      </c>
      <c r="F12" s="244" t="s">
        <v>3055</v>
      </c>
      <c r="G12" s="591">
        <v>42009</v>
      </c>
      <c r="H12" s="567">
        <f t="shared" si="0"/>
        <v>299452.7547</v>
      </c>
      <c r="I12" s="567">
        <v>299453</v>
      </c>
      <c r="J12" s="602">
        <f t="shared" si="1"/>
        <v>299453</v>
      </c>
      <c r="K12" s="597">
        <v>7.1283</v>
      </c>
      <c r="L12" s="682" t="s">
        <v>1218</v>
      </c>
      <c r="M12" s="644">
        <v>45163</v>
      </c>
      <c r="N12" s="644">
        <v>45168</v>
      </c>
      <c r="O12" s="626" t="s">
        <v>3056</v>
      </c>
      <c r="P12" s="691" t="s">
        <v>3057</v>
      </c>
      <c r="Q12" s="572" t="s">
        <v>1671</v>
      </c>
      <c r="R12" s="664"/>
      <c r="S12" s="577"/>
    </row>
    <row r="13" s="10" customFormat="1" ht="16.5" spans="1:19">
      <c r="A13" s="1066"/>
      <c r="B13" s="669"/>
      <c r="C13" s="715"/>
      <c r="D13" s="716"/>
      <c r="E13" s="244" t="s">
        <v>2950</v>
      </c>
      <c r="F13" s="571" t="s">
        <v>2951</v>
      </c>
      <c r="G13" s="591"/>
      <c r="H13" s="567"/>
      <c r="I13" s="570"/>
      <c r="J13" s="567">
        <v>275646.9557</v>
      </c>
      <c r="K13" s="597">
        <v>7.1283</v>
      </c>
      <c r="L13" s="638" t="s">
        <v>1218</v>
      </c>
      <c r="M13" s="644">
        <v>45128</v>
      </c>
      <c r="N13" s="644">
        <v>45146</v>
      </c>
      <c r="O13" s="622" t="s">
        <v>3058</v>
      </c>
      <c r="P13" s="1103">
        <v>685368205205</v>
      </c>
      <c r="Q13" s="572" t="s">
        <v>1671</v>
      </c>
      <c r="R13" s="664"/>
      <c r="S13" s="577"/>
    </row>
    <row r="14" s="10" customFormat="1" ht="22.5" customHeight="1" spans="1:19">
      <c r="A14" s="1066"/>
      <c r="B14" s="541"/>
      <c r="C14" s="548" t="s">
        <v>1124</v>
      </c>
      <c r="D14" s="578">
        <v>200</v>
      </c>
      <c r="E14" s="1062"/>
      <c r="F14" s="572"/>
      <c r="G14" s="1097" t="s">
        <v>1235</v>
      </c>
      <c r="H14" s="732">
        <f>SUM(H3:H13)</f>
        <v>2799155.81343</v>
      </c>
      <c r="I14" s="732">
        <f>SUM(I3:I13)</f>
        <v>2799154.9443</v>
      </c>
      <c r="J14" s="732">
        <f>SUM(J3:J13)</f>
        <v>1643023.9</v>
      </c>
      <c r="K14" s="614"/>
      <c r="L14" s="598"/>
      <c r="M14" s="645"/>
      <c r="N14" s="645"/>
      <c r="O14" s="622"/>
      <c r="P14" s="632"/>
      <c r="Q14" s="655"/>
      <c r="R14" s="656"/>
      <c r="S14" s="657"/>
    </row>
    <row r="15" s="10" customFormat="1" ht="22.5" customHeight="1" spans="1:18">
      <c r="A15" s="1066"/>
      <c r="B15" s="541"/>
      <c r="C15" s="548"/>
      <c r="D15" s="582"/>
      <c r="E15" s="582"/>
      <c r="F15" s="583"/>
      <c r="G15" s="584" t="s">
        <v>1236</v>
      </c>
      <c r="H15" s="585">
        <f>H14/2000000</f>
        <v>1.399577906715</v>
      </c>
      <c r="I15" s="585">
        <f>I14/2000000</f>
        <v>1.39957747215</v>
      </c>
      <c r="J15" s="585">
        <f>J14/2000000</f>
        <v>0.82151195</v>
      </c>
      <c r="K15" s="611"/>
      <c r="L15" s="612"/>
      <c r="M15" s="941"/>
      <c r="N15" s="941"/>
      <c r="O15" s="624"/>
      <c r="P15" s="632"/>
      <c r="Q15" s="655"/>
      <c r="R15" s="656"/>
    </row>
    <row r="16" s="10" customFormat="1" ht="32.85" customHeight="1" spans="1:19">
      <c r="A16" s="1066"/>
      <c r="B16" s="553" t="s">
        <v>1820</v>
      </c>
      <c r="C16" s="554" t="s">
        <v>1946</v>
      </c>
      <c r="D16" s="555" t="s">
        <v>1821</v>
      </c>
      <c r="E16" s="555" t="s">
        <v>1822</v>
      </c>
      <c r="F16" s="588" t="s">
        <v>1095</v>
      </c>
      <c r="G16" s="589" t="s">
        <v>362</v>
      </c>
      <c r="H16" s="590" t="s">
        <v>1865</v>
      </c>
      <c r="I16" s="590"/>
      <c r="J16" s="590"/>
      <c r="K16" s="590" t="s">
        <v>1866</v>
      </c>
      <c r="L16" s="615" t="s">
        <v>1098</v>
      </c>
      <c r="M16" s="590" t="s">
        <v>1867</v>
      </c>
      <c r="N16" s="646"/>
      <c r="O16" s="624"/>
      <c r="P16" s="632"/>
      <c r="Q16" s="655"/>
      <c r="R16" s="656"/>
      <c r="S16" s="657"/>
    </row>
    <row r="17" s="10" customFormat="1" ht="22.9" customHeight="1" spans="1:19">
      <c r="A17" s="1066"/>
      <c r="B17" s="541" t="s">
        <v>1868</v>
      </c>
      <c r="C17" s="556" t="s">
        <v>1825</v>
      </c>
      <c r="D17" s="557" t="s">
        <v>1125</v>
      </c>
      <c r="E17" s="572" t="s">
        <v>157</v>
      </c>
      <c r="F17" s="572" t="s">
        <v>1826</v>
      </c>
      <c r="G17" s="722">
        <v>50339</v>
      </c>
      <c r="H17" s="603">
        <f t="shared" ref="H17:H22" si="2">G17*K17</f>
        <v>358831.4937</v>
      </c>
      <c r="I17" s="603"/>
      <c r="J17" s="567"/>
      <c r="K17" s="597">
        <v>7.1283</v>
      </c>
      <c r="L17" s="682">
        <v>45199</v>
      </c>
      <c r="M17" s="682"/>
      <c r="N17" s="644"/>
      <c r="O17" s="622" t="s">
        <v>2963</v>
      </c>
      <c r="P17" s="635" t="s">
        <v>401</v>
      </c>
      <c r="Q17" s="635" t="s">
        <v>1671</v>
      </c>
      <c r="R17" s="667"/>
      <c r="S17" s="657"/>
    </row>
    <row r="18" s="10" customFormat="1" ht="22.9" customHeight="1" spans="1:19">
      <c r="A18" s="1066"/>
      <c r="B18" s="541"/>
      <c r="C18" s="556"/>
      <c r="D18" s="557"/>
      <c r="E18" s="572" t="s">
        <v>1722</v>
      </c>
      <c r="F18" s="572" t="s">
        <v>1828</v>
      </c>
      <c r="G18" s="722">
        <v>111666</v>
      </c>
      <c r="H18" s="603">
        <f t="shared" si="2"/>
        <v>795988.7478</v>
      </c>
      <c r="I18" s="603"/>
      <c r="J18" s="567"/>
      <c r="K18" s="597">
        <v>7.1283</v>
      </c>
      <c r="L18" s="682">
        <v>45179</v>
      </c>
      <c r="M18" s="682"/>
      <c r="N18" s="644"/>
      <c r="O18" s="622" t="s">
        <v>3059</v>
      </c>
      <c r="P18" s="635" t="s">
        <v>1830</v>
      </c>
      <c r="Q18" s="635" t="s">
        <v>2962</v>
      </c>
      <c r="R18" s="655"/>
      <c r="S18" s="577"/>
    </row>
    <row r="19" s="10" customFormat="1" ht="20.65" customHeight="1" spans="1:19">
      <c r="A19" s="1066"/>
      <c r="B19" s="541"/>
      <c r="C19" s="670"/>
      <c r="D19" s="557"/>
      <c r="E19" s="572" t="s">
        <v>1542</v>
      </c>
      <c r="F19" s="572" t="s">
        <v>1833</v>
      </c>
      <c r="G19" s="722">
        <v>13867</v>
      </c>
      <c r="H19" s="603">
        <f t="shared" si="2"/>
        <v>98848.1361</v>
      </c>
      <c r="I19" s="603"/>
      <c r="J19" s="567"/>
      <c r="K19" s="597">
        <v>7.1283</v>
      </c>
      <c r="L19" s="572" t="s">
        <v>1834</v>
      </c>
      <c r="M19" s="682"/>
      <c r="N19" s="644"/>
      <c r="O19" s="622" t="s">
        <v>1835</v>
      </c>
      <c r="P19" s="635" t="s">
        <v>1836</v>
      </c>
      <c r="Q19" s="635" t="s">
        <v>1659</v>
      </c>
      <c r="R19" s="667"/>
      <c r="S19" s="657"/>
    </row>
    <row r="20" s="10" customFormat="1" ht="20.65" customHeight="1" spans="1:19">
      <c r="A20" s="1066"/>
      <c r="B20" s="541"/>
      <c r="C20" s="556" t="s">
        <v>224</v>
      </c>
      <c r="D20" s="557"/>
      <c r="E20" s="244" t="s">
        <v>1860</v>
      </c>
      <c r="F20" s="244" t="s">
        <v>1861</v>
      </c>
      <c r="G20" s="722">
        <v>78324</v>
      </c>
      <c r="H20" s="567">
        <f t="shared" si="2"/>
        <v>558316.9692</v>
      </c>
      <c r="I20" s="819"/>
      <c r="J20" s="819"/>
      <c r="K20" s="597">
        <v>7.1283</v>
      </c>
      <c r="L20" s="682">
        <v>45213</v>
      </c>
      <c r="M20" s="819"/>
      <c r="N20" s="570"/>
      <c r="O20" s="691" t="s">
        <v>3060</v>
      </c>
      <c r="P20" s="623" t="s">
        <v>1863</v>
      </c>
      <c r="Q20" s="642" t="s">
        <v>1864</v>
      </c>
      <c r="R20" s="656"/>
      <c r="S20" s="657"/>
    </row>
    <row r="21" s="10" customFormat="1" ht="20.65" customHeight="1" spans="1:19">
      <c r="A21" s="1066"/>
      <c r="B21" s="541"/>
      <c r="C21" s="556"/>
      <c r="D21" s="557"/>
      <c r="E21" s="561" t="s">
        <v>1852</v>
      </c>
      <c r="F21" s="568" t="s">
        <v>1853</v>
      </c>
      <c r="G21" s="722">
        <v>6729</v>
      </c>
      <c r="H21" s="567">
        <f t="shared" si="2"/>
        <v>47966.3307</v>
      </c>
      <c r="I21" s="1099"/>
      <c r="J21" s="694"/>
      <c r="K21" s="597">
        <v>7.1283</v>
      </c>
      <c r="L21" s="682">
        <v>45156</v>
      </c>
      <c r="M21" s="644"/>
      <c r="N21" s="644"/>
      <c r="O21" s="622" t="s">
        <v>3061</v>
      </c>
      <c r="P21" s="635" t="s">
        <v>1855</v>
      </c>
      <c r="Q21" s="655" t="s">
        <v>1656</v>
      </c>
      <c r="R21" s="656"/>
      <c r="S21" s="657"/>
    </row>
    <row r="22" s="10" customFormat="1" ht="22.1" customHeight="1" spans="1:19">
      <c r="A22" s="1076"/>
      <c r="B22" s="541"/>
      <c r="C22" s="556"/>
      <c r="D22" s="557"/>
      <c r="E22" s="561" t="s">
        <v>400</v>
      </c>
      <c r="F22" s="571" t="s">
        <v>1856</v>
      </c>
      <c r="G22" s="722">
        <v>97686</v>
      </c>
      <c r="H22" s="567">
        <f t="shared" si="2"/>
        <v>696335.1138</v>
      </c>
      <c r="I22" s="600"/>
      <c r="J22" s="602"/>
      <c r="K22" s="597">
        <v>7.1283</v>
      </c>
      <c r="L22" s="572" t="s">
        <v>3062</v>
      </c>
      <c r="M22" s="645"/>
      <c r="N22" s="645"/>
      <c r="O22" s="706" t="s">
        <v>3063</v>
      </c>
      <c r="P22" s="623" t="s">
        <v>1858</v>
      </c>
      <c r="Q22" s="655" t="s">
        <v>1859</v>
      </c>
      <c r="R22" s="910"/>
      <c r="S22" s="657"/>
    </row>
    <row r="23" s="10" customFormat="1" ht="16.5" spans="1:19">
      <c r="A23" s="1076"/>
      <c r="B23" s="672"/>
      <c r="C23" s="1095" t="s">
        <v>1874</v>
      </c>
      <c r="D23" s="1096"/>
      <c r="E23" s="1096"/>
      <c r="F23" s="1096"/>
      <c r="G23" s="1098"/>
      <c r="H23" s="675">
        <f>SUM(H17:H20)</f>
        <v>1811985.3468</v>
      </c>
      <c r="I23" s="600"/>
      <c r="J23" s="602"/>
      <c r="K23" s="614"/>
      <c r="L23" s="682"/>
      <c r="M23" s="645"/>
      <c r="N23" s="645"/>
      <c r="O23" s="622"/>
      <c r="P23" s="570"/>
      <c r="Q23" s="570"/>
      <c r="R23" s="656"/>
      <c r="S23" s="657"/>
    </row>
    <row r="24" s="10" customFormat="1" ht="16.5" spans="1:19">
      <c r="A24" s="1076"/>
      <c r="B24" s="541" t="s">
        <v>1875</v>
      </c>
      <c r="C24" s="556" t="s">
        <v>1825</v>
      </c>
      <c r="D24" s="557" t="s">
        <v>1125</v>
      </c>
      <c r="E24" s="572" t="s">
        <v>1876</v>
      </c>
      <c r="F24" s="568" t="s">
        <v>1877</v>
      </c>
      <c r="G24" s="591">
        <v>25000</v>
      </c>
      <c r="H24" s="567">
        <f t="shared" ref="H24:H29" si="3">G24*K24</f>
        <v>178207.5</v>
      </c>
      <c r="I24" s="603"/>
      <c r="J24" s="567"/>
      <c r="K24" s="597">
        <v>7.1283</v>
      </c>
      <c r="L24" s="708"/>
      <c r="M24" s="644"/>
      <c r="N24" s="644"/>
      <c r="O24" s="994" t="s">
        <v>1878</v>
      </c>
      <c r="P24" s="635" t="s">
        <v>1830</v>
      </c>
      <c r="Q24" s="655"/>
      <c r="R24" s="656"/>
      <c r="S24" s="657"/>
    </row>
    <row r="25" s="10" customFormat="1" ht="16.5" spans="1:19">
      <c r="A25" s="1076"/>
      <c r="B25" s="541"/>
      <c r="C25" s="556"/>
      <c r="D25" s="557"/>
      <c r="E25" s="572" t="s">
        <v>936</v>
      </c>
      <c r="F25" s="568" t="s">
        <v>1879</v>
      </c>
      <c r="G25" s="591">
        <v>260000</v>
      </c>
      <c r="H25" s="567">
        <f t="shared" si="3"/>
        <v>1853358</v>
      </c>
      <c r="I25" s="603"/>
      <c r="J25" s="567"/>
      <c r="K25" s="597">
        <v>7.1283</v>
      </c>
      <c r="L25" s="708"/>
      <c r="M25" s="644"/>
      <c r="N25" s="644"/>
      <c r="O25" s="994" t="s">
        <v>1878</v>
      </c>
      <c r="P25" s="635"/>
      <c r="Q25" s="655"/>
      <c r="R25" s="656" t="s">
        <v>3064</v>
      </c>
      <c r="S25" s="657"/>
    </row>
    <row r="26" s="10" customFormat="1" ht="16.5" spans="1:19">
      <c r="A26" s="1076"/>
      <c r="B26" s="541"/>
      <c r="C26" s="556"/>
      <c r="D26" s="557"/>
      <c r="E26" s="572" t="s">
        <v>1869</v>
      </c>
      <c r="F26" s="250" t="s">
        <v>1882</v>
      </c>
      <c r="G26" s="591">
        <v>50000</v>
      </c>
      <c r="H26" s="567">
        <f t="shared" si="3"/>
        <v>356415</v>
      </c>
      <c r="I26" s="603"/>
      <c r="J26" s="567"/>
      <c r="K26" s="597">
        <v>7.1283</v>
      </c>
      <c r="L26" s="598"/>
      <c r="M26" s="644"/>
      <c r="N26" s="644"/>
      <c r="O26" s="994" t="s">
        <v>1883</v>
      </c>
      <c r="P26" s="635"/>
      <c r="Q26" s="655"/>
      <c r="R26" s="656"/>
      <c r="S26" s="657"/>
    </row>
    <row r="27" s="10" customFormat="1" ht="16.5" spans="1:19">
      <c r="A27" s="1076"/>
      <c r="B27" s="541"/>
      <c r="C27" s="670"/>
      <c r="D27" s="557"/>
      <c r="E27" s="572" t="s">
        <v>1869</v>
      </c>
      <c r="F27" s="250" t="s">
        <v>1870</v>
      </c>
      <c r="G27" s="950">
        <v>110000</v>
      </c>
      <c r="H27" s="567">
        <f t="shared" si="3"/>
        <v>784113</v>
      </c>
      <c r="I27" s="605"/>
      <c r="J27" s="592"/>
      <c r="K27" s="617">
        <v>7.1283</v>
      </c>
      <c r="L27" s="618"/>
      <c r="M27" s="941"/>
      <c r="N27" s="941"/>
      <c r="O27" s="994" t="s">
        <v>1871</v>
      </c>
      <c r="P27" s="907"/>
      <c r="Q27" s="759"/>
      <c r="R27" s="656"/>
      <c r="S27" s="657"/>
    </row>
    <row r="28" s="10" customFormat="1" ht="16.5" spans="1:19">
      <c r="A28" s="1066"/>
      <c r="B28" s="541"/>
      <c r="C28" s="671" t="s">
        <v>224</v>
      </c>
      <c r="D28" s="557"/>
      <c r="E28" s="561" t="s">
        <v>400</v>
      </c>
      <c r="F28" s="571" t="s">
        <v>1872</v>
      </c>
      <c r="G28" s="722">
        <v>99501</v>
      </c>
      <c r="H28" s="567">
        <f t="shared" si="3"/>
        <v>709272.9783</v>
      </c>
      <c r="I28" s="600"/>
      <c r="J28" s="602"/>
      <c r="K28" s="597">
        <v>7.1283</v>
      </c>
      <c r="L28" s="598"/>
      <c r="M28" s="645"/>
      <c r="N28" s="645"/>
      <c r="O28" s="706" t="s">
        <v>3065</v>
      </c>
      <c r="P28" s="623" t="s">
        <v>1858</v>
      </c>
      <c r="Q28" s="655" t="s">
        <v>1859</v>
      </c>
      <c r="R28" s="910"/>
      <c r="S28" s="577"/>
    </row>
    <row r="29" s="10" customFormat="1" ht="16.5" spans="1:19">
      <c r="A29" s="1076"/>
      <c r="B29" s="541"/>
      <c r="C29" s="671"/>
      <c r="D29" s="557"/>
      <c r="E29" s="561" t="s">
        <v>1844</v>
      </c>
      <c r="F29" s="571" t="s">
        <v>1845</v>
      </c>
      <c r="G29" s="722">
        <v>28465</v>
      </c>
      <c r="H29" s="567">
        <f t="shared" si="3"/>
        <v>202907.0595</v>
      </c>
      <c r="I29" s="600"/>
      <c r="J29" s="602"/>
      <c r="K29" s="597">
        <v>7.1283</v>
      </c>
      <c r="L29" s="682" t="s">
        <v>3066</v>
      </c>
      <c r="M29" s="644"/>
      <c r="N29" s="644"/>
      <c r="O29" s="622" t="s">
        <v>3067</v>
      </c>
      <c r="P29" s="635" t="s">
        <v>1847</v>
      </c>
      <c r="Q29" s="572" t="s">
        <v>1656</v>
      </c>
      <c r="R29" s="656" t="s">
        <v>1848</v>
      </c>
      <c r="S29" s="577"/>
    </row>
    <row r="30" s="10" customFormat="1" ht="16.5" spans="1:19">
      <c r="A30" s="1076"/>
      <c r="B30" s="541"/>
      <c r="C30" s="671"/>
      <c r="D30" s="557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577"/>
    </row>
    <row r="31" s="10" customFormat="1" ht="16.5" spans="1:19">
      <c r="A31" s="1076"/>
      <c r="B31" s="541"/>
      <c r="C31" s="712" t="s">
        <v>1874</v>
      </c>
      <c r="D31" s="712"/>
      <c r="E31" s="712"/>
      <c r="F31" s="712"/>
      <c r="G31" s="712"/>
      <c r="H31" s="549">
        <f>SUM(H24:H29)</f>
        <v>4084273.5378</v>
      </c>
      <c r="I31" s="732"/>
      <c r="J31" s="732"/>
      <c r="K31" s="1100"/>
      <c r="L31" s="1101"/>
      <c r="M31" s="941"/>
      <c r="N31" s="941"/>
      <c r="O31" s="1104"/>
      <c r="P31" s="907"/>
      <c r="Q31" s="557"/>
      <c r="R31" s="556"/>
      <c r="S31" s="1105"/>
    </row>
    <row r="32" s="10" customFormat="1" ht="33.55" customHeight="1" spans="1:19">
      <c r="A32" s="537" t="s">
        <v>1092</v>
      </c>
      <c r="B32" s="537" t="s">
        <v>1820</v>
      </c>
      <c r="C32" s="538" t="s">
        <v>1093</v>
      </c>
      <c r="D32" s="539" t="s">
        <v>1821</v>
      </c>
      <c r="E32" s="539" t="s">
        <v>1822</v>
      </c>
      <c r="F32" s="558" t="s">
        <v>1095</v>
      </c>
      <c r="G32" s="559" t="s">
        <v>362</v>
      </c>
      <c r="H32" s="560" t="s">
        <v>1716</v>
      </c>
      <c r="I32" s="560" t="s">
        <v>1717</v>
      </c>
      <c r="J32" s="560" t="s">
        <v>1718</v>
      </c>
      <c r="K32" s="594" t="s">
        <v>1096</v>
      </c>
      <c r="L32" s="595" t="s">
        <v>1098</v>
      </c>
      <c r="M32" s="619" t="s">
        <v>1097</v>
      </c>
      <c r="N32" s="619" t="s">
        <v>1214</v>
      </c>
      <c r="O32" s="727" t="s">
        <v>1215</v>
      </c>
      <c r="P32" s="621" t="s">
        <v>7</v>
      </c>
      <c r="Q32" s="652" t="s">
        <v>8</v>
      </c>
      <c r="R32" s="653" t="s">
        <v>9</v>
      </c>
      <c r="S32" s="654" t="s">
        <v>1291</v>
      </c>
    </row>
    <row r="33" s="10" customFormat="1" ht="16.5" spans="1:20">
      <c r="A33" s="1066" t="s">
        <v>1913</v>
      </c>
      <c r="B33" s="541" t="s">
        <v>1824</v>
      </c>
      <c r="C33" s="556" t="s">
        <v>1248</v>
      </c>
      <c r="D33" s="557">
        <v>125</v>
      </c>
      <c r="E33" s="759" t="s">
        <v>299</v>
      </c>
      <c r="F33" s="764" t="s">
        <v>3009</v>
      </c>
      <c r="G33" s="755">
        <v>9668</v>
      </c>
      <c r="H33" s="567">
        <f t="shared" ref="H33:H41" si="4">G33*K33</f>
        <v>68916.4044</v>
      </c>
      <c r="I33" s="602">
        <v>68916.4044</v>
      </c>
      <c r="J33" s="602">
        <v>68916.4044</v>
      </c>
      <c r="K33" s="597">
        <v>7.1283</v>
      </c>
      <c r="L33" s="598">
        <v>45163</v>
      </c>
      <c r="M33" s="598">
        <v>45163</v>
      </c>
      <c r="N33" s="598">
        <v>45166</v>
      </c>
      <c r="O33" s="740" t="s">
        <v>3068</v>
      </c>
      <c r="P33" s="250"/>
      <c r="Q33" s="751"/>
      <c r="R33" s="752"/>
      <c r="S33" s="750"/>
      <c r="T33" s="1022"/>
    </row>
    <row r="34" s="10" customFormat="1" ht="16.5" spans="1:20">
      <c r="A34" s="1066"/>
      <c r="B34" s="541"/>
      <c r="C34" s="556"/>
      <c r="D34" s="557"/>
      <c r="E34" s="968"/>
      <c r="F34" s="764" t="s">
        <v>3069</v>
      </c>
      <c r="G34" s="762">
        <v>745</v>
      </c>
      <c r="H34" s="567">
        <f t="shared" si="4"/>
        <v>5310.5835</v>
      </c>
      <c r="I34" s="602">
        <f>H34</f>
        <v>5310.5835</v>
      </c>
      <c r="J34" s="602">
        <v>5310.5835</v>
      </c>
      <c r="K34" s="597">
        <v>7.1283</v>
      </c>
      <c r="L34" s="598">
        <v>45163</v>
      </c>
      <c r="M34" s="598">
        <v>45164</v>
      </c>
      <c r="N34" s="638" t="s">
        <v>1125</v>
      </c>
      <c r="O34" s="740" t="s">
        <v>3070</v>
      </c>
      <c r="P34" s="250"/>
      <c r="Q34" s="751"/>
      <c r="R34" s="752"/>
      <c r="S34" s="750"/>
      <c r="T34" s="1022"/>
    </row>
    <row r="35" s="10" customFormat="1" ht="16.5" spans="1:20">
      <c r="A35" s="1066"/>
      <c r="B35" s="541"/>
      <c r="C35" s="556"/>
      <c r="D35" s="557"/>
      <c r="E35" s="655" t="s">
        <v>1405</v>
      </c>
      <c r="F35" s="250" t="s">
        <v>3071</v>
      </c>
      <c r="G35" s="755">
        <v>18958</v>
      </c>
      <c r="H35" s="567">
        <f t="shared" si="4"/>
        <v>135138.3114</v>
      </c>
      <c r="I35" s="602">
        <v>135138.3114</v>
      </c>
      <c r="J35" s="602">
        <v>135138.3114</v>
      </c>
      <c r="K35" s="597">
        <v>7.1283</v>
      </c>
      <c r="L35" s="598" t="s">
        <v>1218</v>
      </c>
      <c r="M35" s="638">
        <v>45139</v>
      </c>
      <c r="N35" s="638">
        <v>45145</v>
      </c>
      <c r="O35" s="740" t="s">
        <v>3072</v>
      </c>
      <c r="P35" s="250"/>
      <c r="Q35" s="751"/>
      <c r="R35" s="752"/>
      <c r="S35" s="750"/>
      <c r="T35" s="1022"/>
    </row>
    <row r="36" s="10" customFormat="1" ht="18.75" customHeight="1" spans="1:20">
      <c r="A36" s="1066"/>
      <c r="B36" s="541"/>
      <c r="C36" s="556"/>
      <c r="D36" s="557"/>
      <c r="E36" s="541" t="s">
        <v>246</v>
      </c>
      <c r="F36" s="571" t="s">
        <v>3073</v>
      </c>
      <c r="G36" s="969">
        <f>7256+5289</f>
        <v>12545</v>
      </c>
      <c r="H36" s="567">
        <f t="shared" si="4"/>
        <v>89424.5235</v>
      </c>
      <c r="I36" s="577">
        <v>89424.5235</v>
      </c>
      <c r="J36" s="577">
        <v>89424.5235</v>
      </c>
      <c r="K36" s="597">
        <v>7.1283</v>
      </c>
      <c r="L36" s="598" t="s">
        <v>1218</v>
      </c>
      <c r="M36" s="638">
        <v>45147</v>
      </c>
      <c r="N36" s="638" t="s">
        <v>1125</v>
      </c>
      <c r="O36" s="740" t="s">
        <v>3074</v>
      </c>
      <c r="P36" s="572"/>
      <c r="Q36" s="572"/>
      <c r="R36" s="752"/>
      <c r="S36" s="753"/>
      <c r="T36" s="1022"/>
    </row>
    <row r="37" s="10" customFormat="1" ht="18.75" customHeight="1" spans="1:20">
      <c r="A37" s="1066"/>
      <c r="B37" s="541"/>
      <c r="C37" s="670"/>
      <c r="D37" s="968"/>
      <c r="E37" s="672"/>
      <c r="F37" s="561" t="s">
        <v>3013</v>
      </c>
      <c r="G37" s="969">
        <v>85264</v>
      </c>
      <c r="H37" s="567">
        <f t="shared" si="4"/>
        <v>607787.3712</v>
      </c>
      <c r="I37" s="577">
        <v>607787.3712</v>
      </c>
      <c r="J37" s="735">
        <v>607787.3712</v>
      </c>
      <c r="K37" s="597">
        <v>7.1283</v>
      </c>
      <c r="L37" s="598" t="s">
        <v>1218</v>
      </c>
      <c r="M37" s="638">
        <v>45141</v>
      </c>
      <c r="N37" s="633" t="s">
        <v>1125</v>
      </c>
      <c r="O37" s="740" t="s">
        <v>3075</v>
      </c>
      <c r="P37" s="572"/>
      <c r="Q37" s="572"/>
      <c r="R37" s="752"/>
      <c r="S37" s="753"/>
      <c r="T37" s="1022"/>
    </row>
    <row r="38" s="10" customFormat="1" ht="18.75" customHeight="1" spans="1:20">
      <c r="A38" s="1066"/>
      <c r="B38" s="541"/>
      <c r="C38" s="714" t="s">
        <v>1922</v>
      </c>
      <c r="D38" s="655">
        <v>66</v>
      </c>
      <c r="E38" s="715" t="s">
        <v>165</v>
      </c>
      <c r="F38" s="571" t="s">
        <v>3076</v>
      </c>
      <c r="G38" s="969">
        <v>32079</v>
      </c>
      <c r="H38" s="567">
        <f t="shared" si="4"/>
        <v>228668.7357</v>
      </c>
      <c r="I38" s="577">
        <v>228668.7357</v>
      </c>
      <c r="J38" s="735">
        <v>228668.7357</v>
      </c>
      <c r="K38" s="597">
        <v>7.1283</v>
      </c>
      <c r="L38" s="598" t="s">
        <v>1218</v>
      </c>
      <c r="M38" s="638">
        <v>45156</v>
      </c>
      <c r="N38" s="645">
        <v>45159</v>
      </c>
      <c r="O38" s="740" t="s">
        <v>3077</v>
      </c>
      <c r="P38" s="572"/>
      <c r="Q38" s="572"/>
      <c r="R38" s="752"/>
      <c r="S38" s="753"/>
      <c r="T38" s="1022"/>
    </row>
    <row r="39" s="10" customFormat="1" ht="18.75" customHeight="1" spans="1:20">
      <c r="A39" s="1066"/>
      <c r="B39" s="541"/>
      <c r="C39" s="714"/>
      <c r="D39" s="655"/>
      <c r="E39" s="715" t="s">
        <v>287</v>
      </c>
      <c r="F39" s="571" t="s">
        <v>3015</v>
      </c>
      <c r="G39" s="969">
        <v>2062</v>
      </c>
      <c r="H39" s="567">
        <f t="shared" si="4"/>
        <v>14698.5546</v>
      </c>
      <c r="I39" s="735">
        <v>14698.5546</v>
      </c>
      <c r="J39" s="735">
        <v>14698.5546</v>
      </c>
      <c r="K39" s="597">
        <v>7.1283</v>
      </c>
      <c r="L39" s="598" t="s">
        <v>1218</v>
      </c>
      <c r="M39" s="638">
        <v>45161</v>
      </c>
      <c r="N39" s="633" t="s">
        <v>1125</v>
      </c>
      <c r="O39" s="740" t="s">
        <v>3078</v>
      </c>
      <c r="P39" s="572"/>
      <c r="Q39" s="572"/>
      <c r="R39" s="752"/>
      <c r="S39" s="753"/>
      <c r="T39" s="1022"/>
    </row>
    <row r="40" s="10" customFormat="1" ht="18.75" customHeight="1" spans="1:20">
      <c r="A40" s="1066"/>
      <c r="B40" s="541"/>
      <c r="C40" s="556" t="s">
        <v>209</v>
      </c>
      <c r="D40" s="557">
        <v>101</v>
      </c>
      <c r="E40" s="903" t="s">
        <v>274</v>
      </c>
      <c r="F40" s="250" t="s">
        <v>3079</v>
      </c>
      <c r="G40" s="725">
        <f>H40/K40</f>
        <v>45552.0039841196</v>
      </c>
      <c r="H40" s="735">
        <v>324708.35</v>
      </c>
      <c r="I40" s="735">
        <f>H40</f>
        <v>324708.35</v>
      </c>
      <c r="J40" s="735">
        <v>320773.5</v>
      </c>
      <c r="K40" s="597">
        <v>7.1283</v>
      </c>
      <c r="L40" s="598" t="s">
        <v>1218</v>
      </c>
      <c r="M40" s="638">
        <v>45142</v>
      </c>
      <c r="N40" s="633">
        <v>45146</v>
      </c>
      <c r="O40" s="740" t="s">
        <v>3080</v>
      </c>
      <c r="P40" s="572"/>
      <c r="Q40" s="572"/>
      <c r="R40" s="752"/>
      <c r="S40" s="753"/>
      <c r="T40" s="1022"/>
    </row>
    <row r="41" s="10" customFormat="1" ht="16.5" spans="1:19">
      <c r="A41" s="1076"/>
      <c r="B41" s="541"/>
      <c r="C41" s="544"/>
      <c r="D41" s="545"/>
      <c r="E41" s="571" t="s">
        <v>1934</v>
      </c>
      <c r="F41" s="904" t="s">
        <v>3081</v>
      </c>
      <c r="G41" s="722" t="s">
        <v>3082</v>
      </c>
      <c r="H41" s="567">
        <v>1389006.23</v>
      </c>
      <c r="I41" s="735">
        <f>H41</f>
        <v>1389006.23</v>
      </c>
      <c r="J41" s="735">
        <f>I41</f>
        <v>1389006.23</v>
      </c>
      <c r="K41" s="597">
        <v>7.1283</v>
      </c>
      <c r="L41" s="598" t="s">
        <v>1218</v>
      </c>
      <c r="M41" s="625">
        <v>45165</v>
      </c>
      <c r="N41" s="625">
        <v>45167</v>
      </c>
      <c r="O41" s="740" t="s">
        <v>3083</v>
      </c>
      <c r="P41" s="744"/>
      <c r="Q41" s="572"/>
      <c r="R41" s="744"/>
      <c r="S41" s="754"/>
    </row>
    <row r="42" s="10" customFormat="1" ht="18.75" customHeight="1" spans="1:20">
      <c r="A42" s="1066"/>
      <c r="B42" s="541"/>
      <c r="C42" s="556"/>
      <c r="D42" s="557"/>
      <c r="E42" s="568" t="s">
        <v>2467</v>
      </c>
      <c r="F42" s="561" t="s">
        <v>3084</v>
      </c>
      <c r="G42" s="725">
        <f>H42/K42</f>
        <v>17629.9917231317</v>
      </c>
      <c r="H42" s="735">
        <v>125671.87</v>
      </c>
      <c r="I42" s="735">
        <f>H42</f>
        <v>125671.87</v>
      </c>
      <c r="J42" s="735">
        <f>I42</f>
        <v>125671.87</v>
      </c>
      <c r="K42" s="597">
        <v>7.1283</v>
      </c>
      <c r="L42" s="598" t="s">
        <v>1218</v>
      </c>
      <c r="M42" s="638">
        <v>45163</v>
      </c>
      <c r="N42" s="645">
        <v>45164</v>
      </c>
      <c r="O42" s="740" t="s">
        <v>3085</v>
      </c>
      <c r="P42" s="572"/>
      <c r="Q42" s="572"/>
      <c r="R42" s="752"/>
      <c r="S42" s="753"/>
      <c r="T42" s="1022"/>
    </row>
    <row r="43" s="10" customFormat="1" ht="18.75" customHeight="1" spans="1:20">
      <c r="A43" s="1066"/>
      <c r="B43" s="541"/>
      <c r="C43" s="556"/>
      <c r="D43" s="557"/>
      <c r="E43" s="568" t="s">
        <v>1483</v>
      </c>
      <c r="F43" s="561" t="s">
        <v>3086</v>
      </c>
      <c r="G43" s="725">
        <f>H43/K43</f>
        <v>2791.00065934374</v>
      </c>
      <c r="H43" s="596">
        <v>19895.09</v>
      </c>
      <c r="I43" s="596">
        <v>19895.09</v>
      </c>
      <c r="J43" s="735">
        <v>19959.24</v>
      </c>
      <c r="K43" s="597">
        <v>7.1283</v>
      </c>
      <c r="L43" s="598" t="s">
        <v>1218</v>
      </c>
      <c r="M43" s="638">
        <v>45145</v>
      </c>
      <c r="N43" s="244" t="s">
        <v>1125</v>
      </c>
      <c r="O43" s="740" t="s">
        <v>3087</v>
      </c>
      <c r="P43" s="572"/>
      <c r="Q43" s="572"/>
      <c r="R43" s="752"/>
      <c r="S43" s="753"/>
      <c r="T43" s="1022"/>
    </row>
    <row r="44" s="10" customFormat="1" ht="18.75" customHeight="1" spans="1:20">
      <c r="A44" s="1066"/>
      <c r="B44" s="541"/>
      <c r="C44" s="556"/>
      <c r="D44" s="557"/>
      <c r="E44" s="561" t="s">
        <v>243</v>
      </c>
      <c r="F44" s="250" t="s">
        <v>3088</v>
      </c>
      <c r="G44" s="725">
        <v>27198</v>
      </c>
      <c r="H44" s="735">
        <f>G44*K44</f>
        <v>193875.5034</v>
      </c>
      <c r="I44" s="735">
        <v>193875.5034</v>
      </c>
      <c r="J44" s="735">
        <f>I44</f>
        <v>193875.5034</v>
      </c>
      <c r="K44" s="597">
        <v>7.1283</v>
      </c>
      <c r="L44" s="598" t="s">
        <v>1218</v>
      </c>
      <c r="M44" s="638">
        <v>45155</v>
      </c>
      <c r="N44" s="645">
        <v>45158</v>
      </c>
      <c r="O44" s="740" t="s">
        <v>3089</v>
      </c>
      <c r="P44" s="572"/>
      <c r="Q44" s="572"/>
      <c r="R44" s="752"/>
      <c r="S44" s="753"/>
      <c r="T44" s="1022"/>
    </row>
    <row r="45" s="10" customFormat="1" ht="21.75" customHeight="1" spans="1:20">
      <c r="A45" s="1066"/>
      <c r="B45" s="541"/>
      <c r="C45" s="556"/>
      <c r="D45" s="557"/>
      <c r="E45" s="561" t="s">
        <v>247</v>
      </c>
      <c r="F45" s="250" t="s">
        <v>3090</v>
      </c>
      <c r="G45" s="725">
        <v>38976</v>
      </c>
      <c r="H45" s="596">
        <f t="shared" ref="H42:H49" si="5">G45*K45</f>
        <v>277832.6208</v>
      </c>
      <c r="I45" s="596">
        <f>G45*K45</f>
        <v>277832.6208</v>
      </c>
      <c r="J45" s="735">
        <v>277832.6208</v>
      </c>
      <c r="K45" s="597">
        <v>7.1283</v>
      </c>
      <c r="L45" s="598" t="s">
        <v>1218</v>
      </c>
      <c r="M45" s="638">
        <v>45162</v>
      </c>
      <c r="N45" s="645">
        <v>45164</v>
      </c>
      <c r="O45" s="740" t="s">
        <v>3091</v>
      </c>
      <c r="P45" s="572"/>
      <c r="Q45" s="572"/>
      <c r="R45" s="752"/>
      <c r="S45" s="753"/>
      <c r="T45" s="1022"/>
    </row>
    <row r="46" s="10" customFormat="1" ht="18.75" customHeight="1" spans="1:20">
      <c r="A46" s="1066"/>
      <c r="B46" s="541"/>
      <c r="C46" s="556"/>
      <c r="D46" s="557"/>
      <c r="E46" s="568" t="s">
        <v>256</v>
      </c>
      <c r="F46" s="561" t="s">
        <v>3092</v>
      </c>
      <c r="G46" s="725">
        <v>28323</v>
      </c>
      <c r="H46" s="596">
        <f t="shared" si="5"/>
        <v>201894.8409</v>
      </c>
      <c r="I46" s="735">
        <f>H46</f>
        <v>201894.8409</v>
      </c>
      <c r="J46" s="735">
        <v>201894.8409</v>
      </c>
      <c r="K46" s="597">
        <v>7.1283</v>
      </c>
      <c r="L46" s="598" t="s">
        <v>1218</v>
      </c>
      <c r="M46" s="638">
        <v>45142</v>
      </c>
      <c r="N46" s="633">
        <v>45143</v>
      </c>
      <c r="O46" s="740" t="s">
        <v>3093</v>
      </c>
      <c r="P46" s="572"/>
      <c r="Q46" s="572"/>
      <c r="R46" s="752"/>
      <c r="S46" s="753"/>
      <c r="T46" s="1022"/>
    </row>
    <row r="47" s="10" customFormat="1" ht="18.75" customHeight="1" spans="1:20">
      <c r="A47" s="1066"/>
      <c r="B47" s="541"/>
      <c r="C47" s="556"/>
      <c r="D47" s="557"/>
      <c r="E47" s="561" t="s">
        <v>174</v>
      </c>
      <c r="F47" s="250" t="s">
        <v>3094</v>
      </c>
      <c r="G47" s="725">
        <v>15681</v>
      </c>
      <c r="H47" s="596">
        <f t="shared" si="5"/>
        <v>111778.8723</v>
      </c>
      <c r="I47" s="735">
        <f>H47</f>
        <v>111778.8723</v>
      </c>
      <c r="J47" s="735">
        <v>111778.8723</v>
      </c>
      <c r="K47" s="597">
        <v>7.1283</v>
      </c>
      <c r="L47" s="598" t="s">
        <v>1218</v>
      </c>
      <c r="M47" s="598">
        <v>45141</v>
      </c>
      <c r="N47" s="633">
        <v>45144</v>
      </c>
      <c r="O47" s="740" t="s">
        <v>3095</v>
      </c>
      <c r="P47" s="572"/>
      <c r="Q47" s="572"/>
      <c r="R47" s="752"/>
      <c r="S47" s="753"/>
      <c r="T47" s="1022"/>
    </row>
    <row r="48" s="10" customFormat="1" ht="18.75" customHeight="1" spans="1:20">
      <c r="A48" s="1066"/>
      <c r="B48" s="541"/>
      <c r="C48" s="556"/>
      <c r="D48" s="557"/>
      <c r="E48" s="571" t="s">
        <v>286</v>
      </c>
      <c r="F48" s="1106" t="s">
        <v>3096</v>
      </c>
      <c r="G48" s="722">
        <v>19000</v>
      </c>
      <c r="H48" s="596">
        <f t="shared" si="5"/>
        <v>135437.7</v>
      </c>
      <c r="I48" s="735">
        <v>135437.7</v>
      </c>
      <c r="J48" s="735">
        <v>135437.7</v>
      </c>
      <c r="K48" s="597">
        <v>7.1283</v>
      </c>
      <c r="L48" s="598" t="s">
        <v>1218</v>
      </c>
      <c r="M48" s="598">
        <v>45143</v>
      </c>
      <c r="N48" s="638">
        <v>45145</v>
      </c>
      <c r="O48" s="740" t="s">
        <v>3097</v>
      </c>
      <c r="P48" s="572"/>
      <c r="Q48" s="572"/>
      <c r="R48" s="752"/>
      <c r="S48" s="753"/>
      <c r="T48" s="1022"/>
    </row>
    <row r="49" s="10" customFormat="1" ht="18.75" customHeight="1" spans="1:20">
      <c r="A49" s="1066"/>
      <c r="B49" s="541"/>
      <c r="C49" s="666" t="s">
        <v>1437</v>
      </c>
      <c r="D49" s="759">
        <v>59</v>
      </c>
      <c r="E49" s="715" t="s">
        <v>1358</v>
      </c>
      <c r="F49" s="571" t="s">
        <v>3098</v>
      </c>
      <c r="G49" s="969">
        <v>17591</v>
      </c>
      <c r="H49" s="596">
        <f t="shared" si="5"/>
        <v>125393.9253</v>
      </c>
      <c r="I49" s="577">
        <v>125393.9253</v>
      </c>
      <c r="J49" s="735">
        <v>125393.9253</v>
      </c>
      <c r="K49" s="597">
        <v>7.1283</v>
      </c>
      <c r="L49" s="598" t="s">
        <v>1218</v>
      </c>
      <c r="M49" s="638">
        <v>45146</v>
      </c>
      <c r="N49" s="638">
        <v>45153</v>
      </c>
      <c r="O49" s="740" t="s">
        <v>3099</v>
      </c>
      <c r="P49" s="572"/>
      <c r="Q49" s="572"/>
      <c r="R49" s="752"/>
      <c r="S49" s="753"/>
      <c r="T49" s="1022"/>
    </row>
    <row r="50" s="10" customFormat="1" ht="18.75" customHeight="1" spans="1:20">
      <c r="A50" s="1066"/>
      <c r="B50" s="541"/>
      <c r="C50" s="666" t="s">
        <v>1124</v>
      </c>
      <c r="D50" s="759">
        <f>SUM(D33:D49)</f>
        <v>351</v>
      </c>
      <c r="E50" s="715"/>
      <c r="F50" s="571"/>
      <c r="G50" s="726" t="s">
        <v>1235</v>
      </c>
      <c r="H50" s="675">
        <f>SUM(H33:H49)</f>
        <v>4055439.487</v>
      </c>
      <c r="I50" s="675">
        <f>SUM(I33:I49)</f>
        <v>4055439.487</v>
      </c>
      <c r="J50" s="675">
        <f>SUM(J33:J49)</f>
        <v>4051568.787</v>
      </c>
      <c r="K50" s="614"/>
      <c r="L50" s="598"/>
      <c r="M50" s="644"/>
      <c r="N50" s="644"/>
      <c r="O50" s="740"/>
      <c r="P50" s="572"/>
      <c r="Q50" s="572"/>
      <c r="R50" s="752"/>
      <c r="S50" s="753"/>
      <c r="T50" s="1022"/>
    </row>
    <row r="51" s="10" customFormat="1" ht="18.75" customHeight="1" spans="1:20">
      <c r="A51" s="1066"/>
      <c r="B51" s="541"/>
      <c r="C51" s="670"/>
      <c r="D51" s="968"/>
      <c r="E51" s="715"/>
      <c r="F51" s="571"/>
      <c r="G51" s="726" t="s">
        <v>1236</v>
      </c>
      <c r="H51" s="728">
        <f>H50/3510000</f>
        <v>1.15539586524217</v>
      </c>
      <c r="I51" s="728">
        <f>I50/3510000</f>
        <v>1.15539586524217</v>
      </c>
      <c r="J51" s="728">
        <f t="shared" ref="H51:J51" si="6">J50/3490000</f>
        <v>1.16090796189112</v>
      </c>
      <c r="K51" s="614"/>
      <c r="L51" s="598"/>
      <c r="M51" s="644"/>
      <c r="N51" s="644"/>
      <c r="O51" s="740"/>
      <c r="P51" s="572"/>
      <c r="Q51" s="572"/>
      <c r="R51" s="752"/>
      <c r="S51" s="753"/>
      <c r="T51" s="1022"/>
    </row>
    <row r="52" s="10" customFormat="1" ht="30" spans="1:19">
      <c r="A52" s="1076"/>
      <c r="B52" s="553" t="s">
        <v>1820</v>
      </c>
      <c r="C52" s="554" t="s">
        <v>1946</v>
      </c>
      <c r="D52" s="555" t="s">
        <v>1821</v>
      </c>
      <c r="E52" s="555" t="s">
        <v>1822</v>
      </c>
      <c r="F52" s="588" t="s">
        <v>1095</v>
      </c>
      <c r="G52" s="589" t="s">
        <v>362</v>
      </c>
      <c r="H52" s="590" t="s">
        <v>1865</v>
      </c>
      <c r="I52" s="590"/>
      <c r="J52" s="590"/>
      <c r="K52" s="590" t="s">
        <v>1866</v>
      </c>
      <c r="L52" s="615" t="s">
        <v>1098</v>
      </c>
      <c r="M52" s="590" t="s">
        <v>1867</v>
      </c>
      <c r="N52" s="646"/>
      <c r="O52" s="740"/>
      <c r="P52" s="744"/>
      <c r="Q52" s="572"/>
      <c r="R52" s="744"/>
      <c r="S52" s="754"/>
    </row>
    <row r="53" s="10" customFormat="1" ht="16.5" spans="1:19">
      <c r="A53" s="1076"/>
      <c r="B53" s="541" t="s">
        <v>1868</v>
      </c>
      <c r="C53" s="544" t="s">
        <v>1248</v>
      </c>
      <c r="D53" s="545"/>
      <c r="E53" s="541" t="s">
        <v>299</v>
      </c>
      <c r="F53" s="764" t="s">
        <v>1914</v>
      </c>
      <c r="G53" s="762">
        <v>31850</v>
      </c>
      <c r="H53" s="567">
        <f>G53*K53</f>
        <v>227036.355</v>
      </c>
      <c r="I53" s="577"/>
      <c r="J53" s="577"/>
      <c r="K53" s="597">
        <v>7.1283</v>
      </c>
      <c r="L53" s="708" t="s">
        <v>1949</v>
      </c>
      <c r="M53" s="636" t="s">
        <v>3100</v>
      </c>
      <c r="N53" s="975"/>
      <c r="O53" s="740" t="s">
        <v>3101</v>
      </c>
      <c r="P53" s="744"/>
      <c r="Q53" s="572"/>
      <c r="R53" s="744"/>
      <c r="S53" s="754"/>
    </row>
    <row r="54" s="10" customFormat="1" ht="16.5" spans="1:19">
      <c r="A54" s="1076"/>
      <c r="B54" s="541"/>
      <c r="C54" s="544"/>
      <c r="D54" s="545"/>
      <c r="E54" s="541"/>
      <c r="F54" s="764" t="s">
        <v>1948</v>
      </c>
      <c r="G54" s="762">
        <v>31850</v>
      </c>
      <c r="H54" s="567">
        <f>G54*K54</f>
        <v>227036.355</v>
      </c>
      <c r="I54" s="577"/>
      <c r="J54" s="577"/>
      <c r="K54" s="597">
        <v>7.1283</v>
      </c>
      <c r="L54" s="708" t="s">
        <v>1949</v>
      </c>
      <c r="M54" s="636" t="s">
        <v>1950</v>
      </c>
      <c r="N54" s="975"/>
      <c r="O54" s="740" t="s">
        <v>3102</v>
      </c>
      <c r="P54" s="744"/>
      <c r="Q54" s="572"/>
      <c r="R54" s="744"/>
      <c r="S54" s="754"/>
    </row>
    <row r="55" s="10" customFormat="1" ht="16.5" spans="1:19">
      <c r="A55" s="1076"/>
      <c r="B55" s="541"/>
      <c r="C55" s="544"/>
      <c r="D55" s="545"/>
      <c r="E55" s="541"/>
      <c r="F55" s="764" t="s">
        <v>1952</v>
      </c>
      <c r="G55" s="762">
        <v>31850</v>
      </c>
      <c r="H55" s="567">
        <f t="shared" ref="H54:H59" si="7">G55*K55</f>
        <v>227036.355</v>
      </c>
      <c r="I55" s="577"/>
      <c r="J55" s="577"/>
      <c r="K55" s="597">
        <v>7.1283</v>
      </c>
      <c r="L55" s="708" t="s">
        <v>1949</v>
      </c>
      <c r="M55" s="636" t="s">
        <v>1950</v>
      </c>
      <c r="N55" s="975"/>
      <c r="O55" s="740" t="s">
        <v>3102</v>
      </c>
      <c r="P55" s="744"/>
      <c r="Q55" s="572"/>
      <c r="R55" s="744"/>
      <c r="S55" s="754"/>
    </row>
    <row r="56" s="10" customFormat="1" ht="16.5" spans="1:19">
      <c r="A56" s="1076"/>
      <c r="B56" s="541"/>
      <c r="C56" s="544"/>
      <c r="D56" s="545"/>
      <c r="E56" s="672"/>
      <c r="F56" s="764" t="s">
        <v>1917</v>
      </c>
      <c r="G56" s="576">
        <v>41250</v>
      </c>
      <c r="H56" s="567">
        <f t="shared" si="7"/>
        <v>294042.375</v>
      </c>
      <c r="I56" s="766"/>
      <c r="J56" s="766"/>
      <c r="K56" s="597">
        <v>7.1283</v>
      </c>
      <c r="L56" s="708" t="s">
        <v>1918</v>
      </c>
      <c r="M56" s="636" t="s">
        <v>3100</v>
      </c>
      <c r="N56" s="975"/>
      <c r="O56" s="740" t="s">
        <v>3103</v>
      </c>
      <c r="P56" s="744"/>
      <c r="Q56" s="572"/>
      <c r="R56" s="744"/>
      <c r="S56" s="754"/>
    </row>
    <row r="57" s="10" customFormat="1" ht="16.5" spans="1:19">
      <c r="A57" s="1076"/>
      <c r="B57" s="541"/>
      <c r="C57" s="542" t="s">
        <v>1922</v>
      </c>
      <c r="D57" s="545"/>
      <c r="E57" s="568"/>
      <c r="F57" s="561"/>
      <c r="G57" s="576"/>
      <c r="H57" s="596"/>
      <c r="I57" s="766"/>
      <c r="J57" s="766"/>
      <c r="K57" s="597"/>
      <c r="L57" s="598"/>
      <c r="M57" s="682"/>
      <c r="N57" s="976"/>
      <c r="O57" s="740"/>
      <c r="P57" s="744"/>
      <c r="Q57" s="572"/>
      <c r="R57" s="744"/>
      <c r="S57" s="754"/>
    </row>
    <row r="58" s="10" customFormat="1" ht="18.75" customHeight="1" spans="1:20">
      <c r="A58" s="1066"/>
      <c r="B58" s="541"/>
      <c r="C58" s="542" t="s">
        <v>209</v>
      </c>
      <c r="D58" s="557"/>
      <c r="E58" s="561" t="s">
        <v>3104</v>
      </c>
      <c r="F58" s="250"/>
      <c r="G58" s="725"/>
      <c r="H58" s="596">
        <v>72686</v>
      </c>
      <c r="I58" s="596"/>
      <c r="J58" s="735"/>
      <c r="K58" s="597">
        <v>7.1283</v>
      </c>
      <c r="L58" s="598" t="s">
        <v>1218</v>
      </c>
      <c r="M58" s="636" t="s">
        <v>621</v>
      </c>
      <c r="N58" s="966"/>
      <c r="O58" s="740" t="s">
        <v>3105</v>
      </c>
      <c r="P58" s="572"/>
      <c r="Q58" s="572"/>
      <c r="R58" s="752"/>
      <c r="S58" s="753"/>
      <c r="T58" s="1022"/>
    </row>
    <row r="59" s="10" customFormat="1" ht="33" spans="1:19">
      <c r="A59" s="1076"/>
      <c r="B59" s="541"/>
      <c r="C59" s="542"/>
      <c r="D59" s="545"/>
      <c r="E59" s="561" t="s">
        <v>274</v>
      </c>
      <c r="F59" s="724" t="s">
        <v>1929</v>
      </c>
      <c r="G59" s="725">
        <v>18000</v>
      </c>
      <c r="H59" s="567">
        <f t="shared" si="7"/>
        <v>128309.4</v>
      </c>
      <c r="I59" s="735"/>
      <c r="J59" s="735"/>
      <c r="K59" s="597">
        <v>7.1283</v>
      </c>
      <c r="L59" s="598" t="s">
        <v>1218</v>
      </c>
      <c r="M59" s="625">
        <v>45171</v>
      </c>
      <c r="N59" s="625">
        <v>45173</v>
      </c>
      <c r="O59" s="740" t="s">
        <v>3106</v>
      </c>
      <c r="P59" s="744"/>
      <c r="Q59" s="572"/>
      <c r="R59" s="744"/>
      <c r="S59" s="754"/>
    </row>
    <row r="60" s="10" customFormat="1" ht="16.5" spans="1:19">
      <c r="A60" s="1076"/>
      <c r="B60" s="541"/>
      <c r="C60" s="544"/>
      <c r="D60" s="545"/>
      <c r="E60" s="561" t="s">
        <v>274</v>
      </c>
      <c r="F60" s="724" t="s">
        <v>1958</v>
      </c>
      <c r="G60" s="725">
        <v>12000</v>
      </c>
      <c r="H60" s="567">
        <f t="shared" ref="H60:H62" si="8">G60*K60</f>
        <v>85539.6</v>
      </c>
      <c r="I60" s="735"/>
      <c r="J60" s="735"/>
      <c r="K60" s="597">
        <v>7.1283</v>
      </c>
      <c r="L60" s="597">
        <v>7.1283</v>
      </c>
      <c r="M60" s="636" t="s">
        <v>621</v>
      </c>
      <c r="N60" s="966"/>
      <c r="O60" s="740" t="s">
        <v>3107</v>
      </c>
      <c r="P60" s="744"/>
      <c r="Q60" s="572"/>
      <c r="R60" s="744"/>
      <c r="S60" s="754"/>
    </row>
    <row r="61" s="10" customFormat="1" ht="16.5" spans="1:19">
      <c r="A61" s="1076"/>
      <c r="B61" s="541"/>
      <c r="C61" s="544"/>
      <c r="D61" s="545"/>
      <c r="E61" s="571" t="s">
        <v>286</v>
      </c>
      <c r="F61" s="724" t="s">
        <v>1931</v>
      </c>
      <c r="G61" s="725">
        <v>31000</v>
      </c>
      <c r="H61" s="567">
        <f t="shared" si="8"/>
        <v>220977.3</v>
      </c>
      <c r="I61" s="735"/>
      <c r="J61" s="735"/>
      <c r="K61" s="597">
        <v>7.1283</v>
      </c>
      <c r="L61" s="597">
        <v>7.1283</v>
      </c>
      <c r="M61" s="636" t="s">
        <v>621</v>
      </c>
      <c r="N61" s="966"/>
      <c r="O61" s="740" t="s">
        <v>3108</v>
      </c>
      <c r="P61" s="744"/>
      <c r="Q61" s="572"/>
      <c r="R61" s="744"/>
      <c r="S61" s="754"/>
    </row>
    <row r="62" s="10" customFormat="1" ht="18.75" customHeight="1" spans="1:19">
      <c r="A62" s="1066"/>
      <c r="B62" s="721"/>
      <c r="C62" s="544"/>
      <c r="D62" s="557"/>
      <c r="E62" s="571" t="s">
        <v>1934</v>
      </c>
      <c r="F62" s="904" t="s">
        <v>3109</v>
      </c>
      <c r="G62" s="722">
        <v>240000</v>
      </c>
      <c r="H62" s="567">
        <f t="shared" si="8"/>
        <v>1710792</v>
      </c>
      <c r="I62" s="735"/>
      <c r="J62" s="735"/>
      <c r="K62" s="597">
        <v>7.1283</v>
      </c>
      <c r="L62" s="598" t="s">
        <v>1966</v>
      </c>
      <c r="M62" s="636" t="s">
        <v>621</v>
      </c>
      <c r="N62" s="975"/>
      <c r="O62" s="740" t="s">
        <v>3110</v>
      </c>
      <c r="P62" s="250"/>
      <c r="Q62" s="751"/>
      <c r="R62" s="755"/>
      <c r="S62" s="756"/>
    </row>
    <row r="63" s="10" customFormat="1" ht="18.75" customHeight="1" spans="1:19">
      <c r="A63" s="1066"/>
      <c r="B63" s="541"/>
      <c r="C63" s="568" t="s">
        <v>1437</v>
      </c>
      <c r="D63" s="547"/>
      <c r="E63" s="568"/>
      <c r="F63" s="568"/>
      <c r="G63" s="568"/>
      <c r="H63" s="596"/>
      <c r="I63" s="766"/>
      <c r="J63" s="766"/>
      <c r="K63" s="597"/>
      <c r="L63" s="598"/>
      <c r="M63" s="682"/>
      <c r="N63" s="976"/>
      <c r="O63" s="740"/>
      <c r="P63" s="250"/>
      <c r="Q63" s="751"/>
      <c r="R63" s="755"/>
      <c r="S63" s="756"/>
    </row>
    <row r="64" s="10" customFormat="1" ht="18.75" customHeight="1" spans="1:19">
      <c r="A64" s="1066"/>
      <c r="B64" s="672"/>
      <c r="C64" s="757" t="s">
        <v>1874</v>
      </c>
      <c r="D64" s="758"/>
      <c r="E64" s="758"/>
      <c r="F64" s="758"/>
      <c r="G64" s="760"/>
      <c r="H64" s="761">
        <f>SUM(H53:H63)</f>
        <v>3193455.74</v>
      </c>
      <c r="I64" s="766"/>
      <c r="J64" s="766"/>
      <c r="K64" s="597"/>
      <c r="L64" s="598"/>
      <c r="M64" s="682"/>
      <c r="N64" s="976"/>
      <c r="O64" s="740"/>
      <c r="P64" s="250"/>
      <c r="Q64" s="751"/>
      <c r="R64" s="755"/>
      <c r="S64" s="756"/>
    </row>
    <row r="65" s="10" customFormat="1" ht="22.1" customHeight="1" spans="1:19">
      <c r="A65" s="1066"/>
      <c r="B65" s="564" t="s">
        <v>1875</v>
      </c>
      <c r="C65" s="664" t="s">
        <v>1248</v>
      </c>
      <c r="D65" s="557" t="s">
        <v>1125</v>
      </c>
      <c r="E65" s="655" t="s">
        <v>246</v>
      </c>
      <c r="F65" s="561" t="s">
        <v>1956</v>
      </c>
      <c r="G65" s="725">
        <v>19330</v>
      </c>
      <c r="H65" s="567">
        <f>G65*K65</f>
        <v>137790.039</v>
      </c>
      <c r="I65" s="735"/>
      <c r="J65" s="735"/>
      <c r="K65" s="597">
        <v>7.1283</v>
      </c>
      <c r="L65" s="598" t="s">
        <v>1218</v>
      </c>
      <c r="M65" s="636" t="s">
        <v>621</v>
      </c>
      <c r="N65" s="975"/>
      <c r="O65" s="740" t="s">
        <v>3111</v>
      </c>
      <c r="P65" s="250"/>
      <c r="Q65" s="751"/>
      <c r="R65" s="755"/>
      <c r="S65" s="756"/>
    </row>
    <row r="66" s="10" customFormat="1" ht="18.75" customHeight="1" spans="1:19">
      <c r="A66" s="1066"/>
      <c r="B66" s="721"/>
      <c r="C66" s="556" t="s">
        <v>1922</v>
      </c>
      <c r="D66" s="557"/>
      <c r="E66" s="571" t="s">
        <v>1169</v>
      </c>
      <c r="F66" s="904" t="s">
        <v>1964</v>
      </c>
      <c r="G66" s="722">
        <v>30000</v>
      </c>
      <c r="H66" s="567">
        <f>G66*K66</f>
        <v>213849</v>
      </c>
      <c r="I66" s="735"/>
      <c r="J66" s="735"/>
      <c r="K66" s="597">
        <v>7.1283</v>
      </c>
      <c r="L66" s="598" t="s">
        <v>1218</v>
      </c>
      <c r="M66" s="636" t="s">
        <v>621</v>
      </c>
      <c r="N66" s="975"/>
      <c r="O66" s="740" t="s">
        <v>1963</v>
      </c>
      <c r="P66" s="250"/>
      <c r="Q66" s="751"/>
      <c r="R66" s="755"/>
      <c r="S66" s="756"/>
    </row>
    <row r="67" s="10" customFormat="1" ht="18.75" customHeight="1" spans="1:19">
      <c r="A67" s="1066"/>
      <c r="B67" s="721"/>
      <c r="C67" s="670"/>
      <c r="D67" s="557"/>
      <c r="E67" s="571" t="s">
        <v>324</v>
      </c>
      <c r="F67" s="904" t="s">
        <v>1965</v>
      </c>
      <c r="G67" s="722">
        <v>31416</v>
      </c>
      <c r="H67" s="567">
        <f>G67*K67</f>
        <v>223942.6728</v>
      </c>
      <c r="I67" s="735"/>
      <c r="J67" s="735"/>
      <c r="K67" s="597">
        <v>7.1283</v>
      </c>
      <c r="L67" s="598" t="s">
        <v>1966</v>
      </c>
      <c r="M67" s="636" t="s">
        <v>621</v>
      </c>
      <c r="N67" s="975"/>
      <c r="O67" s="740" t="s">
        <v>1963</v>
      </c>
      <c r="P67" s="250"/>
      <c r="Q67" s="751"/>
      <c r="R67" s="755"/>
      <c r="S67" s="756"/>
    </row>
    <row r="68" s="10" customFormat="1" ht="18.75" customHeight="1" spans="1:19">
      <c r="A68" s="1066"/>
      <c r="B68" s="721"/>
      <c r="C68" s="556" t="s">
        <v>209</v>
      </c>
      <c r="D68" s="557"/>
      <c r="E68" s="571" t="s">
        <v>1408</v>
      </c>
      <c r="F68" s="724" t="s">
        <v>1976</v>
      </c>
      <c r="G68" s="725">
        <v>30000</v>
      </c>
      <c r="H68" s="567">
        <f t="shared" ref="H68:H73" si="9">G68*K68</f>
        <v>213849</v>
      </c>
      <c r="I68" s="735"/>
      <c r="J68" s="735"/>
      <c r="K68" s="597">
        <v>7.1283</v>
      </c>
      <c r="L68" s="598" t="s">
        <v>1218</v>
      </c>
      <c r="M68" s="636" t="s">
        <v>621</v>
      </c>
      <c r="N68" s="975"/>
      <c r="O68" s="740" t="s">
        <v>1977</v>
      </c>
      <c r="P68" s="250"/>
      <c r="Q68" s="751"/>
      <c r="R68" s="755"/>
      <c r="S68" s="756"/>
    </row>
    <row r="69" s="10" customFormat="1" ht="18.75" customHeight="1" spans="1:19">
      <c r="A69" s="1066"/>
      <c r="B69" s="721"/>
      <c r="C69" s="556"/>
      <c r="D69" s="557"/>
      <c r="E69" s="571" t="s">
        <v>1408</v>
      </c>
      <c r="F69" s="724" t="s">
        <v>1942</v>
      </c>
      <c r="G69" s="725">
        <v>30000</v>
      </c>
      <c r="H69" s="567">
        <f t="shared" si="9"/>
        <v>213849</v>
      </c>
      <c r="I69" s="735"/>
      <c r="J69" s="735"/>
      <c r="K69" s="597">
        <v>7.1283</v>
      </c>
      <c r="L69" s="598" t="s">
        <v>1218</v>
      </c>
      <c r="M69" s="636" t="s">
        <v>621</v>
      </c>
      <c r="N69" s="975"/>
      <c r="O69" s="740" t="s">
        <v>1963</v>
      </c>
      <c r="P69" s="250"/>
      <c r="Q69" s="751"/>
      <c r="R69" s="755"/>
      <c r="S69" s="756"/>
    </row>
    <row r="70" s="10" customFormat="1" ht="18.75" customHeight="1" spans="1:19">
      <c r="A70" s="1066"/>
      <c r="B70" s="721"/>
      <c r="C70" s="556"/>
      <c r="D70" s="557"/>
      <c r="E70" s="571" t="s">
        <v>256</v>
      </c>
      <c r="F70" s="731"/>
      <c r="G70" s="725">
        <v>30000</v>
      </c>
      <c r="H70" s="567">
        <f t="shared" si="9"/>
        <v>213849</v>
      </c>
      <c r="I70" s="735"/>
      <c r="J70" s="735"/>
      <c r="K70" s="597">
        <v>7.1283</v>
      </c>
      <c r="L70" s="598" t="s">
        <v>1218</v>
      </c>
      <c r="M70" s="636" t="s">
        <v>621</v>
      </c>
      <c r="N70" s="975"/>
      <c r="O70" s="740" t="s">
        <v>1963</v>
      </c>
      <c r="P70" s="250"/>
      <c r="Q70" s="751"/>
      <c r="R70" s="755"/>
      <c r="S70" s="756"/>
    </row>
    <row r="71" s="10" customFormat="1" ht="18.75" customHeight="1" spans="1:19">
      <c r="A71" s="1066"/>
      <c r="B71" s="721"/>
      <c r="C71" s="556"/>
      <c r="D71" s="557"/>
      <c r="E71" s="571" t="s">
        <v>1978</v>
      </c>
      <c r="F71" s="904" t="s">
        <v>1979</v>
      </c>
      <c r="G71" s="722">
        <v>33000</v>
      </c>
      <c r="H71" s="567">
        <f t="shared" si="9"/>
        <v>235233.9</v>
      </c>
      <c r="I71" s="735"/>
      <c r="J71" s="735"/>
      <c r="K71" s="597">
        <v>7.1283</v>
      </c>
      <c r="L71" s="598" t="s">
        <v>1218</v>
      </c>
      <c r="M71" s="636" t="s">
        <v>621</v>
      </c>
      <c r="N71" s="975"/>
      <c r="O71" s="740" t="s">
        <v>1963</v>
      </c>
      <c r="P71" s="250"/>
      <c r="Q71" s="751"/>
      <c r="R71" s="755"/>
      <c r="S71" s="756"/>
    </row>
    <row r="72" s="10" customFormat="1" ht="18.75" customHeight="1" spans="1:19">
      <c r="A72" s="1066"/>
      <c r="B72" s="721"/>
      <c r="C72" s="556"/>
      <c r="D72" s="557"/>
      <c r="E72" s="571" t="s">
        <v>1483</v>
      </c>
      <c r="F72" s="1107" t="s">
        <v>1980</v>
      </c>
      <c r="G72" s="722">
        <v>50000</v>
      </c>
      <c r="H72" s="567">
        <f t="shared" si="9"/>
        <v>356415</v>
      </c>
      <c r="I72" s="735"/>
      <c r="J72" s="735"/>
      <c r="K72" s="597">
        <v>7.1283</v>
      </c>
      <c r="L72" s="598" t="s">
        <v>1218</v>
      </c>
      <c r="M72" s="636" t="s">
        <v>621</v>
      </c>
      <c r="N72" s="975"/>
      <c r="O72" s="740" t="s">
        <v>1963</v>
      </c>
      <c r="P72" s="250"/>
      <c r="Q72" s="751"/>
      <c r="R72" s="755"/>
      <c r="S72" s="756"/>
    </row>
    <row r="73" s="10" customFormat="1" ht="18.75" customHeight="1" spans="1:19">
      <c r="A73" s="1066"/>
      <c r="B73" s="721"/>
      <c r="C73" s="556"/>
      <c r="D73" s="557"/>
      <c r="E73" s="571" t="s">
        <v>1418</v>
      </c>
      <c r="F73" s="1055" t="s">
        <v>1981</v>
      </c>
      <c r="G73" s="722">
        <v>13000</v>
      </c>
      <c r="H73" s="567">
        <f t="shared" si="9"/>
        <v>92667.9</v>
      </c>
      <c r="I73" s="735"/>
      <c r="J73" s="735"/>
      <c r="K73" s="597">
        <v>7.1283</v>
      </c>
      <c r="L73" s="598" t="s">
        <v>1218</v>
      </c>
      <c r="M73" s="636" t="s">
        <v>621</v>
      </c>
      <c r="N73" s="975"/>
      <c r="O73" s="740" t="s">
        <v>1963</v>
      </c>
      <c r="P73" s="250"/>
      <c r="Q73" s="751"/>
      <c r="R73" s="755"/>
      <c r="S73" s="756"/>
    </row>
    <row r="74" s="10" customFormat="1" ht="16.5" spans="1:19">
      <c r="A74" s="1066"/>
      <c r="B74" s="721"/>
      <c r="C74" s="716" t="s">
        <v>1437</v>
      </c>
      <c r="D74" s="557"/>
      <c r="E74" s="542"/>
      <c r="F74" s="971"/>
      <c r="G74" s="1108"/>
      <c r="H74" s="567"/>
      <c r="I74" s="577"/>
      <c r="J74" s="735"/>
      <c r="K74" s="614"/>
      <c r="L74" s="598"/>
      <c r="M74" s="636"/>
      <c r="N74" s="975"/>
      <c r="O74" s="740"/>
      <c r="P74" s="623"/>
      <c r="Q74" s="655"/>
      <c r="R74" s="656"/>
      <c r="S74" s="754"/>
    </row>
    <row r="75" s="10" customFormat="1" ht="16.5" spans="1:19">
      <c r="A75" s="1066"/>
      <c r="B75" s="673"/>
      <c r="C75" s="652" t="s">
        <v>1874</v>
      </c>
      <c r="D75" s="652"/>
      <c r="E75" s="652"/>
      <c r="F75" s="652"/>
      <c r="G75" s="652"/>
      <c r="H75" s="782">
        <f>SUM(H65:H74)</f>
        <v>1901445.5118</v>
      </c>
      <c r="I75" s="782"/>
      <c r="J75" s="782"/>
      <c r="K75" s="614"/>
      <c r="L75" s="610"/>
      <c r="M75" s="644"/>
      <c r="N75" s="644"/>
      <c r="O75" s="1013"/>
      <c r="P75" s="623"/>
      <c r="Q75" s="655"/>
      <c r="R75" s="656"/>
      <c r="S75" s="754"/>
    </row>
    <row r="76" s="536" customFormat="1" ht="47.5" customHeight="1" spans="1:19">
      <c r="A76" s="537" t="s">
        <v>1092</v>
      </c>
      <c r="B76" s="537" t="s">
        <v>1820</v>
      </c>
      <c r="C76" s="538" t="s">
        <v>1946</v>
      </c>
      <c r="D76" s="539" t="s">
        <v>1821</v>
      </c>
      <c r="E76" s="539" t="s">
        <v>1822</v>
      </c>
      <c r="F76" s="558" t="s">
        <v>1095</v>
      </c>
      <c r="G76" s="559" t="s">
        <v>362</v>
      </c>
      <c r="H76" s="560" t="s">
        <v>1716</v>
      </c>
      <c r="I76" s="560" t="s">
        <v>1717</v>
      </c>
      <c r="J76" s="560" t="s">
        <v>1718</v>
      </c>
      <c r="K76" s="594" t="s">
        <v>1096</v>
      </c>
      <c r="L76" s="595" t="s">
        <v>1098</v>
      </c>
      <c r="M76" s="619" t="s">
        <v>1097</v>
      </c>
      <c r="N76" s="619" t="s">
        <v>1214</v>
      </c>
      <c r="O76" s="727" t="s">
        <v>1215</v>
      </c>
      <c r="P76" s="621" t="s">
        <v>7</v>
      </c>
      <c r="Q76" s="652" t="s">
        <v>8</v>
      </c>
      <c r="R76" s="653" t="s">
        <v>9</v>
      </c>
      <c r="S76" s="654" t="s">
        <v>1291</v>
      </c>
    </row>
    <row r="77" s="536" customFormat="1" ht="18.75" customHeight="1" spans="1:19">
      <c r="A77" s="1066" t="s">
        <v>1984</v>
      </c>
      <c r="B77" s="568" t="s">
        <v>1824</v>
      </c>
      <c r="C77" s="666" t="s">
        <v>38</v>
      </c>
      <c r="D77" s="759">
        <v>57</v>
      </c>
      <c r="E77" s="250" t="s">
        <v>143</v>
      </c>
      <c r="F77" s="673" t="s">
        <v>3112</v>
      </c>
      <c r="G77" s="978">
        <v>42473</v>
      </c>
      <c r="H77" s="577">
        <f>G77*K77</f>
        <v>302760.2859</v>
      </c>
      <c r="I77" s="577">
        <f>H77</f>
        <v>302760.2859</v>
      </c>
      <c r="J77" s="567">
        <f>I77</f>
        <v>302760.2859</v>
      </c>
      <c r="K77" s="597">
        <v>7.1283</v>
      </c>
      <c r="L77" s="633" t="s">
        <v>1218</v>
      </c>
      <c r="M77" s="633">
        <v>45160</v>
      </c>
      <c r="N77" s="633">
        <v>45164</v>
      </c>
      <c r="O77" s="937" t="s">
        <v>228</v>
      </c>
      <c r="P77" s="987"/>
      <c r="Q77" s="655"/>
      <c r="R77" s="664"/>
      <c r="S77" s="577"/>
    </row>
    <row r="78" s="10" customFormat="1" ht="19" customHeight="1" spans="1:19">
      <c r="A78" s="1066"/>
      <c r="B78" s="568"/>
      <c r="C78" s="666" t="s">
        <v>1987</v>
      </c>
      <c r="D78" s="759">
        <v>60</v>
      </c>
      <c r="E78" s="250" t="s">
        <v>3113</v>
      </c>
      <c r="F78" s="568"/>
      <c r="G78" s="969">
        <v>18000</v>
      </c>
      <c r="H78" s="596">
        <f>G78*K78</f>
        <v>128309.4</v>
      </c>
      <c r="I78" s="596">
        <v>128309</v>
      </c>
      <c r="J78" s="603">
        <v>128309</v>
      </c>
      <c r="K78" s="597">
        <v>7.1283</v>
      </c>
      <c r="L78" s="598" t="s">
        <v>1218</v>
      </c>
      <c r="M78" s="598">
        <v>45139</v>
      </c>
      <c r="N78" s="1111">
        <v>45143</v>
      </c>
      <c r="O78" s="1057" t="s">
        <v>228</v>
      </c>
      <c r="P78" s="572"/>
      <c r="Q78" s="874"/>
      <c r="R78" s="625"/>
      <c r="S78" s="631"/>
    </row>
    <row r="79" s="10" customFormat="1" ht="19" customHeight="1" spans="1:19">
      <c r="A79" s="1066"/>
      <c r="B79" s="776"/>
      <c r="C79" s="556"/>
      <c r="D79" s="759"/>
      <c r="E79" s="547" t="s">
        <v>3114</v>
      </c>
      <c r="F79" s="741" t="s">
        <v>3115</v>
      </c>
      <c r="G79" s="969">
        <v>1120</v>
      </c>
      <c r="H79" s="567">
        <f>K79*G79</f>
        <v>7983.696</v>
      </c>
      <c r="I79" s="1110">
        <v>7984</v>
      </c>
      <c r="J79" s="969">
        <v>7984</v>
      </c>
      <c r="K79" s="597">
        <v>7.1283</v>
      </c>
      <c r="L79" s="598" t="s">
        <v>1251</v>
      </c>
      <c r="M79" s="598">
        <v>45159</v>
      </c>
      <c r="N79" s="1112">
        <v>45159</v>
      </c>
      <c r="O79" s="1009" t="s">
        <v>3116</v>
      </c>
      <c r="P79" s="642"/>
      <c r="Q79" s="655"/>
      <c r="R79" s="664"/>
      <c r="S79" s="577"/>
    </row>
    <row r="80" s="10" customFormat="1" ht="19" customHeight="1" spans="1:19">
      <c r="A80" s="1066"/>
      <c r="B80" s="776"/>
      <c r="C80" s="664" t="s">
        <v>509</v>
      </c>
      <c r="D80" s="655">
        <v>124</v>
      </c>
      <c r="E80" s="572" t="s">
        <v>2099</v>
      </c>
      <c r="F80" s="250" t="s">
        <v>3026</v>
      </c>
      <c r="G80" s="1002"/>
      <c r="H80" s="567">
        <v>737732</v>
      </c>
      <c r="I80" s="981">
        <f>H80</f>
        <v>737732</v>
      </c>
      <c r="J80" s="603">
        <f>I80</f>
        <v>737732</v>
      </c>
      <c r="K80" s="597">
        <v>7.1283</v>
      </c>
      <c r="L80" s="598" t="s">
        <v>1251</v>
      </c>
      <c r="M80" s="598">
        <v>45145</v>
      </c>
      <c r="N80" s="625">
        <v>45147</v>
      </c>
      <c r="O80" s="1009" t="s">
        <v>3117</v>
      </c>
      <c r="P80" s="642"/>
      <c r="Q80" s="655"/>
      <c r="R80" s="664"/>
      <c r="S80" s="577"/>
    </row>
    <row r="81" s="10" customFormat="1" ht="19" customHeight="1" spans="1:19">
      <c r="A81" s="1066"/>
      <c r="B81" s="776"/>
      <c r="C81" s="664"/>
      <c r="D81" s="655"/>
      <c r="E81" s="572" t="s">
        <v>1232</v>
      </c>
      <c r="F81" s="250" t="s">
        <v>3017</v>
      </c>
      <c r="G81" s="1002"/>
      <c r="H81" s="596"/>
      <c r="I81" s="981"/>
      <c r="J81" s="596">
        <v>397302.19</v>
      </c>
      <c r="K81" s="614">
        <v>7.2157</v>
      </c>
      <c r="L81" s="598">
        <v>45135</v>
      </c>
      <c r="M81" s="598">
        <v>45138</v>
      </c>
      <c r="N81" s="625">
        <v>45147</v>
      </c>
      <c r="O81" s="1009" t="s">
        <v>2714</v>
      </c>
      <c r="P81" s="572"/>
      <c r="Q81" s="874"/>
      <c r="R81" s="625"/>
      <c r="S81" s="631"/>
    </row>
    <row r="82" s="10" customFormat="1" ht="19" customHeight="1" spans="1:19">
      <c r="A82" s="1066"/>
      <c r="B82" s="776"/>
      <c r="C82" s="664"/>
      <c r="D82" s="655"/>
      <c r="E82" s="788" t="s">
        <v>151</v>
      </c>
      <c r="F82" s="568" t="s">
        <v>2907</v>
      </c>
      <c r="G82" s="979"/>
      <c r="H82" s="567"/>
      <c r="I82" s="567"/>
      <c r="J82" s="602">
        <v>239145</v>
      </c>
      <c r="K82" s="614">
        <v>7.2157</v>
      </c>
      <c r="L82" s="598" t="s">
        <v>1218</v>
      </c>
      <c r="M82" s="645">
        <v>45106</v>
      </c>
      <c r="N82" s="1113" t="s">
        <v>3118</v>
      </c>
      <c r="O82" s="740" t="s">
        <v>3119</v>
      </c>
      <c r="P82" s="572"/>
      <c r="Q82" s="874"/>
      <c r="R82" s="625"/>
      <c r="S82" s="631"/>
    </row>
    <row r="83" s="10" customFormat="1" ht="16.5" spans="1:19">
      <c r="A83" s="1066"/>
      <c r="B83" s="776"/>
      <c r="C83" s="666" t="s">
        <v>1393</v>
      </c>
      <c r="D83" s="759">
        <v>109</v>
      </c>
      <c r="E83" s="788" t="s">
        <v>841</v>
      </c>
      <c r="F83" s="576" t="s">
        <v>3030</v>
      </c>
      <c r="G83" s="562">
        <v>67739</v>
      </c>
      <c r="H83" s="596">
        <f t="shared" ref="H83:H86" si="10">G83*K83</f>
        <v>482863.9137</v>
      </c>
      <c r="I83" s="596">
        <f>H83</f>
        <v>482863.9137</v>
      </c>
      <c r="J83" s="788">
        <v>488784</v>
      </c>
      <c r="K83" s="614">
        <v>7.1283</v>
      </c>
      <c r="L83" s="856" t="s">
        <v>1218</v>
      </c>
      <c r="M83" s="1082">
        <v>45140</v>
      </c>
      <c r="N83" s="1083">
        <v>45145</v>
      </c>
      <c r="O83" s="994" t="s">
        <v>3120</v>
      </c>
      <c r="P83" s="572"/>
      <c r="Q83" s="874"/>
      <c r="R83" s="664"/>
      <c r="S83" s="577"/>
    </row>
    <row r="84" s="10" customFormat="1" ht="16.5" spans="1:19">
      <c r="A84" s="1076"/>
      <c r="B84" s="776"/>
      <c r="C84" s="556"/>
      <c r="D84" s="557"/>
      <c r="E84" s="787" t="s">
        <v>267</v>
      </c>
      <c r="F84" s="788" t="s">
        <v>3121</v>
      </c>
      <c r="G84" s="722">
        <v>40924</v>
      </c>
      <c r="H84" s="567">
        <f t="shared" si="10"/>
        <v>291718.5492</v>
      </c>
      <c r="I84" s="577">
        <f t="shared" ref="I84:I86" si="11">G84*K84</f>
        <v>291718.5492</v>
      </c>
      <c r="J84" s="577">
        <f>G84*K84</f>
        <v>291718.5492</v>
      </c>
      <c r="K84" s="597">
        <v>7.1283</v>
      </c>
      <c r="L84" s="856" t="s">
        <v>1218</v>
      </c>
      <c r="M84" s="1081">
        <v>45153</v>
      </c>
      <c r="N84" s="1081">
        <v>45157</v>
      </c>
      <c r="O84" s="824" t="s">
        <v>3122</v>
      </c>
      <c r="P84" s="572"/>
      <c r="Q84" s="874"/>
      <c r="R84" s="664"/>
      <c r="S84" s="577"/>
    </row>
    <row r="85" s="10" customFormat="1" ht="16.5" spans="1:19">
      <c r="A85" s="1066"/>
      <c r="B85" s="776"/>
      <c r="C85" s="670"/>
      <c r="D85" s="968"/>
      <c r="E85" s="788" t="s">
        <v>2003</v>
      </c>
      <c r="F85" s="788" t="s">
        <v>2004</v>
      </c>
      <c r="G85" s="1079">
        <v>36606</v>
      </c>
      <c r="H85" s="567">
        <f t="shared" si="10"/>
        <v>260938.5498</v>
      </c>
      <c r="I85" s="567">
        <f t="shared" si="11"/>
        <v>260938.5498</v>
      </c>
      <c r="J85" s="577">
        <f>G85*K85</f>
        <v>260938.5498</v>
      </c>
      <c r="K85" s="597">
        <v>7.1283</v>
      </c>
      <c r="L85" s="856" t="s">
        <v>1218</v>
      </c>
      <c r="M85" s="1081">
        <v>45160</v>
      </c>
      <c r="N85" s="1083">
        <v>45170</v>
      </c>
      <c r="O85" s="994" t="s">
        <v>3123</v>
      </c>
      <c r="P85" s="572"/>
      <c r="Q85" s="874"/>
      <c r="R85" s="664"/>
      <c r="S85" s="577"/>
    </row>
    <row r="86" s="10" customFormat="1" ht="16.5" spans="1:19">
      <c r="A86" s="1066"/>
      <c r="B86" s="776"/>
      <c r="C86" s="670"/>
      <c r="D86" s="968"/>
      <c r="E86" s="788" t="s">
        <v>2000</v>
      </c>
      <c r="F86" s="788" t="s">
        <v>3124</v>
      </c>
      <c r="G86" s="722">
        <v>43235</v>
      </c>
      <c r="H86" s="567">
        <f t="shared" si="10"/>
        <v>308192.0505</v>
      </c>
      <c r="I86" s="567">
        <f t="shared" si="11"/>
        <v>308192.0505</v>
      </c>
      <c r="J86" s="577">
        <f>G86*K86</f>
        <v>308192.0505</v>
      </c>
      <c r="K86" s="244">
        <v>7.1283</v>
      </c>
      <c r="L86" s="856" t="s">
        <v>1218</v>
      </c>
      <c r="M86" s="818">
        <v>0.275862068965517</v>
      </c>
      <c r="N86" s="1083">
        <v>45169</v>
      </c>
      <c r="O86" s="994" t="s">
        <v>3125</v>
      </c>
      <c r="P86" s="572"/>
      <c r="Q86" s="874"/>
      <c r="R86" s="664"/>
      <c r="S86" s="577"/>
    </row>
    <row r="87" s="10" customFormat="1" ht="16.5" spans="1:19">
      <c r="A87" s="1066"/>
      <c r="B87" s="568"/>
      <c r="C87" s="777" t="s">
        <v>1124</v>
      </c>
      <c r="D87" s="778">
        <f>D77+D78+D80+D83</f>
        <v>350</v>
      </c>
      <c r="E87" s="980"/>
      <c r="F87" s="727"/>
      <c r="G87" s="795" t="s">
        <v>1235</v>
      </c>
      <c r="H87" s="804">
        <f>SUM(H77:H86)</f>
        <v>2520498.4451</v>
      </c>
      <c r="I87" s="804">
        <f>SUM(I77:I86)</f>
        <v>2520498.3491</v>
      </c>
      <c r="J87" s="804">
        <f>SUM(J77:J86)</f>
        <v>3162865.6254</v>
      </c>
      <c r="K87" s="808"/>
      <c r="L87" s="809"/>
      <c r="M87" s="821"/>
      <c r="N87" s="821"/>
      <c r="O87" s="1063"/>
      <c r="P87" s="727"/>
      <c r="Q87" s="652"/>
      <c r="R87" s="653"/>
      <c r="S87" s="809"/>
    </row>
    <row r="88" s="10" customFormat="1" ht="16.5" spans="1:19">
      <c r="A88" s="1066"/>
      <c r="B88" s="568"/>
      <c r="C88" s="779"/>
      <c r="D88" s="746"/>
      <c r="E88" s="652"/>
      <c r="F88" s="727"/>
      <c r="G88" s="795" t="s">
        <v>1236</v>
      </c>
      <c r="H88" s="796">
        <f t="shared" ref="H88:J88" si="12">H87/3500000</f>
        <v>0.720142412885714</v>
      </c>
      <c r="I88" s="796">
        <f t="shared" si="12"/>
        <v>0.720142385457143</v>
      </c>
      <c r="J88" s="796">
        <f t="shared" si="12"/>
        <v>0.903675892971429</v>
      </c>
      <c r="K88" s="808"/>
      <c r="L88" s="809"/>
      <c r="M88" s="821"/>
      <c r="N88" s="996"/>
      <c r="O88" s="997"/>
      <c r="P88" s="727"/>
      <c r="Q88" s="652"/>
      <c r="R88" s="653"/>
      <c r="S88" s="809"/>
    </row>
    <row r="89" s="10" customFormat="1" ht="30" spans="1:19">
      <c r="A89" s="1066"/>
      <c r="B89" s="553" t="s">
        <v>1820</v>
      </c>
      <c r="C89" s="554" t="s">
        <v>1946</v>
      </c>
      <c r="D89" s="555" t="s">
        <v>1821</v>
      </c>
      <c r="E89" s="555" t="s">
        <v>1822</v>
      </c>
      <c r="F89" s="588" t="s">
        <v>1095</v>
      </c>
      <c r="G89" s="589" t="s">
        <v>362</v>
      </c>
      <c r="H89" s="590" t="s">
        <v>1865</v>
      </c>
      <c r="I89" s="810" t="s">
        <v>1717</v>
      </c>
      <c r="J89" s="810" t="s">
        <v>1718</v>
      </c>
      <c r="K89" s="590" t="s">
        <v>1866</v>
      </c>
      <c r="L89" s="615" t="s">
        <v>1098</v>
      </c>
      <c r="M89" s="590" t="s">
        <v>1867</v>
      </c>
      <c r="N89" s="646"/>
      <c r="O89" s="997"/>
      <c r="P89" s="727"/>
      <c r="Q89" s="652"/>
      <c r="R89" s="727"/>
      <c r="S89" s="727"/>
    </row>
    <row r="90" s="10" customFormat="1" ht="16.5" spans="1:19">
      <c r="A90" s="1066"/>
      <c r="B90" s="541" t="s">
        <v>1947</v>
      </c>
      <c r="C90" s="250" t="s">
        <v>38</v>
      </c>
      <c r="D90" s="545" t="s">
        <v>1125</v>
      </c>
      <c r="E90" s="741" t="s">
        <v>143</v>
      </c>
      <c r="F90" s="741" t="s">
        <v>1985</v>
      </c>
      <c r="G90" s="715">
        <v>11500</v>
      </c>
      <c r="H90" s="839">
        <f>G90*K90</f>
        <v>81975.45</v>
      </c>
      <c r="I90" s="839"/>
      <c r="J90" s="839"/>
      <c r="K90" s="597">
        <v>7.1283</v>
      </c>
      <c r="L90" s="598"/>
      <c r="M90" s="598"/>
      <c r="N90" s="863"/>
      <c r="O90" s="997"/>
      <c r="P90" s="727"/>
      <c r="Q90" s="652"/>
      <c r="R90" s="727"/>
      <c r="S90" s="727"/>
    </row>
    <row r="91" s="10" customFormat="1" ht="16.5" spans="1:19">
      <c r="A91" s="1066"/>
      <c r="B91" s="541"/>
      <c r="C91" s="564" t="s">
        <v>509</v>
      </c>
      <c r="D91" s="545"/>
      <c r="E91" s="250" t="s">
        <v>1232</v>
      </c>
      <c r="F91" s="250" t="s">
        <v>2006</v>
      </c>
      <c r="G91" s="562">
        <v>88272</v>
      </c>
      <c r="H91" s="596">
        <f t="shared" ref="H91:H96" si="13">G91*K91</f>
        <v>629229.2976</v>
      </c>
      <c r="I91" s="981"/>
      <c r="J91" s="603"/>
      <c r="K91" s="597">
        <v>7.1283</v>
      </c>
      <c r="L91" s="598" t="s">
        <v>2007</v>
      </c>
      <c r="M91" s="598" t="s">
        <v>199</v>
      </c>
      <c r="N91" s="625"/>
      <c r="O91" s="1009" t="s">
        <v>3126</v>
      </c>
      <c r="P91" s="727"/>
      <c r="Q91" s="652"/>
      <c r="R91" s="727"/>
      <c r="S91" s="727"/>
    </row>
    <row r="92" s="10" customFormat="1" ht="16.5" spans="1:19">
      <c r="A92" s="1066"/>
      <c r="B92" s="541"/>
      <c r="C92" s="721"/>
      <c r="D92" s="545"/>
      <c r="E92" s="787" t="s">
        <v>527</v>
      </c>
      <c r="F92" s="788" t="s">
        <v>2010</v>
      </c>
      <c r="G92" s="1002"/>
      <c r="H92" s="567">
        <v>3199896</v>
      </c>
      <c r="I92" s="851"/>
      <c r="J92" s="788"/>
      <c r="K92" s="597">
        <v>7.1283</v>
      </c>
      <c r="L92" s="856"/>
      <c r="M92" s="596"/>
      <c r="N92" s="603"/>
      <c r="O92" s="937" t="s">
        <v>2011</v>
      </c>
      <c r="P92" s="727"/>
      <c r="Q92" s="652"/>
      <c r="R92" s="727"/>
      <c r="S92" s="727"/>
    </row>
    <row r="93" s="10" customFormat="1" ht="16.5" spans="1:19">
      <c r="A93" s="1066"/>
      <c r="B93" s="541"/>
      <c r="C93" s="721"/>
      <c r="D93" s="545"/>
      <c r="E93" s="787" t="s">
        <v>527</v>
      </c>
      <c r="F93" s="788" t="s">
        <v>2012</v>
      </c>
      <c r="G93" s="1002"/>
      <c r="H93" s="567">
        <v>16520</v>
      </c>
      <c r="I93" s="851"/>
      <c r="J93" s="788"/>
      <c r="K93" s="597">
        <v>7.1283</v>
      </c>
      <c r="L93" s="856"/>
      <c r="M93" s="596"/>
      <c r="N93" s="605"/>
      <c r="O93" s="994" t="s">
        <v>2013</v>
      </c>
      <c r="P93" s="727"/>
      <c r="Q93" s="652"/>
      <c r="R93" s="727"/>
      <c r="S93" s="727"/>
    </row>
    <row r="94" s="10" customFormat="1" ht="16.5" spans="1:19">
      <c r="A94" s="1066"/>
      <c r="B94" s="541"/>
      <c r="C94" s="250" t="s">
        <v>1393</v>
      </c>
      <c r="D94" s="545"/>
      <c r="E94" s="787" t="s">
        <v>267</v>
      </c>
      <c r="F94" s="788" t="s">
        <v>1996</v>
      </c>
      <c r="G94" s="722">
        <v>43615</v>
      </c>
      <c r="H94" s="567">
        <f t="shared" si="13"/>
        <v>310900.8045</v>
      </c>
      <c r="I94" s="577"/>
      <c r="J94" s="788"/>
      <c r="K94" s="597">
        <v>7.1283</v>
      </c>
      <c r="L94" s="856">
        <v>45163</v>
      </c>
      <c r="M94" s="596"/>
      <c r="N94" s="1083"/>
      <c r="O94" s="994" t="s">
        <v>2014</v>
      </c>
      <c r="P94" s="727"/>
      <c r="Q94" s="652"/>
      <c r="R94" s="727"/>
      <c r="S94" s="727"/>
    </row>
    <row r="95" s="10" customFormat="1" ht="16.5" spans="1:19">
      <c r="A95" s="1076"/>
      <c r="B95" s="541"/>
      <c r="C95" s="250"/>
      <c r="D95" s="545"/>
      <c r="E95" s="1078" t="s">
        <v>258</v>
      </c>
      <c r="F95" s="788" t="s">
        <v>1998</v>
      </c>
      <c r="G95" s="979">
        <v>32760</v>
      </c>
      <c r="H95" s="567">
        <f t="shared" si="13"/>
        <v>233523.108</v>
      </c>
      <c r="I95" s="570"/>
      <c r="J95" s="577"/>
      <c r="K95" s="597">
        <v>7.1283</v>
      </c>
      <c r="L95" s="967">
        <v>45128</v>
      </c>
      <c r="M95" s="1081"/>
      <c r="N95" s="1081"/>
      <c r="O95" s="824" t="s">
        <v>3127</v>
      </c>
      <c r="P95" s="727"/>
      <c r="Q95" s="652"/>
      <c r="R95" s="727"/>
      <c r="S95" s="727"/>
    </row>
    <row r="96" s="10" customFormat="1" ht="16.5" spans="1:19">
      <c r="A96" s="1076"/>
      <c r="B96" s="541"/>
      <c r="C96" s="716"/>
      <c r="D96" s="545"/>
      <c r="E96" s="1109" t="s">
        <v>2000</v>
      </c>
      <c r="F96" s="716" t="s">
        <v>2001</v>
      </c>
      <c r="G96" s="979">
        <v>26529</v>
      </c>
      <c r="H96" s="567">
        <f t="shared" si="13"/>
        <v>189106.6707</v>
      </c>
      <c r="I96" s="850"/>
      <c r="J96" s="839"/>
      <c r="K96" s="597">
        <v>7.1283</v>
      </c>
      <c r="L96" s="598">
        <v>45199</v>
      </c>
      <c r="M96" s="598"/>
      <c r="N96" s="863"/>
      <c r="O96" s="1114"/>
      <c r="P96" s="727"/>
      <c r="Q96" s="652"/>
      <c r="R96" s="727"/>
      <c r="S96" s="727"/>
    </row>
    <row r="97" s="10" customFormat="1" ht="16.5" spans="1:19">
      <c r="A97" s="1076"/>
      <c r="B97" s="672"/>
      <c r="C97" s="716" t="s">
        <v>1874</v>
      </c>
      <c r="D97" s="716"/>
      <c r="E97" s="716"/>
      <c r="F97" s="716"/>
      <c r="G97" s="716"/>
      <c r="H97" s="804">
        <f>SUM(H90:H96)</f>
        <v>4661151.3308</v>
      </c>
      <c r="I97" s="839"/>
      <c r="J97" s="839"/>
      <c r="K97" s="597">
        <v>7.1283</v>
      </c>
      <c r="L97" s="598"/>
      <c r="M97" s="598"/>
      <c r="N97" s="863"/>
      <c r="O97" s="997"/>
      <c r="P97" s="727"/>
      <c r="Q97" s="652"/>
      <c r="R97" s="727"/>
      <c r="S97" s="727"/>
    </row>
    <row r="98" s="10" customFormat="1" ht="16.5" spans="1:19">
      <c r="A98" s="1076"/>
      <c r="B98" s="564" t="s">
        <v>1875</v>
      </c>
      <c r="C98" s="250" t="s">
        <v>38</v>
      </c>
      <c r="D98" s="545" t="s">
        <v>1125</v>
      </c>
      <c r="E98" s="572" t="s">
        <v>152</v>
      </c>
      <c r="F98" s="250" t="s">
        <v>2018</v>
      </c>
      <c r="G98" s="725">
        <v>40000</v>
      </c>
      <c r="H98" s="567"/>
      <c r="I98" s="567"/>
      <c r="J98" s="567"/>
      <c r="K98" s="597">
        <v>7.1283</v>
      </c>
      <c r="L98" s="625" t="s">
        <v>1218</v>
      </c>
      <c r="M98" s="598"/>
      <c r="N98" s="863"/>
      <c r="O98" s="937" t="s">
        <v>2019</v>
      </c>
      <c r="P98" s="727"/>
      <c r="Q98" s="652"/>
      <c r="R98" s="727"/>
      <c r="S98" s="727"/>
    </row>
    <row r="99" s="10" customFormat="1" ht="16.5" spans="1:19">
      <c r="A99" s="1076"/>
      <c r="B99" s="721"/>
      <c r="C99" s="250"/>
      <c r="D99" s="545"/>
      <c r="E99" s="572" t="s">
        <v>143</v>
      </c>
      <c r="F99" s="250" t="s">
        <v>2020</v>
      </c>
      <c r="G99" s="725">
        <v>40000</v>
      </c>
      <c r="H99" s="567"/>
      <c r="I99" s="567"/>
      <c r="J99" s="567"/>
      <c r="K99" s="597"/>
      <c r="L99" s="625"/>
      <c r="M99" s="598"/>
      <c r="N99" s="863"/>
      <c r="O99" s="937"/>
      <c r="P99" s="727"/>
      <c r="Q99" s="652"/>
      <c r="R99" s="727"/>
      <c r="S99" s="727"/>
    </row>
    <row r="100" s="10" customFormat="1" ht="16.5" spans="1:19">
      <c r="A100" s="1076"/>
      <c r="B100" s="721"/>
      <c r="C100" s="250"/>
      <c r="D100" s="545"/>
      <c r="E100" s="572" t="s">
        <v>212</v>
      </c>
      <c r="F100" s="250" t="s">
        <v>2021</v>
      </c>
      <c r="G100" s="725">
        <v>450000</v>
      </c>
      <c r="H100" s="567">
        <f>G100*K100</f>
        <v>3207735</v>
      </c>
      <c r="I100" s="567"/>
      <c r="J100" s="567"/>
      <c r="K100" s="597">
        <v>7.1283</v>
      </c>
      <c r="L100" s="625"/>
      <c r="M100" s="598"/>
      <c r="N100" s="863"/>
      <c r="O100" s="937" t="s">
        <v>2022</v>
      </c>
      <c r="P100" s="727"/>
      <c r="Q100" s="652"/>
      <c r="R100" s="727"/>
      <c r="S100" s="727"/>
    </row>
    <row r="101" s="10" customFormat="1" ht="16.5" spans="1:19">
      <c r="A101" s="1076"/>
      <c r="B101" s="721"/>
      <c r="C101" s="250"/>
      <c r="D101" s="545"/>
      <c r="E101" s="572" t="s">
        <v>1121</v>
      </c>
      <c r="F101" s="250"/>
      <c r="G101" s="725">
        <v>35000</v>
      </c>
      <c r="H101" s="567">
        <f>G101*K101</f>
        <v>249490.5</v>
      </c>
      <c r="I101" s="567"/>
      <c r="J101" s="567"/>
      <c r="K101" s="597">
        <v>7.1283</v>
      </c>
      <c r="L101" s="625"/>
      <c r="M101" s="598"/>
      <c r="N101" s="863"/>
      <c r="O101" s="937"/>
      <c r="P101" s="727"/>
      <c r="Q101" s="652"/>
      <c r="R101" s="727"/>
      <c r="S101" s="727"/>
    </row>
    <row r="102" s="10" customFormat="1" ht="16.5" spans="1:19">
      <c r="A102" s="1076"/>
      <c r="B102" s="721"/>
      <c r="C102" s="250"/>
      <c r="D102" s="545"/>
      <c r="E102" s="572" t="s">
        <v>1224</v>
      </c>
      <c r="F102" s="250" t="s">
        <v>1986</v>
      </c>
      <c r="G102" s="725">
        <v>150000</v>
      </c>
      <c r="H102" s="567">
        <f>G102*K102</f>
        <v>1069245</v>
      </c>
      <c r="I102" s="567"/>
      <c r="J102" s="567"/>
      <c r="K102" s="597">
        <v>7.1283</v>
      </c>
      <c r="L102" s="625"/>
      <c r="M102" s="598"/>
      <c r="N102" s="863"/>
      <c r="O102" s="937" t="s">
        <v>3128</v>
      </c>
      <c r="P102" s="727"/>
      <c r="Q102" s="652"/>
      <c r="R102" s="727"/>
      <c r="S102" s="727"/>
    </row>
    <row r="103" s="10" customFormat="1" ht="16.5" spans="1:19">
      <c r="A103" s="1076"/>
      <c r="B103" s="721"/>
      <c r="C103" s="564" t="s">
        <v>1987</v>
      </c>
      <c r="D103" s="545"/>
      <c r="E103" s="579" t="s">
        <v>2023</v>
      </c>
      <c r="F103" s="250"/>
      <c r="G103" s="725"/>
      <c r="H103" s="567"/>
      <c r="I103" s="567"/>
      <c r="J103" s="567"/>
      <c r="K103" s="597"/>
      <c r="L103" s="625"/>
      <c r="M103" s="598"/>
      <c r="N103" s="863"/>
      <c r="O103" s="994"/>
      <c r="P103" s="727"/>
      <c r="Q103" s="652"/>
      <c r="R103" s="727"/>
      <c r="S103" s="727"/>
    </row>
    <row r="104" s="10" customFormat="1" ht="16.5" spans="1:19">
      <c r="A104" s="1066"/>
      <c r="B104" s="721"/>
      <c r="C104" s="673"/>
      <c r="D104" s="545"/>
      <c r="E104" s="547" t="s">
        <v>2024</v>
      </c>
      <c r="F104" s="727"/>
      <c r="G104" s="727"/>
      <c r="H104" s="804"/>
      <c r="I104" s="804"/>
      <c r="J104" s="804"/>
      <c r="K104" s="597">
        <v>7.1283</v>
      </c>
      <c r="L104" s="854"/>
      <c r="M104" s="854"/>
      <c r="N104" s="863"/>
      <c r="O104" s="997"/>
      <c r="P104" s="727"/>
      <c r="Q104" s="652"/>
      <c r="R104" s="727"/>
      <c r="S104" s="727"/>
    </row>
    <row r="105" s="10" customFormat="1" ht="16.5" spans="1:19">
      <c r="A105" s="1076"/>
      <c r="B105" s="721"/>
      <c r="C105" s="250" t="s">
        <v>509</v>
      </c>
      <c r="D105" s="545"/>
      <c r="E105" s="250" t="s">
        <v>2025</v>
      </c>
      <c r="F105" s="250" t="s">
        <v>1238</v>
      </c>
      <c r="G105" s="562">
        <v>88961</v>
      </c>
      <c r="H105" s="596"/>
      <c r="I105" s="981"/>
      <c r="J105" s="603"/>
      <c r="K105" s="597">
        <v>7.1283</v>
      </c>
      <c r="L105" s="598"/>
      <c r="M105" s="598" t="s">
        <v>199</v>
      </c>
      <c r="N105" s="625"/>
      <c r="O105" s="1009" t="s">
        <v>3129</v>
      </c>
      <c r="P105" s="727"/>
      <c r="Q105" s="652"/>
      <c r="R105" s="727"/>
      <c r="S105" s="727"/>
    </row>
    <row r="106" s="10" customFormat="1" ht="16.5" spans="1:19">
      <c r="A106" s="1076"/>
      <c r="B106" s="721"/>
      <c r="C106" s="250"/>
      <c r="D106" s="545"/>
      <c r="E106" s="250" t="s">
        <v>2029</v>
      </c>
      <c r="F106" s="250"/>
      <c r="G106" s="562">
        <v>4948</v>
      </c>
      <c r="H106" s="596"/>
      <c r="I106" s="981"/>
      <c r="J106" s="603"/>
      <c r="K106" s="597">
        <v>7.1283</v>
      </c>
      <c r="L106" s="598"/>
      <c r="M106" s="598"/>
      <c r="N106" s="625"/>
      <c r="O106" s="1009" t="s">
        <v>3130</v>
      </c>
      <c r="P106" s="727"/>
      <c r="Q106" s="652"/>
      <c r="R106" s="727"/>
      <c r="S106" s="727"/>
    </row>
    <row r="107" s="10" customFormat="1" ht="16.5" spans="1:19">
      <c r="A107" s="1076"/>
      <c r="B107" s="721"/>
      <c r="C107" s="250"/>
      <c r="D107" s="545"/>
      <c r="E107" s="250" t="s">
        <v>2034</v>
      </c>
      <c r="F107" s="250" t="s">
        <v>2035</v>
      </c>
      <c r="G107" s="1002">
        <v>25000</v>
      </c>
      <c r="H107" s="567"/>
      <c r="I107" s="981"/>
      <c r="J107" s="603"/>
      <c r="K107" s="597">
        <v>7.1283</v>
      </c>
      <c r="L107" s="598">
        <v>45167</v>
      </c>
      <c r="M107" s="598"/>
      <c r="N107" s="625"/>
      <c r="O107" s="1009" t="s">
        <v>3131</v>
      </c>
      <c r="P107" s="727"/>
      <c r="Q107" s="652"/>
      <c r="R107" s="727"/>
      <c r="S107" s="727"/>
    </row>
    <row r="108" s="10" customFormat="1" ht="16.5" spans="1:19">
      <c r="A108" s="1076"/>
      <c r="B108" s="721"/>
      <c r="C108" s="721" t="s">
        <v>1393</v>
      </c>
      <c r="D108" s="545"/>
      <c r="E108" s="787" t="s">
        <v>841</v>
      </c>
      <c r="F108" s="788" t="s">
        <v>3132</v>
      </c>
      <c r="G108" s="722">
        <v>13841</v>
      </c>
      <c r="H108" s="567"/>
      <c r="I108" s="851"/>
      <c r="J108" s="788"/>
      <c r="K108" s="244">
        <v>7.1283</v>
      </c>
      <c r="L108" s="856"/>
      <c r="M108" s="596"/>
      <c r="N108" s="605"/>
      <c r="O108" s="994" t="s">
        <v>2038</v>
      </c>
      <c r="P108" s="727"/>
      <c r="Q108" s="652"/>
      <c r="R108" s="727"/>
      <c r="S108" s="727"/>
    </row>
    <row r="109" s="10" customFormat="1" ht="16.5" spans="1:19">
      <c r="A109" s="1076"/>
      <c r="B109" s="721"/>
      <c r="C109" s="721"/>
      <c r="D109" s="545"/>
      <c r="E109" s="787" t="s">
        <v>355</v>
      </c>
      <c r="F109" s="788"/>
      <c r="G109" s="722">
        <v>80000</v>
      </c>
      <c r="H109" s="567"/>
      <c r="I109" s="851"/>
      <c r="J109" s="788"/>
      <c r="K109" s="244"/>
      <c r="L109" s="856"/>
      <c r="M109" s="596"/>
      <c r="N109" s="605"/>
      <c r="O109" s="994"/>
      <c r="P109" s="727"/>
      <c r="Q109" s="652"/>
      <c r="R109" s="727"/>
      <c r="S109" s="727"/>
    </row>
    <row r="110" s="10" customFormat="1" ht="16.5" spans="1:19">
      <c r="A110" s="1076"/>
      <c r="B110" s="721"/>
      <c r="C110" s="721"/>
      <c r="D110" s="545"/>
      <c r="E110" s="787" t="s">
        <v>663</v>
      </c>
      <c r="F110" s="788"/>
      <c r="G110" s="722">
        <v>80000</v>
      </c>
      <c r="H110" s="567"/>
      <c r="I110" s="851"/>
      <c r="J110" s="788"/>
      <c r="K110" s="244"/>
      <c r="L110" s="856"/>
      <c r="M110" s="596"/>
      <c r="N110" s="605"/>
      <c r="O110" s="994"/>
      <c r="P110" s="727"/>
      <c r="Q110" s="652"/>
      <c r="R110" s="727"/>
      <c r="S110" s="727"/>
    </row>
    <row r="111" s="10" customFormat="1" ht="16.5" spans="1:19">
      <c r="A111" s="1076"/>
      <c r="B111" s="721"/>
      <c r="C111" s="721"/>
      <c r="D111" s="545"/>
      <c r="E111" s="787" t="s">
        <v>150</v>
      </c>
      <c r="F111" s="788" t="s">
        <v>2041</v>
      </c>
      <c r="G111" s="722">
        <v>100000</v>
      </c>
      <c r="H111" s="567">
        <f>G111*K111</f>
        <v>712830</v>
      </c>
      <c r="I111" s="851"/>
      <c r="J111" s="788"/>
      <c r="K111" s="244">
        <v>7.1283</v>
      </c>
      <c r="L111" s="856"/>
      <c r="M111" s="596"/>
      <c r="N111" s="605"/>
      <c r="O111" s="994"/>
      <c r="P111" s="727"/>
      <c r="Q111" s="652"/>
      <c r="R111" s="727"/>
      <c r="S111" s="727"/>
    </row>
    <row r="112" s="10" customFormat="1" ht="16.5" spans="1:19">
      <c r="A112" s="1066"/>
      <c r="B112" s="721"/>
      <c r="C112" s="721"/>
      <c r="D112" s="545"/>
      <c r="E112" s="787" t="s">
        <v>2015</v>
      </c>
      <c r="F112" s="788" t="s">
        <v>2016</v>
      </c>
      <c r="G112" s="722">
        <v>45766</v>
      </c>
      <c r="H112" s="567"/>
      <c r="I112" s="851"/>
      <c r="J112" s="788"/>
      <c r="K112" s="244">
        <v>7.1283</v>
      </c>
      <c r="L112" s="856"/>
      <c r="M112" s="596"/>
      <c r="N112" s="605"/>
      <c r="O112" s="937" t="s">
        <v>3133</v>
      </c>
      <c r="P112" s="727"/>
      <c r="Q112" s="652"/>
      <c r="R112" s="727"/>
      <c r="S112" s="727"/>
    </row>
    <row r="113" s="10" customFormat="1" ht="16.5" spans="1:19">
      <c r="A113" s="1066"/>
      <c r="B113" s="721"/>
      <c r="C113" s="721"/>
      <c r="D113" s="545"/>
      <c r="E113" s="787" t="s">
        <v>1051</v>
      </c>
      <c r="F113" s="788" t="s">
        <v>2042</v>
      </c>
      <c r="G113" s="722">
        <v>14800</v>
      </c>
      <c r="H113" s="567"/>
      <c r="I113" s="851"/>
      <c r="J113" s="788"/>
      <c r="K113" s="597"/>
      <c r="L113" s="856"/>
      <c r="M113" s="596"/>
      <c r="N113" s="605"/>
      <c r="O113" s="1044" t="s">
        <v>2043</v>
      </c>
      <c r="P113" s="727"/>
      <c r="Q113" s="652"/>
      <c r="R113" s="727"/>
      <c r="S113" s="727"/>
    </row>
    <row r="114" s="10" customFormat="1" ht="16.5" spans="1:19">
      <c r="A114" s="1066"/>
      <c r="B114" s="673"/>
      <c r="C114" s="652" t="s">
        <v>1874</v>
      </c>
      <c r="D114" s="652"/>
      <c r="E114" s="652"/>
      <c r="F114" s="652"/>
      <c r="G114" s="652"/>
      <c r="H114" s="804">
        <f>SUM(H98:H113)</f>
        <v>5239300.5</v>
      </c>
      <c r="I114" s="804"/>
      <c r="J114" s="804"/>
      <c r="K114" s="928"/>
      <c r="L114" s="854"/>
      <c r="M114" s="854"/>
      <c r="N114" s="863"/>
      <c r="O114" s="997"/>
      <c r="P114" s="727"/>
      <c r="Q114" s="652"/>
      <c r="R114" s="727"/>
      <c r="S114" s="727"/>
    </row>
    <row r="115" s="1065" customFormat="1" ht="9.6" customHeight="1" spans="1:19">
      <c r="A115" s="1085"/>
      <c r="B115" s="1085"/>
      <c r="C115" s="1086"/>
      <c r="D115" s="1087"/>
      <c r="E115" s="1087"/>
      <c r="F115" s="1088"/>
      <c r="G115" s="1088"/>
      <c r="H115" s="1089"/>
      <c r="I115" s="1089"/>
      <c r="J115" s="1089"/>
      <c r="K115" s="1088"/>
      <c r="L115" s="1088"/>
      <c r="M115" s="1091"/>
      <c r="N115" s="1092"/>
      <c r="O115" s="1093"/>
      <c r="P115" s="1088"/>
      <c r="Q115" s="1087"/>
      <c r="R115" s="1088"/>
      <c r="S115" s="1088"/>
    </row>
    <row r="116" s="10" customFormat="1" ht="16.5" spans="1:19">
      <c r="A116" s="738" t="s">
        <v>2044</v>
      </c>
      <c r="B116" s="780"/>
      <c r="C116" s="780"/>
      <c r="D116" s="652">
        <f t="shared" ref="D116:J116" si="14">D14+D50+D87</f>
        <v>901</v>
      </c>
      <c r="E116" s="652"/>
      <c r="F116" s="727"/>
      <c r="G116" s="727" t="s">
        <v>1235</v>
      </c>
      <c r="H116" s="804">
        <f t="shared" si="14"/>
        <v>9375093.74553</v>
      </c>
      <c r="I116" s="804">
        <f t="shared" si="14"/>
        <v>9375092.7804</v>
      </c>
      <c r="J116" s="804">
        <f t="shared" si="14"/>
        <v>8857458.3124</v>
      </c>
      <c r="K116" s="727"/>
      <c r="L116" s="727"/>
      <c r="M116" s="854"/>
      <c r="N116" s="854"/>
      <c r="O116" s="1015"/>
      <c r="P116" s="727"/>
      <c r="Q116" s="652"/>
      <c r="R116" s="727"/>
      <c r="S116" s="727"/>
    </row>
    <row r="117" s="10" customFormat="1" ht="16.5" spans="1:19">
      <c r="A117" s="780"/>
      <c r="B117" s="780"/>
      <c r="C117" s="780"/>
      <c r="D117" s="652"/>
      <c r="E117" s="652"/>
      <c r="F117" s="727"/>
      <c r="G117" s="727" t="s">
        <v>1236</v>
      </c>
      <c r="H117" s="796">
        <f>H116/(D116*10000)</f>
        <v>1.0405209484495</v>
      </c>
      <c r="I117" s="796">
        <f>I116/(D116*10000)</f>
        <v>1.04052084133185</v>
      </c>
      <c r="J117" s="796">
        <f>J116/(D116*10000)</f>
        <v>0.98306973500555</v>
      </c>
      <c r="K117" s="727"/>
      <c r="L117" s="727"/>
      <c r="M117" s="854"/>
      <c r="N117" s="854"/>
      <c r="O117" s="1015"/>
      <c r="P117" s="727"/>
      <c r="Q117" s="727"/>
      <c r="R117" s="727"/>
      <c r="S117" s="727"/>
    </row>
    <row r="118" s="10" customFormat="1" ht="16.5" spans="1:19">
      <c r="A118" s="536"/>
      <c r="B118" s="536"/>
      <c r="C118" s="836"/>
      <c r="D118" s="837"/>
      <c r="E118" s="837"/>
      <c r="F118" s="836"/>
      <c r="G118" s="836"/>
      <c r="H118" s="850"/>
      <c r="I118" s="850"/>
      <c r="J118" s="850"/>
      <c r="K118" s="836"/>
      <c r="L118" s="836"/>
      <c r="M118" s="870"/>
      <c r="N118" s="870"/>
      <c r="O118" s="1016"/>
      <c r="P118" s="836"/>
      <c r="Q118" s="837"/>
      <c r="R118" s="836"/>
      <c r="S118" s="836"/>
    </row>
    <row r="119" s="10" customFormat="1" ht="16.5" spans="1:19">
      <c r="A119" s="536"/>
      <c r="B119" s="536"/>
      <c r="C119" s="836"/>
      <c r="D119" s="837"/>
      <c r="E119" s="837"/>
      <c r="F119" s="836"/>
      <c r="G119" s="836"/>
      <c r="H119" s="880"/>
      <c r="I119" s="880"/>
      <c r="J119" s="880"/>
      <c r="K119" s="836"/>
      <c r="L119" s="836"/>
      <c r="M119" s="870"/>
      <c r="N119" s="870"/>
      <c r="O119" s="1016"/>
      <c r="P119" s="836" t="s">
        <v>140</v>
      </c>
      <c r="Q119" s="837"/>
      <c r="R119" s="836"/>
      <c r="S119" s="836"/>
    </row>
    <row r="120" s="10" customFormat="1" ht="16.5" spans="1:19">
      <c r="A120" s="875" t="s">
        <v>1814</v>
      </c>
      <c r="B120" s="875"/>
      <c r="C120" s="875"/>
      <c r="D120" s="875"/>
      <c r="E120" s="875"/>
      <c r="F120" s="881"/>
      <c r="G120" s="1090"/>
      <c r="H120" s="850"/>
      <c r="I120" s="850"/>
      <c r="J120" s="850"/>
      <c r="K120" s="836"/>
      <c r="L120" s="836"/>
      <c r="M120" s="870"/>
      <c r="N120" s="870"/>
      <c r="O120" s="1016"/>
      <c r="P120" s="894"/>
      <c r="Q120" s="837"/>
      <c r="R120" s="836"/>
      <c r="S120" s="836"/>
    </row>
    <row r="121" s="10" customFormat="1" ht="16.5" spans="1:19">
      <c r="A121" s="875" t="s">
        <v>2045</v>
      </c>
      <c r="B121" s="875"/>
      <c r="C121" s="875"/>
      <c r="D121" s="875"/>
      <c r="E121" s="875"/>
      <c r="F121" s="875"/>
      <c r="G121" s="1090"/>
      <c r="J121" s="850"/>
      <c r="K121" s="836"/>
      <c r="L121" s="836"/>
      <c r="M121" s="870"/>
      <c r="N121" s="870"/>
      <c r="O121" s="1016"/>
      <c r="P121" s="894"/>
      <c r="Q121" s="837"/>
      <c r="R121" s="836"/>
      <c r="S121" s="836"/>
    </row>
    <row r="122" s="10" customFormat="1" ht="16.5" spans="1:19">
      <c r="A122" s="875" t="s">
        <v>2046</v>
      </c>
      <c r="B122" s="875"/>
      <c r="C122" s="875"/>
      <c r="D122" s="875"/>
      <c r="E122" s="875"/>
      <c r="F122" s="875"/>
      <c r="G122" s="1090"/>
      <c r="H122" s="850"/>
      <c r="I122" s="850"/>
      <c r="J122" s="850"/>
      <c r="K122" s="892"/>
      <c r="L122" s="836"/>
      <c r="M122" s="870"/>
      <c r="N122" s="870"/>
      <c r="O122" s="1016"/>
      <c r="P122" s="894"/>
      <c r="Q122" s="837"/>
      <c r="R122" s="836"/>
      <c r="S122" s="836"/>
    </row>
    <row r="123" s="10" customFormat="1" ht="16.5" spans="1:19">
      <c r="A123" s="875" t="s">
        <v>2047</v>
      </c>
      <c r="B123" s="875"/>
      <c r="C123" s="875"/>
      <c r="D123" s="875"/>
      <c r="E123" s="875"/>
      <c r="F123" s="875"/>
      <c r="G123" s="1090"/>
      <c r="H123" s="850"/>
      <c r="I123" s="850"/>
      <c r="J123" s="850"/>
      <c r="K123" s="836"/>
      <c r="L123" s="836"/>
      <c r="M123" s="870"/>
      <c r="N123" s="870"/>
      <c r="O123" s="1016"/>
      <c r="P123" s="894"/>
      <c r="Q123" s="837"/>
      <c r="R123" s="836"/>
      <c r="S123" s="836"/>
    </row>
    <row r="124" s="10" customFormat="1" ht="16.5" spans="1:19">
      <c r="A124" s="875"/>
      <c r="B124" s="875"/>
      <c r="C124" s="876"/>
      <c r="D124" s="876"/>
      <c r="E124" s="876"/>
      <c r="F124" s="876"/>
      <c r="G124" s="1090"/>
      <c r="H124" s="850"/>
      <c r="I124" s="850"/>
      <c r="J124" s="850"/>
      <c r="K124" s="893"/>
      <c r="L124" s="893"/>
      <c r="M124" s="870"/>
      <c r="N124" s="870"/>
      <c r="O124" s="1021"/>
      <c r="P124" s="894"/>
      <c r="Q124" s="837"/>
      <c r="R124" s="893"/>
      <c r="S124" s="893"/>
    </row>
    <row r="125" ht="16.5" spans="1:19">
      <c r="A125" s="875"/>
      <c r="B125" s="875"/>
      <c r="C125" s="876"/>
      <c r="D125" s="876"/>
      <c r="E125" s="876"/>
      <c r="F125" s="876"/>
      <c r="G125" s="1090"/>
      <c r="H125" s="850"/>
      <c r="I125" s="850"/>
      <c r="J125" s="850"/>
      <c r="K125" s="877"/>
      <c r="L125" s="877"/>
      <c r="M125" s="896"/>
      <c r="N125" s="896"/>
      <c r="O125" s="887"/>
      <c r="P125" s="876"/>
      <c r="Q125" s="878"/>
      <c r="R125" s="877"/>
      <c r="S125" s="877"/>
    </row>
    <row r="126" ht="16.5" spans="1:19">
      <c r="A126" s="417"/>
      <c r="B126" s="417"/>
      <c r="C126" s="877"/>
      <c r="D126" s="878"/>
      <c r="E126" s="878"/>
      <c r="F126" s="877"/>
      <c r="G126" s="877"/>
      <c r="H126" s="850"/>
      <c r="I126" s="850"/>
      <c r="J126" s="850"/>
      <c r="K126" s="877"/>
      <c r="L126" s="877"/>
      <c r="M126" s="896"/>
      <c r="N126" s="896"/>
      <c r="O126" s="887"/>
      <c r="P126" s="877"/>
      <c r="Q126" s="878"/>
      <c r="R126" s="877"/>
      <c r="S126" s="877"/>
    </row>
    <row r="127" ht="16.5" spans="1:19">
      <c r="A127" s="417"/>
      <c r="B127" s="417"/>
      <c r="C127" s="417"/>
      <c r="D127" s="879"/>
      <c r="E127" s="879"/>
      <c r="F127" s="417"/>
      <c r="G127" s="417"/>
      <c r="H127" s="880"/>
      <c r="I127" s="880"/>
      <c r="J127" s="880"/>
      <c r="K127" s="417"/>
      <c r="L127" s="417"/>
      <c r="M127" s="898"/>
      <c r="N127" s="898"/>
      <c r="O127" s="888"/>
      <c r="P127" s="417"/>
      <c r="Q127" s="900"/>
      <c r="R127" s="417"/>
      <c r="S127" s="417"/>
    </row>
    <row r="129" spans="12:12">
      <c r="L129" s="265"/>
    </row>
  </sheetData>
  <sheetProtection formatCells="0" insertHyperlinks="0" autoFilter="0"/>
  <mergeCells count="91">
    <mergeCell ref="A1:R1"/>
    <mergeCell ref="I16:J16"/>
    <mergeCell ref="M16:N16"/>
    <mergeCell ref="C23:G23"/>
    <mergeCell ref="C31:G31"/>
    <mergeCell ref="I52:J52"/>
    <mergeCell ref="M52:N52"/>
    <mergeCell ref="M53:N53"/>
    <mergeCell ref="M54:N54"/>
    <mergeCell ref="M55:N55"/>
    <mergeCell ref="M56:N56"/>
    <mergeCell ref="M57:N57"/>
    <mergeCell ref="M58:N58"/>
    <mergeCell ref="M60:N60"/>
    <mergeCell ref="M61:N61"/>
    <mergeCell ref="M62:N62"/>
    <mergeCell ref="M63:N63"/>
    <mergeCell ref="C64:G64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C75:G75"/>
    <mergeCell ref="M89:N89"/>
    <mergeCell ref="C97:G97"/>
    <mergeCell ref="C114:G114"/>
    <mergeCell ref="A3:A31"/>
    <mergeCell ref="A33:A75"/>
    <mergeCell ref="A77:A114"/>
    <mergeCell ref="B3:B15"/>
    <mergeCell ref="B17:B23"/>
    <mergeCell ref="B24:B31"/>
    <mergeCell ref="B33:B51"/>
    <mergeCell ref="B53:B64"/>
    <mergeCell ref="B65:B75"/>
    <mergeCell ref="B77:B88"/>
    <mergeCell ref="B90:B97"/>
    <mergeCell ref="B98:B114"/>
    <mergeCell ref="C3:C7"/>
    <mergeCell ref="C8:C13"/>
    <mergeCell ref="C14:C15"/>
    <mergeCell ref="C17:C19"/>
    <mergeCell ref="C20:C22"/>
    <mergeCell ref="C24:C27"/>
    <mergeCell ref="C28:C30"/>
    <mergeCell ref="C33:C37"/>
    <mergeCell ref="C38:C39"/>
    <mergeCell ref="C40:C48"/>
    <mergeCell ref="C50:C51"/>
    <mergeCell ref="C53:C56"/>
    <mergeCell ref="C58:C62"/>
    <mergeCell ref="C66:C67"/>
    <mergeCell ref="C68:C73"/>
    <mergeCell ref="C78:C79"/>
    <mergeCell ref="C80:C82"/>
    <mergeCell ref="C83:C86"/>
    <mergeCell ref="C87:C88"/>
    <mergeCell ref="C91:C93"/>
    <mergeCell ref="C94:C95"/>
    <mergeCell ref="C98:C102"/>
    <mergeCell ref="C103:C104"/>
    <mergeCell ref="C105:C107"/>
    <mergeCell ref="C108:C113"/>
    <mergeCell ref="D3:D7"/>
    <mergeCell ref="D8:D13"/>
    <mergeCell ref="D14:D15"/>
    <mergeCell ref="D17:D22"/>
    <mergeCell ref="D24:D30"/>
    <mergeCell ref="D33:D37"/>
    <mergeCell ref="D38:D39"/>
    <mergeCell ref="D40:D48"/>
    <mergeCell ref="D50:D51"/>
    <mergeCell ref="D53:D63"/>
    <mergeCell ref="D65:D74"/>
    <mergeCell ref="D80:D82"/>
    <mergeCell ref="D83:D86"/>
    <mergeCell ref="D87:D88"/>
    <mergeCell ref="D90:D95"/>
    <mergeCell ref="D98:D113"/>
    <mergeCell ref="D116:D117"/>
    <mergeCell ref="E33:E34"/>
    <mergeCell ref="E36:E37"/>
    <mergeCell ref="E53:E56"/>
    <mergeCell ref="A116:C117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8"/>
  <dimension ref="A1:V163"/>
  <sheetViews>
    <sheetView workbookViewId="0">
      <selection activeCell="E146" sqref="E146"/>
    </sheetView>
  </sheetViews>
  <sheetFormatPr defaultColWidth="9" defaultRowHeight="13.5"/>
  <cols>
    <col min="1" max="1" width="6.425" customWidth="1"/>
    <col min="2" max="2" width="10.4416666666667" customWidth="1"/>
    <col min="3" max="3" width="8.375" customWidth="1"/>
    <col min="4" max="4" width="8.58333333333333" customWidth="1"/>
    <col min="5" max="5" width="18.975" customWidth="1"/>
    <col min="6" max="6" width="14.6166666666667" customWidth="1"/>
    <col min="7" max="7" width="12.625" customWidth="1"/>
    <col min="8" max="8" width="15.375" customWidth="1"/>
    <col min="9" max="9" width="18" customWidth="1"/>
    <col min="10" max="10" width="14.625" customWidth="1"/>
    <col min="11" max="11" width="9.25833333333333"/>
    <col min="12" max="12" width="9.64166666666667" customWidth="1"/>
    <col min="13" max="13" width="8.75833333333333" customWidth="1"/>
    <col min="14" max="14" width="10.875" customWidth="1"/>
    <col min="15" max="15" width="74.4666666666667" style="12" customWidth="1"/>
    <col min="16" max="16" width="14.0333333333333" customWidth="1"/>
    <col min="17" max="17" width="9" style="510"/>
    <col min="18" max="18" width="13.125"/>
  </cols>
  <sheetData>
    <row r="1" s="10" customFormat="1" ht="33.2" customHeight="1" spans="1:19">
      <c r="A1" s="28" t="s">
        <v>1819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420"/>
      <c r="N1" s="420"/>
      <c r="O1" s="931"/>
      <c r="P1" s="28"/>
      <c r="Q1" s="28"/>
      <c r="R1" s="28"/>
      <c r="S1" s="651"/>
    </row>
    <row r="2" s="10" customFormat="1" ht="30" spans="1:19">
      <c r="A2" s="537" t="s">
        <v>1092</v>
      </c>
      <c r="B2" s="537" t="s">
        <v>1820</v>
      </c>
      <c r="C2" s="538" t="s">
        <v>1093</v>
      </c>
      <c r="D2" s="539" t="s">
        <v>1821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1097</v>
      </c>
      <c r="N2" s="619" t="s">
        <v>1214</v>
      </c>
      <c r="O2" s="727" t="s">
        <v>1215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827" t="s">
        <v>1823</v>
      </c>
      <c r="B3" s="705" t="s">
        <v>1824</v>
      </c>
      <c r="C3" s="715" t="s">
        <v>1825</v>
      </c>
      <c r="D3" s="716">
        <v>269</v>
      </c>
      <c r="E3" s="572" t="s">
        <v>157</v>
      </c>
      <c r="F3" s="572" t="s">
        <v>1826</v>
      </c>
      <c r="G3" s="722">
        <v>50061.76</v>
      </c>
      <c r="H3" s="603">
        <f t="shared" ref="H3:H6" si="0">G3*K3</f>
        <v>359383.362688</v>
      </c>
      <c r="I3" s="603">
        <v>359383</v>
      </c>
      <c r="J3" s="567"/>
      <c r="K3" s="597">
        <v>7.1788</v>
      </c>
      <c r="L3" s="682">
        <v>45191</v>
      </c>
      <c r="M3" s="682">
        <v>45190</v>
      </c>
      <c r="N3" s="1068">
        <v>45200</v>
      </c>
      <c r="O3" s="622" t="s">
        <v>3134</v>
      </c>
      <c r="P3" s="635" t="s">
        <v>401</v>
      </c>
      <c r="Q3" s="635" t="s">
        <v>1671</v>
      </c>
      <c r="R3" s="667"/>
      <c r="S3" s="577"/>
    </row>
    <row r="4" s="10" customFormat="1" ht="16.5" spans="1:19">
      <c r="A4" s="827"/>
      <c r="B4" s="541"/>
      <c r="C4" s="715"/>
      <c r="D4" s="716"/>
      <c r="E4" s="572" t="s">
        <v>1722</v>
      </c>
      <c r="F4" s="572" t="s">
        <v>1828</v>
      </c>
      <c r="G4" s="722">
        <v>52604.4</v>
      </c>
      <c r="H4" s="603">
        <f t="shared" si="0"/>
        <v>377636.46672</v>
      </c>
      <c r="I4" s="603">
        <v>377636</v>
      </c>
      <c r="J4" s="567">
        <v>377636</v>
      </c>
      <c r="K4" s="597">
        <v>7.1788</v>
      </c>
      <c r="L4" s="682">
        <v>45179</v>
      </c>
      <c r="M4" s="682">
        <v>45180</v>
      </c>
      <c r="N4" s="644">
        <v>45183</v>
      </c>
      <c r="O4" s="622" t="s">
        <v>3135</v>
      </c>
      <c r="P4" s="635" t="s">
        <v>1830</v>
      </c>
      <c r="Q4" s="635" t="s">
        <v>1671</v>
      </c>
      <c r="R4" s="655"/>
      <c r="S4" s="577"/>
    </row>
    <row r="5" s="10" customFormat="1" ht="16.5" spans="1:19">
      <c r="A5" s="827"/>
      <c r="B5" s="541"/>
      <c r="C5" s="715"/>
      <c r="D5" s="716"/>
      <c r="E5" s="572" t="s">
        <v>1722</v>
      </c>
      <c r="F5" s="572" t="s">
        <v>1831</v>
      </c>
      <c r="G5" s="722">
        <v>59061.6</v>
      </c>
      <c r="H5" s="603">
        <f t="shared" si="0"/>
        <v>423991.41408</v>
      </c>
      <c r="I5" s="603">
        <v>423991</v>
      </c>
      <c r="J5" s="567"/>
      <c r="K5" s="597">
        <v>7.1788</v>
      </c>
      <c r="L5" s="682">
        <v>45191</v>
      </c>
      <c r="M5" s="682">
        <v>45192</v>
      </c>
      <c r="N5" s="644">
        <v>45201</v>
      </c>
      <c r="O5" s="622" t="s">
        <v>3136</v>
      </c>
      <c r="P5" s="635" t="s">
        <v>1830</v>
      </c>
      <c r="Q5" s="635" t="s">
        <v>1671</v>
      </c>
      <c r="R5" s="655"/>
      <c r="S5" s="577"/>
    </row>
    <row r="6" s="10" customFormat="1" ht="16.5" spans="1:19">
      <c r="A6" s="827"/>
      <c r="B6" s="541"/>
      <c r="C6" s="715"/>
      <c r="D6" s="716"/>
      <c r="E6" s="572" t="s">
        <v>1542</v>
      </c>
      <c r="F6" s="572" t="s">
        <v>1833</v>
      </c>
      <c r="G6" s="722">
        <v>10020</v>
      </c>
      <c r="H6" s="603">
        <f t="shared" si="0"/>
        <v>71931.576</v>
      </c>
      <c r="I6" s="603">
        <v>71932</v>
      </c>
      <c r="J6" s="567"/>
      <c r="K6" s="597">
        <v>7.1788</v>
      </c>
      <c r="L6" s="682">
        <v>45196</v>
      </c>
      <c r="M6" s="682">
        <v>45196</v>
      </c>
      <c r="N6" s="644">
        <v>45213</v>
      </c>
      <c r="O6" s="622" t="s">
        <v>3137</v>
      </c>
      <c r="P6" s="635" t="s">
        <v>1836</v>
      </c>
      <c r="Q6" s="635" t="s">
        <v>1659</v>
      </c>
      <c r="R6" s="655"/>
      <c r="S6" s="577"/>
    </row>
    <row r="7" s="10" customFormat="1" ht="16.5" spans="1:19">
      <c r="A7" s="827"/>
      <c r="B7" s="541"/>
      <c r="C7" s="715"/>
      <c r="D7" s="716"/>
      <c r="E7" s="572" t="s">
        <v>157</v>
      </c>
      <c r="F7" s="572" t="s">
        <v>1837</v>
      </c>
      <c r="G7" s="722"/>
      <c r="H7" s="603"/>
      <c r="I7" s="603"/>
      <c r="J7" s="567">
        <v>582063</v>
      </c>
      <c r="K7" s="597">
        <v>7.1788</v>
      </c>
      <c r="L7" s="1067"/>
      <c r="M7" s="682"/>
      <c r="N7" s="644"/>
      <c r="O7" s="622" t="s">
        <v>1838</v>
      </c>
      <c r="P7" s="635"/>
      <c r="Q7" s="635"/>
      <c r="R7" s="664"/>
      <c r="S7" s="577"/>
    </row>
    <row r="8" s="10" customFormat="1" ht="16.5" spans="1:19">
      <c r="A8" s="827"/>
      <c r="B8" s="541"/>
      <c r="C8" s="715"/>
      <c r="D8" s="716"/>
      <c r="E8" s="572" t="s">
        <v>157</v>
      </c>
      <c r="F8" s="572" t="s">
        <v>1839</v>
      </c>
      <c r="G8" s="722"/>
      <c r="H8" s="603"/>
      <c r="I8" s="603"/>
      <c r="J8" s="567">
        <v>295888</v>
      </c>
      <c r="K8" s="597">
        <v>7.1788</v>
      </c>
      <c r="L8" s="1067"/>
      <c r="M8" s="682"/>
      <c r="N8" s="644"/>
      <c r="O8" s="622" t="s">
        <v>1838</v>
      </c>
      <c r="P8" s="635"/>
      <c r="Q8" s="635"/>
      <c r="R8" s="664"/>
      <c r="S8" s="577"/>
    </row>
    <row r="9" s="10" customFormat="1" ht="16.5" spans="1:19">
      <c r="A9" s="827"/>
      <c r="B9" s="541"/>
      <c r="C9" s="715"/>
      <c r="D9" s="716"/>
      <c r="E9" s="572" t="s">
        <v>1722</v>
      </c>
      <c r="F9" s="572" t="s">
        <v>1840</v>
      </c>
      <c r="G9" s="722"/>
      <c r="H9" s="603"/>
      <c r="I9" s="603"/>
      <c r="J9" s="567">
        <v>255407</v>
      </c>
      <c r="K9" s="597">
        <v>7.1788</v>
      </c>
      <c r="L9" s="1067"/>
      <c r="M9" s="682"/>
      <c r="N9" s="644"/>
      <c r="O9" s="622" t="s">
        <v>1841</v>
      </c>
      <c r="P9" s="635"/>
      <c r="Q9" s="635"/>
      <c r="R9" s="664"/>
      <c r="S9" s="577"/>
    </row>
    <row r="10" s="10" customFormat="1" ht="16.5" spans="1:19">
      <c r="A10" s="827"/>
      <c r="B10" s="541"/>
      <c r="C10" s="715"/>
      <c r="D10" s="716"/>
      <c r="E10" s="572" t="s">
        <v>1722</v>
      </c>
      <c r="F10" s="572" t="s">
        <v>1842</v>
      </c>
      <c r="G10" s="722"/>
      <c r="H10" s="603"/>
      <c r="I10" s="603"/>
      <c r="J10" s="567">
        <v>300158</v>
      </c>
      <c r="K10" s="597">
        <v>7.1788</v>
      </c>
      <c r="L10" s="1067"/>
      <c r="M10" s="682"/>
      <c r="N10" s="644"/>
      <c r="O10" s="622" t="s">
        <v>1843</v>
      </c>
      <c r="P10" s="635"/>
      <c r="Q10" s="635"/>
      <c r="R10" s="664"/>
      <c r="S10" s="577"/>
    </row>
    <row r="11" s="10" customFormat="1" ht="16.5" spans="1:19">
      <c r="A11" s="827"/>
      <c r="B11" s="669"/>
      <c r="C11" s="542" t="s">
        <v>224</v>
      </c>
      <c r="D11" s="543">
        <v>194</v>
      </c>
      <c r="E11" s="561" t="s">
        <v>408</v>
      </c>
      <c r="F11" s="571" t="s">
        <v>1849</v>
      </c>
      <c r="G11" s="722">
        <v>15041</v>
      </c>
      <c r="H11" s="567">
        <f t="shared" ref="H11:H15" si="1">G11*K11</f>
        <v>107976.3308</v>
      </c>
      <c r="I11" s="603">
        <v>107976</v>
      </c>
      <c r="J11" s="567"/>
      <c r="K11" s="597">
        <v>7.1788</v>
      </c>
      <c r="L11" s="682" t="s">
        <v>1218</v>
      </c>
      <c r="M11" s="682">
        <v>45191</v>
      </c>
      <c r="N11" s="1068">
        <v>45200</v>
      </c>
      <c r="O11" s="622" t="s">
        <v>3138</v>
      </c>
      <c r="P11" s="635" t="s">
        <v>3139</v>
      </c>
      <c r="Q11" s="655" t="s">
        <v>1656</v>
      </c>
      <c r="R11" s="656"/>
      <c r="S11" s="577"/>
    </row>
    <row r="12" s="10" customFormat="1" ht="16.5" spans="1:19">
      <c r="A12" s="827"/>
      <c r="B12" s="669"/>
      <c r="C12" s="544"/>
      <c r="D12" s="545"/>
      <c r="E12" s="561" t="s">
        <v>1852</v>
      </c>
      <c r="F12" s="568" t="s">
        <v>1853</v>
      </c>
      <c r="G12" s="722">
        <v>6729</v>
      </c>
      <c r="H12" s="567">
        <f t="shared" si="1"/>
        <v>48306.1452</v>
      </c>
      <c r="I12" s="603">
        <v>48306</v>
      </c>
      <c r="J12" s="567">
        <v>48306</v>
      </c>
      <c r="K12" s="597">
        <v>7.1788</v>
      </c>
      <c r="L12" s="682">
        <v>45156</v>
      </c>
      <c r="M12" s="644">
        <v>45183</v>
      </c>
      <c r="N12" s="644">
        <v>45189</v>
      </c>
      <c r="O12" s="622" t="s">
        <v>3140</v>
      </c>
      <c r="P12" s="635" t="s">
        <v>1855</v>
      </c>
      <c r="Q12" s="655" t="s">
        <v>1656</v>
      </c>
      <c r="R12" s="664"/>
      <c r="S12" s="577"/>
    </row>
    <row r="13" s="10" customFormat="1" ht="16.5" spans="1:19">
      <c r="A13" s="827"/>
      <c r="B13" s="669"/>
      <c r="C13" s="544"/>
      <c r="D13" s="545"/>
      <c r="E13" s="561" t="s">
        <v>400</v>
      </c>
      <c r="F13" s="571" t="s">
        <v>1856</v>
      </c>
      <c r="G13" s="722">
        <v>106681</v>
      </c>
      <c r="H13" s="567">
        <f t="shared" si="1"/>
        <v>765841.5628</v>
      </c>
      <c r="I13" s="603">
        <v>765842</v>
      </c>
      <c r="J13" s="567"/>
      <c r="K13" s="597">
        <v>7.1788</v>
      </c>
      <c r="L13" s="598">
        <v>45192</v>
      </c>
      <c r="M13" s="645">
        <v>45191</v>
      </c>
      <c r="N13" s="1068">
        <v>45208</v>
      </c>
      <c r="O13" s="706" t="s">
        <v>3141</v>
      </c>
      <c r="P13" s="627" t="s">
        <v>1858</v>
      </c>
      <c r="Q13" s="655" t="s">
        <v>1859</v>
      </c>
      <c r="R13" s="664"/>
      <c r="S13" s="577" t="s">
        <v>3142</v>
      </c>
    </row>
    <row r="14" s="10" customFormat="1" ht="16.5" spans="1:19">
      <c r="A14" s="827"/>
      <c r="B14" s="669"/>
      <c r="C14" s="544"/>
      <c r="D14" s="545"/>
      <c r="E14" s="244" t="s">
        <v>1860</v>
      </c>
      <c r="F14" s="244" t="s">
        <v>1861</v>
      </c>
      <c r="G14" s="722">
        <v>73434</v>
      </c>
      <c r="H14" s="567">
        <f t="shared" si="1"/>
        <v>527167.9992</v>
      </c>
      <c r="I14" s="567">
        <f>H14</f>
        <v>527167.9992</v>
      </c>
      <c r="J14" s="567"/>
      <c r="K14" s="597">
        <v>7.1788</v>
      </c>
      <c r="L14" s="598">
        <v>45197</v>
      </c>
      <c r="M14" s="645">
        <v>45197</v>
      </c>
      <c r="N14" s="645"/>
      <c r="O14" s="706" t="s">
        <v>3143</v>
      </c>
      <c r="P14" s="627" t="s">
        <v>1863</v>
      </c>
      <c r="Q14" s="642" t="s">
        <v>1864</v>
      </c>
      <c r="R14" s="664"/>
      <c r="S14" s="577"/>
    </row>
    <row r="15" s="10" customFormat="1" ht="16.5" spans="1:19">
      <c r="A15" s="1066"/>
      <c r="B15" s="669"/>
      <c r="C15" s="715"/>
      <c r="D15" s="716"/>
      <c r="E15" s="244" t="s">
        <v>53</v>
      </c>
      <c r="F15" s="244" t="s">
        <v>3055</v>
      </c>
      <c r="G15" s="591"/>
      <c r="H15" s="567"/>
      <c r="I15" s="567"/>
      <c r="J15" s="602">
        <v>299453</v>
      </c>
      <c r="K15" s="597">
        <v>7.1788</v>
      </c>
      <c r="L15" s="682" t="s">
        <v>1218</v>
      </c>
      <c r="M15" s="644">
        <v>45163</v>
      </c>
      <c r="N15" s="644">
        <v>45170</v>
      </c>
      <c r="O15" s="626" t="s">
        <v>3056</v>
      </c>
      <c r="P15" s="691" t="s">
        <v>3057</v>
      </c>
      <c r="Q15" s="572" t="s">
        <v>1671</v>
      </c>
      <c r="R15" s="664"/>
      <c r="S15" s="577"/>
    </row>
    <row r="16" s="10" customFormat="1" ht="20.7" customHeight="1" spans="1:19">
      <c r="A16" s="827"/>
      <c r="B16" s="669"/>
      <c r="C16" s="542" t="s">
        <v>2361</v>
      </c>
      <c r="D16" s="716"/>
      <c r="E16" s="244" t="s">
        <v>2977</v>
      </c>
      <c r="F16" s="571" t="s">
        <v>2978</v>
      </c>
      <c r="G16" s="591">
        <v>3869</v>
      </c>
      <c r="H16" s="567">
        <f>G16*K16</f>
        <v>27774.7772</v>
      </c>
      <c r="I16" s="567">
        <f>G16*K16</f>
        <v>27774.7772</v>
      </c>
      <c r="J16" s="567">
        <f>G16*K16</f>
        <v>27774.7772</v>
      </c>
      <c r="K16" s="597">
        <v>7.1788</v>
      </c>
      <c r="L16" s="598" t="s">
        <v>1218</v>
      </c>
      <c r="M16" s="645">
        <v>45188</v>
      </c>
      <c r="N16" s="645">
        <v>45192</v>
      </c>
      <c r="O16" s="622" t="s">
        <v>3144</v>
      </c>
      <c r="P16" s="635"/>
      <c r="Q16" s="759" t="s">
        <v>1659</v>
      </c>
      <c r="R16" s="664"/>
      <c r="S16" s="577"/>
    </row>
    <row r="17" s="10" customFormat="1" ht="20.7" customHeight="1" spans="1:19">
      <c r="A17" s="827"/>
      <c r="B17" s="669"/>
      <c r="C17" s="546"/>
      <c r="D17" s="547"/>
      <c r="E17" s="607"/>
      <c r="F17" s="904"/>
      <c r="G17" s="783"/>
      <c r="H17" s="567"/>
      <c r="I17" s="567"/>
      <c r="J17" s="681"/>
      <c r="K17" s="597"/>
      <c r="L17" s="638"/>
      <c r="M17" s="644"/>
      <c r="N17" s="644"/>
      <c r="O17" s="1042"/>
      <c r="P17" s="635"/>
      <c r="Q17" s="759"/>
      <c r="R17" s="664"/>
      <c r="S17" s="577"/>
    </row>
    <row r="18" s="10" customFormat="1" ht="22.5" customHeight="1" spans="1:19">
      <c r="A18" s="827"/>
      <c r="B18" s="541"/>
      <c r="C18" s="548" t="s">
        <v>1124</v>
      </c>
      <c r="D18" s="578">
        <v>463</v>
      </c>
      <c r="E18" s="578"/>
      <c r="F18" s="579"/>
      <c r="G18" s="580" t="s">
        <v>1235</v>
      </c>
      <c r="H18" s="581">
        <f>SUM(H3:H16)</f>
        <v>2710009.634688</v>
      </c>
      <c r="I18" s="581">
        <f>SUM(I3:I16)</f>
        <v>2710008.7764</v>
      </c>
      <c r="J18" s="581">
        <f>SUM(J3:J16)</f>
        <v>2186685.7772</v>
      </c>
      <c r="K18" s="609"/>
      <c r="L18" s="610"/>
      <c r="M18" s="644"/>
      <c r="N18" s="644"/>
      <c r="P18" s="632"/>
      <c r="Q18" s="655"/>
      <c r="R18" s="656"/>
      <c r="S18" s="657"/>
    </row>
    <row r="19" s="10" customFormat="1" ht="22.5" customHeight="1" spans="1:19">
      <c r="A19" s="827"/>
      <c r="B19" s="541"/>
      <c r="C19" s="548"/>
      <c r="D19" s="582"/>
      <c r="E19" s="582"/>
      <c r="F19" s="583"/>
      <c r="G19" s="584" t="s">
        <v>1236</v>
      </c>
      <c r="H19" s="585">
        <f>H18/4630000</f>
        <v>0.585315255872138</v>
      </c>
      <c r="I19" s="585">
        <f>I18/4630000</f>
        <v>0.58531507049676</v>
      </c>
      <c r="J19" s="585">
        <f>J18/4630000</f>
        <v>0.472286344967603</v>
      </c>
      <c r="K19" s="611"/>
      <c r="L19" s="612"/>
      <c r="M19" s="941"/>
      <c r="N19" s="941"/>
      <c r="O19" s="624"/>
      <c r="P19" s="632"/>
      <c r="Q19" s="655"/>
      <c r="R19" s="656"/>
      <c r="S19" s="657"/>
    </row>
    <row r="20" s="10" customFormat="1" ht="32.85" customHeight="1" spans="1:19">
      <c r="A20" s="827"/>
      <c r="B20" s="553" t="s">
        <v>1820</v>
      </c>
      <c r="C20" s="554" t="s">
        <v>1093</v>
      </c>
      <c r="D20" s="555" t="s">
        <v>1821</v>
      </c>
      <c r="E20" s="555" t="s">
        <v>1822</v>
      </c>
      <c r="F20" s="588" t="s">
        <v>1095</v>
      </c>
      <c r="G20" s="589" t="s">
        <v>362</v>
      </c>
      <c r="H20" s="590" t="s">
        <v>1865</v>
      </c>
      <c r="I20" s="590"/>
      <c r="J20" s="590"/>
      <c r="K20" s="590" t="s">
        <v>1866</v>
      </c>
      <c r="L20" s="615" t="s">
        <v>1098</v>
      </c>
      <c r="M20" s="590" t="s">
        <v>1867</v>
      </c>
      <c r="N20" s="646"/>
      <c r="O20" s="624"/>
      <c r="P20" s="632"/>
      <c r="Q20" s="655"/>
      <c r="R20" s="656"/>
      <c r="S20" s="657"/>
    </row>
    <row r="21" s="10" customFormat="1" ht="28.95" customHeight="1" spans="1:19">
      <c r="A21" s="827"/>
      <c r="B21" s="541" t="s">
        <v>1868</v>
      </c>
      <c r="C21" s="556" t="s">
        <v>1825</v>
      </c>
      <c r="D21" s="557"/>
      <c r="E21" s="572" t="s">
        <v>1869</v>
      </c>
      <c r="F21" s="250" t="s">
        <v>1882</v>
      </c>
      <c r="G21" s="591">
        <v>51358</v>
      </c>
      <c r="H21" s="567">
        <f t="shared" ref="H21:H28" si="2">G21*K21</f>
        <v>368688.8104</v>
      </c>
      <c r="I21" s="603"/>
      <c r="J21" s="567"/>
      <c r="K21" s="597">
        <v>7.1788</v>
      </c>
      <c r="L21" s="598"/>
      <c r="M21" s="633"/>
      <c r="N21" s="644"/>
      <c r="O21" s="925" t="s">
        <v>3145</v>
      </c>
      <c r="P21" s="635"/>
      <c r="Q21" s="635"/>
      <c r="R21" s="667"/>
      <c r="S21" s="657"/>
    </row>
    <row r="22" s="10" customFormat="1" ht="22.9" customHeight="1" spans="1:19">
      <c r="A22" s="827"/>
      <c r="B22" s="541"/>
      <c r="C22" s="556"/>
      <c r="D22" s="557"/>
      <c r="E22" s="572" t="s">
        <v>1869</v>
      </c>
      <c r="F22" s="250" t="s">
        <v>1870</v>
      </c>
      <c r="G22" s="562">
        <v>119944</v>
      </c>
      <c r="H22" s="567">
        <f t="shared" si="2"/>
        <v>861053.9872</v>
      </c>
      <c r="I22" s="603"/>
      <c r="J22" s="567"/>
      <c r="K22" s="597">
        <v>7.1788</v>
      </c>
      <c r="L22" s="598">
        <v>45229</v>
      </c>
      <c r="M22" s="645">
        <v>45229</v>
      </c>
      <c r="N22" s="625" t="s">
        <v>2432</v>
      </c>
      <c r="O22" s="937" t="s">
        <v>3146</v>
      </c>
      <c r="P22" s="635"/>
      <c r="Q22" s="635"/>
      <c r="R22" s="667"/>
      <c r="S22" s="657"/>
    </row>
    <row r="23" s="10" customFormat="1" ht="22.9" customHeight="1" spans="1:19">
      <c r="A23" s="827"/>
      <c r="B23" s="541"/>
      <c r="C23" s="556"/>
      <c r="D23" s="557"/>
      <c r="E23" s="572" t="s">
        <v>1869</v>
      </c>
      <c r="F23" s="250" t="s">
        <v>3147</v>
      </c>
      <c r="G23" s="562">
        <v>9666</v>
      </c>
      <c r="H23" s="567">
        <f t="shared" si="2"/>
        <v>69390.2808</v>
      </c>
      <c r="I23" s="603"/>
      <c r="J23" s="567"/>
      <c r="K23" s="597">
        <v>7.1788</v>
      </c>
      <c r="L23" s="598"/>
      <c r="M23" s="644"/>
      <c r="N23" s="644"/>
      <c r="O23" s="994" t="s">
        <v>3148</v>
      </c>
      <c r="P23" s="635"/>
      <c r="Q23" s="635"/>
      <c r="R23" s="667"/>
      <c r="S23" s="657"/>
    </row>
    <row r="24" s="10" customFormat="1" ht="22.9" customHeight="1" spans="1:19">
      <c r="A24" s="827"/>
      <c r="B24" s="541"/>
      <c r="C24" s="556"/>
      <c r="D24" s="557"/>
      <c r="E24" s="572" t="s">
        <v>1869</v>
      </c>
      <c r="F24" s="250" t="s">
        <v>2303</v>
      </c>
      <c r="G24" s="562">
        <v>3432</v>
      </c>
      <c r="H24" s="567">
        <f t="shared" si="2"/>
        <v>24637.6416</v>
      </c>
      <c r="I24" s="603"/>
      <c r="J24" s="567"/>
      <c r="K24" s="597">
        <v>7.1788</v>
      </c>
      <c r="L24" s="598">
        <v>45229</v>
      </c>
      <c r="M24" s="644">
        <v>45229</v>
      </c>
      <c r="N24" s="633" t="s">
        <v>2432</v>
      </c>
      <c r="O24" s="994" t="s">
        <v>3149</v>
      </c>
      <c r="P24" s="635"/>
      <c r="Q24" s="635"/>
      <c r="R24" s="667"/>
      <c r="S24" s="657"/>
    </row>
    <row r="25" s="10" customFormat="1" ht="20.65" customHeight="1" spans="1:19">
      <c r="A25" s="827"/>
      <c r="B25" s="541"/>
      <c r="C25" s="556"/>
      <c r="D25" s="557"/>
      <c r="E25" s="572" t="s">
        <v>936</v>
      </c>
      <c r="F25" s="568" t="s">
        <v>3150</v>
      </c>
      <c r="G25" s="591">
        <v>178730</v>
      </c>
      <c r="H25" s="567">
        <f t="shared" si="2"/>
        <v>1283066.924</v>
      </c>
      <c r="I25" s="603"/>
      <c r="J25" s="567"/>
      <c r="K25" s="597">
        <v>7.1788</v>
      </c>
      <c r="L25" s="708" t="s">
        <v>199</v>
      </c>
      <c r="M25" s="633" t="s">
        <v>199</v>
      </c>
      <c r="N25" s="633" t="s">
        <v>2432</v>
      </c>
      <c r="O25" s="994" t="s">
        <v>3151</v>
      </c>
      <c r="P25" s="635"/>
      <c r="Q25" s="655"/>
      <c r="R25" s="910"/>
      <c r="S25" s="657"/>
    </row>
    <row r="26" s="10" customFormat="1" ht="20.65" customHeight="1" spans="1:19">
      <c r="A26" s="827"/>
      <c r="B26" s="541"/>
      <c r="C26" s="556"/>
      <c r="D26" s="557"/>
      <c r="E26" s="572" t="s">
        <v>936</v>
      </c>
      <c r="F26" s="568" t="s">
        <v>3152</v>
      </c>
      <c r="G26" s="591">
        <v>92074</v>
      </c>
      <c r="H26" s="567">
        <f t="shared" si="2"/>
        <v>660980.8312</v>
      </c>
      <c r="I26" s="603"/>
      <c r="J26" s="567"/>
      <c r="K26" s="597">
        <v>7.1788</v>
      </c>
      <c r="L26" s="708" t="s">
        <v>2432</v>
      </c>
      <c r="M26" s="633" t="s">
        <v>1070</v>
      </c>
      <c r="N26" s="633" t="s">
        <v>1070</v>
      </c>
      <c r="O26" s="994" t="s">
        <v>3153</v>
      </c>
      <c r="P26" s="635"/>
      <c r="Q26" s="759"/>
      <c r="R26" s="910"/>
      <c r="S26" s="657"/>
    </row>
    <row r="27" s="10" customFormat="1" ht="20.65" customHeight="1" spans="1:19">
      <c r="A27" s="827"/>
      <c r="B27" s="541"/>
      <c r="C27" s="670"/>
      <c r="D27" s="557"/>
      <c r="E27" s="572" t="s">
        <v>201</v>
      </c>
      <c r="F27" s="250" t="s">
        <v>1887</v>
      </c>
      <c r="G27" s="562">
        <v>50000</v>
      </c>
      <c r="H27" s="567">
        <f t="shared" ref="H27:H30" si="3">G27*K27</f>
        <v>358940</v>
      </c>
      <c r="I27" s="603"/>
      <c r="J27" s="567"/>
      <c r="K27" s="597">
        <v>7.1788</v>
      </c>
      <c r="L27" s="598" t="s">
        <v>2432</v>
      </c>
      <c r="M27" s="625" t="s">
        <v>2432</v>
      </c>
      <c r="N27" s="625" t="s">
        <v>2432</v>
      </c>
      <c r="O27" s="937" t="s">
        <v>3154</v>
      </c>
      <c r="P27" s="642" t="s">
        <v>1889</v>
      </c>
      <c r="Q27" s="759" t="s">
        <v>1671</v>
      </c>
      <c r="R27" s="910"/>
      <c r="S27" s="657"/>
    </row>
    <row r="28" s="10" customFormat="1" ht="20.65" customHeight="1" spans="1:20">
      <c r="A28" s="827"/>
      <c r="B28" s="541"/>
      <c r="C28" s="556" t="s">
        <v>224</v>
      </c>
      <c r="D28" s="557"/>
      <c r="E28" s="561" t="s">
        <v>400</v>
      </c>
      <c r="F28" s="571" t="s">
        <v>1872</v>
      </c>
      <c r="G28" s="722">
        <v>99501</v>
      </c>
      <c r="H28" s="567">
        <f t="shared" si="3"/>
        <v>714297.7788</v>
      </c>
      <c r="I28" s="600"/>
      <c r="J28" s="602"/>
      <c r="K28" s="597">
        <v>7.1788</v>
      </c>
      <c r="L28" s="598" t="s">
        <v>621</v>
      </c>
      <c r="M28" s="645"/>
      <c r="N28" s="645"/>
      <c r="O28" s="706" t="s">
        <v>3155</v>
      </c>
      <c r="P28" s="623" t="s">
        <v>1858</v>
      </c>
      <c r="Q28" s="655" t="s">
        <v>1859</v>
      </c>
      <c r="R28" s="910"/>
      <c r="S28" s="657"/>
      <c r="T28" s="1044" t="s">
        <v>3156</v>
      </c>
    </row>
    <row r="29" s="10" customFormat="1" ht="20.65" customHeight="1" spans="1:19">
      <c r="A29" s="827"/>
      <c r="B29" s="541"/>
      <c r="C29" s="556"/>
      <c r="D29" s="557"/>
      <c r="E29" s="561" t="s">
        <v>1904</v>
      </c>
      <c r="F29" s="571" t="s">
        <v>1905</v>
      </c>
      <c r="G29" s="722">
        <v>109008</v>
      </c>
      <c r="H29" s="567">
        <f t="shared" si="3"/>
        <v>782546.6304</v>
      </c>
      <c r="I29" s="600"/>
      <c r="J29" s="602"/>
      <c r="K29" s="597">
        <v>7.1788</v>
      </c>
      <c r="L29" s="682" t="s">
        <v>2432</v>
      </c>
      <c r="M29" s="633" t="s">
        <v>3157</v>
      </c>
      <c r="N29" s="633" t="s">
        <v>2432</v>
      </c>
      <c r="O29" s="706" t="s">
        <v>3158</v>
      </c>
      <c r="P29" s="632" t="s">
        <v>3159</v>
      </c>
      <c r="Q29" s="759" t="s">
        <v>1859</v>
      </c>
      <c r="R29" s="910"/>
      <c r="S29" s="657"/>
    </row>
    <row r="30" s="10" customFormat="1" ht="20.65" customHeight="1" spans="1:19">
      <c r="A30" s="827"/>
      <c r="B30" s="541"/>
      <c r="C30" s="556"/>
      <c r="D30" s="557"/>
      <c r="E30" s="561" t="s">
        <v>1844</v>
      </c>
      <c r="F30" s="571" t="s">
        <v>2359</v>
      </c>
      <c r="G30" s="591">
        <v>12500</v>
      </c>
      <c r="H30" s="567">
        <f t="shared" si="3"/>
        <v>89735</v>
      </c>
      <c r="I30" s="600"/>
      <c r="J30" s="602"/>
      <c r="K30" s="597">
        <v>7.1788</v>
      </c>
      <c r="L30" s="707"/>
      <c r="M30" s="644"/>
      <c r="N30" s="644"/>
      <c r="O30" s="622" t="s">
        <v>3160</v>
      </c>
      <c r="P30" s="635"/>
      <c r="Q30" s="759"/>
      <c r="R30" s="910"/>
      <c r="S30" s="657"/>
    </row>
    <row r="31" s="10" customFormat="1" ht="16.5" spans="1:19">
      <c r="A31" s="827"/>
      <c r="B31" s="541"/>
      <c r="C31" s="664" t="s">
        <v>2361</v>
      </c>
      <c r="D31" s="557"/>
      <c r="E31" s="244"/>
      <c r="F31" s="571"/>
      <c r="G31" s="591"/>
      <c r="H31" s="567"/>
      <c r="I31" s="600"/>
      <c r="J31" s="602"/>
      <c r="K31" s="597"/>
      <c r="L31" s="682"/>
      <c r="M31" s="644"/>
      <c r="N31" s="644"/>
      <c r="O31" s="626"/>
      <c r="P31" s="635"/>
      <c r="Q31" s="759"/>
      <c r="R31" s="910"/>
      <c r="S31" s="657"/>
    </row>
    <row r="32" s="10" customFormat="1" ht="16.5" spans="1:19">
      <c r="A32" s="827"/>
      <c r="B32" s="672"/>
      <c r="C32" s="551" t="s">
        <v>1874</v>
      </c>
      <c r="D32" s="551"/>
      <c r="E32" s="551"/>
      <c r="F32" s="551"/>
      <c r="G32" s="551"/>
      <c r="H32" s="675">
        <f>SUM(H21:H31)</f>
        <v>5213337.8844</v>
      </c>
      <c r="I32" s="600"/>
      <c r="J32" s="602"/>
      <c r="K32" s="614"/>
      <c r="L32" s="682"/>
      <c r="M32" s="645"/>
      <c r="N32" s="645"/>
      <c r="O32" s="622"/>
      <c r="P32" s="570"/>
      <c r="Q32" s="570"/>
      <c r="R32" s="656"/>
      <c r="S32" s="657"/>
    </row>
    <row r="33" s="10" customFormat="1" ht="16.5" spans="1:19">
      <c r="A33" s="827"/>
      <c r="B33" s="541" t="s">
        <v>1875</v>
      </c>
      <c r="C33" s="556" t="s">
        <v>1825</v>
      </c>
      <c r="D33" s="557"/>
      <c r="E33" s="572" t="s">
        <v>2404</v>
      </c>
      <c r="F33" s="568" t="s">
        <v>2405</v>
      </c>
      <c r="G33" s="591"/>
      <c r="H33" s="567"/>
      <c r="I33" s="603"/>
      <c r="J33" s="567"/>
      <c r="K33" s="597">
        <v>7.1788</v>
      </c>
      <c r="L33" s="708"/>
      <c r="M33" s="644"/>
      <c r="N33" s="644"/>
      <c r="O33" s="994" t="s">
        <v>3161</v>
      </c>
      <c r="P33" s="635"/>
      <c r="Q33" s="655"/>
      <c r="R33" s="656"/>
      <c r="S33" s="657"/>
    </row>
    <row r="34" s="10" customFormat="1" ht="16.5" spans="1:19">
      <c r="A34" s="827"/>
      <c r="B34" s="541"/>
      <c r="C34" s="556"/>
      <c r="D34" s="557"/>
      <c r="E34" s="572" t="s">
        <v>2408</v>
      </c>
      <c r="F34" s="250" t="s">
        <v>2409</v>
      </c>
      <c r="G34" s="562"/>
      <c r="H34" s="567"/>
      <c r="I34" s="603"/>
      <c r="J34" s="567"/>
      <c r="K34" s="597">
        <v>7.1788</v>
      </c>
      <c r="L34" s="598"/>
      <c r="M34" s="645"/>
      <c r="N34" s="645"/>
      <c r="O34" s="994" t="s">
        <v>3161</v>
      </c>
      <c r="P34" s="635"/>
      <c r="Q34" s="759"/>
      <c r="R34" s="656"/>
      <c r="S34" s="657"/>
    </row>
    <row r="35" s="10" customFormat="1" ht="16.5" spans="1:20">
      <c r="A35" s="827"/>
      <c r="B35" s="541"/>
      <c r="C35" s="670"/>
      <c r="D35" s="557"/>
      <c r="E35" s="572" t="s">
        <v>1884</v>
      </c>
      <c r="F35" s="250" t="s">
        <v>1885</v>
      </c>
      <c r="G35" s="562">
        <v>900</v>
      </c>
      <c r="H35" s="567"/>
      <c r="I35" s="603"/>
      <c r="J35" s="567"/>
      <c r="K35" s="597">
        <v>7.1788</v>
      </c>
      <c r="L35" s="598"/>
      <c r="M35" s="645"/>
      <c r="N35" s="645"/>
      <c r="O35" s="937" t="s">
        <v>3162</v>
      </c>
      <c r="P35" s="642"/>
      <c r="Q35" s="655"/>
      <c r="R35" s="656"/>
      <c r="S35" s="657"/>
      <c r="T35" s="1044"/>
    </row>
    <row r="36" s="10" customFormat="1" ht="16.5" spans="1:19">
      <c r="A36" s="827"/>
      <c r="B36" s="541"/>
      <c r="C36" s="664" t="s">
        <v>224</v>
      </c>
      <c r="D36" s="557"/>
      <c r="E36" s="561" t="s">
        <v>1890</v>
      </c>
      <c r="F36" s="571" t="s">
        <v>1891</v>
      </c>
      <c r="G36" s="567"/>
      <c r="H36" s="567"/>
      <c r="I36" s="600"/>
      <c r="J36" s="602"/>
      <c r="K36" s="597">
        <v>7.1788</v>
      </c>
      <c r="L36" s="598" t="s">
        <v>1218</v>
      </c>
      <c r="M36" s="645"/>
      <c r="N36" s="645"/>
      <c r="O36" s="706" t="s">
        <v>3163</v>
      </c>
      <c r="P36" s="945"/>
      <c r="Q36" s="579" t="s">
        <v>1893</v>
      </c>
      <c r="R36" s="658" t="s">
        <v>3164</v>
      </c>
      <c r="S36" s="577"/>
    </row>
    <row r="37" s="10" customFormat="1" ht="16.5" spans="1:19">
      <c r="A37" s="827"/>
      <c r="B37" s="541"/>
      <c r="C37" s="664"/>
      <c r="D37" s="557"/>
      <c r="E37" s="561" t="s">
        <v>53</v>
      </c>
      <c r="F37" s="571" t="s">
        <v>2372</v>
      </c>
      <c r="G37" s="576">
        <v>30000</v>
      </c>
      <c r="H37" s="567"/>
      <c r="I37" s="600"/>
      <c r="J37" s="602"/>
      <c r="K37" s="597">
        <v>7.1788</v>
      </c>
      <c r="L37" s="682" t="s">
        <v>199</v>
      </c>
      <c r="M37" s="633" t="s">
        <v>199</v>
      </c>
      <c r="N37" s="633" t="s">
        <v>199</v>
      </c>
      <c r="O37" s="706" t="s">
        <v>3165</v>
      </c>
      <c r="P37" s="1071"/>
      <c r="Q37" s="579"/>
      <c r="R37" s="656"/>
      <c r="S37" s="577"/>
    </row>
    <row r="38" s="10" customFormat="1" ht="16.5" spans="1:19">
      <c r="A38" s="827"/>
      <c r="B38" s="541"/>
      <c r="C38" s="664"/>
      <c r="D38" s="557"/>
      <c r="E38" s="561" t="s">
        <v>464</v>
      </c>
      <c r="F38" s="571" t="s">
        <v>1180</v>
      </c>
      <c r="G38" s="722">
        <v>45000</v>
      </c>
      <c r="H38" s="567"/>
      <c r="I38" s="600"/>
      <c r="J38" s="602"/>
      <c r="K38" s="597">
        <v>7.1788</v>
      </c>
      <c r="L38" s="682"/>
      <c r="M38" s="644"/>
      <c r="N38" s="644"/>
      <c r="O38" s="622" t="s">
        <v>3166</v>
      </c>
      <c r="P38" s="635"/>
      <c r="Q38" s="572"/>
      <c r="R38" s="656"/>
      <c r="S38" s="577"/>
    </row>
    <row r="39" s="10" customFormat="1" ht="16.5" spans="1:19">
      <c r="A39" s="827"/>
      <c r="B39" s="541"/>
      <c r="C39" s="664"/>
      <c r="D39" s="557"/>
      <c r="E39" s="903" t="s">
        <v>1895</v>
      </c>
      <c r="F39" s="571" t="s">
        <v>1896</v>
      </c>
      <c r="G39" s="1070">
        <v>200000</v>
      </c>
      <c r="H39" s="567"/>
      <c r="I39" s="1039"/>
      <c r="J39" s="766"/>
      <c r="K39" s="597">
        <v>7.1788</v>
      </c>
      <c r="L39" s="638"/>
      <c r="M39" s="644"/>
      <c r="N39" s="644"/>
      <c r="O39" s="1072" t="s">
        <v>3167</v>
      </c>
      <c r="P39" s="1043"/>
      <c r="Q39" s="579"/>
      <c r="R39" s="656"/>
      <c r="S39" s="577"/>
    </row>
    <row r="40" s="10" customFormat="1" ht="16.5" spans="1:22">
      <c r="A40" s="827"/>
      <c r="B40" s="541"/>
      <c r="C40" s="664"/>
      <c r="D40" s="557"/>
      <c r="E40" s="244" t="s">
        <v>1901</v>
      </c>
      <c r="F40" s="571" t="s">
        <v>1902</v>
      </c>
      <c r="G40" s="591">
        <v>1000000</v>
      </c>
      <c r="H40" s="567"/>
      <c r="I40" s="600"/>
      <c r="J40" s="602"/>
      <c r="K40" s="597">
        <v>7.1788</v>
      </c>
      <c r="L40" s="707"/>
      <c r="M40" s="644"/>
      <c r="N40" s="644"/>
      <c r="O40" s="626" t="s">
        <v>3168</v>
      </c>
      <c r="P40" s="635"/>
      <c r="Q40" s="572"/>
      <c r="R40" s="656" t="s">
        <v>3169</v>
      </c>
      <c r="S40" s="577"/>
      <c r="V40" s="1044" t="s">
        <v>3170</v>
      </c>
    </row>
    <row r="41" s="10" customFormat="1" ht="16.5" spans="1:19">
      <c r="A41" s="827"/>
      <c r="B41" s="541"/>
      <c r="C41" s="664"/>
      <c r="D41" s="557"/>
      <c r="E41" s="244" t="s">
        <v>1907</v>
      </c>
      <c r="F41" s="571" t="s">
        <v>1908</v>
      </c>
      <c r="G41" s="591">
        <v>50687</v>
      </c>
      <c r="H41" s="567"/>
      <c r="I41" s="600"/>
      <c r="J41" s="602"/>
      <c r="K41" s="597">
        <v>7.1788</v>
      </c>
      <c r="L41" s="707"/>
      <c r="M41" s="644"/>
      <c r="N41" s="644"/>
      <c r="O41" s="626" t="s">
        <v>3171</v>
      </c>
      <c r="P41" s="635" t="s">
        <v>2430</v>
      </c>
      <c r="Q41" s="759" t="s">
        <v>1671</v>
      </c>
      <c r="R41" s="656"/>
      <c r="S41" s="577"/>
    </row>
    <row r="42" s="10" customFormat="1" ht="16.5" spans="1:22">
      <c r="A42" s="827"/>
      <c r="B42" s="541"/>
      <c r="C42" s="664"/>
      <c r="D42" s="557"/>
      <c r="E42" s="244" t="s">
        <v>408</v>
      </c>
      <c r="F42" s="571" t="s">
        <v>1911</v>
      </c>
      <c r="G42" s="591">
        <v>109545</v>
      </c>
      <c r="H42" s="567"/>
      <c r="I42" s="600"/>
      <c r="J42" s="602"/>
      <c r="K42" s="597">
        <v>7.1788</v>
      </c>
      <c r="L42" s="707"/>
      <c r="M42" s="644"/>
      <c r="N42" s="644"/>
      <c r="O42" s="626" t="s">
        <v>3172</v>
      </c>
      <c r="P42" s="635"/>
      <c r="Q42" s="759" t="s">
        <v>1859</v>
      </c>
      <c r="R42" s="656"/>
      <c r="S42" s="577"/>
      <c r="V42" s="1044" t="s">
        <v>3173</v>
      </c>
    </row>
    <row r="43" s="10" customFormat="1" ht="16.5" spans="1:19">
      <c r="A43" s="827"/>
      <c r="B43" s="541"/>
      <c r="C43" s="664"/>
      <c r="D43" s="557"/>
      <c r="E43" s="244" t="s">
        <v>1860</v>
      </c>
      <c r="F43" s="244" t="s">
        <v>2350</v>
      </c>
      <c r="G43" s="722">
        <v>67017</v>
      </c>
      <c r="H43" s="567"/>
      <c r="I43" s="603"/>
      <c r="J43" s="567"/>
      <c r="K43" s="597">
        <v>7.1788</v>
      </c>
      <c r="L43" s="598"/>
      <c r="M43" s="1073" t="s">
        <v>1125</v>
      </c>
      <c r="N43" s="644"/>
      <c r="O43" s="1074" t="s">
        <v>3174</v>
      </c>
      <c r="P43" s="623" t="s">
        <v>1863</v>
      </c>
      <c r="Q43" s="642" t="s">
        <v>1864</v>
      </c>
      <c r="R43" s="658" t="s">
        <v>3175</v>
      </c>
      <c r="S43" s="911" t="s">
        <v>3176</v>
      </c>
    </row>
    <row r="44" s="10" customFormat="1" ht="16.5" spans="1:19">
      <c r="A44" s="827"/>
      <c r="B44" s="541"/>
      <c r="C44" s="671" t="s">
        <v>2361</v>
      </c>
      <c r="D44" s="557"/>
      <c r="E44" s="607" t="s">
        <v>3177</v>
      </c>
      <c r="F44" s="904" t="s">
        <v>3178</v>
      </c>
      <c r="G44" s="783">
        <v>7762</v>
      </c>
      <c r="H44" s="567">
        <f>G44*K44</f>
        <v>55721.8456</v>
      </c>
      <c r="I44" s="567"/>
      <c r="J44" s="570"/>
      <c r="K44" s="597">
        <v>7.1788</v>
      </c>
      <c r="L44" s="570"/>
      <c r="M44" s="691" t="s">
        <v>1125</v>
      </c>
      <c r="N44" s="570"/>
      <c r="O44" s="691" t="s">
        <v>3179</v>
      </c>
      <c r="P44" s="642"/>
      <c r="Q44" s="655"/>
      <c r="R44" s="945"/>
      <c r="S44" s="577"/>
    </row>
    <row r="45" s="10" customFormat="1" ht="16.5" spans="1:19">
      <c r="A45" s="1069"/>
      <c r="B45" s="541"/>
      <c r="C45" s="671"/>
      <c r="D45" s="701"/>
      <c r="E45" s="572" t="s">
        <v>1876</v>
      </c>
      <c r="F45" s="568" t="s">
        <v>1877</v>
      </c>
      <c r="G45" s="591">
        <v>25000</v>
      </c>
      <c r="H45" s="567"/>
      <c r="I45" s="603"/>
      <c r="J45" s="567"/>
      <c r="K45" s="597">
        <v>7.1788</v>
      </c>
      <c r="L45" s="708"/>
      <c r="M45" s="644"/>
      <c r="N45" s="644"/>
      <c r="O45" s="994" t="s">
        <v>3180</v>
      </c>
      <c r="P45" s="635" t="s">
        <v>1830</v>
      </c>
      <c r="Q45" s="655"/>
      <c r="R45" s="656" t="s">
        <v>3181</v>
      </c>
      <c r="S45" s="602"/>
    </row>
    <row r="46" s="10" customFormat="1" ht="16.5" spans="1:20">
      <c r="A46" s="1069"/>
      <c r="B46" s="541"/>
      <c r="C46" s="671"/>
      <c r="D46" s="701"/>
      <c r="E46" s="572" t="s">
        <v>197</v>
      </c>
      <c r="F46" s="250" t="s">
        <v>3182</v>
      </c>
      <c r="G46" s="562">
        <v>40000</v>
      </c>
      <c r="H46" s="567">
        <f>G46*K46</f>
        <v>287152</v>
      </c>
      <c r="I46" s="603"/>
      <c r="J46" s="567"/>
      <c r="K46" s="597">
        <v>7.1788</v>
      </c>
      <c r="L46" s="598" t="s">
        <v>2432</v>
      </c>
      <c r="M46" s="625" t="s">
        <v>2432</v>
      </c>
      <c r="N46" s="645"/>
      <c r="O46" s="994" t="s">
        <v>3183</v>
      </c>
      <c r="P46" s="642"/>
      <c r="Q46" s="655"/>
      <c r="R46" s="656"/>
      <c r="S46" s="657"/>
      <c r="T46" s="1044" t="s">
        <v>3184</v>
      </c>
    </row>
    <row r="47" s="10" customFormat="1" ht="16.5" spans="1:19">
      <c r="A47" s="1069"/>
      <c r="B47" s="541"/>
      <c r="C47" s="712" t="s">
        <v>1874</v>
      </c>
      <c r="D47" s="712"/>
      <c r="E47" s="712"/>
      <c r="F47" s="712"/>
      <c r="G47" s="712"/>
      <c r="H47" s="675">
        <f>SUM(H33:H44)</f>
        <v>55721.8456</v>
      </c>
      <c r="I47" s="732"/>
      <c r="J47" s="732"/>
      <c r="K47" s="733"/>
      <c r="L47" s="598"/>
      <c r="M47" s="645"/>
      <c r="N47" s="645"/>
      <c r="O47" s="706"/>
      <c r="P47" s="642"/>
      <c r="Q47" s="655"/>
      <c r="R47" s="664"/>
      <c r="S47" s="602"/>
    </row>
    <row r="48" s="10" customFormat="1" ht="33.55" customHeight="1" spans="1:19">
      <c r="A48" s="537" t="s">
        <v>1092</v>
      </c>
      <c r="B48" s="537" t="s">
        <v>1820</v>
      </c>
      <c r="C48" s="538" t="s">
        <v>1093</v>
      </c>
      <c r="D48" s="539" t="s">
        <v>1821</v>
      </c>
      <c r="E48" s="539" t="s">
        <v>1822</v>
      </c>
      <c r="F48" s="558" t="s">
        <v>1095</v>
      </c>
      <c r="G48" s="559" t="s">
        <v>362</v>
      </c>
      <c r="H48" s="560" t="s">
        <v>1716</v>
      </c>
      <c r="I48" s="560" t="s">
        <v>1717</v>
      </c>
      <c r="J48" s="560" t="s">
        <v>1718</v>
      </c>
      <c r="K48" s="594" t="s">
        <v>1866</v>
      </c>
      <c r="L48" s="595" t="s">
        <v>1098</v>
      </c>
      <c r="M48" s="619" t="s">
        <v>1097</v>
      </c>
      <c r="N48" s="619" t="s">
        <v>1214</v>
      </c>
      <c r="O48" s="727" t="s">
        <v>1215</v>
      </c>
      <c r="P48" s="621" t="s">
        <v>7</v>
      </c>
      <c r="Q48" s="746" t="s">
        <v>8</v>
      </c>
      <c r="R48" s="747" t="s">
        <v>9</v>
      </c>
      <c r="S48" s="654" t="s">
        <v>1291</v>
      </c>
    </row>
    <row r="49" s="10" customFormat="1" ht="16.5" spans="1:20">
      <c r="A49" s="568" t="s">
        <v>1913</v>
      </c>
      <c r="B49" s="541" t="s">
        <v>1824</v>
      </c>
      <c r="C49" s="556" t="s">
        <v>1248</v>
      </c>
      <c r="D49" s="557">
        <v>100</v>
      </c>
      <c r="E49" s="541" t="s">
        <v>299</v>
      </c>
      <c r="F49" s="764" t="s">
        <v>1914</v>
      </c>
      <c r="G49" s="762">
        <v>31850</v>
      </c>
      <c r="H49" s="567">
        <f>G49*K49</f>
        <v>228644.78</v>
      </c>
      <c r="I49" s="577">
        <v>228644.78</v>
      </c>
      <c r="J49" s="577">
        <v>228644.78</v>
      </c>
      <c r="K49" s="597">
        <v>7.1788</v>
      </c>
      <c r="L49" s="708" t="s">
        <v>3062</v>
      </c>
      <c r="M49" s="625">
        <v>45190</v>
      </c>
      <c r="N49" s="625">
        <v>45192</v>
      </c>
      <c r="O49" s="740" t="s">
        <v>3185</v>
      </c>
      <c r="P49" s="635" t="s">
        <v>3186</v>
      </c>
      <c r="Q49" s="759" t="s">
        <v>1671</v>
      </c>
      <c r="R49" s="752"/>
      <c r="S49" s="750"/>
      <c r="T49" s="1022"/>
    </row>
    <row r="50" s="10" customFormat="1" ht="18.75" customHeight="1" spans="1:20">
      <c r="A50" s="568"/>
      <c r="B50" s="541"/>
      <c r="C50" s="556"/>
      <c r="D50" s="557"/>
      <c r="E50" s="541"/>
      <c r="F50" s="764" t="s">
        <v>1917</v>
      </c>
      <c r="G50" s="576">
        <v>41250</v>
      </c>
      <c r="H50" s="567">
        <f t="shared" ref="H50:H64" si="4">G50*K50</f>
        <v>296125.5</v>
      </c>
      <c r="I50" s="766">
        <v>296125.5</v>
      </c>
      <c r="J50" s="766">
        <v>296125.5</v>
      </c>
      <c r="K50" s="597">
        <v>7.1788</v>
      </c>
      <c r="L50" s="708" t="s">
        <v>1918</v>
      </c>
      <c r="M50" s="625">
        <v>45195</v>
      </c>
      <c r="N50" s="625">
        <v>45198</v>
      </c>
      <c r="O50" s="740" t="s">
        <v>3187</v>
      </c>
      <c r="P50" s="635" t="s">
        <v>2445</v>
      </c>
      <c r="Q50" s="759" t="s">
        <v>1671</v>
      </c>
      <c r="R50" s="752"/>
      <c r="S50" s="753"/>
      <c r="T50" s="1022"/>
    </row>
    <row r="51" s="10" customFormat="1" ht="18.75" customHeight="1" spans="1:20">
      <c r="A51" s="568"/>
      <c r="B51" s="541"/>
      <c r="C51" s="714" t="s">
        <v>1922</v>
      </c>
      <c r="D51" s="655">
        <v>85</v>
      </c>
      <c r="E51" s="571" t="s">
        <v>1169</v>
      </c>
      <c r="F51" s="568" t="s">
        <v>1923</v>
      </c>
      <c r="G51" s="722"/>
      <c r="H51" s="567"/>
      <c r="I51" s="577"/>
      <c r="J51" s="735">
        <v>339138</v>
      </c>
      <c r="K51" s="597">
        <v>7.2157</v>
      </c>
      <c r="L51" s="598"/>
      <c r="M51" s="638" t="s">
        <v>2866</v>
      </c>
      <c r="N51" s="625" t="s">
        <v>2993</v>
      </c>
      <c r="O51" s="740" t="s">
        <v>1924</v>
      </c>
      <c r="P51" s="572"/>
      <c r="Q51" s="572"/>
      <c r="R51" s="752"/>
      <c r="S51" s="753"/>
      <c r="T51" s="1022"/>
    </row>
    <row r="52" s="10" customFormat="1" ht="18.75" customHeight="1" spans="1:20">
      <c r="A52" s="568"/>
      <c r="B52" s="541"/>
      <c r="C52" s="714"/>
      <c r="D52" s="655"/>
      <c r="E52" s="715" t="s">
        <v>1925</v>
      </c>
      <c r="F52" s="571" t="s">
        <v>1926</v>
      </c>
      <c r="G52" s="969">
        <v>5097</v>
      </c>
      <c r="H52" s="567">
        <f t="shared" si="4"/>
        <v>36590.3436</v>
      </c>
      <c r="I52" s="735">
        <f>H52</f>
        <v>36590.3436</v>
      </c>
      <c r="J52" s="735">
        <v>36590.3436</v>
      </c>
      <c r="K52" s="597">
        <v>7.1788</v>
      </c>
      <c r="L52" s="598" t="s">
        <v>1927</v>
      </c>
      <c r="M52" s="625">
        <v>45196</v>
      </c>
      <c r="N52" s="633" t="s">
        <v>2993</v>
      </c>
      <c r="O52" s="740" t="s">
        <v>3188</v>
      </c>
      <c r="P52" s="572"/>
      <c r="Q52" s="572"/>
      <c r="R52" s="752"/>
      <c r="S52" s="753"/>
      <c r="T52" s="1022"/>
    </row>
    <row r="53" s="10" customFormat="1" ht="18.75" customHeight="1" spans="1:20">
      <c r="A53" s="568"/>
      <c r="B53" s="541"/>
      <c r="C53" s="714"/>
      <c r="D53" s="655"/>
      <c r="E53" s="715" t="s">
        <v>165</v>
      </c>
      <c r="F53" s="571" t="s">
        <v>3189</v>
      </c>
      <c r="G53" s="969">
        <v>31651</v>
      </c>
      <c r="H53" s="567">
        <f t="shared" si="4"/>
        <v>227216.1988</v>
      </c>
      <c r="I53" s="735">
        <v>227216.1988</v>
      </c>
      <c r="J53" s="735">
        <v>227216.1988</v>
      </c>
      <c r="K53" s="597">
        <v>7.1788</v>
      </c>
      <c r="L53" s="598" t="s">
        <v>1218</v>
      </c>
      <c r="M53" s="636">
        <v>45189</v>
      </c>
      <c r="N53" s="636">
        <v>45199</v>
      </c>
      <c r="O53" s="740" t="s">
        <v>3190</v>
      </c>
      <c r="P53" s="572"/>
      <c r="Q53" s="572"/>
      <c r="R53" s="752"/>
      <c r="S53" s="753"/>
      <c r="T53" s="1022"/>
    </row>
    <row r="54" s="10" customFormat="1" ht="16.5" spans="1:19">
      <c r="A54" s="250"/>
      <c r="B54" s="541"/>
      <c r="C54" s="556" t="s">
        <v>209</v>
      </c>
      <c r="D54" s="557">
        <v>309</v>
      </c>
      <c r="E54" s="561" t="s">
        <v>274</v>
      </c>
      <c r="F54" s="724" t="s">
        <v>1929</v>
      </c>
      <c r="G54" s="725">
        <v>16000</v>
      </c>
      <c r="H54" s="567">
        <f t="shared" si="4"/>
        <v>114860.8</v>
      </c>
      <c r="I54" s="735">
        <v>114860.8</v>
      </c>
      <c r="J54" s="735">
        <v>114860.8</v>
      </c>
      <c r="K54" s="597">
        <v>7.1788</v>
      </c>
      <c r="L54" s="598" t="s">
        <v>1218</v>
      </c>
      <c r="M54" s="625">
        <v>45171</v>
      </c>
      <c r="N54" s="625">
        <v>45177</v>
      </c>
      <c r="O54" s="740" t="s">
        <v>1930</v>
      </c>
      <c r="P54" s="744"/>
      <c r="Q54" s="572"/>
      <c r="R54" s="744"/>
      <c r="S54" s="754"/>
    </row>
    <row r="55" s="10" customFormat="1" ht="16.5" spans="1:19">
      <c r="A55" s="250"/>
      <c r="B55" s="541"/>
      <c r="C55" s="542"/>
      <c r="D55" s="545"/>
      <c r="E55" s="561" t="s">
        <v>274</v>
      </c>
      <c r="F55" s="724" t="s">
        <v>1958</v>
      </c>
      <c r="G55" s="725">
        <v>12561</v>
      </c>
      <c r="H55" s="567">
        <f t="shared" si="4"/>
        <v>90172.9068</v>
      </c>
      <c r="I55" s="735">
        <f>H55</f>
        <v>90172.9068</v>
      </c>
      <c r="J55" s="735"/>
      <c r="K55" s="597">
        <v>7.1788</v>
      </c>
      <c r="L55" s="598" t="s">
        <v>1218</v>
      </c>
      <c r="M55" s="625">
        <v>45196</v>
      </c>
      <c r="N55" s="955">
        <v>45205</v>
      </c>
      <c r="O55" s="740" t="s">
        <v>3191</v>
      </c>
      <c r="P55" s="744"/>
      <c r="Q55" s="572"/>
      <c r="R55" s="744"/>
      <c r="S55" s="754"/>
    </row>
    <row r="56" s="10" customFormat="1" ht="18.75" customHeight="1" spans="1:19">
      <c r="A56" s="568"/>
      <c r="B56" s="721"/>
      <c r="C56" s="556"/>
      <c r="D56" s="557"/>
      <c r="E56" s="571" t="s">
        <v>1934</v>
      </c>
      <c r="F56" s="904" t="s">
        <v>1935</v>
      </c>
      <c r="G56" s="722">
        <v>42971</v>
      </c>
      <c r="H56" s="567">
        <f t="shared" si="4"/>
        <v>308480.2148</v>
      </c>
      <c r="I56" s="735">
        <v>308480.2148</v>
      </c>
      <c r="J56" s="735">
        <f t="shared" ref="J56:J61" si="5">I56</f>
        <v>308480.2148</v>
      </c>
      <c r="K56" s="597">
        <v>7.1788</v>
      </c>
      <c r="L56" s="598" t="s">
        <v>1218</v>
      </c>
      <c r="M56" s="625">
        <v>45191</v>
      </c>
      <c r="N56" s="966">
        <v>45195</v>
      </c>
      <c r="O56" s="740" t="s">
        <v>3192</v>
      </c>
      <c r="P56" s="250"/>
      <c r="Q56" s="751"/>
      <c r="R56" s="755"/>
      <c r="S56" s="756"/>
    </row>
    <row r="57" s="10" customFormat="1" ht="18.75" customHeight="1" spans="1:19">
      <c r="A57" s="568"/>
      <c r="B57" s="721"/>
      <c r="C57" s="556"/>
      <c r="D57" s="557"/>
      <c r="E57" s="571" t="s">
        <v>1934</v>
      </c>
      <c r="F57" s="904" t="s">
        <v>1960</v>
      </c>
      <c r="G57" s="722">
        <v>57312</v>
      </c>
      <c r="H57" s="567">
        <f t="shared" si="4"/>
        <v>411431.3856</v>
      </c>
      <c r="I57" s="735">
        <v>411431.3856</v>
      </c>
      <c r="J57" s="735">
        <f t="shared" si="5"/>
        <v>411431.3856</v>
      </c>
      <c r="K57" s="597">
        <v>7.1788</v>
      </c>
      <c r="L57" s="598" t="s">
        <v>1218</v>
      </c>
      <c r="M57" s="625">
        <v>45191</v>
      </c>
      <c r="N57" s="966">
        <v>45195</v>
      </c>
      <c r="O57" s="740" t="s">
        <v>3192</v>
      </c>
      <c r="P57" s="250"/>
      <c r="Q57" s="751"/>
      <c r="R57" s="755"/>
      <c r="S57" s="756"/>
    </row>
    <row r="58" s="10" customFormat="1" ht="18.75" customHeight="1" spans="1:20">
      <c r="A58" s="568"/>
      <c r="B58" s="541"/>
      <c r="C58" s="556"/>
      <c r="D58" s="557"/>
      <c r="E58" s="571" t="s">
        <v>286</v>
      </c>
      <c r="F58" s="724" t="s">
        <v>1931</v>
      </c>
      <c r="G58" s="725">
        <v>31420</v>
      </c>
      <c r="H58" s="567">
        <f t="shared" si="4"/>
        <v>225557.896</v>
      </c>
      <c r="I58" s="735">
        <f>H58</f>
        <v>225557.896</v>
      </c>
      <c r="J58" s="735">
        <f t="shared" si="5"/>
        <v>225557.896</v>
      </c>
      <c r="K58" s="597">
        <v>7.1788</v>
      </c>
      <c r="L58" s="598" t="s">
        <v>1218</v>
      </c>
      <c r="M58" s="625">
        <v>45184</v>
      </c>
      <c r="N58" s="625">
        <v>45187</v>
      </c>
      <c r="O58" s="740" t="s">
        <v>3193</v>
      </c>
      <c r="P58" s="572"/>
      <c r="Q58" s="572"/>
      <c r="R58" s="752"/>
      <c r="S58" s="753"/>
      <c r="T58" s="1022"/>
    </row>
    <row r="59" s="10" customFormat="1" ht="32.25" customHeight="1" spans="1:20">
      <c r="A59" s="568"/>
      <c r="B59" s="541"/>
      <c r="C59" s="556"/>
      <c r="D59" s="557"/>
      <c r="E59" s="571" t="s">
        <v>256</v>
      </c>
      <c r="F59" s="904" t="s">
        <v>3194</v>
      </c>
      <c r="G59" s="722">
        <v>31000</v>
      </c>
      <c r="H59" s="567">
        <f t="shared" si="4"/>
        <v>222542.8</v>
      </c>
      <c r="I59" s="735">
        <v>222542.8</v>
      </c>
      <c r="J59" s="735">
        <f t="shared" si="5"/>
        <v>222542.8</v>
      </c>
      <c r="K59" s="597">
        <v>7.1788</v>
      </c>
      <c r="L59" s="598" t="s">
        <v>1218</v>
      </c>
      <c r="M59" s="625">
        <v>45176</v>
      </c>
      <c r="N59" s="625">
        <v>45178</v>
      </c>
      <c r="O59" s="740" t="s">
        <v>1938</v>
      </c>
      <c r="P59" s="572"/>
      <c r="Q59" s="572"/>
      <c r="R59" s="752"/>
      <c r="S59" s="753"/>
      <c r="T59" s="1022"/>
    </row>
    <row r="60" s="10" customFormat="1" ht="32.25" customHeight="1" spans="1:20">
      <c r="A60" s="568"/>
      <c r="B60" s="541"/>
      <c r="C60" s="556"/>
      <c r="D60" s="557"/>
      <c r="E60" s="571" t="s">
        <v>256</v>
      </c>
      <c r="F60" s="904" t="s">
        <v>3195</v>
      </c>
      <c r="G60" s="722">
        <v>35000</v>
      </c>
      <c r="H60" s="567">
        <f t="shared" si="4"/>
        <v>251258</v>
      </c>
      <c r="I60" s="735">
        <v>251258</v>
      </c>
      <c r="J60" s="735">
        <f t="shared" si="5"/>
        <v>251258</v>
      </c>
      <c r="K60" s="597">
        <v>7.1788</v>
      </c>
      <c r="L60" s="598" t="s">
        <v>1218</v>
      </c>
      <c r="M60" s="625">
        <v>45188</v>
      </c>
      <c r="N60" s="966">
        <v>45190</v>
      </c>
      <c r="O60" s="740" t="s">
        <v>3196</v>
      </c>
      <c r="P60" s="572"/>
      <c r="Q60" s="572"/>
      <c r="R60" s="752"/>
      <c r="S60" s="753"/>
      <c r="T60" s="1022"/>
    </row>
    <row r="61" s="10" customFormat="1" ht="18.75" customHeight="1" spans="1:19">
      <c r="A61" s="568"/>
      <c r="B61" s="721"/>
      <c r="C61" s="556"/>
      <c r="D61" s="557"/>
      <c r="E61" s="568" t="s">
        <v>1408</v>
      </c>
      <c r="F61" s="724" t="s">
        <v>1940</v>
      </c>
      <c r="G61" s="725">
        <v>33000</v>
      </c>
      <c r="H61" s="567">
        <f t="shared" si="4"/>
        <v>236900.4</v>
      </c>
      <c r="I61" s="735">
        <f>G61*K61</f>
        <v>236900.4</v>
      </c>
      <c r="J61" s="735">
        <f t="shared" si="5"/>
        <v>236900.4</v>
      </c>
      <c r="K61" s="597">
        <v>7.1788</v>
      </c>
      <c r="L61" s="598" t="s">
        <v>1218</v>
      </c>
      <c r="M61" s="625">
        <v>45181</v>
      </c>
      <c r="N61" s="625">
        <v>45183</v>
      </c>
      <c r="O61" s="740" t="s">
        <v>3197</v>
      </c>
      <c r="P61" s="250"/>
      <c r="Q61" s="751"/>
      <c r="R61" s="755"/>
      <c r="S61" s="756"/>
    </row>
    <row r="62" s="10" customFormat="1" ht="18.75" customHeight="1" spans="1:20">
      <c r="A62" s="568"/>
      <c r="B62" s="541"/>
      <c r="C62" s="556"/>
      <c r="D62" s="557"/>
      <c r="E62" s="568" t="s">
        <v>1408</v>
      </c>
      <c r="F62" s="672" t="s">
        <v>1942</v>
      </c>
      <c r="G62" s="722">
        <v>38238</v>
      </c>
      <c r="H62" s="567">
        <f t="shared" si="4"/>
        <v>274502.9544</v>
      </c>
      <c r="I62" s="735">
        <f>H62</f>
        <v>274502.9544</v>
      </c>
      <c r="J62" s="735"/>
      <c r="K62" s="597">
        <v>7.1788</v>
      </c>
      <c r="L62" s="598" t="s">
        <v>1218</v>
      </c>
      <c r="M62" s="625">
        <v>45196</v>
      </c>
      <c r="N62" s="955">
        <v>45200</v>
      </c>
      <c r="O62" s="740" t="s">
        <v>3198</v>
      </c>
      <c r="P62" s="572"/>
      <c r="Q62" s="572"/>
      <c r="R62" s="752"/>
      <c r="S62" s="753"/>
      <c r="T62" s="1022"/>
    </row>
    <row r="63" s="10" customFormat="1" ht="18.75" customHeight="1" spans="1:20">
      <c r="A63" s="568"/>
      <c r="B63" s="541"/>
      <c r="C63" s="556"/>
      <c r="D63" s="557"/>
      <c r="E63" s="568" t="s">
        <v>1978</v>
      </c>
      <c r="F63" s="672" t="s">
        <v>3199</v>
      </c>
      <c r="G63" s="722">
        <v>38000</v>
      </c>
      <c r="H63" s="567">
        <v>308862</v>
      </c>
      <c r="I63" s="735">
        <v>308861.6912</v>
      </c>
      <c r="J63" s="735"/>
      <c r="K63" s="597">
        <v>7.1788</v>
      </c>
      <c r="L63" s="598" t="s">
        <v>1218</v>
      </c>
      <c r="M63" s="625"/>
      <c r="N63" s="625"/>
      <c r="O63" s="740" t="s">
        <v>3198</v>
      </c>
      <c r="P63" s="572"/>
      <c r="Q63" s="572"/>
      <c r="R63" s="752"/>
      <c r="S63" s="753"/>
      <c r="T63" s="1022"/>
    </row>
    <row r="64" s="10" customFormat="1" ht="35.65" customHeight="1" spans="1:20">
      <c r="A64" s="568"/>
      <c r="B64" s="541"/>
      <c r="C64" s="556"/>
      <c r="D64" s="557"/>
      <c r="E64" s="568" t="s">
        <v>175</v>
      </c>
      <c r="F64" s="904" t="s">
        <v>3200</v>
      </c>
      <c r="G64" s="722">
        <v>29800</v>
      </c>
      <c r="H64" s="567">
        <f t="shared" si="4"/>
        <v>213928.24</v>
      </c>
      <c r="I64" s="735">
        <f>H64</f>
        <v>213928.24</v>
      </c>
      <c r="J64" s="735"/>
      <c r="K64" s="597">
        <v>7.1788</v>
      </c>
      <c r="L64" s="598" t="s">
        <v>1218</v>
      </c>
      <c r="M64" s="625">
        <v>45197</v>
      </c>
      <c r="N64" s="955">
        <v>45200</v>
      </c>
      <c r="O64" s="740" t="s">
        <v>3201</v>
      </c>
      <c r="P64" s="572"/>
      <c r="Q64" s="572"/>
      <c r="R64" s="752"/>
      <c r="S64" s="753"/>
      <c r="T64" s="1022"/>
    </row>
    <row r="65" s="10" customFormat="1" ht="18.75" customHeight="1" spans="1:20">
      <c r="A65" s="568"/>
      <c r="B65" s="541"/>
      <c r="C65" s="556"/>
      <c r="D65" s="557"/>
      <c r="E65" s="561" t="s">
        <v>3104</v>
      </c>
      <c r="F65" s="250"/>
      <c r="G65" s="725"/>
      <c r="H65" s="596">
        <v>63236</v>
      </c>
      <c r="I65" s="596">
        <v>63236</v>
      </c>
      <c r="J65" s="596">
        <v>63236</v>
      </c>
      <c r="K65" s="597">
        <v>7.1788</v>
      </c>
      <c r="L65" s="598" t="s">
        <v>1218</v>
      </c>
      <c r="M65" s="625">
        <v>45189</v>
      </c>
      <c r="N65" s="625" t="s">
        <v>1125</v>
      </c>
      <c r="O65" s="740" t="s">
        <v>3202</v>
      </c>
      <c r="P65" s="572"/>
      <c r="Q65" s="572"/>
      <c r="R65" s="752"/>
      <c r="S65" s="753"/>
      <c r="T65" s="1022"/>
    </row>
    <row r="66" s="10" customFormat="1" ht="18.75" customHeight="1" spans="1:19">
      <c r="A66" s="568"/>
      <c r="B66" s="721"/>
      <c r="C66" s="556"/>
      <c r="D66" s="557"/>
      <c r="E66" s="568" t="s">
        <v>174</v>
      </c>
      <c r="F66" s="731" t="s">
        <v>3203</v>
      </c>
      <c r="G66" s="725">
        <v>16000</v>
      </c>
      <c r="H66" s="567">
        <f>G66*K66</f>
        <v>114860.8</v>
      </c>
      <c r="I66" s="735">
        <f>H66</f>
        <v>114860.8</v>
      </c>
      <c r="J66" s="735"/>
      <c r="K66" s="597">
        <v>7.1788</v>
      </c>
      <c r="L66" s="598" t="s">
        <v>1218</v>
      </c>
      <c r="M66" s="625">
        <v>45196</v>
      </c>
      <c r="N66" s="955">
        <v>45208</v>
      </c>
      <c r="O66" s="740" t="s">
        <v>3204</v>
      </c>
      <c r="P66" s="250"/>
      <c r="Q66" s="751"/>
      <c r="R66" s="755"/>
      <c r="S66" s="756"/>
    </row>
    <row r="67" s="10" customFormat="1" ht="18.75" customHeight="1" spans="1:20">
      <c r="A67" s="568"/>
      <c r="B67" s="541"/>
      <c r="C67" s="556"/>
      <c r="D67" s="557"/>
      <c r="E67" s="715" t="s">
        <v>1298</v>
      </c>
      <c r="F67" s="571"/>
      <c r="G67" s="969"/>
      <c r="H67" s="567">
        <v>1377.38</v>
      </c>
      <c r="I67" s="567">
        <v>1377.38</v>
      </c>
      <c r="J67" s="567">
        <v>1377.38</v>
      </c>
      <c r="K67" s="597">
        <v>7.1788</v>
      </c>
      <c r="L67" s="598" t="s">
        <v>1218</v>
      </c>
      <c r="M67" s="638">
        <v>45176</v>
      </c>
      <c r="N67" s="633" t="s">
        <v>1125</v>
      </c>
      <c r="O67" s="740"/>
      <c r="P67" s="572"/>
      <c r="Q67" s="572"/>
      <c r="R67" s="752"/>
      <c r="S67" s="753"/>
      <c r="T67" s="1022"/>
    </row>
    <row r="68" s="10" customFormat="1" ht="18.75" customHeight="1" spans="1:20">
      <c r="A68" s="568"/>
      <c r="B68" s="541"/>
      <c r="C68" s="666" t="s">
        <v>1437</v>
      </c>
      <c r="D68" s="759">
        <v>45</v>
      </c>
      <c r="E68" s="716" t="s">
        <v>246</v>
      </c>
      <c r="F68" s="561" t="s">
        <v>3205</v>
      </c>
      <c r="G68" s="725">
        <v>9035</v>
      </c>
      <c r="H68" s="567">
        <f>G68*K68</f>
        <v>64860.458</v>
      </c>
      <c r="I68" s="735">
        <v>64860.458</v>
      </c>
      <c r="J68" s="735">
        <v>64860.458</v>
      </c>
      <c r="K68" s="597">
        <v>7.1788</v>
      </c>
      <c r="L68" s="598" t="s">
        <v>1218</v>
      </c>
      <c r="M68" s="625">
        <v>45195</v>
      </c>
      <c r="N68" s="625" t="s">
        <v>1125</v>
      </c>
      <c r="O68" s="740" t="s">
        <v>3206</v>
      </c>
      <c r="P68" s="572"/>
      <c r="Q68" s="572"/>
      <c r="R68" s="752"/>
      <c r="S68" s="753"/>
      <c r="T68" s="1022"/>
    </row>
    <row r="69" s="10" customFormat="1" ht="18.75" customHeight="1" spans="1:20">
      <c r="A69" s="568"/>
      <c r="B69" s="541"/>
      <c r="C69" s="666" t="s">
        <v>1124</v>
      </c>
      <c r="D69" s="759">
        <f>SUM(D49:D68)</f>
        <v>539</v>
      </c>
      <c r="E69" s="715"/>
      <c r="F69" s="571"/>
      <c r="G69" s="726" t="s">
        <v>1235</v>
      </c>
      <c r="H69" s="675">
        <f>SUM(H49:H68)</f>
        <v>3691409.058</v>
      </c>
      <c r="I69" s="675">
        <f>SUM(I49:I68)</f>
        <v>3691408.7492</v>
      </c>
      <c r="J69" s="675">
        <f>SUM(J49:J68)</f>
        <v>3028220.1568</v>
      </c>
      <c r="K69" s="614"/>
      <c r="L69" s="598"/>
      <c r="M69" s="644"/>
      <c r="N69" s="644"/>
      <c r="O69" s="740"/>
      <c r="P69" s="572"/>
      <c r="Q69" s="572"/>
      <c r="R69" s="752"/>
      <c r="S69" s="753"/>
      <c r="T69" s="1022"/>
    </row>
    <row r="70" s="10" customFormat="1" ht="18.75" customHeight="1" spans="1:20">
      <c r="A70" s="568"/>
      <c r="B70" s="541"/>
      <c r="C70" s="670"/>
      <c r="D70" s="968"/>
      <c r="E70" s="715"/>
      <c r="F70" s="571"/>
      <c r="G70" s="969" t="s">
        <v>1236</v>
      </c>
      <c r="H70" s="970">
        <f>H69/5390000</f>
        <v>0.684862533951762</v>
      </c>
      <c r="I70" s="970">
        <f>I69/5390000</f>
        <v>0.684862476660482</v>
      </c>
      <c r="J70" s="970">
        <f>J69/5390000</f>
        <v>0.56182192148423</v>
      </c>
      <c r="K70" s="614"/>
      <c r="L70" s="598"/>
      <c r="M70" s="644"/>
      <c r="N70" s="644"/>
      <c r="O70" s="740"/>
      <c r="P70" s="572"/>
      <c r="Q70" s="572"/>
      <c r="R70" s="752"/>
      <c r="S70" s="753"/>
      <c r="T70" s="1022"/>
    </row>
    <row r="71" s="10" customFormat="1" ht="30" spans="1:19">
      <c r="A71" s="250"/>
      <c r="B71" s="553" t="s">
        <v>1820</v>
      </c>
      <c r="C71" s="554" t="s">
        <v>1946</v>
      </c>
      <c r="D71" s="555" t="s">
        <v>1821</v>
      </c>
      <c r="E71" s="555" t="s">
        <v>1822</v>
      </c>
      <c r="F71" s="588" t="s">
        <v>1095</v>
      </c>
      <c r="G71" s="589" t="s">
        <v>362</v>
      </c>
      <c r="H71" s="590" t="s">
        <v>1865</v>
      </c>
      <c r="I71" s="590"/>
      <c r="J71" s="590"/>
      <c r="K71" s="590" t="s">
        <v>1866</v>
      </c>
      <c r="L71" s="615" t="s">
        <v>1098</v>
      </c>
      <c r="M71" s="590" t="s">
        <v>1867</v>
      </c>
      <c r="N71" s="646"/>
      <c r="O71" s="740"/>
      <c r="P71" s="744"/>
      <c r="Q71" s="572"/>
      <c r="R71" s="744"/>
      <c r="S71" s="754"/>
    </row>
    <row r="72" s="10" customFormat="1" ht="16.5" spans="1:19">
      <c r="A72" s="250"/>
      <c r="B72" s="541" t="s">
        <v>1947</v>
      </c>
      <c r="C72" s="542" t="s">
        <v>1248</v>
      </c>
      <c r="D72" s="543" t="s">
        <v>1125</v>
      </c>
      <c r="E72" s="705" t="s">
        <v>299</v>
      </c>
      <c r="F72" s="764" t="s">
        <v>1948</v>
      </c>
      <c r="G72" s="762">
        <v>31850</v>
      </c>
      <c r="H72" s="567">
        <f>G72*K72</f>
        <v>228644.78</v>
      </c>
      <c r="I72" s="1075"/>
      <c r="J72" s="1075"/>
      <c r="K72" s="597">
        <v>7.1788</v>
      </c>
      <c r="L72" s="708" t="s">
        <v>1949</v>
      </c>
      <c r="M72" s="638" t="s">
        <v>1950</v>
      </c>
      <c r="N72" s="974"/>
      <c r="O72" s="1036" t="s">
        <v>1951</v>
      </c>
      <c r="P72" s="744"/>
      <c r="Q72" s="572"/>
      <c r="R72" s="744"/>
      <c r="S72" s="754"/>
    </row>
    <row r="73" s="10" customFormat="1" ht="16.5" spans="1:19">
      <c r="A73" s="250"/>
      <c r="B73" s="541"/>
      <c r="C73" s="544"/>
      <c r="D73" s="545"/>
      <c r="E73" s="541"/>
      <c r="F73" s="764" t="s">
        <v>1952</v>
      </c>
      <c r="G73" s="762">
        <v>31850</v>
      </c>
      <c r="H73" s="567">
        <f t="shared" ref="H73:H89" si="6">G73*K73</f>
        <v>228644.78</v>
      </c>
      <c r="I73" s="577"/>
      <c r="J73" s="577"/>
      <c r="K73" s="597">
        <v>7.1788</v>
      </c>
      <c r="L73" s="708" t="s">
        <v>1949</v>
      </c>
      <c r="M73" s="638" t="s">
        <v>1950</v>
      </c>
      <c r="N73" s="974"/>
      <c r="O73" s="1037"/>
      <c r="P73" s="744"/>
      <c r="Q73" s="572"/>
      <c r="R73" s="744"/>
      <c r="S73" s="754"/>
    </row>
    <row r="74" s="10" customFormat="1" ht="16.5" spans="1:19">
      <c r="A74" s="250"/>
      <c r="B74" s="541"/>
      <c r="C74" s="544"/>
      <c r="D74" s="545"/>
      <c r="E74" s="541"/>
      <c r="F74" s="764" t="s">
        <v>1953</v>
      </c>
      <c r="G74" s="762">
        <v>31850</v>
      </c>
      <c r="H74" s="567">
        <f t="shared" si="6"/>
        <v>228644.78</v>
      </c>
      <c r="I74" s="577"/>
      <c r="J74" s="577"/>
      <c r="K74" s="597">
        <v>7.1788</v>
      </c>
      <c r="L74" s="708" t="s">
        <v>1949</v>
      </c>
      <c r="M74" s="638" t="s">
        <v>1950</v>
      </c>
      <c r="N74" s="974"/>
      <c r="O74" s="1037"/>
      <c r="P74" s="744"/>
      <c r="Q74" s="572"/>
      <c r="R74" s="744"/>
      <c r="S74" s="754"/>
    </row>
    <row r="75" s="10" customFormat="1" ht="16.5" spans="1:19">
      <c r="A75" s="250"/>
      <c r="B75" s="541"/>
      <c r="C75" s="544"/>
      <c r="D75" s="545"/>
      <c r="E75" s="541"/>
      <c r="F75" s="764" t="s">
        <v>3207</v>
      </c>
      <c r="G75" s="762">
        <v>31850</v>
      </c>
      <c r="H75" s="567">
        <f t="shared" si="6"/>
        <v>228644.78</v>
      </c>
      <c r="I75" s="577"/>
      <c r="J75" s="577"/>
      <c r="K75" s="597">
        <v>7.1788</v>
      </c>
      <c r="L75" s="708" t="s">
        <v>3208</v>
      </c>
      <c r="M75" s="638" t="s">
        <v>3209</v>
      </c>
      <c r="N75" s="974"/>
      <c r="O75" s="740" t="s">
        <v>3210</v>
      </c>
      <c r="P75" s="744"/>
      <c r="Q75" s="572"/>
      <c r="R75" s="744"/>
      <c r="S75" s="754"/>
    </row>
    <row r="76" s="10" customFormat="1" ht="16.5" spans="1:19">
      <c r="A76" s="250"/>
      <c r="B76" s="541"/>
      <c r="C76" s="544"/>
      <c r="D76" s="545"/>
      <c r="E76" s="541"/>
      <c r="F76" s="764" t="s">
        <v>3211</v>
      </c>
      <c r="G76" s="762">
        <v>31850</v>
      </c>
      <c r="H76" s="567">
        <f t="shared" si="6"/>
        <v>228644.78</v>
      </c>
      <c r="I76" s="735"/>
      <c r="J76" s="735"/>
      <c r="K76" s="597">
        <v>7.1788</v>
      </c>
      <c r="L76" s="708" t="s">
        <v>2432</v>
      </c>
      <c r="M76" s="638" t="s">
        <v>3209</v>
      </c>
      <c r="N76" s="974"/>
      <c r="O76" s="740" t="s">
        <v>3212</v>
      </c>
      <c r="P76" s="744"/>
      <c r="Q76" s="572"/>
      <c r="R76" s="744"/>
      <c r="S76" s="754"/>
    </row>
    <row r="77" s="10" customFormat="1" ht="16.5" spans="1:19">
      <c r="A77" s="250"/>
      <c r="B77" s="541"/>
      <c r="C77" s="544"/>
      <c r="D77" s="545"/>
      <c r="E77" s="541"/>
      <c r="F77" s="764" t="s">
        <v>3213</v>
      </c>
      <c r="G77" s="762">
        <v>31850</v>
      </c>
      <c r="H77" s="567">
        <f t="shared" si="6"/>
        <v>228644.78</v>
      </c>
      <c r="I77" s="735"/>
      <c r="J77" s="735"/>
      <c r="K77" s="597">
        <v>7.1788</v>
      </c>
      <c r="L77" s="708" t="s">
        <v>2432</v>
      </c>
      <c r="M77" s="638" t="s">
        <v>3209</v>
      </c>
      <c r="N77" s="974"/>
      <c r="O77" s="740" t="s">
        <v>3212</v>
      </c>
      <c r="P77" s="744"/>
      <c r="Q77" s="572"/>
      <c r="R77" s="744"/>
      <c r="S77" s="754"/>
    </row>
    <row r="78" s="10" customFormat="1" ht="16.5" spans="1:19">
      <c r="A78" s="250"/>
      <c r="B78" s="541"/>
      <c r="C78" s="544"/>
      <c r="D78" s="545"/>
      <c r="E78" s="541"/>
      <c r="F78" s="764" t="s">
        <v>2431</v>
      </c>
      <c r="G78" s="762">
        <v>31850</v>
      </c>
      <c r="H78" s="567">
        <f t="shared" si="6"/>
        <v>228644.78</v>
      </c>
      <c r="I78" s="735"/>
      <c r="J78" s="735"/>
      <c r="K78" s="597">
        <v>7.1788</v>
      </c>
      <c r="L78" s="708" t="s">
        <v>2432</v>
      </c>
      <c r="M78" s="638" t="s">
        <v>3214</v>
      </c>
      <c r="N78" s="974"/>
      <c r="O78" s="740" t="s">
        <v>3212</v>
      </c>
      <c r="P78" s="744"/>
      <c r="Q78" s="572"/>
      <c r="R78" s="744"/>
      <c r="S78" s="754"/>
    </row>
    <row r="79" s="10" customFormat="1" ht="16.5" spans="1:19">
      <c r="A79" s="250"/>
      <c r="B79" s="541"/>
      <c r="C79" s="544"/>
      <c r="D79" s="545"/>
      <c r="E79" s="541"/>
      <c r="F79" s="764" t="s">
        <v>2435</v>
      </c>
      <c r="G79" s="762">
        <v>31850</v>
      </c>
      <c r="H79" s="567">
        <f t="shared" si="6"/>
        <v>228644.78</v>
      </c>
      <c r="I79" s="735"/>
      <c r="J79" s="735"/>
      <c r="K79" s="597">
        <v>7.1788</v>
      </c>
      <c r="L79" s="708" t="s">
        <v>2432</v>
      </c>
      <c r="M79" s="638" t="s">
        <v>3214</v>
      </c>
      <c r="N79" s="974"/>
      <c r="O79" s="740" t="s">
        <v>3212</v>
      </c>
      <c r="P79" s="744"/>
      <c r="Q79" s="572"/>
      <c r="R79" s="744"/>
      <c r="S79" s="754"/>
    </row>
    <row r="80" s="10" customFormat="1" ht="16.5" spans="1:19">
      <c r="A80" s="250"/>
      <c r="B80" s="541"/>
      <c r="C80" s="544"/>
      <c r="D80" s="545"/>
      <c r="E80" s="541"/>
      <c r="F80" s="764" t="s">
        <v>2436</v>
      </c>
      <c r="G80" s="762">
        <v>31850</v>
      </c>
      <c r="H80" s="567">
        <f t="shared" si="6"/>
        <v>228644.78</v>
      </c>
      <c r="I80" s="735"/>
      <c r="J80" s="735"/>
      <c r="K80" s="597">
        <v>7.1788</v>
      </c>
      <c r="L80" s="708" t="s">
        <v>2432</v>
      </c>
      <c r="M80" s="638" t="s">
        <v>3214</v>
      </c>
      <c r="N80" s="974"/>
      <c r="O80" s="740" t="s">
        <v>3212</v>
      </c>
      <c r="P80" s="744"/>
      <c r="Q80" s="572"/>
      <c r="R80" s="744"/>
      <c r="S80" s="754"/>
    </row>
    <row r="81" s="10" customFormat="1" ht="16.5" spans="1:19">
      <c r="A81" s="250"/>
      <c r="B81" s="541"/>
      <c r="C81" s="544"/>
      <c r="D81" s="545"/>
      <c r="E81" s="541"/>
      <c r="F81" s="763" t="s">
        <v>1920</v>
      </c>
      <c r="G81" s="725">
        <v>39480</v>
      </c>
      <c r="H81" s="567">
        <f t="shared" si="6"/>
        <v>283419.024</v>
      </c>
      <c r="I81" s="735"/>
      <c r="J81" s="735"/>
      <c r="K81" s="597">
        <v>7.1788</v>
      </c>
      <c r="L81" s="708" t="s">
        <v>1251</v>
      </c>
      <c r="M81" s="638" t="s">
        <v>3209</v>
      </c>
      <c r="N81" s="974"/>
      <c r="O81" s="740" t="s">
        <v>1955</v>
      </c>
      <c r="P81" s="744"/>
      <c r="Q81" s="572"/>
      <c r="R81" s="744"/>
      <c r="S81" s="754"/>
    </row>
    <row r="82" s="10" customFormat="1" ht="16.5" spans="1:19">
      <c r="A82" s="250"/>
      <c r="B82" s="541"/>
      <c r="C82" s="544"/>
      <c r="D82" s="545"/>
      <c r="E82" s="541"/>
      <c r="F82" s="763" t="s">
        <v>1954</v>
      </c>
      <c r="G82" s="725">
        <v>39480</v>
      </c>
      <c r="H82" s="567">
        <f t="shared" si="6"/>
        <v>283419.024</v>
      </c>
      <c r="I82" s="735"/>
      <c r="J82" s="735"/>
      <c r="K82" s="597">
        <v>7.1788</v>
      </c>
      <c r="L82" s="708" t="s">
        <v>1251</v>
      </c>
      <c r="M82" s="638" t="s">
        <v>3209</v>
      </c>
      <c r="N82" s="974"/>
      <c r="O82" s="740" t="s">
        <v>1955</v>
      </c>
      <c r="P82" s="744"/>
      <c r="Q82" s="572"/>
      <c r="R82" s="744"/>
      <c r="S82" s="754"/>
    </row>
    <row r="83" s="10" customFormat="1" ht="16.5" spans="1:19">
      <c r="A83" s="250"/>
      <c r="B83" s="541"/>
      <c r="C83" s="544"/>
      <c r="D83" s="545"/>
      <c r="E83" s="541"/>
      <c r="F83" s="764" t="s">
        <v>2444</v>
      </c>
      <c r="G83" s="576">
        <v>41250</v>
      </c>
      <c r="H83" s="567">
        <f t="shared" si="6"/>
        <v>296125.5</v>
      </c>
      <c r="I83" s="766"/>
      <c r="J83" s="766"/>
      <c r="K83" s="597">
        <v>7.1788</v>
      </c>
      <c r="L83" s="598" t="s">
        <v>1961</v>
      </c>
      <c r="M83" s="638" t="s">
        <v>3215</v>
      </c>
      <c r="N83" s="974"/>
      <c r="O83" s="740" t="s">
        <v>3216</v>
      </c>
      <c r="P83" s="744"/>
      <c r="Q83" s="572"/>
      <c r="R83" s="744"/>
      <c r="S83" s="754"/>
    </row>
    <row r="84" s="10" customFormat="1" ht="16.5" spans="1:19">
      <c r="A84" s="250"/>
      <c r="B84" s="541"/>
      <c r="C84" s="544"/>
      <c r="D84" s="545"/>
      <c r="E84" s="541"/>
      <c r="F84" s="764" t="s">
        <v>2446</v>
      </c>
      <c r="G84" s="576">
        <v>41250</v>
      </c>
      <c r="H84" s="567">
        <f t="shared" si="6"/>
        <v>296125.5</v>
      </c>
      <c r="I84" s="766"/>
      <c r="J84" s="766"/>
      <c r="K84" s="597">
        <v>7.1788</v>
      </c>
      <c r="L84" s="598" t="s">
        <v>1961</v>
      </c>
      <c r="M84" s="638" t="s">
        <v>3217</v>
      </c>
      <c r="N84" s="974"/>
      <c r="O84" s="740" t="s">
        <v>3218</v>
      </c>
      <c r="P84" s="744"/>
      <c r="Q84" s="572"/>
      <c r="R84" s="744"/>
      <c r="S84" s="754"/>
    </row>
    <row r="85" s="10" customFormat="1" ht="16.5" spans="1:19">
      <c r="A85" s="250"/>
      <c r="B85" s="541"/>
      <c r="C85" s="542" t="s">
        <v>1922</v>
      </c>
      <c r="D85" s="545"/>
      <c r="E85" s="571" t="s">
        <v>97</v>
      </c>
      <c r="F85" s="724" t="s">
        <v>2447</v>
      </c>
      <c r="G85" s="725">
        <v>43525</v>
      </c>
      <c r="H85" s="567">
        <f t="shared" si="6"/>
        <v>312457.27</v>
      </c>
      <c r="I85" s="735"/>
      <c r="J85" s="735"/>
      <c r="K85" s="597">
        <v>7.1788</v>
      </c>
      <c r="L85" s="598" t="s">
        <v>3219</v>
      </c>
      <c r="M85" s="636" t="s">
        <v>3220</v>
      </c>
      <c r="N85" s="975"/>
      <c r="O85" s="740" t="s">
        <v>3221</v>
      </c>
      <c r="P85" s="744"/>
      <c r="Q85" s="572"/>
      <c r="R85" s="744"/>
      <c r="S85" s="754"/>
    </row>
    <row r="86" s="10" customFormat="1" ht="16.5" spans="1:19">
      <c r="A86" s="250"/>
      <c r="B86" s="541"/>
      <c r="C86" s="544"/>
      <c r="D86" s="545"/>
      <c r="E86" s="571" t="s">
        <v>287</v>
      </c>
      <c r="F86" s="724" t="s">
        <v>3222</v>
      </c>
      <c r="G86" s="725">
        <v>5926</v>
      </c>
      <c r="H86" s="567">
        <f t="shared" si="6"/>
        <v>42541.5688</v>
      </c>
      <c r="I86" s="735"/>
      <c r="J86" s="735"/>
      <c r="K86" s="597">
        <v>7.1788</v>
      </c>
      <c r="L86" s="598" t="s">
        <v>3223</v>
      </c>
      <c r="M86" s="636" t="s">
        <v>3224</v>
      </c>
      <c r="N86" s="966"/>
      <c r="O86" s="740" t="s">
        <v>3225</v>
      </c>
      <c r="P86" s="744"/>
      <c r="Q86" s="572"/>
      <c r="R86" s="744"/>
      <c r="S86" s="754"/>
    </row>
    <row r="87" s="10" customFormat="1" ht="18.75" customHeight="1" spans="1:19">
      <c r="A87" s="568"/>
      <c r="B87" s="541"/>
      <c r="C87" s="666" t="s">
        <v>209</v>
      </c>
      <c r="D87" s="545"/>
      <c r="E87" s="561" t="s">
        <v>274</v>
      </c>
      <c r="F87" s="724" t="s">
        <v>1971</v>
      </c>
      <c r="G87" s="725">
        <v>50000</v>
      </c>
      <c r="H87" s="567">
        <f t="shared" si="6"/>
        <v>358940</v>
      </c>
      <c r="I87" s="735"/>
      <c r="J87" s="735"/>
      <c r="K87" s="597">
        <v>7.1788</v>
      </c>
      <c r="L87" s="598" t="s">
        <v>1218</v>
      </c>
      <c r="M87" s="636" t="s">
        <v>3226</v>
      </c>
      <c r="N87" s="975"/>
      <c r="O87" s="740" t="s">
        <v>3227</v>
      </c>
      <c r="P87" s="250"/>
      <c r="Q87" s="751"/>
      <c r="R87" s="755"/>
      <c r="S87" s="756"/>
    </row>
    <row r="88" s="10" customFormat="1" ht="16.5" spans="1:19">
      <c r="A88" s="250"/>
      <c r="B88" s="541"/>
      <c r="C88" s="556"/>
      <c r="D88" s="545"/>
      <c r="E88" s="571" t="s">
        <v>1934</v>
      </c>
      <c r="F88" s="904" t="s">
        <v>3228</v>
      </c>
      <c r="G88" s="722">
        <v>80000</v>
      </c>
      <c r="H88" s="567">
        <f t="shared" si="6"/>
        <v>574304</v>
      </c>
      <c r="I88" s="735"/>
      <c r="J88" s="735"/>
      <c r="K88" s="597">
        <v>7.1788</v>
      </c>
      <c r="L88" s="598" t="s">
        <v>1961</v>
      </c>
      <c r="M88" s="636" t="s">
        <v>1950</v>
      </c>
      <c r="N88" s="975"/>
      <c r="O88" s="740" t="s">
        <v>3229</v>
      </c>
      <c r="P88" s="744"/>
      <c r="Q88" s="572"/>
      <c r="R88" s="744"/>
      <c r="S88" s="754"/>
    </row>
    <row r="89" s="10" customFormat="1" ht="18.75" customHeight="1" spans="1:19">
      <c r="A89" s="568"/>
      <c r="B89" s="541"/>
      <c r="C89" s="670"/>
      <c r="D89" s="545"/>
      <c r="E89" s="568" t="s">
        <v>2476</v>
      </c>
      <c r="F89" s="904" t="s">
        <v>3230</v>
      </c>
      <c r="G89" s="722">
        <v>30000</v>
      </c>
      <c r="H89" s="567">
        <f t="shared" si="6"/>
        <v>215364</v>
      </c>
      <c r="I89" s="735"/>
      <c r="J89" s="735"/>
      <c r="K89" s="597">
        <v>7.1788</v>
      </c>
      <c r="L89" s="598" t="s">
        <v>1218</v>
      </c>
      <c r="M89" s="636" t="s">
        <v>1950</v>
      </c>
      <c r="N89" s="975"/>
      <c r="O89" s="740" t="s">
        <v>3231</v>
      </c>
      <c r="P89" s="250"/>
      <c r="Q89" s="751"/>
      <c r="R89" s="755"/>
      <c r="S89" s="756"/>
    </row>
    <row r="90" s="10" customFormat="1" ht="18.75" customHeight="1" spans="1:19">
      <c r="A90" s="568"/>
      <c r="B90" s="541"/>
      <c r="C90" s="568" t="s">
        <v>1437</v>
      </c>
      <c r="D90" s="547"/>
      <c r="E90" s="568"/>
      <c r="F90" s="568"/>
      <c r="G90" s="568"/>
      <c r="H90" s="596"/>
      <c r="I90" s="766"/>
      <c r="J90" s="766"/>
      <c r="K90" s="597"/>
      <c r="L90" s="598"/>
      <c r="M90" s="682"/>
      <c r="N90" s="976"/>
      <c r="O90" s="740"/>
      <c r="P90" s="250"/>
      <c r="Q90" s="751"/>
      <c r="R90" s="755"/>
      <c r="S90" s="756"/>
    </row>
    <row r="91" s="10" customFormat="1" ht="18.75" customHeight="1" spans="1:19">
      <c r="A91" s="568"/>
      <c r="B91" s="672"/>
      <c r="C91" s="757" t="s">
        <v>1874</v>
      </c>
      <c r="D91" s="758"/>
      <c r="E91" s="758"/>
      <c r="F91" s="758"/>
      <c r="G91" s="760"/>
      <c r="H91" s="761">
        <f>SUM(H72:H90)</f>
        <v>4720498.9068</v>
      </c>
      <c r="I91" s="766"/>
      <c r="J91" s="766"/>
      <c r="K91" s="597"/>
      <c r="L91" s="598"/>
      <c r="M91" s="682"/>
      <c r="N91" s="976"/>
      <c r="O91" s="740"/>
      <c r="P91" s="250"/>
      <c r="Q91" s="751"/>
      <c r="R91" s="755"/>
      <c r="S91" s="756"/>
    </row>
    <row r="92" s="10" customFormat="1" ht="18.75" customHeight="1" spans="1:19">
      <c r="A92" s="568"/>
      <c r="B92" s="564" t="s">
        <v>1875</v>
      </c>
      <c r="C92" s="664" t="s">
        <v>1248</v>
      </c>
      <c r="D92" s="557" t="s">
        <v>1125</v>
      </c>
      <c r="E92" s="655" t="s">
        <v>1405</v>
      </c>
      <c r="F92" s="561" t="s">
        <v>1962</v>
      </c>
      <c r="G92" s="725">
        <v>20000</v>
      </c>
      <c r="H92" s="567">
        <f t="shared" ref="H92:H102" si="7">G92*K92</f>
        <v>143576</v>
      </c>
      <c r="I92" s="735"/>
      <c r="J92" s="735"/>
      <c r="K92" s="597">
        <v>7.1788</v>
      </c>
      <c r="L92" s="598" t="s">
        <v>1218</v>
      </c>
      <c r="M92" s="636" t="s">
        <v>621</v>
      </c>
      <c r="N92" s="975"/>
      <c r="O92" s="740" t="s">
        <v>1963</v>
      </c>
      <c r="P92" s="250"/>
      <c r="Q92" s="751"/>
      <c r="R92" s="755"/>
      <c r="S92" s="756"/>
    </row>
    <row r="93" s="10" customFormat="1" ht="18.75" customHeight="1" spans="1:19">
      <c r="A93" s="568"/>
      <c r="B93" s="721"/>
      <c r="C93" s="664" t="s">
        <v>1922</v>
      </c>
      <c r="D93" s="557"/>
      <c r="E93" s="571" t="s">
        <v>1169</v>
      </c>
      <c r="F93" s="904" t="s">
        <v>1964</v>
      </c>
      <c r="G93" s="722">
        <v>30000</v>
      </c>
      <c r="H93" s="567">
        <f t="shared" si="7"/>
        <v>215364</v>
      </c>
      <c r="I93" s="735"/>
      <c r="J93" s="735"/>
      <c r="K93" s="597">
        <v>7.1788</v>
      </c>
      <c r="L93" s="598" t="s">
        <v>1218</v>
      </c>
      <c r="M93" s="636" t="s">
        <v>621</v>
      </c>
      <c r="N93" s="975"/>
      <c r="O93" s="740" t="s">
        <v>1963</v>
      </c>
      <c r="P93" s="250"/>
      <c r="Q93" s="751"/>
      <c r="R93" s="755"/>
      <c r="S93" s="756"/>
    </row>
    <row r="94" s="10" customFormat="1" ht="18.75" customHeight="1" spans="1:19">
      <c r="A94" s="568"/>
      <c r="B94" s="721"/>
      <c r="C94" s="664"/>
      <c r="D94" s="557"/>
      <c r="E94" s="571" t="s">
        <v>324</v>
      </c>
      <c r="F94" s="904" t="s">
        <v>2450</v>
      </c>
      <c r="G94" s="722">
        <v>31416</v>
      </c>
      <c r="H94" s="567">
        <f t="shared" si="7"/>
        <v>225529.1808</v>
      </c>
      <c r="I94" s="735"/>
      <c r="J94" s="735"/>
      <c r="K94" s="597">
        <v>7.1788</v>
      </c>
      <c r="L94" s="598" t="s">
        <v>1966</v>
      </c>
      <c r="M94" s="636" t="s">
        <v>621</v>
      </c>
      <c r="N94" s="975"/>
      <c r="O94" s="740" t="s">
        <v>1963</v>
      </c>
      <c r="P94" s="250"/>
      <c r="Q94" s="751"/>
      <c r="R94" s="755"/>
      <c r="S94" s="756"/>
    </row>
    <row r="95" s="10" customFormat="1" ht="18.75" customHeight="1" spans="1:19">
      <c r="A95" s="568"/>
      <c r="B95" s="721"/>
      <c r="C95" s="664"/>
      <c r="D95" s="557"/>
      <c r="E95" s="568" t="s">
        <v>167</v>
      </c>
      <c r="F95" s="904" t="s">
        <v>1967</v>
      </c>
      <c r="G95" s="722">
        <v>20000</v>
      </c>
      <c r="H95" s="567">
        <f t="shared" si="7"/>
        <v>143576</v>
      </c>
      <c r="I95" s="735"/>
      <c r="J95" s="735"/>
      <c r="K95" s="597">
        <v>7.1788</v>
      </c>
      <c r="L95" s="598" t="s">
        <v>1218</v>
      </c>
      <c r="M95" s="636" t="s">
        <v>621</v>
      </c>
      <c r="N95" s="975"/>
      <c r="O95" s="740" t="s">
        <v>1963</v>
      </c>
      <c r="P95" s="250"/>
      <c r="Q95" s="751"/>
      <c r="R95" s="755"/>
      <c r="S95" s="756"/>
    </row>
    <row r="96" s="10" customFormat="1" ht="18.75" customHeight="1" spans="1:19">
      <c r="A96" s="568"/>
      <c r="B96" s="721"/>
      <c r="C96" s="664"/>
      <c r="D96" s="557"/>
      <c r="E96" s="568" t="s">
        <v>165</v>
      </c>
      <c r="F96" s="904" t="s">
        <v>1968</v>
      </c>
      <c r="G96" s="722">
        <v>30000</v>
      </c>
      <c r="H96" s="567">
        <f t="shared" si="7"/>
        <v>215364</v>
      </c>
      <c r="I96" s="735"/>
      <c r="J96" s="735"/>
      <c r="K96" s="597">
        <v>7.1788</v>
      </c>
      <c r="L96" s="598" t="s">
        <v>1218</v>
      </c>
      <c r="M96" s="636" t="s">
        <v>621</v>
      </c>
      <c r="N96" s="975"/>
      <c r="O96" s="740" t="s">
        <v>1963</v>
      </c>
      <c r="P96" s="250"/>
      <c r="Q96" s="751"/>
      <c r="R96" s="755"/>
      <c r="S96" s="756"/>
    </row>
    <row r="97" s="10" customFormat="1" ht="18.75" customHeight="1" spans="1:19">
      <c r="A97" s="568"/>
      <c r="B97" s="721"/>
      <c r="C97" s="556" t="s">
        <v>209</v>
      </c>
      <c r="D97" s="557"/>
      <c r="E97" s="568" t="s">
        <v>1934</v>
      </c>
      <c r="F97" s="903" t="s">
        <v>1973</v>
      </c>
      <c r="G97" s="725">
        <v>400000</v>
      </c>
      <c r="H97" s="567">
        <f t="shared" si="7"/>
        <v>2851320</v>
      </c>
      <c r="I97" s="735"/>
      <c r="J97" s="735"/>
      <c r="K97" s="597">
        <v>7.1283</v>
      </c>
      <c r="L97" s="598" t="s">
        <v>1218</v>
      </c>
      <c r="M97" s="636" t="s">
        <v>621</v>
      </c>
      <c r="N97" s="975"/>
      <c r="O97" s="740" t="s">
        <v>3232</v>
      </c>
      <c r="P97" s="250"/>
      <c r="Q97" s="751"/>
      <c r="R97" s="755"/>
      <c r="S97" s="756"/>
    </row>
    <row r="98" s="10" customFormat="1" ht="18.75" customHeight="1" spans="1:19">
      <c r="A98" s="568"/>
      <c r="B98" s="721"/>
      <c r="C98" s="556"/>
      <c r="D98" s="557"/>
      <c r="E98" s="568" t="s">
        <v>1974</v>
      </c>
      <c r="F98" s="904" t="s">
        <v>1975</v>
      </c>
      <c r="G98" s="722">
        <v>30000</v>
      </c>
      <c r="H98" s="567">
        <f t="shared" si="7"/>
        <v>215364</v>
      </c>
      <c r="I98" s="735"/>
      <c r="J98" s="735"/>
      <c r="K98" s="597">
        <v>7.1788</v>
      </c>
      <c r="L98" s="598" t="s">
        <v>1966</v>
      </c>
      <c r="M98" s="636" t="s">
        <v>621</v>
      </c>
      <c r="N98" s="975"/>
      <c r="O98" s="740" t="s">
        <v>3233</v>
      </c>
      <c r="P98" s="250"/>
      <c r="Q98" s="751"/>
      <c r="R98" s="755"/>
      <c r="S98" s="756"/>
    </row>
    <row r="99" s="10" customFormat="1" ht="18.75" customHeight="1" spans="1:19">
      <c r="A99" s="568"/>
      <c r="B99" s="721"/>
      <c r="C99" s="556"/>
      <c r="D99" s="557"/>
      <c r="E99" s="568" t="s">
        <v>1408</v>
      </c>
      <c r="F99" s="724" t="s">
        <v>1976</v>
      </c>
      <c r="G99" s="725">
        <v>30000</v>
      </c>
      <c r="H99" s="567">
        <f t="shared" si="7"/>
        <v>215364</v>
      </c>
      <c r="I99" s="735"/>
      <c r="J99" s="735"/>
      <c r="K99" s="597">
        <v>7.1788</v>
      </c>
      <c r="L99" s="598" t="s">
        <v>1218</v>
      </c>
      <c r="M99" s="636" t="s">
        <v>621</v>
      </c>
      <c r="N99" s="975"/>
      <c r="O99" s="740" t="s">
        <v>1977</v>
      </c>
      <c r="P99" s="250"/>
      <c r="Q99" s="751"/>
      <c r="R99" s="755"/>
      <c r="S99" s="756"/>
    </row>
    <row r="100" s="10" customFormat="1" ht="18.75" customHeight="1" spans="1:19">
      <c r="A100" s="568"/>
      <c r="B100" s="721"/>
      <c r="C100" s="556"/>
      <c r="D100" s="557"/>
      <c r="E100" s="568" t="s">
        <v>2476</v>
      </c>
      <c r="F100" s="904" t="s">
        <v>2477</v>
      </c>
      <c r="G100" s="722">
        <v>70000</v>
      </c>
      <c r="H100" s="567">
        <f t="shared" si="7"/>
        <v>502516</v>
      </c>
      <c r="I100" s="735"/>
      <c r="J100" s="735"/>
      <c r="K100" s="597">
        <v>7.1788</v>
      </c>
      <c r="L100" s="598" t="s">
        <v>1218</v>
      </c>
      <c r="M100" s="636" t="s">
        <v>621</v>
      </c>
      <c r="N100" s="975"/>
      <c r="O100" s="740" t="s">
        <v>3234</v>
      </c>
      <c r="P100" s="250"/>
      <c r="Q100" s="751"/>
      <c r="R100" s="755"/>
      <c r="S100" s="756"/>
    </row>
    <row r="101" s="10" customFormat="1" ht="18.75" customHeight="1" spans="1:19">
      <c r="A101" s="568"/>
      <c r="B101" s="721"/>
      <c r="C101" s="556"/>
      <c r="D101" s="557"/>
      <c r="E101" s="568" t="s">
        <v>1418</v>
      </c>
      <c r="F101" s="1055" t="s">
        <v>1981</v>
      </c>
      <c r="G101" s="722">
        <v>13000</v>
      </c>
      <c r="H101" s="567">
        <f t="shared" si="7"/>
        <v>93324.4</v>
      </c>
      <c r="I101" s="735"/>
      <c r="J101" s="735"/>
      <c r="K101" s="597">
        <v>7.1788</v>
      </c>
      <c r="L101" s="598" t="s">
        <v>1218</v>
      </c>
      <c r="M101" s="636" t="s">
        <v>621</v>
      </c>
      <c r="N101" s="975"/>
      <c r="O101" s="740" t="s">
        <v>3235</v>
      </c>
      <c r="P101" s="250"/>
      <c r="Q101" s="751"/>
      <c r="R101" s="755"/>
      <c r="S101" s="756"/>
    </row>
    <row r="102" s="10" customFormat="1" ht="16.5" spans="1:19">
      <c r="A102" s="568"/>
      <c r="B102" s="721"/>
      <c r="C102" s="716" t="s">
        <v>1437</v>
      </c>
      <c r="D102" s="557"/>
      <c r="E102" s="542" t="s">
        <v>1340</v>
      </c>
      <c r="F102" s="971" t="s">
        <v>1982</v>
      </c>
      <c r="G102" s="725">
        <v>30000</v>
      </c>
      <c r="H102" s="567">
        <f t="shared" si="7"/>
        <v>215364</v>
      </c>
      <c r="I102" s="577"/>
      <c r="J102" s="735"/>
      <c r="K102" s="597">
        <v>7.1788</v>
      </c>
      <c r="L102" s="708" t="s">
        <v>1251</v>
      </c>
      <c r="M102" s="636" t="s">
        <v>621</v>
      </c>
      <c r="N102" s="975"/>
      <c r="O102" s="740" t="s">
        <v>3236</v>
      </c>
      <c r="P102" s="623"/>
      <c r="Q102" s="655"/>
      <c r="R102" s="656"/>
      <c r="S102" s="754"/>
    </row>
    <row r="103" s="10" customFormat="1" ht="16.5" spans="1:19">
      <c r="A103" s="568"/>
      <c r="B103" s="673"/>
      <c r="C103" s="652" t="s">
        <v>1874</v>
      </c>
      <c r="D103" s="652"/>
      <c r="E103" s="652"/>
      <c r="F103" s="652"/>
      <c r="G103" s="652"/>
      <c r="H103" s="782">
        <f>SUM(H92:H102)</f>
        <v>5036661.5808</v>
      </c>
      <c r="I103" s="782"/>
      <c r="J103" s="782"/>
      <c r="K103" s="614"/>
      <c r="L103" s="610"/>
      <c r="M103" s="644"/>
      <c r="N103" s="644"/>
      <c r="O103" s="1013"/>
      <c r="P103" s="623"/>
      <c r="Q103" s="655"/>
      <c r="R103" s="656"/>
      <c r="S103" s="754"/>
    </row>
    <row r="104" s="536" customFormat="1" ht="38.95" customHeight="1" spans="1:19">
      <c r="A104" s="537" t="s">
        <v>1092</v>
      </c>
      <c r="B104" s="537" t="s">
        <v>1820</v>
      </c>
      <c r="C104" s="538" t="s">
        <v>1946</v>
      </c>
      <c r="D104" s="539" t="s">
        <v>1821</v>
      </c>
      <c r="E104" s="539" t="s">
        <v>1822</v>
      </c>
      <c r="F104" s="558" t="s">
        <v>1095</v>
      </c>
      <c r="G104" s="559" t="s">
        <v>362</v>
      </c>
      <c r="H104" s="560" t="s">
        <v>1716</v>
      </c>
      <c r="I104" s="560" t="s">
        <v>1717</v>
      </c>
      <c r="J104" s="560" t="s">
        <v>1718</v>
      </c>
      <c r="K104" s="594" t="s">
        <v>1866</v>
      </c>
      <c r="L104" s="595" t="s">
        <v>1098</v>
      </c>
      <c r="M104" s="619" t="s">
        <v>1097</v>
      </c>
      <c r="N104" s="619" t="s">
        <v>1214</v>
      </c>
      <c r="O104" s="1015" t="s">
        <v>1215</v>
      </c>
      <c r="P104" s="621" t="s">
        <v>7</v>
      </c>
      <c r="Q104" s="652" t="s">
        <v>8</v>
      </c>
      <c r="R104" s="653" t="s">
        <v>9</v>
      </c>
      <c r="S104" s="654" t="s">
        <v>1291</v>
      </c>
    </row>
    <row r="105" s="536" customFormat="1" ht="18.75" customHeight="1" spans="1:19">
      <c r="A105" s="564" t="s">
        <v>1984</v>
      </c>
      <c r="B105" s="568" t="s">
        <v>1824</v>
      </c>
      <c r="C105" s="666" t="s">
        <v>38</v>
      </c>
      <c r="D105" s="759">
        <v>149</v>
      </c>
      <c r="E105" s="250" t="s">
        <v>143</v>
      </c>
      <c r="F105" s="673" t="s">
        <v>1985</v>
      </c>
      <c r="G105" s="978">
        <v>11900</v>
      </c>
      <c r="H105" s="577">
        <f>G105*K105</f>
        <v>85427.72</v>
      </c>
      <c r="I105" s="577">
        <f>H105</f>
        <v>85427.72</v>
      </c>
      <c r="J105" s="567">
        <f>I105</f>
        <v>85427.72</v>
      </c>
      <c r="K105" s="597">
        <v>7.1788</v>
      </c>
      <c r="L105" s="708" t="s">
        <v>1251</v>
      </c>
      <c r="M105" s="633">
        <v>45184</v>
      </c>
      <c r="N105" s="633">
        <v>45189</v>
      </c>
      <c r="O105" s="937" t="s">
        <v>624</v>
      </c>
      <c r="P105" s="987"/>
      <c r="Q105" s="655"/>
      <c r="R105" s="664"/>
      <c r="S105" s="577"/>
    </row>
    <row r="106" s="10" customFormat="1" ht="16.5" spans="1:19">
      <c r="A106" s="1076"/>
      <c r="B106" s="721"/>
      <c r="C106" s="250"/>
      <c r="D106" s="545"/>
      <c r="E106" s="250" t="s">
        <v>143</v>
      </c>
      <c r="F106" s="250" t="s">
        <v>3237</v>
      </c>
      <c r="G106" s="725">
        <v>17993</v>
      </c>
      <c r="H106" s="577">
        <f>G106*K106</f>
        <v>129168.1484</v>
      </c>
      <c r="I106" s="567">
        <f>H106</f>
        <v>129168.1484</v>
      </c>
      <c r="J106" s="567"/>
      <c r="K106" s="597">
        <v>7.1788</v>
      </c>
      <c r="L106" s="625" t="s">
        <v>1251</v>
      </c>
      <c r="M106" s="598">
        <v>45192</v>
      </c>
      <c r="N106" s="618">
        <v>45197</v>
      </c>
      <c r="O106" s="937" t="s">
        <v>624</v>
      </c>
      <c r="P106" s="727"/>
      <c r="Q106" s="652"/>
      <c r="R106" s="727"/>
      <c r="S106" s="727"/>
    </row>
    <row r="107" s="10" customFormat="1" ht="16.5" spans="1:19">
      <c r="A107" s="1077"/>
      <c r="B107" s="721"/>
      <c r="C107" s="250"/>
      <c r="D107" s="545"/>
      <c r="E107" s="673" t="s">
        <v>143</v>
      </c>
      <c r="F107" s="250" t="s">
        <v>3238</v>
      </c>
      <c r="G107" s="725">
        <v>15670</v>
      </c>
      <c r="H107" s="577">
        <f>G107*K107</f>
        <v>112491.796</v>
      </c>
      <c r="I107" s="567">
        <f>H107</f>
        <v>112491.796</v>
      </c>
      <c r="J107" s="567"/>
      <c r="K107" s="597">
        <v>7.1788</v>
      </c>
      <c r="L107" s="625" t="s">
        <v>1218</v>
      </c>
      <c r="M107" s="598">
        <v>45191</v>
      </c>
      <c r="N107" s="618">
        <v>45198</v>
      </c>
      <c r="O107" s="994" t="s">
        <v>624</v>
      </c>
      <c r="P107" s="727"/>
      <c r="Q107" s="652"/>
      <c r="R107" s="727"/>
      <c r="S107" s="727"/>
    </row>
    <row r="108" s="10" customFormat="1" ht="16.5" spans="1:19">
      <c r="A108" s="721"/>
      <c r="B108" s="541"/>
      <c r="C108" s="250"/>
      <c r="D108" s="545"/>
      <c r="E108" s="547" t="s">
        <v>1224</v>
      </c>
      <c r="F108" s="715" t="s">
        <v>3239</v>
      </c>
      <c r="G108" s="715">
        <v>122325</v>
      </c>
      <c r="H108" s="839">
        <f>G108*K108</f>
        <v>878146.71</v>
      </c>
      <c r="I108" s="839">
        <f>H108</f>
        <v>878146.71</v>
      </c>
      <c r="J108" s="839">
        <f>I108</f>
        <v>878146.71</v>
      </c>
      <c r="K108" s="597">
        <v>7.1788</v>
      </c>
      <c r="L108" s="708" t="s">
        <v>1251</v>
      </c>
      <c r="M108" s="598">
        <v>45184</v>
      </c>
      <c r="N108" s="618">
        <v>45191</v>
      </c>
      <c r="O108" s="1012" t="s">
        <v>624</v>
      </c>
      <c r="P108" s="727"/>
      <c r="Q108" s="652"/>
      <c r="R108" s="727"/>
      <c r="S108" s="727"/>
    </row>
    <row r="109" s="10" customFormat="1" ht="19" customHeight="1" spans="1:19">
      <c r="A109" s="721"/>
      <c r="B109" s="568"/>
      <c r="C109" s="666" t="s">
        <v>1987</v>
      </c>
      <c r="D109" s="759">
        <v>41</v>
      </c>
      <c r="E109" s="250"/>
      <c r="F109" s="568"/>
      <c r="G109" s="969"/>
      <c r="H109" s="596"/>
      <c r="I109" s="596"/>
      <c r="J109" s="603"/>
      <c r="K109" s="597">
        <v>7.1788</v>
      </c>
      <c r="L109" s="598"/>
      <c r="M109" s="598"/>
      <c r="N109" s="1044"/>
      <c r="O109" s="1057"/>
      <c r="P109" s="572"/>
      <c r="Q109" s="874"/>
      <c r="R109" s="625"/>
      <c r="S109" s="631"/>
    </row>
    <row r="110" s="10" customFormat="1" ht="19" customHeight="1" spans="1:19">
      <c r="A110" s="721"/>
      <c r="B110" s="776"/>
      <c r="C110" s="664" t="s">
        <v>509</v>
      </c>
      <c r="D110" s="655">
        <v>180</v>
      </c>
      <c r="E110" s="250" t="s">
        <v>1991</v>
      </c>
      <c r="F110" s="250" t="s">
        <v>1992</v>
      </c>
      <c r="G110" s="1002">
        <v>65618</v>
      </c>
      <c r="H110" s="577">
        <v>464806</v>
      </c>
      <c r="I110" s="981">
        <f>H110</f>
        <v>464806</v>
      </c>
      <c r="J110" s="603"/>
      <c r="K110" s="597">
        <v>7.1788</v>
      </c>
      <c r="L110" s="598" t="s">
        <v>1218</v>
      </c>
      <c r="M110" s="598">
        <v>45196</v>
      </c>
      <c r="N110" s="625" t="s">
        <v>3240</v>
      </c>
      <c r="O110" s="1009" t="s">
        <v>3241</v>
      </c>
      <c r="P110" s="642"/>
      <c r="Q110" s="655"/>
      <c r="R110" s="664"/>
      <c r="S110" s="577"/>
    </row>
    <row r="111" s="10" customFormat="1" ht="16.5" spans="1:19">
      <c r="A111" s="721"/>
      <c r="B111" s="776"/>
      <c r="C111" s="666" t="s">
        <v>1393</v>
      </c>
      <c r="D111" s="759">
        <v>170</v>
      </c>
      <c r="E111" s="788" t="s">
        <v>660</v>
      </c>
      <c r="F111" s="568" t="s">
        <v>1993</v>
      </c>
      <c r="G111" s="979"/>
      <c r="H111" s="567"/>
      <c r="I111" s="567"/>
      <c r="J111" s="602"/>
      <c r="K111" s="597">
        <v>7.1788</v>
      </c>
      <c r="L111" s="598" t="s">
        <v>1218</v>
      </c>
      <c r="M111" s="645"/>
      <c r="N111" s="1080">
        <v>45191</v>
      </c>
      <c r="O111" s="740" t="s">
        <v>3242</v>
      </c>
      <c r="P111" s="572" t="s">
        <v>1995</v>
      </c>
      <c r="Q111" s="874"/>
      <c r="R111" s="664"/>
      <c r="S111" s="577"/>
    </row>
    <row r="112" s="10" customFormat="1" ht="16.5" spans="1:19">
      <c r="A112" s="721"/>
      <c r="B112" s="776"/>
      <c r="C112" s="556"/>
      <c r="D112" s="557"/>
      <c r="E112" s="1078" t="s">
        <v>258</v>
      </c>
      <c r="F112" s="788" t="s">
        <v>1998</v>
      </c>
      <c r="G112" s="979">
        <v>32760</v>
      </c>
      <c r="H112" s="567">
        <f t="shared" ref="H112:H115" si="8">G112*K112</f>
        <v>235177.488</v>
      </c>
      <c r="I112" s="577">
        <f t="shared" ref="I112:I115" si="9">G112*K112</f>
        <v>235177.488</v>
      </c>
      <c r="J112" s="577">
        <v>235177</v>
      </c>
      <c r="K112" s="597">
        <v>7.1788</v>
      </c>
      <c r="L112" s="856">
        <v>45128</v>
      </c>
      <c r="M112" s="1081">
        <v>45178</v>
      </c>
      <c r="N112" s="1081">
        <v>45184</v>
      </c>
      <c r="O112" s="740" t="s">
        <v>1999</v>
      </c>
      <c r="P112" s="572"/>
      <c r="Q112" s="874"/>
      <c r="R112" s="664"/>
      <c r="S112" s="577"/>
    </row>
    <row r="113" s="10" customFormat="1" ht="16.5" spans="1:19">
      <c r="A113" s="721"/>
      <c r="B113" s="776"/>
      <c r="C113" s="556"/>
      <c r="D113" s="557"/>
      <c r="E113" s="716" t="s">
        <v>1563</v>
      </c>
      <c r="F113" s="716" t="s">
        <v>3243</v>
      </c>
      <c r="G113" s="576">
        <v>12710</v>
      </c>
      <c r="H113" s="567">
        <f t="shared" si="8"/>
        <v>91242.548</v>
      </c>
      <c r="I113" s="577">
        <f t="shared" si="9"/>
        <v>91242.548</v>
      </c>
      <c r="J113" s="788"/>
      <c r="K113" s="597">
        <v>7.1788</v>
      </c>
      <c r="L113" s="598" t="s">
        <v>1218</v>
      </c>
      <c r="M113" s="1082">
        <v>45190</v>
      </c>
      <c r="N113" s="1061">
        <v>45198</v>
      </c>
      <c r="O113" s="937" t="s">
        <v>3244</v>
      </c>
      <c r="P113" s="572"/>
      <c r="Q113" s="874"/>
      <c r="R113" s="664"/>
      <c r="S113" s="577"/>
    </row>
    <row r="114" s="10" customFormat="1" ht="16.5" spans="1:19">
      <c r="A114" s="721"/>
      <c r="B114" s="776"/>
      <c r="C114" s="556"/>
      <c r="D114" s="557"/>
      <c r="E114" s="716" t="s">
        <v>2000</v>
      </c>
      <c r="F114" s="716" t="s">
        <v>2001</v>
      </c>
      <c r="G114" s="722">
        <v>30506</v>
      </c>
      <c r="H114" s="567">
        <f t="shared" si="8"/>
        <v>218996.4728</v>
      </c>
      <c r="I114" s="577">
        <f t="shared" si="9"/>
        <v>218996.4728</v>
      </c>
      <c r="J114" s="788"/>
      <c r="K114" s="597">
        <v>7.1788</v>
      </c>
      <c r="L114" s="598" t="s">
        <v>1218</v>
      </c>
      <c r="M114" s="1082">
        <v>45194</v>
      </c>
      <c r="N114" s="1061">
        <v>45198</v>
      </c>
      <c r="O114" s="937" t="s">
        <v>3245</v>
      </c>
      <c r="P114" s="572"/>
      <c r="Q114" s="874"/>
      <c r="R114" s="664"/>
      <c r="S114" s="577"/>
    </row>
    <row r="115" s="10" customFormat="1" ht="16.5" spans="1:19">
      <c r="A115" s="1066"/>
      <c r="B115" s="776"/>
      <c r="C115" s="670"/>
      <c r="D115" s="968"/>
      <c r="E115" s="788" t="s">
        <v>2000</v>
      </c>
      <c r="F115" s="788" t="s">
        <v>3124</v>
      </c>
      <c r="G115" s="722"/>
      <c r="H115" s="567"/>
      <c r="I115" s="567"/>
      <c r="J115" s="577">
        <v>308192</v>
      </c>
      <c r="K115" s="244">
        <v>7.1283</v>
      </c>
      <c r="L115" s="856" t="s">
        <v>1218</v>
      </c>
      <c r="M115" s="818">
        <v>0.275862068965517</v>
      </c>
      <c r="N115" s="1083">
        <v>45170</v>
      </c>
      <c r="O115" s="994" t="s">
        <v>3246</v>
      </c>
      <c r="P115" s="572"/>
      <c r="Q115" s="874"/>
      <c r="R115" s="664"/>
      <c r="S115" s="577"/>
    </row>
    <row r="116" s="10" customFormat="1" ht="16.5" spans="1:19">
      <c r="A116" s="721"/>
      <c r="B116" s="776"/>
      <c r="C116" s="556"/>
      <c r="D116" s="557"/>
      <c r="E116" s="788" t="s">
        <v>267</v>
      </c>
      <c r="F116" s="788" t="s">
        <v>1996</v>
      </c>
      <c r="G116" s="722">
        <v>37808</v>
      </c>
      <c r="H116" s="567">
        <f>G116*K116</f>
        <v>271416.0704</v>
      </c>
      <c r="I116" s="596">
        <f>G116*K116</f>
        <v>271416.0704</v>
      </c>
      <c r="J116" s="788"/>
      <c r="K116" s="597">
        <v>7.1788</v>
      </c>
      <c r="L116" s="598" t="s">
        <v>1218</v>
      </c>
      <c r="M116" s="1082">
        <v>45192</v>
      </c>
      <c r="N116" s="993">
        <v>45197</v>
      </c>
      <c r="O116" s="937" t="s">
        <v>3247</v>
      </c>
      <c r="P116" s="572"/>
      <c r="Q116" s="874"/>
      <c r="R116" s="664"/>
      <c r="S116" s="577"/>
    </row>
    <row r="117" s="10" customFormat="1" ht="16.5" spans="1:19">
      <c r="A117" s="721"/>
      <c r="B117" s="776"/>
      <c r="C117" s="556"/>
      <c r="D117" s="557"/>
      <c r="E117" s="788" t="s">
        <v>2003</v>
      </c>
      <c r="F117" s="788" t="s">
        <v>2004</v>
      </c>
      <c r="G117" s="1079"/>
      <c r="H117" s="567"/>
      <c r="I117" s="567"/>
      <c r="J117" s="577">
        <v>260939</v>
      </c>
      <c r="K117" s="597">
        <v>7.1788</v>
      </c>
      <c r="L117" s="856" t="s">
        <v>1218</v>
      </c>
      <c r="M117" s="1081">
        <v>45160</v>
      </c>
      <c r="N117" s="1061">
        <v>45170</v>
      </c>
      <c r="O117" s="937" t="s">
        <v>2005</v>
      </c>
      <c r="P117" s="572"/>
      <c r="Q117" s="874"/>
      <c r="R117" s="664"/>
      <c r="S117" s="577"/>
    </row>
    <row r="118" s="10" customFormat="1" ht="16.5" spans="1:19">
      <c r="A118" s="721"/>
      <c r="B118" s="568"/>
      <c r="C118" s="777" t="s">
        <v>1124</v>
      </c>
      <c r="D118" s="545">
        <f>D105+D109+D110+D111</f>
        <v>540</v>
      </c>
      <c r="E118" s="980"/>
      <c r="F118" s="727"/>
      <c r="G118" s="795" t="s">
        <v>1235</v>
      </c>
      <c r="H118" s="804">
        <f>SUM(H105:H117)</f>
        <v>2486872.9536</v>
      </c>
      <c r="I118" s="804">
        <f>SUM(I105:I117)</f>
        <v>2486872.9536</v>
      </c>
      <c r="J118" s="804">
        <f>SUM(J105:J117)</f>
        <v>1767882.43</v>
      </c>
      <c r="K118" s="808"/>
      <c r="L118" s="809"/>
      <c r="M118" s="821"/>
      <c r="N118" s="821"/>
      <c r="O118" s="1063"/>
      <c r="P118" s="727"/>
      <c r="Q118" s="652"/>
      <c r="R118" s="653"/>
      <c r="S118" s="809"/>
    </row>
    <row r="119" s="10" customFormat="1" ht="16.5" spans="1:19">
      <c r="A119" s="721"/>
      <c r="B119" s="568"/>
      <c r="C119" s="779"/>
      <c r="D119" s="547"/>
      <c r="E119" s="652"/>
      <c r="F119" s="727"/>
      <c r="G119" s="795" t="s">
        <v>1236</v>
      </c>
      <c r="H119" s="796">
        <f>H118/5400000</f>
        <v>0.460532028444444</v>
      </c>
      <c r="I119" s="796">
        <f>I118/5400000</f>
        <v>0.460532028444444</v>
      </c>
      <c r="J119" s="796">
        <f>J118/3350000</f>
        <v>0.527726098507463</v>
      </c>
      <c r="K119" s="808"/>
      <c r="L119" s="809"/>
      <c r="M119" s="821"/>
      <c r="N119" s="996"/>
      <c r="O119" s="997"/>
      <c r="P119" s="727"/>
      <c r="Q119" s="652"/>
      <c r="R119" s="653"/>
      <c r="S119" s="809"/>
    </row>
    <row r="120" s="10" customFormat="1" ht="30" spans="1:19">
      <c r="A120" s="721"/>
      <c r="B120" s="553" t="s">
        <v>1820</v>
      </c>
      <c r="C120" s="554" t="s">
        <v>1093</v>
      </c>
      <c r="D120" s="555" t="s">
        <v>1821</v>
      </c>
      <c r="E120" s="555" t="s">
        <v>1822</v>
      </c>
      <c r="F120" s="588" t="s">
        <v>1095</v>
      </c>
      <c r="G120" s="589" t="s">
        <v>362</v>
      </c>
      <c r="H120" s="590" t="s">
        <v>1865</v>
      </c>
      <c r="I120" s="810" t="s">
        <v>1717</v>
      </c>
      <c r="J120" s="810" t="s">
        <v>1718</v>
      </c>
      <c r="K120" s="590" t="s">
        <v>1866</v>
      </c>
      <c r="L120" s="615" t="s">
        <v>1098</v>
      </c>
      <c r="M120" s="590" t="s">
        <v>1867</v>
      </c>
      <c r="N120" s="646"/>
      <c r="O120" s="997"/>
      <c r="P120" s="727"/>
      <c r="Q120" s="652"/>
      <c r="R120" s="727"/>
      <c r="S120" s="727"/>
    </row>
    <row r="121" s="10" customFormat="1" ht="16.5" spans="1:19">
      <c r="A121" s="721"/>
      <c r="B121" s="541" t="s">
        <v>3248</v>
      </c>
      <c r="C121" s="564" t="s">
        <v>38</v>
      </c>
      <c r="D121" s="545" t="s">
        <v>1125</v>
      </c>
      <c r="E121" s="547" t="s">
        <v>1224</v>
      </c>
      <c r="F121" s="715" t="s">
        <v>3249</v>
      </c>
      <c r="G121" s="715">
        <v>63570</v>
      </c>
      <c r="H121" s="602">
        <f>G121*K121</f>
        <v>456356.316</v>
      </c>
      <c r="I121" s="839"/>
      <c r="J121" s="839"/>
      <c r="K121" s="597">
        <v>7.1788</v>
      </c>
      <c r="L121" s="598">
        <v>45228</v>
      </c>
      <c r="M121" s="598">
        <v>45228</v>
      </c>
      <c r="N121" s="618" t="s">
        <v>199</v>
      </c>
      <c r="O121" s="1012" t="s">
        <v>3250</v>
      </c>
      <c r="P121" s="727"/>
      <c r="Q121" s="652"/>
      <c r="R121" s="727"/>
      <c r="S121" s="727"/>
    </row>
    <row r="122" s="10" customFormat="1" ht="16.5" spans="1:19">
      <c r="A122" s="721"/>
      <c r="B122" s="541"/>
      <c r="C122" s="721"/>
      <c r="D122" s="545"/>
      <c r="E122" s="572" t="s">
        <v>1121</v>
      </c>
      <c r="F122" s="250" t="s">
        <v>3251</v>
      </c>
      <c r="G122" s="725">
        <v>42497</v>
      </c>
      <c r="H122" s="567">
        <f>G122*K122</f>
        <v>305077.4636</v>
      </c>
      <c r="I122" s="567"/>
      <c r="J122" s="567"/>
      <c r="K122" s="597">
        <v>7.1788</v>
      </c>
      <c r="L122" s="625">
        <v>45227</v>
      </c>
      <c r="M122" s="598">
        <v>45227</v>
      </c>
      <c r="N122" s="618" t="s">
        <v>2432</v>
      </c>
      <c r="O122" s="937" t="s">
        <v>3252</v>
      </c>
      <c r="P122" s="727"/>
      <c r="Q122" s="652"/>
      <c r="R122" s="727"/>
      <c r="S122" s="727"/>
    </row>
    <row r="123" s="10" customFormat="1" ht="16.5" spans="1:19">
      <c r="A123" s="721"/>
      <c r="B123" s="541"/>
      <c r="C123" s="564" t="s">
        <v>1987</v>
      </c>
      <c r="D123" s="545"/>
      <c r="E123" s="673"/>
      <c r="F123" s="250"/>
      <c r="G123" s="562"/>
      <c r="H123" s="596"/>
      <c r="I123" s="981"/>
      <c r="J123" s="603"/>
      <c r="K123" s="597">
        <v>7.1788</v>
      </c>
      <c r="L123" s="598"/>
      <c r="M123" s="598"/>
      <c r="N123" s="736"/>
      <c r="O123" s="1009"/>
      <c r="P123" s="727"/>
      <c r="Q123" s="652"/>
      <c r="R123" s="727"/>
      <c r="S123" s="727"/>
    </row>
    <row r="124" s="10" customFormat="1" ht="16.5" spans="1:19">
      <c r="A124" s="721"/>
      <c r="B124" s="541"/>
      <c r="C124" s="564" t="s">
        <v>509</v>
      </c>
      <c r="D124" s="545"/>
      <c r="E124" s="250" t="s">
        <v>1232</v>
      </c>
      <c r="F124" s="250" t="s">
        <v>2006</v>
      </c>
      <c r="G124" s="562">
        <v>148560</v>
      </c>
      <c r="H124" s="596">
        <f>G124*K124</f>
        <v>1066482.528</v>
      </c>
      <c r="I124" s="981"/>
      <c r="J124" s="603"/>
      <c r="K124" s="597">
        <v>7.1788</v>
      </c>
      <c r="L124" s="598">
        <v>45230</v>
      </c>
      <c r="M124" s="598">
        <v>45230</v>
      </c>
      <c r="N124" s="625" t="s">
        <v>2432</v>
      </c>
      <c r="O124" s="1009" t="s">
        <v>3253</v>
      </c>
      <c r="P124" s="727"/>
      <c r="Q124" s="652"/>
      <c r="R124" s="727"/>
      <c r="S124" s="727"/>
    </row>
    <row r="125" s="10" customFormat="1" ht="16.5" spans="1:19">
      <c r="A125" s="721"/>
      <c r="B125" s="541"/>
      <c r="C125" s="721"/>
      <c r="D125" s="545"/>
      <c r="E125" s="787" t="s">
        <v>2009</v>
      </c>
      <c r="F125" s="788" t="s">
        <v>1989</v>
      </c>
      <c r="G125" s="1002"/>
      <c r="H125" s="567">
        <v>654660</v>
      </c>
      <c r="I125" s="851"/>
      <c r="J125" s="788"/>
      <c r="K125" s="597">
        <v>7.1788</v>
      </c>
      <c r="L125" s="598" t="s">
        <v>199</v>
      </c>
      <c r="M125" s="602" t="s">
        <v>199</v>
      </c>
      <c r="N125" s="600" t="s">
        <v>199</v>
      </c>
      <c r="O125" s="937" t="s">
        <v>3254</v>
      </c>
      <c r="P125" s="727"/>
      <c r="Q125" s="652"/>
      <c r="R125" s="727"/>
      <c r="S125" s="727"/>
    </row>
    <row r="126" s="10" customFormat="1" ht="16.5" spans="1:19">
      <c r="A126" s="721"/>
      <c r="B126" s="541"/>
      <c r="C126" s="721"/>
      <c r="D126" s="545"/>
      <c r="E126" s="787" t="s">
        <v>2009</v>
      </c>
      <c r="F126" s="788" t="s">
        <v>2541</v>
      </c>
      <c r="G126" s="1002"/>
      <c r="H126" s="567">
        <v>986760</v>
      </c>
      <c r="I126" s="851"/>
      <c r="J126" s="788"/>
      <c r="K126" s="597">
        <v>7.1788</v>
      </c>
      <c r="L126" s="598" t="s">
        <v>199</v>
      </c>
      <c r="M126" s="602" t="s">
        <v>199</v>
      </c>
      <c r="N126" s="600" t="s">
        <v>199</v>
      </c>
      <c r="O126" s="937" t="s">
        <v>3255</v>
      </c>
      <c r="P126" s="727"/>
      <c r="Q126" s="652"/>
      <c r="R126" s="727"/>
      <c r="S126" s="727"/>
    </row>
    <row r="127" s="10" customFormat="1" ht="16.5" spans="1:19">
      <c r="A127" s="721"/>
      <c r="B127" s="541"/>
      <c r="C127" s="721"/>
      <c r="D127" s="545"/>
      <c r="E127" s="787" t="s">
        <v>2009</v>
      </c>
      <c r="F127" s="788" t="s">
        <v>2543</v>
      </c>
      <c r="G127" s="1002"/>
      <c r="H127" s="567">
        <v>594918</v>
      </c>
      <c r="I127" s="851"/>
      <c r="J127" s="788"/>
      <c r="K127" s="597">
        <v>7.1788</v>
      </c>
      <c r="L127" s="598" t="s">
        <v>199</v>
      </c>
      <c r="M127" s="602" t="s">
        <v>199</v>
      </c>
      <c r="N127" s="600" t="s">
        <v>199</v>
      </c>
      <c r="O127" s="994" t="s">
        <v>3256</v>
      </c>
      <c r="P127" s="727"/>
      <c r="Q127" s="652"/>
      <c r="R127" s="727"/>
      <c r="S127" s="727"/>
    </row>
    <row r="128" s="10" customFormat="1" ht="22.5" customHeight="1" spans="1:19">
      <c r="A128" s="721"/>
      <c r="B128" s="541"/>
      <c r="C128" s="721"/>
      <c r="D128" s="545"/>
      <c r="E128" s="787" t="s">
        <v>2009</v>
      </c>
      <c r="F128" s="788" t="s">
        <v>2585</v>
      </c>
      <c r="G128" s="1002"/>
      <c r="H128" s="567">
        <v>963558</v>
      </c>
      <c r="I128" s="851"/>
      <c r="J128" s="788"/>
      <c r="K128" s="597">
        <v>7.1788</v>
      </c>
      <c r="L128" s="598" t="s">
        <v>2432</v>
      </c>
      <c r="M128" s="598" t="s">
        <v>2432</v>
      </c>
      <c r="N128" s="598" t="s">
        <v>2432</v>
      </c>
      <c r="O128" s="994" t="s">
        <v>3257</v>
      </c>
      <c r="P128" s="727"/>
      <c r="Q128" s="652"/>
      <c r="R128" s="727"/>
      <c r="S128" s="727"/>
    </row>
    <row r="129" s="10" customFormat="1" ht="16.5" spans="1:19">
      <c r="A129" s="721"/>
      <c r="B129" s="541"/>
      <c r="C129" s="721"/>
      <c r="D129" s="545"/>
      <c r="E129" s="787" t="s">
        <v>2009</v>
      </c>
      <c r="F129" s="788" t="s">
        <v>3258</v>
      </c>
      <c r="G129" s="1002"/>
      <c r="H129" s="567">
        <v>10126</v>
      </c>
      <c r="I129" s="851"/>
      <c r="J129" s="788"/>
      <c r="K129" s="597">
        <v>7.1788</v>
      </c>
      <c r="L129" s="856"/>
      <c r="M129" s="596"/>
      <c r="N129" s="605"/>
      <c r="O129" s="994" t="s">
        <v>3259</v>
      </c>
      <c r="P129" s="727"/>
      <c r="Q129" s="652"/>
      <c r="R129" s="727"/>
      <c r="S129" s="727"/>
    </row>
    <row r="130" s="10" customFormat="1" ht="16.5" spans="1:19">
      <c r="A130" s="721"/>
      <c r="B130" s="541"/>
      <c r="C130" s="721"/>
      <c r="D130" s="545"/>
      <c r="E130" s="787" t="s">
        <v>2009</v>
      </c>
      <c r="F130" s="788" t="s">
        <v>3260</v>
      </c>
      <c r="G130" s="722"/>
      <c r="H130" s="567">
        <v>16520</v>
      </c>
      <c r="I130" s="851"/>
      <c r="J130" s="788"/>
      <c r="K130" s="597">
        <v>7.1788</v>
      </c>
      <c r="L130" s="856"/>
      <c r="M130" s="596"/>
      <c r="N130" s="1083"/>
      <c r="O130" s="994" t="s">
        <v>3259</v>
      </c>
      <c r="P130" s="727"/>
      <c r="Q130" s="652"/>
      <c r="R130" s="727"/>
      <c r="S130" s="727"/>
    </row>
    <row r="131" s="10" customFormat="1" ht="16.5" spans="1:19">
      <c r="A131" s="721"/>
      <c r="B131" s="541"/>
      <c r="C131" s="721"/>
      <c r="D131" s="545"/>
      <c r="E131" s="787" t="s">
        <v>2009</v>
      </c>
      <c r="F131" s="788" t="s">
        <v>3261</v>
      </c>
      <c r="G131" s="722"/>
      <c r="H131" s="567">
        <v>140779</v>
      </c>
      <c r="I131" s="851"/>
      <c r="J131" s="788"/>
      <c r="K131" s="597"/>
      <c r="L131" s="856"/>
      <c r="M131" s="596"/>
      <c r="N131" s="1083"/>
      <c r="O131" s="994" t="s">
        <v>3262</v>
      </c>
      <c r="P131" s="727"/>
      <c r="Q131" s="652"/>
      <c r="R131" s="727"/>
      <c r="S131" s="727"/>
    </row>
    <row r="132" s="10" customFormat="1" ht="16.5" spans="1:19">
      <c r="A132" s="1084"/>
      <c r="B132" s="541"/>
      <c r="C132" s="721"/>
      <c r="D132" s="545"/>
      <c r="E132" s="250" t="s">
        <v>454</v>
      </c>
      <c r="F132" s="250" t="s">
        <v>3263</v>
      </c>
      <c r="G132" s="1002">
        <v>50810</v>
      </c>
      <c r="H132" s="577">
        <f>G132*K132</f>
        <v>364754.828</v>
      </c>
      <c r="I132" s="981"/>
      <c r="J132" s="596"/>
      <c r="K132" s="597">
        <v>7.1788</v>
      </c>
      <c r="L132" s="598" t="s">
        <v>1218</v>
      </c>
      <c r="M132" s="598"/>
      <c r="N132" s="625"/>
      <c r="O132" s="1009" t="s">
        <v>3264</v>
      </c>
      <c r="P132" s="727"/>
      <c r="Q132" s="652"/>
      <c r="R132" s="727"/>
      <c r="S132" s="727"/>
    </row>
    <row r="133" s="10" customFormat="1" ht="16.5" spans="1:19">
      <c r="A133" s="1066"/>
      <c r="B133" s="541"/>
      <c r="C133" s="564" t="s">
        <v>1393</v>
      </c>
      <c r="D133" s="545"/>
      <c r="E133" s="787" t="s">
        <v>2015</v>
      </c>
      <c r="F133" s="788" t="s">
        <v>2016</v>
      </c>
      <c r="G133" s="722">
        <v>45416</v>
      </c>
      <c r="H133" s="567">
        <f>G133*K133</f>
        <v>326032.3808</v>
      </c>
      <c r="I133" s="851"/>
      <c r="J133" s="788"/>
      <c r="K133" s="597">
        <v>7.1788</v>
      </c>
      <c r="L133" s="598" t="s">
        <v>1218</v>
      </c>
      <c r="M133" s="602" t="s">
        <v>199</v>
      </c>
      <c r="N133" s="993" t="s">
        <v>199</v>
      </c>
      <c r="O133" s="994" t="s">
        <v>3265</v>
      </c>
      <c r="P133" s="727"/>
      <c r="Q133" s="652"/>
      <c r="R133" s="727"/>
      <c r="S133" s="727"/>
    </row>
    <row r="134" s="10" customFormat="1" ht="16.5" spans="1:19">
      <c r="A134" s="1076"/>
      <c r="B134" s="721"/>
      <c r="C134" s="721"/>
      <c r="D134" s="545"/>
      <c r="E134" s="787" t="s">
        <v>150</v>
      </c>
      <c r="F134" s="788" t="s">
        <v>2041</v>
      </c>
      <c r="G134" s="576">
        <v>36000</v>
      </c>
      <c r="H134" s="567">
        <f>G134*K134</f>
        <v>258436.8</v>
      </c>
      <c r="I134" s="851"/>
      <c r="J134" s="788"/>
      <c r="K134" s="597">
        <v>7.1788</v>
      </c>
      <c r="L134" s="598" t="s">
        <v>199</v>
      </c>
      <c r="M134" s="602" t="s">
        <v>199</v>
      </c>
      <c r="N134" s="600" t="s">
        <v>199</v>
      </c>
      <c r="O134" s="937" t="s">
        <v>3266</v>
      </c>
      <c r="P134" s="727"/>
      <c r="Q134" s="652"/>
      <c r="R134" s="727"/>
      <c r="S134" s="727"/>
    </row>
    <row r="135" s="10" customFormat="1" ht="16.5" spans="1:19">
      <c r="A135" s="721"/>
      <c r="B135" s="672"/>
      <c r="C135" s="716" t="s">
        <v>1874</v>
      </c>
      <c r="D135" s="716"/>
      <c r="E135" s="716"/>
      <c r="F135" s="716"/>
      <c r="G135" s="716"/>
      <c r="H135" s="804">
        <f>SUM(H121:H134)</f>
        <v>6144461.3164</v>
      </c>
      <c r="I135" s="839"/>
      <c r="J135" s="839"/>
      <c r="K135" s="597">
        <v>7.1788</v>
      </c>
      <c r="L135" s="598"/>
      <c r="M135" s="598"/>
      <c r="N135" s="863"/>
      <c r="O135" s="997"/>
      <c r="P135" s="727"/>
      <c r="Q135" s="652"/>
      <c r="R135" s="727"/>
      <c r="S135" s="727"/>
    </row>
    <row r="136" s="10" customFormat="1" ht="16.5" spans="1:19">
      <c r="A136" s="1076"/>
      <c r="B136" s="564" t="s">
        <v>1875</v>
      </c>
      <c r="C136" s="250" t="s">
        <v>38</v>
      </c>
      <c r="D136" s="545" t="s">
        <v>1125</v>
      </c>
      <c r="E136" s="572" t="s">
        <v>152</v>
      </c>
      <c r="F136" s="250" t="s">
        <v>2018</v>
      </c>
      <c r="G136" s="725">
        <v>40000</v>
      </c>
      <c r="H136" s="567"/>
      <c r="I136" s="567"/>
      <c r="J136" s="567"/>
      <c r="K136" s="597">
        <v>7.1788</v>
      </c>
      <c r="L136" s="625" t="s">
        <v>1218</v>
      </c>
      <c r="M136" s="598"/>
      <c r="N136" s="863"/>
      <c r="O136" s="937" t="s">
        <v>3267</v>
      </c>
      <c r="P136" s="727"/>
      <c r="Q136" s="652"/>
      <c r="R136" s="727"/>
      <c r="S136" s="727"/>
    </row>
    <row r="137" s="10" customFormat="1" ht="16.5" spans="1:19">
      <c r="A137" s="1076"/>
      <c r="B137" s="721"/>
      <c r="C137" s="250"/>
      <c r="D137" s="545"/>
      <c r="E137" s="572" t="s">
        <v>212</v>
      </c>
      <c r="F137" s="250" t="s">
        <v>2021</v>
      </c>
      <c r="G137" s="576"/>
      <c r="H137" s="567"/>
      <c r="I137" s="567"/>
      <c r="J137" s="567"/>
      <c r="K137" s="597">
        <v>7.1788</v>
      </c>
      <c r="L137" s="625"/>
      <c r="M137" s="598"/>
      <c r="N137" s="863"/>
      <c r="O137" s="937" t="s">
        <v>3268</v>
      </c>
      <c r="P137" s="727"/>
      <c r="Q137" s="652"/>
      <c r="R137" s="727"/>
      <c r="S137" s="727"/>
    </row>
    <row r="138" s="10" customFormat="1" ht="16.5" spans="1:19">
      <c r="A138" s="1076"/>
      <c r="B138" s="721"/>
      <c r="C138" s="250"/>
      <c r="D138" s="545"/>
      <c r="E138" s="572" t="s">
        <v>3269</v>
      </c>
      <c r="F138" s="250"/>
      <c r="G138" s="725">
        <v>70000</v>
      </c>
      <c r="H138" s="567">
        <f t="shared" ref="H138:H143" si="10">G138*K138</f>
        <v>502516</v>
      </c>
      <c r="I138" s="567"/>
      <c r="K138" s="597">
        <v>7.1788</v>
      </c>
      <c r="L138" s="625" t="s">
        <v>1218</v>
      </c>
      <c r="M138" s="598"/>
      <c r="N138" s="863"/>
      <c r="O138" s="937" t="s">
        <v>3270</v>
      </c>
      <c r="P138" s="727"/>
      <c r="Q138" s="652"/>
      <c r="R138" s="727"/>
      <c r="S138" s="727"/>
    </row>
    <row r="139" s="10" customFormat="1" ht="16.5" spans="1:19">
      <c r="A139" s="1076"/>
      <c r="B139" s="721"/>
      <c r="C139" s="564" t="s">
        <v>1987</v>
      </c>
      <c r="D139" s="545"/>
      <c r="E139" s="547" t="s">
        <v>2024</v>
      </c>
      <c r="F139" s="727"/>
      <c r="G139" s="727"/>
      <c r="H139" s="804"/>
      <c r="I139" s="804"/>
      <c r="J139" s="804"/>
      <c r="K139" s="597">
        <v>7.1788</v>
      </c>
      <c r="L139" s="625" t="s">
        <v>1218</v>
      </c>
      <c r="M139" s="854"/>
      <c r="N139" s="863"/>
      <c r="O139" s="937" t="s">
        <v>3271</v>
      </c>
      <c r="P139" s="727"/>
      <c r="Q139" s="652"/>
      <c r="R139" s="727"/>
      <c r="S139" s="727"/>
    </row>
    <row r="140" s="10" customFormat="1" ht="16.5" spans="1:19">
      <c r="A140" s="721"/>
      <c r="B140" s="721"/>
      <c r="C140" s="250" t="s">
        <v>509</v>
      </c>
      <c r="D140" s="545"/>
      <c r="E140" s="787" t="s">
        <v>284</v>
      </c>
      <c r="F140" s="788" t="s">
        <v>2027</v>
      </c>
      <c r="G140" s="1002"/>
      <c r="H140" s="567"/>
      <c r="I140" s="851"/>
      <c r="J140" s="788"/>
      <c r="K140" s="597">
        <v>7.1788</v>
      </c>
      <c r="L140" s="856"/>
      <c r="M140" s="596"/>
      <c r="N140" s="605"/>
      <c r="O140" s="994" t="s">
        <v>3272</v>
      </c>
      <c r="P140" s="727"/>
      <c r="Q140" s="652"/>
      <c r="R140" s="727"/>
      <c r="S140" s="727"/>
    </row>
    <row r="141" s="10" customFormat="1" ht="16.5" spans="1:19">
      <c r="A141" s="721"/>
      <c r="B141" s="721"/>
      <c r="C141" s="250"/>
      <c r="D141" s="545"/>
      <c r="E141" s="787" t="s">
        <v>2031</v>
      </c>
      <c r="F141" s="788" t="s">
        <v>3273</v>
      </c>
      <c r="G141" s="722">
        <v>20000</v>
      </c>
      <c r="H141" s="567">
        <f t="shared" si="10"/>
        <v>143576</v>
      </c>
      <c r="I141" s="851"/>
      <c r="J141" s="788"/>
      <c r="K141" s="597">
        <v>7.1788</v>
      </c>
      <c r="L141" s="856"/>
      <c r="M141" s="596"/>
      <c r="N141" s="605"/>
      <c r="O141" s="994" t="s">
        <v>3274</v>
      </c>
      <c r="P141" s="727"/>
      <c r="Q141" s="652"/>
      <c r="R141" s="727"/>
      <c r="S141" s="727"/>
    </row>
    <row r="142" s="10" customFormat="1" ht="16.5" spans="1:19">
      <c r="A142" s="721"/>
      <c r="B142" s="721"/>
      <c r="C142" s="250"/>
      <c r="D142" s="545"/>
      <c r="E142" s="787" t="s">
        <v>454</v>
      </c>
      <c r="F142" s="788" t="s">
        <v>2549</v>
      </c>
      <c r="G142" s="722">
        <v>58265</v>
      </c>
      <c r="H142" s="567">
        <f t="shared" si="10"/>
        <v>418272.782</v>
      </c>
      <c r="I142" s="851"/>
      <c r="J142" s="788"/>
      <c r="K142" s="597">
        <v>7.1788</v>
      </c>
      <c r="L142" s="856"/>
      <c r="M142" s="596"/>
      <c r="N142" s="605"/>
      <c r="O142" s="994" t="s">
        <v>3275</v>
      </c>
      <c r="P142" s="727"/>
      <c r="Q142" s="652"/>
      <c r="R142" s="727"/>
      <c r="S142" s="727"/>
    </row>
    <row r="143" s="10" customFormat="1" ht="16.5" spans="1:19">
      <c r="A143" s="1076"/>
      <c r="B143" s="721"/>
      <c r="C143" s="721" t="s">
        <v>1393</v>
      </c>
      <c r="D143" s="545"/>
      <c r="E143" s="787" t="s">
        <v>841</v>
      </c>
      <c r="F143" s="788" t="s">
        <v>2037</v>
      </c>
      <c r="G143" s="722">
        <v>23225</v>
      </c>
      <c r="H143" s="567">
        <f t="shared" si="10"/>
        <v>166727.63</v>
      </c>
      <c r="I143" s="851"/>
      <c r="J143" s="788"/>
      <c r="K143" s="597">
        <v>7.1788</v>
      </c>
      <c r="L143" s="856"/>
      <c r="M143" s="596"/>
      <c r="N143" s="605"/>
      <c r="O143" s="994" t="s">
        <v>3276</v>
      </c>
      <c r="P143" s="727"/>
      <c r="Q143" s="652"/>
      <c r="R143" s="727"/>
      <c r="S143" s="727"/>
    </row>
    <row r="144" s="10" customFormat="1" ht="16.5" spans="1:19">
      <c r="A144" s="1076"/>
      <c r="B144" s="721"/>
      <c r="C144" s="721"/>
      <c r="D144" s="545"/>
      <c r="E144" s="787" t="s">
        <v>355</v>
      </c>
      <c r="F144" s="788" t="s">
        <v>3277</v>
      </c>
      <c r="G144" s="722">
        <v>39908</v>
      </c>
      <c r="H144" s="567"/>
      <c r="I144" s="851"/>
      <c r="J144" s="788"/>
      <c r="K144" s="597">
        <v>7.1788</v>
      </c>
      <c r="L144" s="856"/>
      <c r="M144" s="596"/>
      <c r="N144" s="605"/>
      <c r="O144" s="994" t="s">
        <v>3278</v>
      </c>
      <c r="P144" s="727"/>
      <c r="Q144" s="652"/>
      <c r="R144" s="727"/>
      <c r="S144" s="727"/>
    </row>
    <row r="145" s="10" customFormat="1" ht="16.5" spans="1:19">
      <c r="A145" s="1076"/>
      <c r="B145" s="721"/>
      <c r="C145" s="721"/>
      <c r="D145" s="545"/>
      <c r="E145" s="787" t="s">
        <v>663</v>
      </c>
      <c r="F145" s="788"/>
      <c r="G145" s="722">
        <v>80000</v>
      </c>
      <c r="H145" s="567"/>
      <c r="I145" s="851"/>
      <c r="J145" s="788"/>
      <c r="K145" s="597">
        <v>7.1788</v>
      </c>
      <c r="L145" s="856"/>
      <c r="M145" s="596"/>
      <c r="N145" s="605"/>
      <c r="O145" s="937" t="s">
        <v>2040</v>
      </c>
      <c r="P145" s="727"/>
      <c r="Q145" s="652"/>
      <c r="R145" s="727"/>
      <c r="S145" s="727"/>
    </row>
    <row r="146" s="10" customFormat="1" ht="16.5" spans="1:19">
      <c r="A146" s="1076"/>
      <c r="B146" s="721"/>
      <c r="C146" s="721"/>
      <c r="D146" s="545"/>
      <c r="E146" s="787" t="s">
        <v>150</v>
      </c>
      <c r="F146" s="788" t="s">
        <v>3279</v>
      </c>
      <c r="G146" s="722">
        <v>35000</v>
      </c>
      <c r="H146" s="567"/>
      <c r="I146" s="851"/>
      <c r="J146" s="788"/>
      <c r="K146" s="597">
        <v>7.1788</v>
      </c>
      <c r="L146" s="856"/>
      <c r="M146" s="596"/>
      <c r="N146" s="605"/>
      <c r="O146" s="937" t="s">
        <v>3280</v>
      </c>
      <c r="P146" s="727"/>
      <c r="Q146" s="652"/>
      <c r="R146" s="727"/>
      <c r="S146" s="727"/>
    </row>
    <row r="147" s="10" customFormat="1" ht="16.5" spans="1:19">
      <c r="A147" s="1066"/>
      <c r="B147" s="721"/>
      <c r="C147" s="721"/>
      <c r="D147" s="545"/>
      <c r="E147" s="787" t="s">
        <v>1051</v>
      </c>
      <c r="F147" s="788" t="s">
        <v>2042</v>
      </c>
      <c r="G147" s="722">
        <v>14800</v>
      </c>
      <c r="H147" s="567"/>
      <c r="I147" s="851"/>
      <c r="J147" s="788"/>
      <c r="K147" s="597">
        <v>7.1788</v>
      </c>
      <c r="L147" s="598" t="s">
        <v>1218</v>
      </c>
      <c r="M147" s="596"/>
      <c r="N147" s="605"/>
      <c r="O147" s="1044" t="s">
        <v>2043</v>
      </c>
      <c r="P147" s="727"/>
      <c r="Q147" s="652"/>
      <c r="R147" s="727"/>
      <c r="S147" s="727"/>
    </row>
    <row r="148" s="10" customFormat="1" ht="16.5" spans="1:19">
      <c r="A148" s="673"/>
      <c r="B148" s="673"/>
      <c r="C148" s="652" t="s">
        <v>1874</v>
      </c>
      <c r="D148" s="652"/>
      <c r="E148" s="652"/>
      <c r="F148" s="652"/>
      <c r="G148" s="652"/>
      <c r="H148" s="804">
        <f>SUM(H136:H147)</f>
        <v>1231092.412</v>
      </c>
      <c r="I148" s="804"/>
      <c r="J148" s="804"/>
      <c r="K148" s="928"/>
      <c r="L148" s="854"/>
      <c r="M148" s="854"/>
      <c r="N148" s="863"/>
      <c r="O148" s="997"/>
      <c r="P148" s="727"/>
      <c r="Q148" s="652"/>
      <c r="R148" s="727"/>
      <c r="S148" s="727"/>
    </row>
    <row r="149" s="1065" customFormat="1" ht="9.6" customHeight="1" spans="1:19">
      <c r="A149" s="1085"/>
      <c r="B149" s="1085"/>
      <c r="C149" s="1086"/>
      <c r="D149" s="1087"/>
      <c r="E149" s="1087"/>
      <c r="F149" s="1088"/>
      <c r="G149" s="1088"/>
      <c r="H149" s="1089"/>
      <c r="I149" s="1089"/>
      <c r="J149" s="1089"/>
      <c r="K149" s="1088"/>
      <c r="L149" s="1088"/>
      <c r="M149" s="1091"/>
      <c r="N149" s="1092"/>
      <c r="O149" s="1093"/>
      <c r="P149" s="1088"/>
      <c r="Q149" s="1087"/>
      <c r="R149" s="1088"/>
      <c r="S149" s="1088"/>
    </row>
    <row r="150" s="10" customFormat="1" ht="16.5" spans="1:19">
      <c r="A150" s="738" t="s">
        <v>2044</v>
      </c>
      <c r="B150" s="780"/>
      <c r="C150" s="780"/>
      <c r="D150" s="652">
        <f t="shared" ref="D150:J150" si="11">D18+D69+D118</f>
        <v>1542</v>
      </c>
      <c r="E150" s="652"/>
      <c r="F150" s="727"/>
      <c r="G150" s="727" t="s">
        <v>1235</v>
      </c>
      <c r="H150" s="804">
        <f t="shared" si="11"/>
        <v>8888291.646288</v>
      </c>
      <c r="I150" s="804">
        <f t="shared" si="11"/>
        <v>8888290.4792</v>
      </c>
      <c r="J150" s="804">
        <f t="shared" si="11"/>
        <v>6982788.364</v>
      </c>
      <c r="K150" s="727"/>
      <c r="L150" s="727"/>
      <c r="M150" s="854"/>
      <c r="N150" s="854"/>
      <c r="O150" s="1015"/>
      <c r="P150" s="727"/>
      <c r="Q150" s="652"/>
      <c r="R150" s="727"/>
      <c r="S150" s="727"/>
    </row>
    <row r="151" s="10" customFormat="1" ht="16.5" spans="1:19">
      <c r="A151" s="780"/>
      <c r="B151" s="780"/>
      <c r="C151" s="780"/>
      <c r="D151" s="652"/>
      <c r="E151" s="652"/>
      <c r="F151" s="727"/>
      <c r="G151" s="727" t="s">
        <v>1236</v>
      </c>
      <c r="H151" s="796">
        <f>H150/(D150*10000)</f>
        <v>0.576413206633463</v>
      </c>
      <c r="I151" s="796">
        <f>I150/(D150*10000)</f>
        <v>0.576413130946822</v>
      </c>
      <c r="J151" s="796">
        <f>J150/(D150*10000)</f>
        <v>0.45283971232166</v>
      </c>
      <c r="K151" s="727"/>
      <c r="L151" s="727"/>
      <c r="M151" s="854"/>
      <c r="N151" s="854"/>
      <c r="O151" s="1015"/>
      <c r="P151" s="727"/>
      <c r="Q151" s="727"/>
      <c r="R151" s="727"/>
      <c r="S151" s="727"/>
    </row>
    <row r="152" s="10" customFormat="1" ht="16.5" spans="1:19">
      <c r="A152" s="536"/>
      <c r="B152" s="536"/>
      <c r="C152" s="836"/>
      <c r="D152" s="837"/>
      <c r="E152" s="837"/>
      <c r="F152" s="836"/>
      <c r="G152" s="836"/>
      <c r="H152" s="850"/>
      <c r="I152" s="850"/>
      <c r="J152" s="850"/>
      <c r="K152" s="836"/>
      <c r="L152" s="836"/>
      <c r="M152" s="870"/>
      <c r="N152" s="870"/>
      <c r="O152" s="1016"/>
      <c r="P152" s="836"/>
      <c r="Q152" s="837"/>
      <c r="R152" s="836"/>
      <c r="S152" s="836"/>
    </row>
    <row r="153" s="10" customFormat="1" ht="16.5" spans="1:19">
      <c r="A153" s="536"/>
      <c r="B153" s="536"/>
      <c r="C153" s="836"/>
      <c r="D153" s="837"/>
      <c r="E153" s="837"/>
      <c r="F153" s="836"/>
      <c r="G153" s="836"/>
      <c r="H153" s="880"/>
      <c r="I153" s="880"/>
      <c r="J153" s="880"/>
      <c r="K153" s="836"/>
      <c r="L153" s="836"/>
      <c r="M153" s="870"/>
      <c r="N153" s="870"/>
      <c r="O153" s="1016"/>
      <c r="P153" s="836" t="s">
        <v>140</v>
      </c>
      <c r="Q153" s="837"/>
      <c r="R153" s="836"/>
      <c r="S153" s="836"/>
    </row>
    <row r="154" s="10" customFormat="1" ht="16.5" spans="1:19">
      <c r="A154" s="875" t="s">
        <v>1814</v>
      </c>
      <c r="B154" s="875"/>
      <c r="C154" s="875"/>
      <c r="D154" s="875"/>
      <c r="E154" s="875"/>
      <c r="F154" s="881"/>
      <c r="G154" s="1090"/>
      <c r="H154" s="850"/>
      <c r="I154" s="850"/>
      <c r="J154" s="850"/>
      <c r="K154" s="836"/>
      <c r="L154" s="836"/>
      <c r="M154" s="870"/>
      <c r="N154" s="870"/>
      <c r="O154" s="1016"/>
      <c r="P154" s="894"/>
      <c r="Q154" s="837"/>
      <c r="R154" s="836"/>
      <c r="S154" s="836"/>
    </row>
    <row r="155" s="10" customFormat="1" ht="16.5" spans="1:19">
      <c r="A155" s="875" t="s">
        <v>2045</v>
      </c>
      <c r="B155" s="875"/>
      <c r="C155" s="875"/>
      <c r="D155" s="875"/>
      <c r="E155" s="875"/>
      <c r="F155" s="875"/>
      <c r="G155" s="1090"/>
      <c r="J155" s="850"/>
      <c r="K155" s="836"/>
      <c r="L155" s="836"/>
      <c r="M155" s="870"/>
      <c r="N155" s="870"/>
      <c r="O155" s="1016"/>
      <c r="P155" s="894"/>
      <c r="Q155" s="837"/>
      <c r="R155" s="836"/>
      <c r="S155" s="836"/>
    </row>
    <row r="156" s="10" customFormat="1" ht="16.5" spans="1:19">
      <c r="A156" s="875" t="s">
        <v>2046</v>
      </c>
      <c r="B156" s="875"/>
      <c r="C156" s="875"/>
      <c r="D156" s="875"/>
      <c r="E156" s="875"/>
      <c r="F156" s="875"/>
      <c r="G156" s="1090"/>
      <c r="H156" s="850"/>
      <c r="I156" s="850"/>
      <c r="J156" s="850"/>
      <c r="K156" s="892"/>
      <c r="L156" s="836"/>
      <c r="M156" s="870"/>
      <c r="N156" s="870"/>
      <c r="O156" s="1016"/>
      <c r="P156" s="894"/>
      <c r="Q156" s="837"/>
      <c r="R156" s="836"/>
      <c r="S156" s="836"/>
    </row>
    <row r="157" s="10" customFormat="1" ht="16.5" spans="1:19">
      <c r="A157" s="875" t="s">
        <v>2047</v>
      </c>
      <c r="B157" s="875"/>
      <c r="C157" s="875"/>
      <c r="D157" s="875"/>
      <c r="E157" s="875"/>
      <c r="F157" s="875"/>
      <c r="G157" s="1090"/>
      <c r="H157" s="850"/>
      <c r="I157" s="850"/>
      <c r="J157" s="850"/>
      <c r="K157" s="836"/>
      <c r="L157" s="836"/>
      <c r="M157" s="870"/>
      <c r="N157" s="870"/>
      <c r="O157" s="1016"/>
      <c r="P157" s="894"/>
      <c r="Q157" s="837"/>
      <c r="R157" s="836"/>
      <c r="S157" s="836"/>
    </row>
    <row r="158" s="10" customFormat="1" ht="16.5" spans="1:19">
      <c r="A158" s="875"/>
      <c r="B158" s="875"/>
      <c r="C158" s="876"/>
      <c r="D158" s="876"/>
      <c r="E158" s="876"/>
      <c r="F158" s="876"/>
      <c r="G158" s="1090"/>
      <c r="H158" s="850"/>
      <c r="I158" s="850"/>
      <c r="J158" s="850"/>
      <c r="K158" s="893"/>
      <c r="L158" s="893"/>
      <c r="M158" s="870"/>
      <c r="N158" s="870"/>
      <c r="O158" s="1021"/>
      <c r="P158" s="894"/>
      <c r="Q158" s="837"/>
      <c r="R158" s="893"/>
      <c r="S158" s="893"/>
    </row>
    <row r="159" ht="16.5" spans="1:19">
      <c r="A159" s="875"/>
      <c r="B159" s="875"/>
      <c r="C159" s="876"/>
      <c r="D159" s="876"/>
      <c r="E159" s="876"/>
      <c r="F159" s="876"/>
      <c r="G159" s="1090"/>
      <c r="H159" s="850"/>
      <c r="I159" s="850"/>
      <c r="J159" s="850"/>
      <c r="K159" s="877"/>
      <c r="L159" s="877"/>
      <c r="M159" s="896"/>
      <c r="N159" s="896"/>
      <c r="O159" s="887"/>
      <c r="P159" s="876"/>
      <c r="Q159" s="878"/>
      <c r="R159" s="877"/>
      <c r="S159" s="877"/>
    </row>
    <row r="160" ht="16.5" spans="1:19">
      <c r="A160" s="417"/>
      <c r="B160" s="417"/>
      <c r="C160" s="877"/>
      <c r="D160" s="878"/>
      <c r="E160" s="878"/>
      <c r="F160" s="877"/>
      <c r="G160" s="877"/>
      <c r="H160" s="850"/>
      <c r="I160" s="850"/>
      <c r="J160" s="850"/>
      <c r="K160" s="877"/>
      <c r="L160" s="877"/>
      <c r="M160" s="896"/>
      <c r="N160" s="896"/>
      <c r="O160" s="887"/>
      <c r="P160" s="877"/>
      <c r="Q160" s="878"/>
      <c r="R160" s="877"/>
      <c r="S160" s="877"/>
    </row>
    <row r="161" ht="16.5" spans="1:19">
      <c r="A161" s="417"/>
      <c r="B161" s="417"/>
      <c r="C161" s="417"/>
      <c r="D161" s="879"/>
      <c r="E161" s="879"/>
      <c r="F161" s="417"/>
      <c r="G161" s="417"/>
      <c r="H161" s="880"/>
      <c r="I161" s="880"/>
      <c r="J161" s="880"/>
      <c r="K161" s="417"/>
      <c r="L161" s="417"/>
      <c r="M161" s="898"/>
      <c r="N161" s="898"/>
      <c r="O161" s="888"/>
      <c r="P161" s="417"/>
      <c r="Q161" s="900"/>
      <c r="R161" s="417"/>
      <c r="S161" s="417"/>
    </row>
    <row r="163" spans="12:12">
      <c r="L163" s="265"/>
    </row>
  </sheetData>
  <sheetProtection formatCells="0" insertHyperlinks="0" autoFilter="0"/>
  <mergeCells count="103">
    <mergeCell ref="A1:R1"/>
    <mergeCell ref="I20:J20"/>
    <mergeCell ref="M20:N20"/>
    <mergeCell ref="C32:G32"/>
    <mergeCell ref="C47:G47"/>
    <mergeCell ref="I71:J71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C91:G91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C103:G103"/>
    <mergeCell ref="M120:N120"/>
    <mergeCell ref="C135:G135"/>
    <mergeCell ref="C148:G148"/>
    <mergeCell ref="A3:A47"/>
    <mergeCell ref="A49:A103"/>
    <mergeCell ref="A105:A148"/>
    <mergeCell ref="B3:B19"/>
    <mergeCell ref="B21:B32"/>
    <mergeCell ref="B33:B47"/>
    <mergeCell ref="B49:B70"/>
    <mergeCell ref="B72:B91"/>
    <mergeCell ref="B92:B103"/>
    <mergeCell ref="B105:B119"/>
    <mergeCell ref="B121:B135"/>
    <mergeCell ref="B136:B148"/>
    <mergeCell ref="C3:C10"/>
    <mergeCell ref="C11:C15"/>
    <mergeCell ref="C16:C17"/>
    <mergeCell ref="C18:C19"/>
    <mergeCell ref="C21:C27"/>
    <mergeCell ref="C28:C30"/>
    <mergeCell ref="C33:C35"/>
    <mergeCell ref="C36:C43"/>
    <mergeCell ref="C44:C46"/>
    <mergeCell ref="C49:C50"/>
    <mergeCell ref="C51:C53"/>
    <mergeCell ref="C54:C65"/>
    <mergeCell ref="C69:C70"/>
    <mergeCell ref="C72:C84"/>
    <mergeCell ref="C85:C86"/>
    <mergeCell ref="C87:C89"/>
    <mergeCell ref="C93:C96"/>
    <mergeCell ref="C97:C101"/>
    <mergeCell ref="C105:C108"/>
    <mergeCell ref="C111:C117"/>
    <mergeCell ref="C118:C119"/>
    <mergeCell ref="C121:C122"/>
    <mergeCell ref="C124:C132"/>
    <mergeCell ref="C133:C134"/>
    <mergeCell ref="C136:C138"/>
    <mergeCell ref="C140:C142"/>
    <mergeCell ref="C143:C147"/>
    <mergeCell ref="D3:D10"/>
    <mergeCell ref="D11:D15"/>
    <mergeCell ref="D18:D19"/>
    <mergeCell ref="D21:D31"/>
    <mergeCell ref="D33:D44"/>
    <mergeCell ref="D49:D50"/>
    <mergeCell ref="D51:D53"/>
    <mergeCell ref="D54:D65"/>
    <mergeCell ref="D69:D70"/>
    <mergeCell ref="D72:D90"/>
    <mergeCell ref="D92:D102"/>
    <mergeCell ref="D105:D108"/>
    <mergeCell ref="D111:D117"/>
    <mergeCell ref="D118:D119"/>
    <mergeCell ref="D121:D134"/>
    <mergeCell ref="D136:D147"/>
    <mergeCell ref="D150:D151"/>
    <mergeCell ref="E49:E50"/>
    <mergeCell ref="E72:E84"/>
    <mergeCell ref="O72:O74"/>
    <mergeCell ref="A150:C151"/>
  </mergeCells>
  <pageMargins left="0.75" right="0.75" top="1" bottom="1" header="0.5" footer="0.5"/>
  <headerFooter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9"/>
  <dimension ref="A1:Z180"/>
  <sheetViews>
    <sheetView workbookViewId="0">
      <pane xSplit="7" ySplit="1" topLeftCell="J121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3.5"/>
  <cols>
    <col min="1" max="1" width="6.425" customWidth="1"/>
    <col min="2" max="2" width="10.4416666666667" customWidth="1"/>
    <col min="3" max="3" width="8.375" customWidth="1"/>
    <col min="4" max="4" width="8.58333333333333" customWidth="1"/>
    <col min="5" max="5" width="18.975" customWidth="1"/>
    <col min="6" max="6" width="14.6166666666667" customWidth="1"/>
    <col min="7" max="7" width="21.6" customWidth="1"/>
    <col min="8" max="8" width="15.375" customWidth="1"/>
    <col min="9" max="9" width="19.875" customWidth="1"/>
    <col min="10" max="10" width="14.625" customWidth="1"/>
    <col min="11" max="11" width="9.25833333333333"/>
    <col min="12" max="12" width="14.2583333333333" customWidth="1"/>
    <col min="13" max="13" width="17" customWidth="1"/>
    <col min="14" max="14" width="10.875" customWidth="1"/>
    <col min="15" max="15" width="80.3166666666667" style="12" customWidth="1"/>
    <col min="16" max="16" width="17.3416666666667" customWidth="1"/>
    <col min="17" max="17" width="9" style="510"/>
    <col min="18" max="18" width="13.125"/>
  </cols>
  <sheetData>
    <row r="1" s="10" customFormat="1" ht="33.2" customHeight="1" spans="1:19">
      <c r="A1" s="28" t="s">
        <v>3281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420"/>
      <c r="N1" s="420"/>
      <c r="O1" s="931"/>
      <c r="P1" s="28"/>
      <c r="Q1" s="28"/>
      <c r="R1" s="28"/>
      <c r="S1" s="651"/>
    </row>
    <row r="2" s="10" customFormat="1" ht="30" spans="1:19">
      <c r="A2" s="537" t="s">
        <v>1092</v>
      </c>
      <c r="B2" s="537" t="s">
        <v>1820</v>
      </c>
      <c r="C2" s="538" t="s">
        <v>1093</v>
      </c>
      <c r="D2" s="539" t="s">
        <v>1821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1097</v>
      </c>
      <c r="N2" s="619" t="s">
        <v>1214</v>
      </c>
      <c r="O2" s="727" t="s">
        <v>1215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540"/>
      <c r="B3" s="541" t="s">
        <v>3282</v>
      </c>
      <c r="C3" s="715" t="s">
        <v>1825</v>
      </c>
      <c r="D3" s="716">
        <v>349</v>
      </c>
      <c r="E3" s="572" t="s">
        <v>157</v>
      </c>
      <c r="F3" s="572" t="s">
        <v>1826</v>
      </c>
      <c r="G3" s="591"/>
      <c r="H3" s="567"/>
      <c r="I3" s="603"/>
      <c r="J3" s="567">
        <v>359383</v>
      </c>
      <c r="K3" s="597"/>
      <c r="L3" s="708"/>
      <c r="M3" s="625"/>
      <c r="N3" s="625"/>
      <c r="O3" s="937" t="s">
        <v>3283</v>
      </c>
      <c r="P3" s="635"/>
      <c r="Q3" s="663"/>
      <c r="R3" s="655"/>
      <c r="S3" s="577"/>
    </row>
    <row r="4" s="10" customFormat="1" ht="16.5" spans="1:19">
      <c r="A4" s="540"/>
      <c r="B4" s="541"/>
      <c r="C4" s="715"/>
      <c r="D4" s="716"/>
      <c r="E4" s="572" t="s">
        <v>1722</v>
      </c>
      <c r="F4" s="572" t="s">
        <v>1831</v>
      </c>
      <c r="G4" s="591"/>
      <c r="H4" s="567"/>
      <c r="I4" s="603"/>
      <c r="J4" s="567">
        <v>423991</v>
      </c>
      <c r="K4" s="597"/>
      <c r="L4" s="708"/>
      <c r="M4" s="625"/>
      <c r="N4" s="625"/>
      <c r="O4" s="937" t="s">
        <v>3284</v>
      </c>
      <c r="P4" s="635"/>
      <c r="Q4" s="663"/>
      <c r="R4" s="655"/>
      <c r="S4" s="577"/>
    </row>
    <row r="5" s="10" customFormat="1" ht="16.5" spans="1:19">
      <c r="A5" s="540"/>
      <c r="B5" s="541"/>
      <c r="C5" s="715"/>
      <c r="D5" s="716"/>
      <c r="E5" s="572" t="s">
        <v>161</v>
      </c>
      <c r="F5" s="572" t="s">
        <v>3285</v>
      </c>
      <c r="G5" s="591"/>
      <c r="H5" s="567"/>
      <c r="I5" s="603"/>
      <c r="J5" s="567">
        <v>123849</v>
      </c>
      <c r="K5" s="597"/>
      <c r="L5" s="708"/>
      <c r="M5" s="625"/>
      <c r="N5" s="625"/>
      <c r="O5" s="937" t="s">
        <v>3286</v>
      </c>
      <c r="P5" s="635"/>
      <c r="Q5" s="663"/>
      <c r="R5" s="655"/>
      <c r="S5" s="577"/>
    </row>
    <row r="6" s="10" customFormat="1" ht="16.5" spans="1:19">
      <c r="A6" s="540"/>
      <c r="B6" s="541"/>
      <c r="C6" s="715"/>
      <c r="D6" s="716"/>
      <c r="E6" s="572" t="s">
        <v>1542</v>
      </c>
      <c r="F6" s="572" t="s">
        <v>1833</v>
      </c>
      <c r="G6" s="570"/>
      <c r="H6" s="567"/>
      <c r="I6" s="570"/>
      <c r="J6" s="567">
        <v>71932</v>
      </c>
      <c r="K6" s="570"/>
      <c r="L6" s="570"/>
      <c r="M6" s="570"/>
      <c r="N6" s="570"/>
      <c r="O6" s="937" t="s">
        <v>3287</v>
      </c>
      <c r="P6" s="635" t="s">
        <v>1836</v>
      </c>
      <c r="Q6" s="635" t="s">
        <v>1659</v>
      </c>
      <c r="R6" s="655"/>
      <c r="S6" s="577"/>
    </row>
    <row r="7" s="536" customFormat="1" ht="16.5" spans="1:19">
      <c r="A7" s="540"/>
      <c r="B7" s="669"/>
      <c r="C7" s="542" t="s">
        <v>224</v>
      </c>
      <c r="D7" s="543">
        <v>186</v>
      </c>
      <c r="E7" s="561" t="s">
        <v>1904</v>
      </c>
      <c r="F7" s="568" t="s">
        <v>3288</v>
      </c>
      <c r="G7" s="576">
        <v>95839</v>
      </c>
      <c r="H7" s="596">
        <f>G7*K7</f>
        <v>688018.5971</v>
      </c>
      <c r="I7" s="602">
        <f>H7</f>
        <v>688018.5971</v>
      </c>
      <c r="J7" s="602"/>
      <c r="K7" s="597">
        <v>7.1789</v>
      </c>
      <c r="L7" s="598">
        <v>45227</v>
      </c>
      <c r="M7" s="598">
        <v>45227</v>
      </c>
      <c r="N7" s="610" t="s">
        <v>2432</v>
      </c>
      <c r="O7" s="706" t="s">
        <v>3289</v>
      </c>
      <c r="P7" s="1024" t="s">
        <v>3159</v>
      </c>
      <c r="Q7" s="250" t="s">
        <v>2333</v>
      </c>
      <c r="R7" s="1032"/>
      <c r="S7" s="1033" t="s">
        <v>3290</v>
      </c>
    </row>
    <row r="8" s="536" customFormat="1" ht="16.5" spans="1:19">
      <c r="A8" s="540"/>
      <c r="B8" s="669"/>
      <c r="C8" s="544"/>
      <c r="D8" s="545"/>
      <c r="E8" s="561" t="s">
        <v>1904</v>
      </c>
      <c r="F8" s="568" t="s">
        <v>3291</v>
      </c>
      <c r="G8" s="562">
        <v>31200</v>
      </c>
      <c r="H8" s="596">
        <f>G8*K8</f>
        <v>223981.68</v>
      </c>
      <c r="I8" s="602">
        <f>H8</f>
        <v>223981.68</v>
      </c>
      <c r="J8" s="596"/>
      <c r="K8" s="597">
        <v>7.1789</v>
      </c>
      <c r="L8" s="598" t="s">
        <v>3157</v>
      </c>
      <c r="M8" s="610" t="s">
        <v>3157</v>
      </c>
      <c r="N8" s="610" t="s">
        <v>2432</v>
      </c>
      <c r="O8" s="706" t="s">
        <v>3289</v>
      </c>
      <c r="P8" s="1024" t="s">
        <v>3292</v>
      </c>
      <c r="Q8" s="250" t="s">
        <v>2392</v>
      </c>
      <c r="R8" s="1032"/>
      <c r="S8" s="1033" t="s">
        <v>3290</v>
      </c>
    </row>
    <row r="9" s="536" customFormat="1" ht="16.5" spans="1:19">
      <c r="A9" s="540"/>
      <c r="B9" s="669"/>
      <c r="C9" s="544"/>
      <c r="D9" s="545"/>
      <c r="E9" s="561" t="s">
        <v>840</v>
      </c>
      <c r="F9" s="568" t="s">
        <v>3293</v>
      </c>
      <c r="G9" s="576">
        <v>18730</v>
      </c>
      <c r="H9" s="596">
        <f>G9*K9</f>
        <v>134460.797</v>
      </c>
      <c r="I9" s="602">
        <v>134460.797</v>
      </c>
      <c r="J9" s="602">
        <v>134461</v>
      </c>
      <c r="K9" s="597">
        <v>7.1789</v>
      </c>
      <c r="L9" s="598" t="s">
        <v>1218</v>
      </c>
      <c r="M9" s="598">
        <v>45211</v>
      </c>
      <c r="N9" s="598">
        <v>45219</v>
      </c>
      <c r="O9" s="1025" t="s">
        <v>3294</v>
      </c>
      <c r="P9" s="1026" t="s">
        <v>3295</v>
      </c>
      <c r="Q9" s="716" t="s">
        <v>1656</v>
      </c>
      <c r="R9" s="715" t="s">
        <v>3296</v>
      </c>
      <c r="S9" s="602"/>
    </row>
    <row r="10" s="536" customFormat="1" ht="16.5" spans="1:19">
      <c r="A10" s="540"/>
      <c r="B10" s="669"/>
      <c r="C10" s="544"/>
      <c r="D10" s="545"/>
      <c r="E10" s="561" t="s">
        <v>1844</v>
      </c>
      <c r="F10" s="568" t="s">
        <v>1845</v>
      </c>
      <c r="G10" s="576">
        <v>43000</v>
      </c>
      <c r="H10" s="596">
        <v>272828.32</v>
      </c>
      <c r="I10" s="596">
        <v>272828.32</v>
      </c>
      <c r="J10" s="596">
        <v>272828.32</v>
      </c>
      <c r="K10" s="597">
        <v>7.1789</v>
      </c>
      <c r="L10" s="598">
        <v>45192</v>
      </c>
      <c r="M10" s="856">
        <v>45206</v>
      </c>
      <c r="N10" s="856">
        <v>45210</v>
      </c>
      <c r="O10" s="622" t="s">
        <v>3297</v>
      </c>
      <c r="P10" s="1026" t="s">
        <v>3298</v>
      </c>
      <c r="Q10" s="250" t="s">
        <v>1671</v>
      </c>
      <c r="R10" s="715"/>
      <c r="S10" s="602"/>
    </row>
    <row r="11" s="536" customFormat="1" ht="16.5" spans="1:19">
      <c r="A11" s="540"/>
      <c r="B11" s="669"/>
      <c r="C11" s="544"/>
      <c r="D11" s="545"/>
      <c r="E11" s="561" t="s">
        <v>3299</v>
      </c>
      <c r="F11" s="568" t="s">
        <v>3300</v>
      </c>
      <c r="G11" s="562">
        <v>9687</v>
      </c>
      <c r="H11" s="596">
        <f>G11*K11</f>
        <v>69542.0043</v>
      </c>
      <c r="I11" s="596">
        <v>69542</v>
      </c>
      <c r="J11" s="602"/>
      <c r="K11" s="597">
        <v>7.1789</v>
      </c>
      <c r="L11" s="598" t="s">
        <v>1218</v>
      </c>
      <c r="M11" s="856">
        <v>45223</v>
      </c>
      <c r="N11" s="598" t="s">
        <v>2432</v>
      </c>
      <c r="O11" s="622" t="s">
        <v>3301</v>
      </c>
      <c r="P11" s="1026" t="s">
        <v>3302</v>
      </c>
      <c r="Q11" s="250"/>
      <c r="R11" s="715"/>
      <c r="S11" s="602"/>
    </row>
    <row r="12" s="536" customFormat="1" ht="16.5" spans="1:19">
      <c r="A12" s="540"/>
      <c r="B12" s="669"/>
      <c r="C12" s="544"/>
      <c r="D12" s="545"/>
      <c r="E12" s="561" t="s">
        <v>408</v>
      </c>
      <c r="F12" s="568" t="s">
        <v>1849</v>
      </c>
      <c r="G12" s="576"/>
      <c r="H12" s="596"/>
      <c r="I12" s="596"/>
      <c r="J12" s="596">
        <v>107976</v>
      </c>
      <c r="K12" s="597">
        <v>7.1789</v>
      </c>
      <c r="L12" s="598" t="s">
        <v>1218</v>
      </c>
      <c r="M12" s="598">
        <v>45191</v>
      </c>
      <c r="N12" s="856">
        <v>45200</v>
      </c>
      <c r="O12" s="622" t="s">
        <v>3303</v>
      </c>
      <c r="P12" s="1026" t="s">
        <v>3139</v>
      </c>
      <c r="Q12" s="716" t="s">
        <v>1656</v>
      </c>
      <c r="R12" s="744"/>
      <c r="S12" s="602"/>
    </row>
    <row r="13" s="536" customFormat="1" ht="20.7" customHeight="1" spans="1:19">
      <c r="A13" s="540"/>
      <c r="B13" s="669"/>
      <c r="C13" s="544"/>
      <c r="D13" s="545"/>
      <c r="E13" s="561" t="s">
        <v>400</v>
      </c>
      <c r="F13" s="568" t="s">
        <v>1856</v>
      </c>
      <c r="G13" s="576"/>
      <c r="H13" s="596"/>
      <c r="I13" s="596"/>
      <c r="J13" s="596">
        <v>765842</v>
      </c>
      <c r="K13" s="597">
        <v>7.1789</v>
      </c>
      <c r="L13" s="598">
        <v>45192</v>
      </c>
      <c r="M13" s="856">
        <v>45191</v>
      </c>
      <c r="N13" s="598" t="s">
        <v>199</v>
      </c>
      <c r="O13" s="706" t="s">
        <v>3136</v>
      </c>
      <c r="P13" s="1027"/>
      <c r="Q13" s="250" t="s">
        <v>1859</v>
      </c>
      <c r="R13" s="744"/>
      <c r="S13" s="602"/>
    </row>
    <row r="14" s="536" customFormat="1" ht="20.7" customHeight="1" spans="1:19">
      <c r="A14" s="540"/>
      <c r="B14" s="669"/>
      <c r="C14" s="546"/>
      <c r="D14" s="547"/>
      <c r="E14" s="250" t="s">
        <v>1860</v>
      </c>
      <c r="F14" s="250" t="s">
        <v>1861</v>
      </c>
      <c r="G14" s="576">
        <v>73434</v>
      </c>
      <c r="H14" s="596"/>
      <c r="I14" s="596"/>
      <c r="J14" s="596">
        <f>G14*K14</f>
        <v>527167.9992</v>
      </c>
      <c r="K14" s="597">
        <v>7.1788</v>
      </c>
      <c r="L14" s="598">
        <v>89</v>
      </c>
      <c r="M14" s="856">
        <v>45197</v>
      </c>
      <c r="N14" s="598" t="s">
        <v>199</v>
      </c>
      <c r="O14" s="706" t="s">
        <v>3304</v>
      </c>
      <c r="P14" s="1028" t="s">
        <v>1863</v>
      </c>
      <c r="Q14" s="250" t="s">
        <v>2131</v>
      </c>
      <c r="S14" s="602"/>
    </row>
    <row r="15" s="536" customFormat="1" ht="16.5" spans="1:19">
      <c r="A15" s="540"/>
      <c r="B15" s="669"/>
      <c r="C15" s="542" t="s">
        <v>2361</v>
      </c>
      <c r="D15" s="543"/>
      <c r="E15" s="250" t="s">
        <v>3177</v>
      </c>
      <c r="F15" s="568" t="s">
        <v>3178</v>
      </c>
      <c r="G15" s="576">
        <v>7762</v>
      </c>
      <c r="H15" s="596">
        <f>G15*K15</f>
        <v>55722.6218</v>
      </c>
      <c r="I15" s="596">
        <v>55722.6218</v>
      </c>
      <c r="J15" s="596">
        <v>55722.6218</v>
      </c>
      <c r="K15" s="597">
        <v>7.1789</v>
      </c>
      <c r="L15" s="598" t="s">
        <v>1218</v>
      </c>
      <c r="M15" s="598">
        <v>45206</v>
      </c>
      <c r="N15" s="856">
        <v>45213</v>
      </c>
      <c r="O15" s="1025" t="s">
        <v>3305</v>
      </c>
      <c r="P15" s="1027"/>
      <c r="Q15" s="716"/>
      <c r="R15" s="744"/>
      <c r="S15" s="602"/>
    </row>
    <row r="16" s="536" customFormat="1" ht="16.5" spans="1:20">
      <c r="A16" s="540"/>
      <c r="B16" s="669"/>
      <c r="C16" s="546"/>
      <c r="D16" s="547"/>
      <c r="E16" s="250" t="s">
        <v>1216</v>
      </c>
      <c r="F16" s="568" t="s">
        <v>3306</v>
      </c>
      <c r="G16" s="562">
        <v>14358</v>
      </c>
      <c r="H16" s="596">
        <f>G16*K16</f>
        <v>103074.6462</v>
      </c>
      <c r="I16" s="596">
        <f>H16</f>
        <v>103074.6462</v>
      </c>
      <c r="J16" s="596"/>
      <c r="K16" s="597">
        <v>7.1789</v>
      </c>
      <c r="L16" s="598">
        <v>45223</v>
      </c>
      <c r="M16" s="598">
        <v>45227</v>
      </c>
      <c r="N16" s="598">
        <v>45232</v>
      </c>
      <c r="O16" s="706" t="s">
        <v>3307</v>
      </c>
      <c r="P16" s="1026" t="s">
        <v>401</v>
      </c>
      <c r="Q16" s="250" t="s">
        <v>1656</v>
      </c>
      <c r="R16" s="744"/>
      <c r="S16" s="1034" t="s">
        <v>3308</v>
      </c>
      <c r="T16" s="1034"/>
    </row>
    <row r="17" s="10" customFormat="1" ht="22.5" customHeight="1" spans="1:19">
      <c r="A17" s="540"/>
      <c r="B17" s="541"/>
      <c r="C17" s="548" t="s">
        <v>1124</v>
      </c>
      <c r="D17" s="1023">
        <v>535</v>
      </c>
      <c r="E17" s="578"/>
      <c r="F17" s="579"/>
      <c r="G17" s="580" t="s">
        <v>1235</v>
      </c>
      <c r="H17" s="581">
        <f>SUM(H3:H16)</f>
        <v>1547628.6664</v>
      </c>
      <c r="I17" s="581">
        <f>SUM(I3:I16)</f>
        <v>1547628.6621</v>
      </c>
      <c r="J17" s="581">
        <f>SUM(J3:J15)</f>
        <v>2843152.941</v>
      </c>
      <c r="K17" s="609"/>
      <c r="L17" s="610"/>
      <c r="M17" s="644"/>
      <c r="N17" s="644"/>
      <c r="O17" s="1029"/>
      <c r="P17" s="632"/>
      <c r="Q17" s="655"/>
      <c r="R17" s="656"/>
      <c r="S17" s="657"/>
    </row>
    <row r="18" s="10" customFormat="1" ht="22.5" customHeight="1" spans="1:19">
      <c r="A18" s="540"/>
      <c r="B18" s="541"/>
      <c r="C18" s="548"/>
      <c r="D18" s="1023"/>
      <c r="E18" s="582"/>
      <c r="F18" s="583"/>
      <c r="G18" s="584" t="s">
        <v>1236</v>
      </c>
      <c r="H18" s="585">
        <f>H17/5350000</f>
        <v>0.289276386242991</v>
      </c>
      <c r="I18" s="585">
        <f>I17/5350000</f>
        <v>0.289276385439252</v>
      </c>
      <c r="J18" s="585">
        <f>J17/5350000</f>
        <v>0.531430456261682</v>
      </c>
      <c r="K18" s="611"/>
      <c r="L18" s="612"/>
      <c r="M18" s="941"/>
      <c r="N18" s="941"/>
      <c r="O18" s="624"/>
      <c r="P18" s="632"/>
      <c r="Q18" s="655"/>
      <c r="R18" s="656"/>
      <c r="S18" s="657"/>
    </row>
    <row r="19" s="10" customFormat="1" ht="32.85" customHeight="1" spans="1:19">
      <c r="A19" s="540"/>
      <c r="B19" s="553" t="s">
        <v>1820</v>
      </c>
      <c r="C19" s="554" t="s">
        <v>1093</v>
      </c>
      <c r="D19" s="555" t="s">
        <v>1821</v>
      </c>
      <c r="E19" s="555" t="s">
        <v>1822</v>
      </c>
      <c r="F19" s="588" t="s">
        <v>1095</v>
      </c>
      <c r="G19" s="589" t="s">
        <v>362</v>
      </c>
      <c r="H19" s="590" t="s">
        <v>1865</v>
      </c>
      <c r="I19" s="590"/>
      <c r="J19" s="590"/>
      <c r="K19" s="590" t="s">
        <v>1866</v>
      </c>
      <c r="L19" s="615" t="s">
        <v>1098</v>
      </c>
      <c r="M19" s="590" t="s">
        <v>1867</v>
      </c>
      <c r="N19" s="646"/>
      <c r="O19" s="624"/>
      <c r="P19" s="632"/>
      <c r="Q19" s="655"/>
      <c r="R19" s="656"/>
      <c r="S19" s="657"/>
    </row>
    <row r="20" s="10" customFormat="1" ht="22.1" customHeight="1" spans="1:19">
      <c r="A20" s="540"/>
      <c r="B20" s="541" t="s">
        <v>1868</v>
      </c>
      <c r="C20" s="556" t="s">
        <v>1825</v>
      </c>
      <c r="D20" s="557" t="s">
        <v>1125</v>
      </c>
      <c r="E20" s="572">
        <v>56</v>
      </c>
      <c r="F20" s="568" t="s">
        <v>3152</v>
      </c>
      <c r="G20" s="591">
        <v>92074</v>
      </c>
      <c r="H20" s="567">
        <f t="shared" ref="H20:H30" si="0">G20*K20</f>
        <v>660990.0386</v>
      </c>
      <c r="I20" s="603"/>
      <c r="J20" s="567"/>
      <c r="K20" s="597">
        <v>7.1789</v>
      </c>
      <c r="L20" s="708" t="s">
        <v>2432</v>
      </c>
      <c r="M20" s="633" t="s">
        <v>1070</v>
      </c>
      <c r="N20" s="633" t="s">
        <v>1070</v>
      </c>
      <c r="O20" s="994" t="s">
        <v>3309</v>
      </c>
      <c r="P20" s="635"/>
      <c r="Q20" s="635"/>
      <c r="R20" s="667"/>
      <c r="S20" s="657"/>
    </row>
    <row r="21" s="10" customFormat="1" ht="22.9" customHeight="1" spans="1:19">
      <c r="A21" s="540"/>
      <c r="B21" s="541"/>
      <c r="C21" s="556"/>
      <c r="D21" s="557"/>
      <c r="E21" s="572" t="s">
        <v>1869</v>
      </c>
      <c r="F21" s="250" t="s">
        <v>1882</v>
      </c>
      <c r="G21" s="591">
        <v>51358</v>
      </c>
      <c r="H21" s="567">
        <f t="shared" si="0"/>
        <v>368693.9462</v>
      </c>
      <c r="I21" s="603"/>
      <c r="J21" s="567"/>
      <c r="K21" s="597">
        <v>7.1789</v>
      </c>
      <c r="L21" s="598" t="s">
        <v>1070</v>
      </c>
      <c r="M21" s="598" t="s">
        <v>1070</v>
      </c>
      <c r="N21" s="598" t="s">
        <v>1070</v>
      </c>
      <c r="O21" s="925" t="s">
        <v>3310</v>
      </c>
      <c r="P21" s="635"/>
      <c r="Q21" s="635"/>
      <c r="R21" s="667"/>
      <c r="S21" s="657"/>
    </row>
    <row r="22" s="10" customFormat="1" ht="22.9" customHeight="1" spans="1:19">
      <c r="A22" s="540"/>
      <c r="B22" s="541"/>
      <c r="C22" s="556"/>
      <c r="D22" s="557"/>
      <c r="E22" s="572" t="s">
        <v>1869</v>
      </c>
      <c r="F22" s="250" t="s">
        <v>2298</v>
      </c>
      <c r="G22" s="562">
        <v>9340</v>
      </c>
      <c r="H22" s="567">
        <f t="shared" si="0"/>
        <v>67050.926</v>
      </c>
      <c r="I22" s="603"/>
      <c r="J22" s="567"/>
      <c r="K22" s="597">
        <v>7.1789</v>
      </c>
      <c r="L22" s="598">
        <v>45229</v>
      </c>
      <c r="M22" s="645">
        <v>45229</v>
      </c>
      <c r="N22" s="625" t="s">
        <v>2432</v>
      </c>
      <c r="O22" s="706" t="s">
        <v>3311</v>
      </c>
      <c r="P22" s="635"/>
      <c r="Q22" s="635"/>
      <c r="R22" s="667"/>
      <c r="S22" s="1035" t="s">
        <v>3290</v>
      </c>
    </row>
    <row r="23" s="10" customFormat="1" ht="22.9" customHeight="1" spans="1:19">
      <c r="A23" s="540"/>
      <c r="B23" s="541"/>
      <c r="C23" s="556"/>
      <c r="D23" s="557"/>
      <c r="E23" s="572" t="s">
        <v>1869</v>
      </c>
      <c r="F23" s="250" t="s">
        <v>3312</v>
      </c>
      <c r="G23" s="562">
        <v>110570</v>
      </c>
      <c r="H23" s="567">
        <f t="shared" si="0"/>
        <v>793770.973</v>
      </c>
      <c r="I23" s="603"/>
      <c r="J23" s="567"/>
      <c r="K23" s="597">
        <v>7.1789</v>
      </c>
      <c r="L23" s="598">
        <v>45229</v>
      </c>
      <c r="M23" s="645">
        <v>45229</v>
      </c>
      <c r="N23" s="625" t="s">
        <v>2432</v>
      </c>
      <c r="O23" s="1030" t="s">
        <v>3313</v>
      </c>
      <c r="P23" s="635"/>
      <c r="Q23" s="635"/>
      <c r="R23" s="667"/>
      <c r="S23" s="577"/>
    </row>
    <row r="24" s="10" customFormat="1" ht="22.9" customHeight="1" spans="1:19">
      <c r="A24" s="540"/>
      <c r="B24" s="541"/>
      <c r="C24" s="556"/>
      <c r="D24" s="557"/>
      <c r="E24" s="572" t="s">
        <v>1869</v>
      </c>
      <c r="F24" s="250" t="s">
        <v>3314</v>
      </c>
      <c r="G24" s="562">
        <v>2696</v>
      </c>
      <c r="H24" s="567">
        <f t="shared" si="0"/>
        <v>19354.3144</v>
      </c>
      <c r="I24" s="603"/>
      <c r="J24" s="567"/>
      <c r="K24" s="597">
        <v>7.1789</v>
      </c>
      <c r="L24" s="598">
        <v>45229</v>
      </c>
      <c r="M24" s="645">
        <v>45229</v>
      </c>
      <c r="N24" s="625" t="s">
        <v>2432</v>
      </c>
      <c r="O24" s="1030" t="s">
        <v>3315</v>
      </c>
      <c r="P24" s="635"/>
      <c r="Q24" s="635"/>
      <c r="R24" s="655"/>
      <c r="S24" s="577"/>
    </row>
    <row r="25" s="10" customFormat="1" ht="22.9" customHeight="1" spans="1:19">
      <c r="A25" s="540"/>
      <c r="B25" s="541"/>
      <c r="C25" s="556"/>
      <c r="D25" s="557"/>
      <c r="E25" s="572" t="s">
        <v>1869</v>
      </c>
      <c r="F25" s="250" t="s">
        <v>2302</v>
      </c>
      <c r="G25" s="562">
        <v>6943</v>
      </c>
      <c r="H25" s="567">
        <f t="shared" si="0"/>
        <v>49843.1027</v>
      </c>
      <c r="I25" s="603"/>
      <c r="J25" s="567"/>
      <c r="K25" s="597">
        <v>7.1789</v>
      </c>
      <c r="L25" s="598">
        <v>45229</v>
      </c>
      <c r="M25" s="645">
        <v>45229</v>
      </c>
      <c r="N25" s="625" t="s">
        <v>2432</v>
      </c>
      <c r="O25" s="1030" t="s">
        <v>3316</v>
      </c>
      <c r="P25" s="635"/>
      <c r="Q25" s="635"/>
      <c r="R25" s="655"/>
      <c r="S25" s="577"/>
    </row>
    <row r="26" s="10" customFormat="1" ht="22.9" customHeight="1" spans="1:19">
      <c r="A26" s="540"/>
      <c r="B26" s="541"/>
      <c r="C26" s="556"/>
      <c r="D26" s="557"/>
      <c r="E26" s="572" t="s">
        <v>1869</v>
      </c>
      <c r="F26" s="250" t="s">
        <v>2303</v>
      </c>
      <c r="G26" s="562">
        <v>3432</v>
      </c>
      <c r="H26" s="567">
        <f t="shared" si="0"/>
        <v>24637.9848</v>
      </c>
      <c r="I26" s="603"/>
      <c r="J26" s="567"/>
      <c r="K26" s="597">
        <v>7.1789</v>
      </c>
      <c r="L26" s="598">
        <v>45229</v>
      </c>
      <c r="M26" s="645">
        <v>45229</v>
      </c>
      <c r="N26" s="625" t="s">
        <v>2432</v>
      </c>
      <c r="O26" s="1031" t="s">
        <v>3317</v>
      </c>
      <c r="P26" s="635"/>
      <c r="Q26" s="655"/>
      <c r="R26" s="655"/>
      <c r="S26" s="577"/>
    </row>
    <row r="27" s="10" customFormat="1" ht="22.9" customHeight="1" spans="1:19">
      <c r="A27" s="540"/>
      <c r="B27" s="541"/>
      <c r="C27" s="556"/>
      <c r="D27" s="557"/>
      <c r="E27" s="572" t="s">
        <v>1869</v>
      </c>
      <c r="F27" s="250" t="s">
        <v>3318</v>
      </c>
      <c r="G27" s="562">
        <v>3182</v>
      </c>
      <c r="H27" s="567">
        <f t="shared" si="0"/>
        <v>22843.2598</v>
      </c>
      <c r="I27" s="603"/>
      <c r="J27" s="567"/>
      <c r="K27" s="597">
        <v>7.1789</v>
      </c>
      <c r="L27" s="598" t="s">
        <v>1218</v>
      </c>
      <c r="M27" s="645">
        <v>45229</v>
      </c>
      <c r="N27" s="625" t="s">
        <v>2432</v>
      </c>
      <c r="O27" s="1031" t="s">
        <v>3319</v>
      </c>
      <c r="P27" s="635"/>
      <c r="Q27" s="655"/>
      <c r="R27" s="655"/>
      <c r="S27" s="577"/>
    </row>
    <row r="28" s="10" customFormat="1" ht="22.9" customHeight="1" spans="1:19">
      <c r="A28" s="540"/>
      <c r="B28" s="541"/>
      <c r="C28" s="556"/>
      <c r="D28" s="557"/>
      <c r="E28" s="572" t="s">
        <v>145</v>
      </c>
      <c r="F28" s="250" t="s">
        <v>2314</v>
      </c>
      <c r="G28" s="562">
        <v>50000</v>
      </c>
      <c r="H28" s="567">
        <f t="shared" si="0"/>
        <v>358945</v>
      </c>
      <c r="I28" s="603"/>
      <c r="J28" s="567"/>
      <c r="K28" s="597">
        <v>7.1789</v>
      </c>
      <c r="L28" s="598" t="s">
        <v>1218</v>
      </c>
      <c r="M28" s="633" t="s">
        <v>2432</v>
      </c>
      <c r="N28" s="633" t="s">
        <v>2432</v>
      </c>
      <c r="O28" s="1031" t="s">
        <v>3320</v>
      </c>
      <c r="P28" s="635"/>
      <c r="Q28" s="655"/>
      <c r="R28" s="655"/>
      <c r="S28" s="577"/>
    </row>
    <row r="29" s="10" customFormat="1" ht="20.65" customHeight="1" spans="1:19">
      <c r="A29" s="540"/>
      <c r="B29" s="541"/>
      <c r="C29" s="670"/>
      <c r="D29" s="557"/>
      <c r="E29" s="250" t="s">
        <v>936</v>
      </c>
      <c r="F29" s="568" t="s">
        <v>3150</v>
      </c>
      <c r="G29" s="591">
        <v>188632</v>
      </c>
      <c r="H29" s="567">
        <f t="shared" si="0"/>
        <v>1354170.2648</v>
      </c>
      <c r="I29" s="603"/>
      <c r="J29" s="567"/>
      <c r="K29" s="597">
        <v>7.1789</v>
      </c>
      <c r="L29" s="598" t="s">
        <v>1218</v>
      </c>
      <c r="M29" s="645">
        <v>45230</v>
      </c>
      <c r="N29" s="645">
        <v>45243</v>
      </c>
      <c r="O29" s="937" t="s">
        <v>3321</v>
      </c>
      <c r="P29" s="635"/>
      <c r="Q29" s="655" t="s">
        <v>3322</v>
      </c>
      <c r="R29" s="655"/>
      <c r="S29" s="577"/>
    </row>
    <row r="30" s="10" customFormat="1" ht="20.65" customHeight="1" spans="1:19">
      <c r="A30" s="540"/>
      <c r="B30" s="541"/>
      <c r="C30" s="556"/>
      <c r="D30" s="557"/>
      <c r="E30" s="250" t="s">
        <v>400</v>
      </c>
      <c r="F30" s="250" t="s">
        <v>1872</v>
      </c>
      <c r="G30" s="562">
        <v>99501</v>
      </c>
      <c r="H30" s="567">
        <f t="shared" si="0"/>
        <v>714307.7289</v>
      </c>
      <c r="I30" s="603"/>
      <c r="J30" s="567"/>
      <c r="K30" s="597">
        <v>7.1789</v>
      </c>
      <c r="L30" s="598" t="s">
        <v>199</v>
      </c>
      <c r="M30" s="633" t="s">
        <v>2432</v>
      </c>
      <c r="N30" s="633" t="s">
        <v>2432</v>
      </c>
      <c r="O30" s="937" t="s">
        <v>3323</v>
      </c>
      <c r="P30" s="642" t="s">
        <v>2329</v>
      </c>
      <c r="Q30" s="759" t="s">
        <v>1859</v>
      </c>
      <c r="R30" s="910"/>
      <c r="S30" s="657"/>
    </row>
    <row r="31" s="10" customFormat="1" ht="20.65" customHeight="1" spans="1:19">
      <c r="A31" s="540"/>
      <c r="B31" s="541"/>
      <c r="C31" s="556"/>
      <c r="D31" s="557"/>
      <c r="E31" s="250" t="s">
        <v>1904</v>
      </c>
      <c r="F31" s="250" t="s">
        <v>3324</v>
      </c>
      <c r="G31" s="562">
        <v>31200</v>
      </c>
      <c r="H31" s="567">
        <v>223982</v>
      </c>
      <c r="I31" s="603"/>
      <c r="J31" s="567"/>
      <c r="K31" s="597">
        <v>7.1789</v>
      </c>
      <c r="L31" s="598" t="s">
        <v>3157</v>
      </c>
      <c r="M31" s="633" t="s">
        <v>3157</v>
      </c>
      <c r="N31" s="633" t="s">
        <v>2432</v>
      </c>
      <c r="O31" s="937" t="s">
        <v>3325</v>
      </c>
      <c r="P31" s="642"/>
      <c r="Q31" s="759"/>
      <c r="R31" s="910"/>
      <c r="S31" s="657"/>
    </row>
    <row r="32" s="10" customFormat="1" ht="20.65" customHeight="1" spans="1:19">
      <c r="A32" s="540"/>
      <c r="B32" s="541"/>
      <c r="C32" s="556"/>
      <c r="D32" s="557"/>
      <c r="E32" s="561" t="s">
        <v>1844</v>
      </c>
      <c r="F32" s="571" t="s">
        <v>2359</v>
      </c>
      <c r="G32" s="591">
        <v>12500</v>
      </c>
      <c r="H32" s="567">
        <f>G32*K32</f>
        <v>89736.25</v>
      </c>
      <c r="I32" s="600"/>
      <c r="J32" s="602"/>
      <c r="K32" s="597">
        <v>7.1789</v>
      </c>
      <c r="L32" s="598">
        <v>45237</v>
      </c>
      <c r="M32" s="633"/>
      <c r="N32" s="633"/>
      <c r="O32" s="622" t="s">
        <v>3326</v>
      </c>
      <c r="P32" s="642"/>
      <c r="Q32" s="759"/>
      <c r="R32" s="910"/>
      <c r="S32" s="657"/>
    </row>
    <row r="33" s="10" customFormat="1" ht="20.65" customHeight="1" spans="1:19">
      <c r="A33" s="540"/>
      <c r="B33" s="541"/>
      <c r="C33" s="556"/>
      <c r="D33" s="557"/>
      <c r="E33" s="250" t="s">
        <v>335</v>
      </c>
      <c r="F33" s="562" t="s">
        <v>2320</v>
      </c>
      <c r="G33" s="562">
        <v>47318</v>
      </c>
      <c r="H33" s="567">
        <f>G33*K33</f>
        <v>339691.1902</v>
      </c>
      <c r="I33" s="570"/>
      <c r="J33" s="570"/>
      <c r="K33" s="597">
        <v>7.1789</v>
      </c>
      <c r="L33" s="598" t="s">
        <v>1070</v>
      </c>
      <c r="M33" s="633" t="s">
        <v>1070</v>
      </c>
      <c r="N33" s="633" t="s">
        <v>1070</v>
      </c>
      <c r="O33" s="691" t="s">
        <v>3327</v>
      </c>
      <c r="P33" s="691" t="s">
        <v>3328</v>
      </c>
      <c r="Q33" s="655" t="s">
        <v>1671</v>
      </c>
      <c r="R33" s="910"/>
      <c r="S33" s="657"/>
    </row>
    <row r="34" s="10" customFormat="1" ht="20.65" customHeight="1" spans="1:19">
      <c r="A34" s="540"/>
      <c r="B34" s="541"/>
      <c r="C34" s="556"/>
      <c r="D34" s="557"/>
      <c r="E34" s="561" t="s">
        <v>775</v>
      </c>
      <c r="F34" s="571" t="s">
        <v>3329</v>
      </c>
      <c r="G34" s="576">
        <v>12421</v>
      </c>
      <c r="H34" s="567">
        <f>G34*K34</f>
        <v>89169.1169</v>
      </c>
      <c r="I34" s="600"/>
      <c r="J34" s="602"/>
      <c r="K34" s="597">
        <v>7.1789</v>
      </c>
      <c r="L34" s="598"/>
      <c r="M34" s="625" t="s">
        <v>2432</v>
      </c>
      <c r="N34" s="625" t="s">
        <v>2432</v>
      </c>
      <c r="O34" s="622" t="s">
        <v>3330</v>
      </c>
      <c r="P34" s="623" t="s">
        <v>3331</v>
      </c>
      <c r="Q34" s="572" t="s">
        <v>1656</v>
      </c>
      <c r="R34" s="656"/>
      <c r="S34" s="577"/>
    </row>
    <row r="35" s="10" customFormat="1" ht="20.65" customHeight="1" spans="1:20">
      <c r="A35" s="540"/>
      <c r="B35" s="541"/>
      <c r="C35" s="556" t="s">
        <v>224</v>
      </c>
      <c r="D35" s="557"/>
      <c r="E35" s="244" t="s">
        <v>1860</v>
      </c>
      <c r="F35" s="244" t="s">
        <v>2350</v>
      </c>
      <c r="G35" s="722">
        <v>65243</v>
      </c>
      <c r="H35" s="567">
        <f>G35*K35</f>
        <v>468372.9727</v>
      </c>
      <c r="I35" s="603"/>
      <c r="J35" s="567"/>
      <c r="K35" s="597">
        <v>7.1789</v>
      </c>
      <c r="L35" s="598" t="s">
        <v>2432</v>
      </c>
      <c r="M35" s="633" t="s">
        <v>2432</v>
      </c>
      <c r="N35" s="633" t="s">
        <v>2432</v>
      </c>
      <c r="O35" s="1040" t="s">
        <v>3332</v>
      </c>
      <c r="P35" s="623" t="s">
        <v>2352</v>
      </c>
      <c r="Q35" s="572" t="s">
        <v>2131</v>
      </c>
      <c r="R35" s="910"/>
      <c r="S35" s="657"/>
      <c r="T35" s="1044"/>
    </row>
    <row r="36" s="10" customFormat="1" ht="20.65" customHeight="1" spans="1:26">
      <c r="A36" s="540"/>
      <c r="B36" s="541"/>
      <c r="C36" s="666" t="s">
        <v>2361</v>
      </c>
      <c r="D36" s="557"/>
      <c r="E36" s="250" t="s">
        <v>197</v>
      </c>
      <c r="F36" s="568" t="s">
        <v>3182</v>
      </c>
      <c r="G36" s="591">
        <v>63398</v>
      </c>
      <c r="H36" s="567">
        <f>G36*K36</f>
        <v>455127.9022</v>
      </c>
      <c r="I36" s="603"/>
      <c r="J36" s="567"/>
      <c r="K36" s="597">
        <v>7.1789</v>
      </c>
      <c r="L36" s="598" t="s">
        <v>2432</v>
      </c>
      <c r="M36" s="633" t="s">
        <v>2432</v>
      </c>
      <c r="N36" s="633" t="s">
        <v>2432</v>
      </c>
      <c r="O36" s="994" t="s">
        <v>3333</v>
      </c>
      <c r="P36" s="635" t="s">
        <v>3334</v>
      </c>
      <c r="Q36" s="655" t="s">
        <v>1671</v>
      </c>
      <c r="R36" s="591"/>
      <c r="S36" s="567"/>
      <c r="T36" s="603"/>
      <c r="U36" s="567"/>
      <c r="V36" s="597"/>
      <c r="W36" s="598"/>
      <c r="X36" s="633"/>
      <c r="Y36" s="633"/>
      <c r="Z36" s="994"/>
    </row>
    <row r="37" s="10" customFormat="1" ht="16.5" spans="1:19">
      <c r="A37" s="540"/>
      <c r="B37" s="541"/>
      <c r="C37" s="670"/>
      <c r="D37" s="557"/>
      <c r="E37" s="250"/>
      <c r="F37" s="568"/>
      <c r="G37" s="591"/>
      <c r="H37" s="567"/>
      <c r="I37" s="603"/>
      <c r="J37" s="567"/>
      <c r="K37" s="597"/>
      <c r="L37" s="598"/>
      <c r="M37" s="633"/>
      <c r="N37" s="633"/>
      <c r="O37" s="994"/>
      <c r="P37" s="635"/>
      <c r="Q37" s="655"/>
      <c r="R37" s="656"/>
      <c r="S37" s="602"/>
    </row>
    <row r="38" s="10" customFormat="1" ht="16.5" spans="1:19">
      <c r="A38" s="540"/>
      <c r="B38" s="672"/>
      <c r="C38" s="551" t="s">
        <v>1874</v>
      </c>
      <c r="D38" s="551"/>
      <c r="E38" s="551"/>
      <c r="F38" s="551"/>
      <c r="G38" s="551"/>
      <c r="H38" s="675">
        <f>SUM(H20:H37)</f>
        <v>6100686.9712</v>
      </c>
      <c r="I38" s="600"/>
      <c r="J38" s="602"/>
      <c r="K38" s="614"/>
      <c r="L38" s="682"/>
      <c r="M38" s="645"/>
      <c r="N38" s="645"/>
      <c r="O38" s="622"/>
      <c r="P38" s="570"/>
      <c r="Q38" s="570"/>
      <c r="R38" s="656"/>
      <c r="S38" s="657"/>
    </row>
    <row r="39" s="10" customFormat="1" ht="16.5" spans="1:19">
      <c r="A39" s="540"/>
      <c r="B39" s="541" t="s">
        <v>1875</v>
      </c>
      <c r="C39" s="701"/>
      <c r="D39" s="557" t="s">
        <v>1125</v>
      </c>
      <c r="E39" s="572" t="s">
        <v>2404</v>
      </c>
      <c r="F39" s="568" t="s">
        <v>2405</v>
      </c>
      <c r="G39" s="591">
        <v>120000</v>
      </c>
      <c r="I39" s="603"/>
      <c r="J39" s="567"/>
      <c r="K39" s="597">
        <v>7.1788</v>
      </c>
      <c r="L39" s="708"/>
      <c r="M39" s="644"/>
      <c r="N39" s="644"/>
      <c r="O39" s="994" t="s">
        <v>3335</v>
      </c>
      <c r="P39" s="635"/>
      <c r="Q39" s="655"/>
      <c r="R39" s="656" t="s">
        <v>2407</v>
      </c>
      <c r="S39" s="657"/>
    </row>
    <row r="40" s="10" customFormat="1" ht="16.5" spans="1:19">
      <c r="A40" s="540"/>
      <c r="B40" s="541"/>
      <c r="C40" s="701"/>
      <c r="D40" s="557"/>
      <c r="E40" s="250" t="s">
        <v>2408</v>
      </c>
      <c r="F40" s="250" t="s">
        <v>2409</v>
      </c>
      <c r="G40" s="562">
        <v>250000</v>
      </c>
      <c r="H40" s="567"/>
      <c r="I40" s="603"/>
      <c r="J40" s="567"/>
      <c r="K40" s="597">
        <v>7.1788</v>
      </c>
      <c r="L40" s="598"/>
      <c r="M40" s="645"/>
      <c r="N40" s="645"/>
      <c r="O40" s="994" t="s">
        <v>3336</v>
      </c>
      <c r="P40" s="635"/>
      <c r="Q40" s="1045" t="s">
        <v>3337</v>
      </c>
      <c r="R40" s="656"/>
      <c r="S40" s="657"/>
    </row>
    <row r="41" s="10" customFormat="1" ht="16.5" spans="1:19">
      <c r="A41" s="540"/>
      <c r="B41" s="541"/>
      <c r="C41" s="701"/>
      <c r="D41" s="557"/>
      <c r="E41" s="565" t="s">
        <v>157</v>
      </c>
      <c r="F41" s="250" t="s">
        <v>2308</v>
      </c>
      <c r="G41" s="562">
        <v>70000</v>
      </c>
      <c r="H41" s="567"/>
      <c r="I41" s="603"/>
      <c r="J41" s="567"/>
      <c r="K41" s="597">
        <v>7.1788</v>
      </c>
      <c r="L41" s="598"/>
      <c r="M41" s="645"/>
      <c r="N41" s="645"/>
      <c r="O41" s="994" t="s">
        <v>3338</v>
      </c>
      <c r="P41" s="635" t="s">
        <v>2309</v>
      </c>
      <c r="Q41" s="1045" t="s">
        <v>2131</v>
      </c>
      <c r="R41" s="656"/>
      <c r="S41" s="657"/>
    </row>
    <row r="42" s="10" customFormat="1" ht="16.5" spans="1:19">
      <c r="A42" s="540"/>
      <c r="B42" s="541"/>
      <c r="C42" s="701"/>
      <c r="D42" s="557"/>
      <c r="E42" s="565" t="s">
        <v>157</v>
      </c>
      <c r="F42" s="250" t="s">
        <v>2310</v>
      </c>
      <c r="G42" s="562">
        <v>70000</v>
      </c>
      <c r="H42" s="567"/>
      <c r="I42" s="603"/>
      <c r="J42" s="567"/>
      <c r="K42" s="597">
        <v>7.1788</v>
      </c>
      <c r="L42" s="598"/>
      <c r="M42" s="645"/>
      <c r="N42" s="645"/>
      <c r="O42" s="994" t="s">
        <v>3338</v>
      </c>
      <c r="P42" s="635" t="s">
        <v>2312</v>
      </c>
      <c r="Q42" s="1045" t="s">
        <v>1671</v>
      </c>
      <c r="R42" s="656"/>
      <c r="S42" s="657"/>
    </row>
    <row r="43" s="10" customFormat="1" ht="16.5" spans="1:19">
      <c r="A43" s="540"/>
      <c r="B43" s="541"/>
      <c r="C43" s="556" t="s">
        <v>1825</v>
      </c>
      <c r="D43" s="557"/>
      <c r="E43" s="572" t="s">
        <v>1884</v>
      </c>
      <c r="F43" s="250" t="s">
        <v>1885</v>
      </c>
      <c r="G43" s="562">
        <v>900</v>
      </c>
      <c r="H43" s="567"/>
      <c r="I43" s="603"/>
      <c r="J43" s="567"/>
      <c r="K43" s="597">
        <v>7.1789</v>
      </c>
      <c r="L43" s="598"/>
      <c r="M43" s="645"/>
      <c r="N43" s="645"/>
      <c r="O43" s="937" t="s">
        <v>3339</v>
      </c>
      <c r="P43" s="635"/>
      <c r="Q43" s="759"/>
      <c r="R43" s="656"/>
      <c r="S43" s="657"/>
    </row>
    <row r="44" s="10" customFormat="1" ht="16.5" spans="1:19">
      <c r="A44" s="540"/>
      <c r="B44" s="541"/>
      <c r="C44" s="556"/>
      <c r="D44" s="557"/>
      <c r="E44" s="574" t="s">
        <v>1381</v>
      </c>
      <c r="F44" s="564" t="s">
        <v>2304</v>
      </c>
      <c r="G44" s="593">
        <v>33000</v>
      </c>
      <c r="H44" s="592"/>
      <c r="I44" s="605"/>
      <c r="J44" s="592"/>
      <c r="K44" s="597">
        <v>7.1789</v>
      </c>
      <c r="L44" s="618"/>
      <c r="M44" s="1041"/>
      <c r="N44" s="1041"/>
      <c r="O44" s="994" t="s">
        <v>3340</v>
      </c>
      <c r="P44" s="907" t="s">
        <v>3341</v>
      </c>
      <c r="Q44" s="759"/>
      <c r="R44" s="1046"/>
      <c r="S44" s="657"/>
    </row>
    <row r="45" s="10" customFormat="1" ht="16.5" spans="1:20">
      <c r="A45" s="540"/>
      <c r="B45" s="541"/>
      <c r="C45" s="670"/>
      <c r="D45" s="557"/>
      <c r="E45" s="574" t="s">
        <v>201</v>
      </c>
      <c r="F45" s="564" t="s">
        <v>1887</v>
      </c>
      <c r="G45" s="593">
        <v>50000</v>
      </c>
      <c r="H45" s="592">
        <f>G45*K45</f>
        <v>358945</v>
      </c>
      <c r="I45" s="605"/>
      <c r="J45" s="592"/>
      <c r="K45" s="617">
        <v>7.1789</v>
      </c>
      <c r="L45" s="618" t="s">
        <v>2432</v>
      </c>
      <c r="M45" s="736" t="s">
        <v>2432</v>
      </c>
      <c r="N45" s="736" t="s">
        <v>2432</v>
      </c>
      <c r="O45" s="994" t="s">
        <v>3154</v>
      </c>
      <c r="P45" s="650" t="s">
        <v>1889</v>
      </c>
      <c r="Q45" s="759" t="s">
        <v>1671</v>
      </c>
      <c r="R45" s="1046"/>
      <c r="S45" s="657"/>
      <c r="T45" s="1044"/>
    </row>
    <row r="46" s="10" customFormat="1" ht="26.25" customHeight="1" spans="1:19">
      <c r="A46" s="540"/>
      <c r="B46" s="541"/>
      <c r="C46" s="664" t="s">
        <v>224</v>
      </c>
      <c r="D46" s="557"/>
      <c r="E46" s="561" t="s">
        <v>1895</v>
      </c>
      <c r="F46" s="571" t="s">
        <v>1896</v>
      </c>
      <c r="G46" s="576">
        <v>200000</v>
      </c>
      <c r="H46" s="567"/>
      <c r="I46" s="600"/>
      <c r="J46" s="602"/>
      <c r="K46" s="597">
        <v>7.1789</v>
      </c>
      <c r="L46" s="598"/>
      <c r="M46" s="645"/>
      <c r="N46" s="645"/>
      <c r="O46" s="622" t="s">
        <v>3342</v>
      </c>
      <c r="P46" s="945"/>
      <c r="Q46" s="572"/>
      <c r="R46" s="656"/>
      <c r="S46" s="577" t="s">
        <v>3343</v>
      </c>
    </row>
    <row r="47" s="10" customFormat="1" ht="16.5" spans="1:19">
      <c r="A47" s="540"/>
      <c r="B47" s="541"/>
      <c r="C47" s="664"/>
      <c r="D47" s="557"/>
      <c r="E47" s="565" t="s">
        <v>408</v>
      </c>
      <c r="F47" s="571" t="s">
        <v>3344</v>
      </c>
      <c r="G47" s="562">
        <v>189366</v>
      </c>
      <c r="H47" s="567">
        <f t="shared" ref="H47:H52" si="1">G47*K47</f>
        <v>1359439.5774</v>
      </c>
      <c r="I47" s="600"/>
      <c r="J47" s="602"/>
      <c r="K47" s="597">
        <v>7.1789</v>
      </c>
      <c r="L47" s="707"/>
      <c r="M47" s="645"/>
      <c r="N47" s="645"/>
      <c r="O47" s="626" t="s">
        <v>3345</v>
      </c>
      <c r="P47" s="642" t="s">
        <v>3346</v>
      </c>
      <c r="Q47" s="655" t="s">
        <v>3322</v>
      </c>
      <c r="R47" s="656"/>
      <c r="S47" s="577"/>
    </row>
    <row r="48" s="10" customFormat="1" ht="16.5" spans="1:22">
      <c r="A48" s="540"/>
      <c r="B48" s="541"/>
      <c r="C48" s="664"/>
      <c r="D48" s="557"/>
      <c r="E48" s="250" t="s">
        <v>1907</v>
      </c>
      <c r="F48" s="562" t="s">
        <v>1908</v>
      </c>
      <c r="G48" s="562">
        <v>50687</v>
      </c>
      <c r="H48" s="567"/>
      <c r="I48" s="600"/>
      <c r="J48" s="602"/>
      <c r="K48" s="597">
        <v>7.1789</v>
      </c>
      <c r="L48" s="707"/>
      <c r="M48" s="645"/>
      <c r="N48" s="645"/>
      <c r="O48" s="626" t="s">
        <v>3347</v>
      </c>
      <c r="P48" s="642" t="s">
        <v>2430</v>
      </c>
      <c r="Q48" s="655" t="s">
        <v>1671</v>
      </c>
      <c r="R48" s="656"/>
      <c r="S48" s="577"/>
      <c r="V48" s="1044"/>
    </row>
    <row r="49" s="10" customFormat="1" ht="20.65" customHeight="1" spans="1:22">
      <c r="A49" s="540"/>
      <c r="B49" s="541"/>
      <c r="C49" s="664"/>
      <c r="D49" s="557"/>
      <c r="E49" s="903" t="s">
        <v>1890</v>
      </c>
      <c r="F49" s="904" t="s">
        <v>1891</v>
      </c>
      <c r="G49" s="681"/>
      <c r="H49" s="681">
        <f t="shared" si="1"/>
        <v>0</v>
      </c>
      <c r="I49" s="1039"/>
      <c r="J49" s="766"/>
      <c r="K49" s="806">
        <v>7.1789</v>
      </c>
      <c r="L49" s="610"/>
      <c r="M49" s="644"/>
      <c r="N49" s="644"/>
      <c r="O49" s="1042" t="s">
        <v>3348</v>
      </c>
      <c r="P49" s="1043"/>
      <c r="Q49" s="579" t="s">
        <v>1893</v>
      </c>
      <c r="R49" s="1047"/>
      <c r="S49" s="577"/>
      <c r="V49" s="1044"/>
    </row>
    <row r="50" s="10" customFormat="1" ht="22.5" customHeight="1" spans="1:22">
      <c r="A50" s="540"/>
      <c r="B50" s="541"/>
      <c r="C50" s="664"/>
      <c r="D50" s="557"/>
      <c r="E50" s="250" t="s">
        <v>1901</v>
      </c>
      <c r="F50" s="571" t="s">
        <v>1902</v>
      </c>
      <c r="G50" s="591">
        <v>1000000</v>
      </c>
      <c r="H50" s="567"/>
      <c r="I50" s="600"/>
      <c r="J50" s="602"/>
      <c r="K50" s="597">
        <v>7.1789</v>
      </c>
      <c r="L50" s="707"/>
      <c r="M50" s="644"/>
      <c r="N50" s="644"/>
      <c r="O50" s="626" t="s">
        <v>3349</v>
      </c>
      <c r="P50" s="635"/>
      <c r="Q50" s="572"/>
      <c r="R50" s="656" t="s">
        <v>2424</v>
      </c>
      <c r="V50" s="1044"/>
    </row>
    <row r="51" s="10" customFormat="1" ht="16.5" spans="1:19">
      <c r="A51" s="540"/>
      <c r="B51" s="541"/>
      <c r="C51" s="671" t="s">
        <v>2361</v>
      </c>
      <c r="D51" s="557"/>
      <c r="E51" s="250" t="s">
        <v>2368</v>
      </c>
      <c r="F51" s="568" t="s">
        <v>2016</v>
      </c>
      <c r="G51" s="591">
        <v>40300.68</v>
      </c>
      <c r="H51" s="567">
        <f t="shared" si="1"/>
        <v>289314.551652</v>
      </c>
      <c r="I51" s="603"/>
      <c r="J51" s="567"/>
      <c r="K51" s="597">
        <v>7.1789</v>
      </c>
      <c r="L51" s="598" t="s">
        <v>1070</v>
      </c>
      <c r="M51" s="633" t="s">
        <v>1070</v>
      </c>
      <c r="N51" s="633" t="s">
        <v>1070</v>
      </c>
      <c r="O51" s="994" t="s">
        <v>3350</v>
      </c>
      <c r="P51" s="642" t="s">
        <v>3351</v>
      </c>
      <c r="Q51" s="655" t="s">
        <v>1671</v>
      </c>
      <c r="R51" s="656"/>
      <c r="S51" s="602"/>
    </row>
    <row r="52" s="10" customFormat="1" ht="16.5" spans="1:20">
      <c r="A52" s="699"/>
      <c r="B52" s="541"/>
      <c r="C52" s="671"/>
      <c r="D52" s="557"/>
      <c r="E52" s="561" t="s">
        <v>53</v>
      </c>
      <c r="F52" s="571" t="s">
        <v>2372</v>
      </c>
      <c r="G52" s="576">
        <v>48792</v>
      </c>
      <c r="H52" s="567">
        <f t="shared" si="1"/>
        <v>350272.8888</v>
      </c>
      <c r="I52" s="603"/>
      <c r="J52" s="567"/>
      <c r="K52" s="597">
        <v>7.1789</v>
      </c>
      <c r="L52" s="598">
        <v>45229</v>
      </c>
      <c r="M52" s="625" t="s">
        <v>199</v>
      </c>
      <c r="N52" s="625" t="s">
        <v>2432</v>
      </c>
      <c r="O52" s="994" t="s">
        <v>3352</v>
      </c>
      <c r="P52" s="642"/>
      <c r="Q52" s="655"/>
      <c r="R52" s="656"/>
      <c r="S52" s="657"/>
      <c r="T52" s="1044" t="s">
        <v>3184</v>
      </c>
    </row>
    <row r="53" s="10" customFormat="1" ht="16.5" spans="1:19">
      <c r="A53" s="699"/>
      <c r="B53" s="541"/>
      <c r="C53" s="712" t="s">
        <v>1874</v>
      </c>
      <c r="D53" s="712"/>
      <c r="E53" s="712"/>
      <c r="F53" s="712"/>
      <c r="G53" s="712"/>
      <c r="H53" s="675">
        <f>SUM(H40:H52)</f>
        <v>2357972.017852</v>
      </c>
      <c r="I53" s="732"/>
      <c r="J53" s="732"/>
      <c r="K53" s="733"/>
      <c r="L53" s="598"/>
      <c r="M53" s="645"/>
      <c r="N53" s="645"/>
      <c r="O53" s="706"/>
      <c r="P53" s="642"/>
      <c r="Q53" s="655"/>
      <c r="R53" s="664"/>
      <c r="S53" s="602"/>
    </row>
    <row r="54" s="10" customFormat="1" ht="33.55" customHeight="1" spans="1:19">
      <c r="A54" s="537" t="s">
        <v>1092</v>
      </c>
      <c r="B54" s="537" t="s">
        <v>1820</v>
      </c>
      <c r="C54" s="538" t="s">
        <v>1946</v>
      </c>
      <c r="D54" s="539" t="s">
        <v>1821</v>
      </c>
      <c r="E54" s="539" t="s">
        <v>1822</v>
      </c>
      <c r="F54" s="558" t="s">
        <v>1095</v>
      </c>
      <c r="G54" s="559" t="s">
        <v>362</v>
      </c>
      <c r="H54" s="560" t="s">
        <v>1716</v>
      </c>
      <c r="I54" s="560" t="s">
        <v>1717</v>
      </c>
      <c r="J54" s="560" t="s">
        <v>1718</v>
      </c>
      <c r="K54" s="594" t="s">
        <v>1866</v>
      </c>
      <c r="L54" s="595" t="s">
        <v>1098</v>
      </c>
      <c r="M54" s="619" t="s">
        <v>1097</v>
      </c>
      <c r="N54" s="619" t="s">
        <v>1214</v>
      </c>
      <c r="O54" s="727" t="s">
        <v>1215</v>
      </c>
      <c r="P54" s="621" t="s">
        <v>7</v>
      </c>
      <c r="Q54" s="746" t="s">
        <v>8</v>
      </c>
      <c r="R54" s="747" t="s">
        <v>9</v>
      </c>
      <c r="S54" s="654" t="s">
        <v>1291</v>
      </c>
    </row>
    <row r="55" s="536" customFormat="1" ht="16.5" spans="1:19">
      <c r="A55" s="713" t="s">
        <v>1913</v>
      </c>
      <c r="B55" s="541" t="s">
        <v>1824</v>
      </c>
      <c r="C55" s="544" t="s">
        <v>1248</v>
      </c>
      <c r="D55" s="545">
        <v>257</v>
      </c>
      <c r="E55" s="541" t="s">
        <v>299</v>
      </c>
      <c r="F55" s="764" t="s">
        <v>3207</v>
      </c>
      <c r="G55" s="755">
        <v>31850</v>
      </c>
      <c r="H55" s="596">
        <f t="shared" ref="H55:H60" si="2">G55*K55</f>
        <v>228647.965</v>
      </c>
      <c r="I55" s="602">
        <v>228647.965</v>
      </c>
      <c r="J55" s="602">
        <f>I55</f>
        <v>228647.965</v>
      </c>
      <c r="K55" s="597">
        <v>7.1789</v>
      </c>
      <c r="L55" s="598" t="s">
        <v>3353</v>
      </c>
      <c r="M55" s="598">
        <v>45224</v>
      </c>
      <c r="N55" s="598">
        <v>45227</v>
      </c>
      <c r="O55" s="740" t="s">
        <v>3354</v>
      </c>
      <c r="P55" s="250" t="s">
        <v>2434</v>
      </c>
      <c r="Q55" s="751">
        <v>91</v>
      </c>
      <c r="R55" s="752">
        <v>350</v>
      </c>
      <c r="S55" s="992"/>
    </row>
    <row r="56" s="536" customFormat="1" ht="16.5" spans="1:19">
      <c r="A56" s="713"/>
      <c r="B56" s="541"/>
      <c r="C56" s="544"/>
      <c r="D56" s="545"/>
      <c r="E56" s="541"/>
      <c r="F56" s="764" t="s">
        <v>3211</v>
      </c>
      <c r="G56" s="755">
        <v>31850</v>
      </c>
      <c r="H56" s="596">
        <f t="shared" si="2"/>
        <v>228647.965</v>
      </c>
      <c r="I56" s="602">
        <v>228647.965</v>
      </c>
      <c r="J56" s="602"/>
      <c r="K56" s="597">
        <v>7.1789</v>
      </c>
      <c r="L56" s="598" t="s">
        <v>3355</v>
      </c>
      <c r="M56" s="598">
        <v>45230</v>
      </c>
      <c r="N56" s="598">
        <v>45236</v>
      </c>
      <c r="O56" s="740" t="s">
        <v>3356</v>
      </c>
      <c r="P56" s="250" t="s">
        <v>2434</v>
      </c>
      <c r="Q56" s="751">
        <v>91</v>
      </c>
      <c r="R56" s="752">
        <v>350</v>
      </c>
      <c r="S56" s="992"/>
    </row>
    <row r="57" s="536" customFormat="1" ht="18.75" customHeight="1" spans="1:19">
      <c r="A57" s="713"/>
      <c r="B57" s="541"/>
      <c r="C57" s="544"/>
      <c r="D57" s="545"/>
      <c r="E57" s="541"/>
      <c r="F57" s="764" t="s">
        <v>3213</v>
      </c>
      <c r="G57" s="755">
        <v>31850</v>
      </c>
      <c r="H57" s="596">
        <f t="shared" si="2"/>
        <v>228647.965</v>
      </c>
      <c r="I57" s="602">
        <v>228647.965</v>
      </c>
      <c r="J57" s="602"/>
      <c r="K57" s="597">
        <v>7.1789</v>
      </c>
      <c r="L57" s="598" t="s">
        <v>3355</v>
      </c>
      <c r="M57" s="598">
        <v>45230</v>
      </c>
      <c r="N57" s="598">
        <v>45236</v>
      </c>
      <c r="O57" s="740" t="s">
        <v>3356</v>
      </c>
      <c r="P57" s="250" t="s">
        <v>2434</v>
      </c>
      <c r="Q57" s="751">
        <v>91</v>
      </c>
      <c r="R57" s="752">
        <v>350</v>
      </c>
      <c r="S57" s="754"/>
    </row>
    <row r="58" s="536" customFormat="1" ht="18.75" customHeight="1" spans="1:19">
      <c r="A58" s="713"/>
      <c r="B58" s="541"/>
      <c r="C58" s="1036" t="s">
        <v>1922</v>
      </c>
      <c r="D58" s="543">
        <v>82</v>
      </c>
      <c r="E58" s="568" t="s">
        <v>287</v>
      </c>
      <c r="F58" s="561" t="s">
        <v>3222</v>
      </c>
      <c r="G58" s="576">
        <v>5396</v>
      </c>
      <c r="H58" s="596">
        <f t="shared" si="2"/>
        <v>38737.3444</v>
      </c>
      <c r="I58" s="602">
        <v>38737.3444</v>
      </c>
      <c r="J58" s="602">
        <v>38737.3444</v>
      </c>
      <c r="K58" s="597">
        <v>7.1789</v>
      </c>
      <c r="L58" s="598" t="s">
        <v>3223</v>
      </c>
      <c r="M58" s="598">
        <v>45209</v>
      </c>
      <c r="N58" s="598" t="s">
        <v>199</v>
      </c>
      <c r="O58" s="740" t="s">
        <v>3357</v>
      </c>
      <c r="P58" s="250"/>
      <c r="Q58" s="250"/>
      <c r="R58" s="752"/>
      <c r="S58" s="754"/>
    </row>
    <row r="59" s="536" customFormat="1" ht="18.75" customHeight="1" spans="1:19">
      <c r="A59" s="713"/>
      <c r="B59" s="541"/>
      <c r="C59" s="1037"/>
      <c r="D59" s="545"/>
      <c r="E59" s="568" t="s">
        <v>165</v>
      </c>
      <c r="F59" s="672" t="s">
        <v>3358</v>
      </c>
      <c r="G59" s="576">
        <v>15930</v>
      </c>
      <c r="H59" s="596">
        <f t="shared" si="2"/>
        <v>114359.877</v>
      </c>
      <c r="I59" s="602">
        <v>114359.877</v>
      </c>
      <c r="J59" s="766">
        <f>I59</f>
        <v>114359.877</v>
      </c>
      <c r="K59" s="597">
        <v>7.1789</v>
      </c>
      <c r="L59" s="598" t="s">
        <v>1218</v>
      </c>
      <c r="M59" s="598">
        <v>45224</v>
      </c>
      <c r="N59" s="598">
        <v>45230</v>
      </c>
      <c r="O59" s="740" t="s">
        <v>3359</v>
      </c>
      <c r="P59" s="250"/>
      <c r="Q59" s="250"/>
      <c r="R59" s="752"/>
      <c r="S59" s="754"/>
    </row>
    <row r="60" s="536" customFormat="1" ht="16.5" spans="1:19">
      <c r="A60" s="718"/>
      <c r="B60" s="541"/>
      <c r="C60" s="1038"/>
      <c r="D60" s="547"/>
      <c r="E60" s="568" t="s">
        <v>1169</v>
      </c>
      <c r="F60" s="672" t="s">
        <v>3360</v>
      </c>
      <c r="G60" s="576">
        <v>30843</v>
      </c>
      <c r="H60" s="596">
        <f t="shared" si="2"/>
        <v>221418.8127</v>
      </c>
      <c r="I60" s="766">
        <f>H60</f>
        <v>221418.8127</v>
      </c>
      <c r="J60" s="766">
        <f>I60</f>
        <v>221418.8127</v>
      </c>
      <c r="K60" s="597">
        <v>7.1789</v>
      </c>
      <c r="L60" s="598" t="s">
        <v>3355</v>
      </c>
      <c r="M60" s="598">
        <v>45225</v>
      </c>
      <c r="N60" s="598">
        <v>45231</v>
      </c>
      <c r="O60" s="740" t="s">
        <v>3361</v>
      </c>
      <c r="P60" s="744"/>
      <c r="Q60" s="250"/>
      <c r="R60" s="744"/>
      <c r="S60" s="754"/>
    </row>
    <row r="61" s="10" customFormat="1" ht="16.5" spans="1:19">
      <c r="A61" s="718"/>
      <c r="B61" s="541"/>
      <c r="C61" s="715" t="s">
        <v>209</v>
      </c>
      <c r="D61" s="716">
        <v>320</v>
      </c>
      <c r="E61" s="561" t="s">
        <v>274</v>
      </c>
      <c r="F61" s="724" t="s">
        <v>1958</v>
      </c>
      <c r="G61" s="725"/>
      <c r="H61" s="567"/>
      <c r="I61" s="735"/>
      <c r="J61" s="735">
        <v>90172.9068</v>
      </c>
      <c r="K61" s="597">
        <v>7.1789</v>
      </c>
      <c r="L61" s="598" t="s">
        <v>1218</v>
      </c>
      <c r="M61" s="625">
        <v>45196</v>
      </c>
      <c r="N61" s="625">
        <v>45205</v>
      </c>
      <c r="O61" s="740" t="s">
        <v>3191</v>
      </c>
      <c r="P61" s="744"/>
      <c r="Q61" s="572"/>
      <c r="R61" s="744"/>
      <c r="S61" s="754"/>
    </row>
    <row r="62" s="10" customFormat="1" ht="18.75" customHeight="1" spans="1:20">
      <c r="A62" s="713"/>
      <c r="B62" s="541"/>
      <c r="C62" s="715"/>
      <c r="D62" s="716"/>
      <c r="E62" s="568" t="s">
        <v>1408</v>
      </c>
      <c r="F62" s="672" t="s">
        <v>1942</v>
      </c>
      <c r="G62" s="722"/>
      <c r="H62" s="567"/>
      <c r="I62" s="735"/>
      <c r="J62" s="567">
        <v>274502.9544</v>
      </c>
      <c r="K62" s="597">
        <v>7.1789</v>
      </c>
      <c r="L62" s="598" t="s">
        <v>1218</v>
      </c>
      <c r="M62" s="625">
        <v>45196</v>
      </c>
      <c r="N62" s="625">
        <v>45200</v>
      </c>
      <c r="O62" s="740" t="s">
        <v>3198</v>
      </c>
      <c r="P62" s="572"/>
      <c r="Q62" s="572"/>
      <c r="R62" s="752"/>
      <c r="S62" s="753"/>
      <c r="T62" s="1022"/>
    </row>
    <row r="63" s="10" customFormat="1" ht="18.75" customHeight="1" spans="1:20">
      <c r="A63" s="713"/>
      <c r="B63" s="541"/>
      <c r="C63" s="715"/>
      <c r="D63" s="716"/>
      <c r="E63" s="568" t="s">
        <v>1978</v>
      </c>
      <c r="F63" s="672" t="s">
        <v>3199</v>
      </c>
      <c r="G63" s="722"/>
      <c r="H63" s="567"/>
      <c r="I63" s="735"/>
      <c r="J63" s="735">
        <v>308861.6912</v>
      </c>
      <c r="K63" s="597">
        <v>7.1789</v>
      </c>
      <c r="L63" s="598" t="s">
        <v>1218</v>
      </c>
      <c r="M63" s="625">
        <v>45197</v>
      </c>
      <c r="N63" s="625">
        <v>45200</v>
      </c>
      <c r="O63" s="740" t="s">
        <v>3198</v>
      </c>
      <c r="P63" s="572"/>
      <c r="Q63" s="572"/>
      <c r="R63" s="752"/>
      <c r="S63" s="753"/>
      <c r="T63" s="1022"/>
    </row>
    <row r="64" s="10" customFormat="1" ht="32.5" customHeight="1" spans="1:20">
      <c r="A64" s="713"/>
      <c r="B64" s="541"/>
      <c r="C64" s="715"/>
      <c r="D64" s="716"/>
      <c r="E64" s="568" t="s">
        <v>175</v>
      </c>
      <c r="F64" s="904" t="s">
        <v>3200</v>
      </c>
      <c r="G64" s="722"/>
      <c r="H64" s="567"/>
      <c r="I64" s="735"/>
      <c r="J64" s="735">
        <v>213928.24</v>
      </c>
      <c r="K64" s="597">
        <v>7.1789</v>
      </c>
      <c r="L64" s="598" t="s">
        <v>1218</v>
      </c>
      <c r="M64" s="625">
        <v>45197</v>
      </c>
      <c r="N64" s="625">
        <v>45200</v>
      </c>
      <c r="O64" s="740" t="s">
        <v>3201</v>
      </c>
      <c r="P64" s="572"/>
      <c r="Q64" s="572"/>
      <c r="R64" s="752"/>
      <c r="S64" s="753"/>
      <c r="T64" s="1022"/>
    </row>
    <row r="65" s="10" customFormat="1" ht="18.75" customHeight="1" spans="1:19">
      <c r="A65" s="713"/>
      <c r="B65" s="721"/>
      <c r="C65" s="715"/>
      <c r="D65" s="716"/>
      <c r="E65" s="568" t="s">
        <v>174</v>
      </c>
      <c r="F65" s="731" t="s">
        <v>3203</v>
      </c>
      <c r="G65" s="725"/>
      <c r="H65" s="567"/>
      <c r="I65" s="735"/>
      <c r="J65" s="735">
        <v>114860.8</v>
      </c>
      <c r="K65" s="597">
        <v>7.1789</v>
      </c>
      <c r="L65" s="598" t="s">
        <v>1218</v>
      </c>
      <c r="M65" s="625">
        <v>45196</v>
      </c>
      <c r="N65" s="625">
        <v>45208</v>
      </c>
      <c r="O65" s="740" t="s">
        <v>3204</v>
      </c>
      <c r="P65" s="250"/>
      <c r="Q65" s="751"/>
      <c r="R65" s="755"/>
      <c r="S65" s="756"/>
    </row>
    <row r="66" s="536" customFormat="1" ht="18.75" customHeight="1" spans="1:19">
      <c r="A66" s="713"/>
      <c r="B66" s="721"/>
      <c r="C66" s="715"/>
      <c r="D66" s="716"/>
      <c r="E66" s="568" t="s">
        <v>1298</v>
      </c>
      <c r="F66" s="903"/>
      <c r="G66" s="576"/>
      <c r="H66" s="596">
        <v>8872</v>
      </c>
      <c r="I66" s="596">
        <v>8872</v>
      </c>
      <c r="J66" s="596">
        <v>8872</v>
      </c>
      <c r="K66" s="597">
        <v>7.1789</v>
      </c>
      <c r="L66" s="598" t="s">
        <v>1218</v>
      </c>
      <c r="M66" s="598">
        <v>45210</v>
      </c>
      <c r="N66" s="598" t="s">
        <v>1125</v>
      </c>
      <c r="O66" s="740" t="s">
        <v>3362</v>
      </c>
      <c r="P66" s="250"/>
      <c r="Q66" s="751"/>
      <c r="R66" s="755"/>
      <c r="S66" s="756"/>
    </row>
    <row r="67" s="1022" customFormat="1" ht="33" spans="1:19">
      <c r="A67" s="1048"/>
      <c r="B67" s="947"/>
      <c r="C67" s="664"/>
      <c r="D67" s="655"/>
      <c r="E67" s="571" t="s">
        <v>1408</v>
      </c>
      <c r="F67" s="724" t="s">
        <v>1976</v>
      </c>
      <c r="G67" s="725">
        <v>41485</v>
      </c>
      <c r="H67" s="567">
        <f>G67*K67</f>
        <v>297816.6665</v>
      </c>
      <c r="I67" s="735">
        <f>H67</f>
        <v>297816.6665</v>
      </c>
      <c r="J67" s="735">
        <f>I67</f>
        <v>297816.6665</v>
      </c>
      <c r="K67" s="614">
        <v>7.1789</v>
      </c>
      <c r="L67" s="625" t="s">
        <v>1218</v>
      </c>
      <c r="M67" s="625">
        <v>45226</v>
      </c>
      <c r="N67" s="625">
        <v>45229</v>
      </c>
      <c r="O67" s="1049" t="s">
        <v>3363</v>
      </c>
      <c r="P67" s="572"/>
      <c r="Q67" s="1050"/>
      <c r="R67" s="762"/>
      <c r="S67" s="1051"/>
    </row>
    <row r="68" s="536" customFormat="1" ht="18.75" customHeight="1" spans="1:19">
      <c r="A68" s="713"/>
      <c r="B68" s="721"/>
      <c r="C68" s="715"/>
      <c r="D68" s="716"/>
      <c r="E68" s="568" t="s">
        <v>1934</v>
      </c>
      <c r="F68" s="672" t="s">
        <v>3364</v>
      </c>
      <c r="G68" s="725">
        <v>69050</v>
      </c>
      <c r="H68" s="596">
        <f>G68*K68</f>
        <v>495703.045</v>
      </c>
      <c r="I68" s="766">
        <f>H68</f>
        <v>495703.045</v>
      </c>
      <c r="J68" s="766">
        <f>I68</f>
        <v>495703.045</v>
      </c>
      <c r="K68" s="597">
        <v>7.1789</v>
      </c>
      <c r="L68" s="598" t="s">
        <v>1218</v>
      </c>
      <c r="M68" s="967">
        <v>45224</v>
      </c>
      <c r="N68" s="967">
        <v>45228</v>
      </c>
      <c r="O68" s="740" t="s">
        <v>3365</v>
      </c>
      <c r="P68" s="250"/>
      <c r="Q68" s="751"/>
      <c r="R68" s="755"/>
      <c r="S68" s="756"/>
    </row>
    <row r="69" s="536" customFormat="1" ht="18.75" customHeight="1" spans="1:19">
      <c r="A69" s="713"/>
      <c r="B69" s="721"/>
      <c r="C69" s="715"/>
      <c r="D69" s="716"/>
      <c r="E69" s="568" t="s">
        <v>1934</v>
      </c>
      <c r="F69" s="672" t="s">
        <v>3366</v>
      </c>
      <c r="G69" s="576">
        <v>76834</v>
      </c>
      <c r="H69" s="596">
        <f>G69*K69</f>
        <v>551583.6026</v>
      </c>
      <c r="I69" s="766">
        <f>H69</f>
        <v>551583.6026</v>
      </c>
      <c r="J69" s="766">
        <f>I69</f>
        <v>551583.6026</v>
      </c>
      <c r="K69" s="597">
        <v>7.1789</v>
      </c>
      <c r="L69" s="598" t="s">
        <v>1218</v>
      </c>
      <c r="M69" s="967">
        <v>45224</v>
      </c>
      <c r="N69" s="967">
        <v>45228</v>
      </c>
      <c r="O69" s="740"/>
      <c r="P69" s="250"/>
      <c r="Q69" s="751"/>
      <c r="R69" s="755"/>
      <c r="S69" s="756"/>
    </row>
    <row r="70" s="536" customFormat="1" ht="18.75" customHeight="1" spans="1:19">
      <c r="A70" s="713"/>
      <c r="B70" s="721"/>
      <c r="C70" s="715"/>
      <c r="D70" s="716"/>
      <c r="E70" s="568" t="s">
        <v>1934</v>
      </c>
      <c r="F70" s="672" t="s">
        <v>3367</v>
      </c>
      <c r="G70" s="576">
        <v>29415</v>
      </c>
      <c r="H70" s="596">
        <f>G70*K70</f>
        <v>211167.3435</v>
      </c>
      <c r="I70" s="766">
        <f>H70</f>
        <v>211167.3435</v>
      </c>
      <c r="J70" s="766"/>
      <c r="K70" s="597">
        <v>7.1789</v>
      </c>
      <c r="L70" s="598" t="s">
        <v>1218</v>
      </c>
      <c r="M70" s="967">
        <v>45229</v>
      </c>
      <c r="N70" s="967">
        <v>45234</v>
      </c>
      <c r="O70" s="740"/>
      <c r="P70" s="250"/>
      <c r="Q70" s="751"/>
      <c r="R70" s="755"/>
      <c r="S70" s="756"/>
    </row>
    <row r="71" s="536" customFormat="1" ht="18.75" customHeight="1" spans="1:19">
      <c r="A71" s="713"/>
      <c r="B71" s="721"/>
      <c r="C71" s="715"/>
      <c r="D71" s="716"/>
      <c r="E71" s="561" t="s">
        <v>274</v>
      </c>
      <c r="F71" s="561" t="s">
        <v>1971</v>
      </c>
      <c r="G71" s="576">
        <v>51493</v>
      </c>
      <c r="H71" s="596">
        <f t="shared" ref="H71:H76" si="3">G71*K71</f>
        <v>369663.0977</v>
      </c>
      <c r="I71" s="766">
        <f>G71*K71</f>
        <v>369663.0977</v>
      </c>
      <c r="J71" s="766">
        <f>I71</f>
        <v>369663.0977</v>
      </c>
      <c r="K71" s="597">
        <v>7.1789</v>
      </c>
      <c r="L71" s="598" t="s">
        <v>1218</v>
      </c>
      <c r="M71" s="598">
        <v>45225</v>
      </c>
      <c r="N71" s="598">
        <v>45228</v>
      </c>
      <c r="O71" s="740" t="s">
        <v>3368</v>
      </c>
      <c r="P71" s="250"/>
      <c r="Q71" s="751"/>
      <c r="R71" s="755"/>
      <c r="S71" s="756"/>
    </row>
    <row r="72" s="536" customFormat="1" ht="24.6" customHeight="1" spans="1:19">
      <c r="A72" s="718"/>
      <c r="B72" s="541"/>
      <c r="C72" s="715"/>
      <c r="D72" s="716"/>
      <c r="E72" s="568" t="s">
        <v>1978</v>
      </c>
      <c r="F72" s="672" t="s">
        <v>3369</v>
      </c>
      <c r="G72" s="576">
        <v>35817</v>
      </c>
      <c r="H72" s="596">
        <f t="shared" si="3"/>
        <v>257126.6613</v>
      </c>
      <c r="I72" s="766">
        <f>G72*K72</f>
        <v>257126.6613</v>
      </c>
      <c r="J72" s="766"/>
      <c r="K72" s="597">
        <v>7.1789</v>
      </c>
      <c r="L72" s="598" t="s">
        <v>1218</v>
      </c>
      <c r="M72" s="598">
        <v>45226</v>
      </c>
      <c r="N72" s="598">
        <v>45232</v>
      </c>
      <c r="O72" s="740" t="s">
        <v>3370</v>
      </c>
      <c r="P72" s="744"/>
      <c r="Q72" s="250"/>
      <c r="R72" s="744"/>
      <c r="S72" s="754"/>
    </row>
    <row r="73" s="536" customFormat="1" ht="32.25" customHeight="1" spans="1:19">
      <c r="A73" s="713"/>
      <c r="B73" s="541"/>
      <c r="C73" s="715"/>
      <c r="D73" s="716"/>
      <c r="E73" s="568" t="s">
        <v>256</v>
      </c>
      <c r="F73" s="672" t="s">
        <v>3371</v>
      </c>
      <c r="G73" s="576">
        <v>27779</v>
      </c>
      <c r="H73" s="596">
        <f t="shared" si="3"/>
        <v>199422.6631</v>
      </c>
      <c r="I73" s="766">
        <f>H73</f>
        <v>199422.6631</v>
      </c>
      <c r="J73" s="766">
        <v>199422.6631</v>
      </c>
      <c r="K73" s="597">
        <v>7.1789</v>
      </c>
      <c r="L73" s="598" t="s">
        <v>1218</v>
      </c>
      <c r="M73" s="598">
        <v>45211</v>
      </c>
      <c r="N73" s="598">
        <v>45214</v>
      </c>
      <c r="O73" s="740" t="s">
        <v>3372</v>
      </c>
      <c r="P73" s="250"/>
      <c r="Q73" s="250"/>
      <c r="R73" s="752"/>
      <c r="S73" s="754"/>
    </row>
    <row r="74" s="10" customFormat="1" ht="16.5" spans="1:19">
      <c r="A74" s="718"/>
      <c r="B74" s="541"/>
      <c r="C74" s="715"/>
      <c r="D74" s="716"/>
      <c r="E74" s="561" t="s">
        <v>247</v>
      </c>
      <c r="F74" s="724" t="s">
        <v>3373</v>
      </c>
      <c r="G74" s="725">
        <v>35377</v>
      </c>
      <c r="H74" s="567">
        <f t="shared" si="3"/>
        <v>253967.9453</v>
      </c>
      <c r="I74" s="735">
        <f>H74</f>
        <v>253967.9453</v>
      </c>
      <c r="J74" s="735">
        <f>I74</f>
        <v>253967.9453</v>
      </c>
      <c r="K74" s="597">
        <v>7.1789</v>
      </c>
      <c r="L74" s="598" t="s">
        <v>1218</v>
      </c>
      <c r="M74" s="625">
        <v>45219</v>
      </c>
      <c r="N74" s="625">
        <v>45221</v>
      </c>
      <c r="O74" s="740" t="s">
        <v>3374</v>
      </c>
      <c r="P74" s="744"/>
      <c r="Q74" s="572"/>
      <c r="R74" s="744"/>
      <c r="S74" s="754"/>
    </row>
    <row r="75" s="10" customFormat="1" ht="18.75" customHeight="1" spans="1:20">
      <c r="A75" s="713"/>
      <c r="B75" s="541"/>
      <c r="C75" s="664" t="s">
        <v>1437</v>
      </c>
      <c r="D75" s="655">
        <v>150</v>
      </c>
      <c r="E75" s="716" t="s">
        <v>246</v>
      </c>
      <c r="F75" s="561" t="s">
        <v>3375</v>
      </c>
      <c r="G75" s="725">
        <v>9414</v>
      </c>
      <c r="H75" s="567">
        <f t="shared" si="3"/>
        <v>67582.1646</v>
      </c>
      <c r="I75" s="735">
        <v>67582.1646</v>
      </c>
      <c r="J75" s="735">
        <v>67582.1646</v>
      </c>
      <c r="K75" s="597">
        <v>7.1789</v>
      </c>
      <c r="L75" s="598" t="s">
        <v>1218</v>
      </c>
      <c r="M75" s="967">
        <v>45224</v>
      </c>
      <c r="N75" s="625" t="s">
        <v>1125</v>
      </c>
      <c r="O75" s="740" t="s">
        <v>3376</v>
      </c>
      <c r="P75" s="572"/>
      <c r="Q75" s="572"/>
      <c r="R75" s="752"/>
      <c r="S75" s="753"/>
      <c r="T75" s="1022"/>
    </row>
    <row r="76" s="10" customFormat="1" ht="18.75" customHeight="1" spans="1:20">
      <c r="A76" s="713"/>
      <c r="B76" s="541"/>
      <c r="C76" s="664"/>
      <c r="D76" s="655"/>
      <c r="E76" s="655" t="s">
        <v>133</v>
      </c>
      <c r="F76" s="561" t="s">
        <v>3377</v>
      </c>
      <c r="G76" s="725">
        <v>8281</v>
      </c>
      <c r="H76" s="567">
        <f t="shared" si="3"/>
        <v>59448.4709</v>
      </c>
      <c r="I76" s="735">
        <f>H76</f>
        <v>59448.4709</v>
      </c>
      <c r="J76" s="735">
        <v>59398.2186</v>
      </c>
      <c r="K76" s="597">
        <v>7.1789</v>
      </c>
      <c r="L76" s="598" t="s">
        <v>1218</v>
      </c>
      <c r="M76" s="967">
        <v>45224</v>
      </c>
      <c r="N76" s="625" t="s">
        <v>1125</v>
      </c>
      <c r="O76" s="740" t="s">
        <v>3376</v>
      </c>
      <c r="P76" s="572"/>
      <c r="Q76" s="572"/>
      <c r="R76" s="752"/>
      <c r="S76" s="753"/>
      <c r="T76" s="1022"/>
    </row>
    <row r="77" s="10" customFormat="1" ht="18.75" customHeight="1" spans="1:20">
      <c r="A77" s="713"/>
      <c r="B77" s="541"/>
      <c r="C77" s="666" t="s">
        <v>1124</v>
      </c>
      <c r="D77" s="759">
        <f>SUM(D55:D76)</f>
        <v>809</v>
      </c>
      <c r="E77" s="715"/>
      <c r="F77" s="571"/>
      <c r="G77" s="726" t="s">
        <v>1235</v>
      </c>
      <c r="H77" s="675">
        <f>SUM(H55:H76)</f>
        <v>3832813.5896</v>
      </c>
      <c r="I77" s="675">
        <f>SUM(I55:I76)</f>
        <v>3832813.5896</v>
      </c>
      <c r="J77" s="675">
        <f>SUM(J55:J76)</f>
        <v>3909499.9949</v>
      </c>
      <c r="K77" s="597"/>
      <c r="L77" s="598"/>
      <c r="M77" s="644"/>
      <c r="N77" s="644"/>
      <c r="O77" s="740"/>
      <c r="P77" s="572"/>
      <c r="Q77" s="572"/>
      <c r="R77" s="752"/>
      <c r="S77" s="753"/>
      <c r="T77" s="1022"/>
    </row>
    <row r="78" s="10" customFormat="1" ht="18.75" customHeight="1" spans="1:20">
      <c r="A78" s="713"/>
      <c r="B78" s="541"/>
      <c r="C78" s="670"/>
      <c r="D78" s="968"/>
      <c r="E78" s="715"/>
      <c r="F78" s="571"/>
      <c r="G78" s="969" t="s">
        <v>1236</v>
      </c>
      <c r="H78" s="970">
        <f>H77/8090000</f>
        <v>0.473771766328801</v>
      </c>
      <c r="I78" s="970">
        <f>I77/8090000</f>
        <v>0.473771766328801</v>
      </c>
      <c r="J78" s="970">
        <f>J77/8090000</f>
        <v>0.483250926440049</v>
      </c>
      <c r="K78" s="614"/>
      <c r="L78" s="598"/>
      <c r="M78" s="644"/>
      <c r="N78" s="644"/>
      <c r="O78" s="740"/>
      <c r="P78" s="572"/>
      <c r="Q78" s="572"/>
      <c r="R78" s="752"/>
      <c r="S78" s="753"/>
      <c r="T78" s="1022"/>
    </row>
    <row r="79" s="10" customFormat="1" ht="30" spans="1:19">
      <c r="A79" s="718"/>
      <c r="B79" s="553" t="s">
        <v>1820</v>
      </c>
      <c r="C79" s="554" t="s">
        <v>1946</v>
      </c>
      <c r="D79" s="555" t="s">
        <v>1821</v>
      </c>
      <c r="E79" s="555" t="s">
        <v>1822</v>
      </c>
      <c r="F79" s="588" t="s">
        <v>1095</v>
      </c>
      <c r="G79" s="589" t="s">
        <v>362</v>
      </c>
      <c r="H79" s="590" t="s">
        <v>1865</v>
      </c>
      <c r="I79" s="590"/>
      <c r="J79" s="590"/>
      <c r="K79" s="590" t="s">
        <v>1866</v>
      </c>
      <c r="L79" s="615" t="s">
        <v>1098</v>
      </c>
      <c r="M79" s="590" t="s">
        <v>1867</v>
      </c>
      <c r="N79" s="646"/>
      <c r="O79" s="740"/>
      <c r="P79" s="744"/>
      <c r="Q79" s="572"/>
      <c r="R79" s="744"/>
      <c r="S79" s="754"/>
    </row>
    <row r="80" s="10" customFormat="1" ht="16.5" spans="1:19">
      <c r="A80" s="718"/>
      <c r="B80" s="541" t="s">
        <v>1947</v>
      </c>
      <c r="C80" s="542" t="s">
        <v>1248</v>
      </c>
      <c r="D80" s="543" t="s">
        <v>1125</v>
      </c>
      <c r="E80" s="705" t="s">
        <v>299</v>
      </c>
      <c r="F80" s="764" t="s">
        <v>1948</v>
      </c>
      <c r="G80" s="762">
        <v>31850</v>
      </c>
      <c r="H80" s="567">
        <f t="shared" ref="H80:H98" si="4">G80*K80</f>
        <v>228647.965</v>
      </c>
      <c r="I80" s="577"/>
      <c r="J80" s="764"/>
      <c r="K80" s="597">
        <v>7.1789</v>
      </c>
      <c r="L80" s="708" t="s">
        <v>2437</v>
      </c>
      <c r="M80" s="638" t="s">
        <v>621</v>
      </c>
      <c r="N80" s="974"/>
      <c r="O80" s="740" t="s">
        <v>3378</v>
      </c>
      <c r="P80" s="744"/>
      <c r="Q80" s="572"/>
      <c r="R80" s="744"/>
      <c r="S80" s="754"/>
    </row>
    <row r="81" s="10" customFormat="1" ht="16.5" spans="1:19">
      <c r="A81" s="718"/>
      <c r="B81" s="541"/>
      <c r="C81" s="544"/>
      <c r="D81" s="545"/>
      <c r="E81" s="541"/>
      <c r="F81" s="764" t="s">
        <v>1952</v>
      </c>
      <c r="G81" s="762">
        <v>31850</v>
      </c>
      <c r="H81" s="567">
        <f t="shared" si="4"/>
        <v>228647.965</v>
      </c>
      <c r="I81" s="735"/>
      <c r="J81" s="764"/>
      <c r="K81" s="597">
        <v>7.1789</v>
      </c>
      <c r="L81" s="708" t="s">
        <v>2437</v>
      </c>
      <c r="M81" s="638" t="s">
        <v>621</v>
      </c>
      <c r="N81" s="974"/>
      <c r="O81" s="740" t="s">
        <v>3378</v>
      </c>
      <c r="P81" s="744"/>
      <c r="Q81" s="572"/>
      <c r="R81" s="744"/>
      <c r="S81" s="754"/>
    </row>
    <row r="82" s="10" customFormat="1" ht="16.5" spans="1:19">
      <c r="A82" s="718"/>
      <c r="B82" s="541"/>
      <c r="C82" s="544"/>
      <c r="D82" s="545"/>
      <c r="E82" s="541"/>
      <c r="F82" s="764" t="s">
        <v>1953</v>
      </c>
      <c r="G82" s="762">
        <v>31850</v>
      </c>
      <c r="H82" s="567">
        <f t="shared" si="4"/>
        <v>228647.965</v>
      </c>
      <c r="I82" s="735"/>
      <c r="J82" s="764"/>
      <c r="K82" s="597">
        <v>7.1789</v>
      </c>
      <c r="L82" s="708" t="s">
        <v>2437</v>
      </c>
      <c r="M82" s="638" t="s">
        <v>621</v>
      </c>
      <c r="N82" s="974"/>
      <c r="O82" s="740" t="s">
        <v>3378</v>
      </c>
      <c r="P82" s="744"/>
      <c r="Q82" s="572"/>
      <c r="R82" s="744"/>
      <c r="S82" s="754"/>
    </row>
    <row r="83" s="10" customFormat="1" ht="16.5" spans="1:19">
      <c r="A83" s="718"/>
      <c r="B83" s="541"/>
      <c r="C83" s="544"/>
      <c r="D83" s="545"/>
      <c r="E83" s="541"/>
      <c r="F83" s="764" t="s">
        <v>2431</v>
      </c>
      <c r="G83" s="762">
        <v>31850</v>
      </c>
      <c r="H83" s="567">
        <f t="shared" si="4"/>
        <v>228647.965</v>
      </c>
      <c r="I83" s="735"/>
      <c r="J83" s="735"/>
      <c r="K83" s="597">
        <v>7.1789</v>
      </c>
      <c r="L83" s="708" t="s">
        <v>2432</v>
      </c>
      <c r="M83" s="636" t="s">
        <v>3209</v>
      </c>
      <c r="N83" s="975"/>
      <c r="O83" s="740" t="s">
        <v>3379</v>
      </c>
      <c r="P83" s="744"/>
      <c r="Q83" s="572"/>
      <c r="R83" s="744"/>
      <c r="S83" s="754"/>
    </row>
    <row r="84" s="10" customFormat="1" ht="16.5" spans="1:19">
      <c r="A84" s="718"/>
      <c r="B84" s="541"/>
      <c r="C84" s="544"/>
      <c r="D84" s="545"/>
      <c r="E84" s="541"/>
      <c r="F84" s="764" t="s">
        <v>2435</v>
      </c>
      <c r="G84" s="762">
        <v>31850</v>
      </c>
      <c r="H84" s="567">
        <f t="shared" si="4"/>
        <v>228647.965</v>
      </c>
      <c r="I84" s="735"/>
      <c r="J84" s="735"/>
      <c r="K84" s="597">
        <v>7.1789</v>
      </c>
      <c r="L84" s="708" t="s">
        <v>2432</v>
      </c>
      <c r="M84" s="636" t="s">
        <v>3209</v>
      </c>
      <c r="N84" s="975"/>
      <c r="O84" s="740" t="s">
        <v>3379</v>
      </c>
      <c r="P84" s="744"/>
      <c r="Q84" s="572"/>
      <c r="R84" s="744"/>
      <c r="S84" s="754"/>
    </row>
    <row r="85" s="10" customFormat="1" ht="16.5" spans="1:19">
      <c r="A85" s="718"/>
      <c r="B85" s="541"/>
      <c r="C85" s="544"/>
      <c r="D85" s="545"/>
      <c r="E85" s="541"/>
      <c r="F85" s="764" t="s">
        <v>2436</v>
      </c>
      <c r="G85" s="762">
        <v>31850</v>
      </c>
      <c r="H85" s="567">
        <f t="shared" si="4"/>
        <v>228647.965</v>
      </c>
      <c r="I85" s="735"/>
      <c r="J85" s="735"/>
      <c r="K85" s="597">
        <v>7.1789</v>
      </c>
      <c r="L85" s="708" t="s">
        <v>2432</v>
      </c>
      <c r="M85" s="636" t="s">
        <v>3209</v>
      </c>
      <c r="N85" s="975"/>
      <c r="O85" s="740" t="s">
        <v>3379</v>
      </c>
      <c r="P85" s="744"/>
      <c r="Q85" s="572"/>
      <c r="R85" s="744"/>
      <c r="S85" s="754"/>
    </row>
    <row r="86" s="10" customFormat="1" ht="16.5" spans="1:19">
      <c r="A86" s="718"/>
      <c r="B86" s="541"/>
      <c r="C86" s="544"/>
      <c r="D86" s="545"/>
      <c r="E86" s="541"/>
      <c r="F86" s="763" t="s">
        <v>1920</v>
      </c>
      <c r="G86" s="725">
        <v>39480</v>
      </c>
      <c r="H86" s="567">
        <f t="shared" si="4"/>
        <v>283422.972</v>
      </c>
      <c r="I86" s="735"/>
      <c r="J86" s="735"/>
      <c r="K86" s="597">
        <v>7.1789</v>
      </c>
      <c r="L86" s="708" t="s">
        <v>1251</v>
      </c>
      <c r="M86" s="636" t="s">
        <v>3214</v>
      </c>
      <c r="N86" s="975"/>
      <c r="O86" s="740" t="s">
        <v>1955</v>
      </c>
      <c r="P86" s="744"/>
      <c r="Q86" s="572"/>
      <c r="R86" s="744"/>
      <c r="S86" s="754"/>
    </row>
    <row r="87" s="10" customFormat="1" ht="16.5" spans="1:19">
      <c r="A87" s="718"/>
      <c r="B87" s="541"/>
      <c r="C87" s="544"/>
      <c r="D87" s="545"/>
      <c r="E87" s="541"/>
      <c r="F87" s="763" t="s">
        <v>1954</v>
      </c>
      <c r="G87" s="725">
        <v>39480</v>
      </c>
      <c r="H87" s="567">
        <f t="shared" si="4"/>
        <v>283422.972</v>
      </c>
      <c r="I87" s="735"/>
      <c r="J87" s="735"/>
      <c r="K87" s="597">
        <v>7.1789</v>
      </c>
      <c r="L87" s="708" t="s">
        <v>1251</v>
      </c>
      <c r="M87" s="636" t="s">
        <v>3214</v>
      </c>
      <c r="N87" s="975"/>
      <c r="O87" s="740" t="s">
        <v>1955</v>
      </c>
      <c r="P87" s="744"/>
      <c r="Q87" s="572"/>
      <c r="R87" s="744"/>
      <c r="S87" s="754"/>
    </row>
    <row r="88" s="10" customFormat="1" ht="16.5" spans="1:19">
      <c r="A88" s="718"/>
      <c r="B88" s="541"/>
      <c r="C88" s="544"/>
      <c r="D88" s="545"/>
      <c r="E88" s="541"/>
      <c r="F88" s="764" t="s">
        <v>2444</v>
      </c>
      <c r="G88" s="576">
        <v>41250</v>
      </c>
      <c r="H88" s="567">
        <f t="shared" si="4"/>
        <v>296129.625</v>
      </c>
      <c r="I88" s="766"/>
      <c r="J88" s="766"/>
      <c r="K88" s="597">
        <v>7.1789</v>
      </c>
      <c r="L88" s="598" t="s">
        <v>1961</v>
      </c>
      <c r="M88" s="638" t="s">
        <v>3215</v>
      </c>
      <c r="N88" s="974"/>
      <c r="O88" s="740" t="s">
        <v>3380</v>
      </c>
      <c r="P88" s="744"/>
      <c r="Q88" s="572"/>
      <c r="R88" s="744"/>
      <c r="S88" s="754"/>
    </row>
    <row r="89" s="10" customFormat="1" ht="16.5" spans="1:19">
      <c r="A89" s="718"/>
      <c r="B89" s="541"/>
      <c r="C89" s="544"/>
      <c r="D89" s="545"/>
      <c r="E89" s="541"/>
      <c r="F89" s="764" t="s">
        <v>2446</v>
      </c>
      <c r="G89" s="576">
        <v>41250</v>
      </c>
      <c r="H89" s="567">
        <f t="shared" si="4"/>
        <v>296129.625</v>
      </c>
      <c r="I89" s="766"/>
      <c r="J89" s="766"/>
      <c r="K89" s="597">
        <v>7.1789</v>
      </c>
      <c r="L89" s="598" t="s">
        <v>1961</v>
      </c>
      <c r="M89" s="636" t="s">
        <v>3217</v>
      </c>
      <c r="N89" s="975"/>
      <c r="O89" s="740" t="s">
        <v>3380</v>
      </c>
      <c r="P89" s="744"/>
      <c r="Q89" s="572"/>
      <c r="R89" s="744"/>
      <c r="S89" s="754"/>
    </row>
    <row r="90" s="10" customFormat="1" ht="16.5" spans="1:19">
      <c r="A90" s="718"/>
      <c r="B90" s="541"/>
      <c r="C90" s="715" t="s">
        <v>1922</v>
      </c>
      <c r="D90" s="545"/>
      <c r="E90" s="571" t="s">
        <v>97</v>
      </c>
      <c r="F90" s="724" t="s">
        <v>2447</v>
      </c>
      <c r="G90" s="725">
        <v>43525</v>
      </c>
      <c r="H90" s="567">
        <f t="shared" si="4"/>
        <v>312461.6225</v>
      </c>
      <c r="I90" s="735"/>
      <c r="J90" s="735"/>
      <c r="K90" s="597">
        <v>7.1789</v>
      </c>
      <c r="L90" s="598" t="s">
        <v>3219</v>
      </c>
      <c r="M90" s="636" t="s">
        <v>3381</v>
      </c>
      <c r="N90" s="975"/>
      <c r="O90" s="740" t="s">
        <v>3382</v>
      </c>
      <c r="P90" s="744"/>
      <c r="Q90" s="572"/>
      <c r="R90" s="744"/>
      <c r="S90" s="754"/>
    </row>
    <row r="91" s="10" customFormat="1" ht="33.05" customHeight="1" spans="1:19">
      <c r="A91" s="718"/>
      <c r="B91" s="541"/>
      <c r="C91" s="715"/>
      <c r="D91" s="545"/>
      <c r="E91" s="571" t="s">
        <v>324</v>
      </c>
      <c r="F91" s="904" t="s">
        <v>2450</v>
      </c>
      <c r="G91" s="722">
        <v>31416</v>
      </c>
      <c r="H91" s="567">
        <f t="shared" si="4"/>
        <v>225532.3224</v>
      </c>
      <c r="I91" s="735"/>
      <c r="J91" s="735"/>
      <c r="K91" s="597">
        <v>7.1789</v>
      </c>
      <c r="L91" s="598" t="s">
        <v>2451</v>
      </c>
      <c r="M91" s="636" t="s">
        <v>3217</v>
      </c>
      <c r="N91" s="966"/>
      <c r="O91" s="740" t="s">
        <v>3221</v>
      </c>
      <c r="P91" s="744"/>
      <c r="Q91" s="572"/>
      <c r="R91" s="744"/>
      <c r="S91" s="754"/>
    </row>
    <row r="92" s="10" customFormat="1" ht="18" customHeight="1" spans="1:19">
      <c r="A92" s="718"/>
      <c r="B92" s="541"/>
      <c r="C92" s="715"/>
      <c r="D92" s="545"/>
      <c r="E92" s="571" t="s">
        <v>287</v>
      </c>
      <c r="F92" s="904" t="s">
        <v>3383</v>
      </c>
      <c r="G92" s="722">
        <v>6321</v>
      </c>
      <c r="H92" s="567">
        <f t="shared" si="4"/>
        <v>45377.8269</v>
      </c>
      <c r="I92" s="735"/>
      <c r="J92" s="735"/>
      <c r="K92" s="597">
        <v>7.1789</v>
      </c>
      <c r="L92" s="598" t="s">
        <v>1218</v>
      </c>
      <c r="M92" s="636" t="s">
        <v>3384</v>
      </c>
      <c r="N92" s="966"/>
      <c r="O92" s="740" t="s">
        <v>3385</v>
      </c>
      <c r="P92" s="744"/>
      <c r="Q92" s="572"/>
      <c r="R92" s="744"/>
      <c r="S92" s="754"/>
    </row>
    <row r="93" s="10" customFormat="1" ht="18" customHeight="1" spans="1:19">
      <c r="A93" s="718"/>
      <c r="B93" s="541"/>
      <c r="C93" s="715"/>
      <c r="D93" s="545"/>
      <c r="E93" s="571" t="s">
        <v>1169</v>
      </c>
      <c r="F93" s="904" t="s">
        <v>2458</v>
      </c>
      <c r="G93" s="722">
        <v>13057</v>
      </c>
      <c r="H93" s="567">
        <f t="shared" si="4"/>
        <v>93734.8973</v>
      </c>
      <c r="I93" s="735"/>
      <c r="J93" s="735"/>
      <c r="K93" s="597">
        <v>7.1789</v>
      </c>
      <c r="L93" s="598" t="s">
        <v>1218</v>
      </c>
      <c r="M93" s="636" t="s">
        <v>621</v>
      </c>
      <c r="N93" s="966"/>
      <c r="O93" s="740" t="s">
        <v>3386</v>
      </c>
      <c r="P93" s="744"/>
      <c r="Q93" s="572"/>
      <c r="R93" s="744"/>
      <c r="S93" s="754"/>
    </row>
    <row r="94" s="10" customFormat="1" ht="18.75" customHeight="1" spans="1:19">
      <c r="A94" s="713"/>
      <c r="B94" s="721"/>
      <c r="C94" s="556" t="s">
        <v>209</v>
      </c>
      <c r="D94" s="545"/>
      <c r="E94" s="571" t="s">
        <v>1934</v>
      </c>
      <c r="F94" s="904" t="s">
        <v>3228</v>
      </c>
      <c r="G94" s="722">
        <v>60000</v>
      </c>
      <c r="H94" s="567">
        <f t="shared" si="4"/>
        <v>430734</v>
      </c>
      <c r="I94" s="735"/>
      <c r="J94" s="735"/>
      <c r="K94" s="597">
        <v>7.1789</v>
      </c>
      <c r="L94" s="598" t="s">
        <v>1218</v>
      </c>
      <c r="M94" s="636" t="s">
        <v>3226</v>
      </c>
      <c r="N94" s="975"/>
      <c r="O94" s="740" t="s">
        <v>3387</v>
      </c>
      <c r="P94" s="250"/>
      <c r="Q94" s="751"/>
      <c r="R94" s="755"/>
      <c r="S94" s="756"/>
    </row>
    <row r="95" s="10" customFormat="1" ht="18.75" customHeight="1" spans="1:19">
      <c r="A95" s="713"/>
      <c r="B95" s="541"/>
      <c r="C95" s="556"/>
      <c r="D95" s="545"/>
      <c r="E95" s="561" t="s">
        <v>1934</v>
      </c>
      <c r="F95" s="724" t="s">
        <v>1973</v>
      </c>
      <c r="G95" s="725">
        <v>280000</v>
      </c>
      <c r="H95" s="567">
        <f t="shared" si="4"/>
        <v>2010092</v>
      </c>
      <c r="I95" s="735"/>
      <c r="J95" s="735"/>
      <c r="K95" s="597">
        <v>7.1789</v>
      </c>
      <c r="L95" s="598" t="s">
        <v>1218</v>
      </c>
      <c r="M95" s="636" t="s">
        <v>3388</v>
      </c>
      <c r="N95" s="966"/>
      <c r="O95" s="740" t="s">
        <v>3389</v>
      </c>
      <c r="P95" s="250"/>
      <c r="Q95" s="751"/>
      <c r="R95" s="755"/>
      <c r="S95" s="756"/>
    </row>
    <row r="96" s="10" customFormat="1" ht="18.75" customHeight="1" spans="1:19">
      <c r="A96" s="713"/>
      <c r="B96" s="721"/>
      <c r="C96" s="556"/>
      <c r="D96" s="557"/>
      <c r="E96" s="568" t="s">
        <v>1483</v>
      </c>
      <c r="F96" s="731" t="s">
        <v>2466</v>
      </c>
      <c r="G96" s="725">
        <v>77000</v>
      </c>
      <c r="H96" s="567">
        <f t="shared" si="4"/>
        <v>552775.3</v>
      </c>
      <c r="I96" s="735"/>
      <c r="J96" s="735"/>
      <c r="K96" s="597">
        <v>7.1789</v>
      </c>
      <c r="L96" s="598" t="s">
        <v>1218</v>
      </c>
      <c r="M96" s="636" t="s">
        <v>621</v>
      </c>
      <c r="N96" s="975"/>
      <c r="O96" s="740" t="s">
        <v>3390</v>
      </c>
      <c r="P96" s="250"/>
      <c r="Q96" s="751"/>
      <c r="R96" s="755"/>
      <c r="S96" s="756"/>
    </row>
    <row r="97" s="10" customFormat="1" ht="16.5" spans="1:19">
      <c r="A97" s="718"/>
      <c r="B97" s="541"/>
      <c r="C97" s="546"/>
      <c r="D97" s="547"/>
      <c r="E97" s="561" t="s">
        <v>247</v>
      </c>
      <c r="F97" s="724" t="s">
        <v>3391</v>
      </c>
      <c r="G97" s="725">
        <v>30000</v>
      </c>
      <c r="H97" s="567">
        <f t="shared" si="4"/>
        <v>215367</v>
      </c>
      <c r="I97" s="735"/>
      <c r="J97" s="735"/>
      <c r="K97" s="597">
        <v>7.1789</v>
      </c>
      <c r="L97" s="598" t="s">
        <v>1218</v>
      </c>
      <c r="M97" s="636" t="s">
        <v>621</v>
      </c>
      <c r="N97" s="975"/>
      <c r="O97" s="740" t="s">
        <v>3392</v>
      </c>
      <c r="P97" s="744"/>
      <c r="Q97" s="572"/>
      <c r="R97" s="744"/>
      <c r="S97" s="754"/>
    </row>
    <row r="98" s="10" customFormat="1" ht="18.75" customHeight="1" spans="1:19">
      <c r="A98" s="713"/>
      <c r="B98" s="541"/>
      <c r="C98" s="568" t="s">
        <v>1437</v>
      </c>
      <c r="D98" s="547"/>
      <c r="E98" s="716" t="s">
        <v>1573</v>
      </c>
      <c r="F98" s="561" t="s">
        <v>3393</v>
      </c>
      <c r="G98" s="725">
        <v>10000</v>
      </c>
      <c r="H98" s="567">
        <f t="shared" si="4"/>
        <v>71789</v>
      </c>
      <c r="I98" s="735"/>
      <c r="J98" s="735"/>
      <c r="K98" s="597">
        <v>7.1789</v>
      </c>
      <c r="L98" s="598" t="s">
        <v>1218</v>
      </c>
      <c r="M98" s="636" t="s">
        <v>621</v>
      </c>
      <c r="N98" s="975"/>
      <c r="O98" s="740" t="s">
        <v>3394</v>
      </c>
      <c r="P98" s="250"/>
      <c r="Q98" s="751"/>
      <c r="R98" s="755"/>
      <c r="S98" s="756"/>
    </row>
    <row r="99" s="10" customFormat="1" ht="18.75" customHeight="1" spans="1:19">
      <c r="A99" s="713"/>
      <c r="B99" s="672"/>
      <c r="C99" s="757" t="s">
        <v>1874</v>
      </c>
      <c r="D99" s="758"/>
      <c r="E99" s="758"/>
      <c r="F99" s="758"/>
      <c r="G99" s="760"/>
      <c r="H99" s="761">
        <f>SUM(H80:H98)</f>
        <v>6488856.9531</v>
      </c>
      <c r="I99" s="766"/>
      <c r="J99" s="766"/>
      <c r="K99" s="597"/>
      <c r="L99" s="598"/>
      <c r="M99" s="682"/>
      <c r="N99" s="976"/>
      <c r="O99" s="740"/>
      <c r="P99" s="250"/>
      <c r="Q99" s="751"/>
      <c r="R99" s="755"/>
      <c r="S99" s="756"/>
    </row>
    <row r="100" s="10" customFormat="1" ht="18.75" customHeight="1" spans="1:19">
      <c r="A100" s="713"/>
      <c r="B100" s="564" t="s">
        <v>1875</v>
      </c>
      <c r="C100" s="664" t="s">
        <v>1248</v>
      </c>
      <c r="D100" s="557" t="s">
        <v>1125</v>
      </c>
      <c r="E100" s="716" t="s">
        <v>2496</v>
      </c>
      <c r="F100" s="561" t="s">
        <v>2497</v>
      </c>
      <c r="G100" s="725">
        <v>35000</v>
      </c>
      <c r="H100" s="567">
        <f t="shared" ref="H100:H107" si="5">G100*K100</f>
        <v>251261.5</v>
      </c>
      <c r="I100" s="735"/>
      <c r="J100" s="735"/>
      <c r="K100" s="597">
        <v>7.1789</v>
      </c>
      <c r="L100" s="598" t="s">
        <v>1218</v>
      </c>
      <c r="M100" s="636" t="s">
        <v>621</v>
      </c>
      <c r="N100" s="975"/>
      <c r="O100" s="740" t="s">
        <v>3395</v>
      </c>
      <c r="P100" s="250"/>
      <c r="Q100" s="751"/>
      <c r="R100" s="755"/>
      <c r="S100" s="756"/>
    </row>
    <row r="101" s="10" customFormat="1" ht="18.75" customHeight="1" spans="1:19">
      <c r="A101" s="713"/>
      <c r="B101" s="721"/>
      <c r="C101" s="664" t="s">
        <v>1922</v>
      </c>
      <c r="D101" s="557"/>
      <c r="E101" s="568" t="s">
        <v>165</v>
      </c>
      <c r="F101" s="904" t="s">
        <v>2517</v>
      </c>
      <c r="G101" s="722">
        <v>30000</v>
      </c>
      <c r="H101" s="567">
        <f t="shared" si="5"/>
        <v>215367</v>
      </c>
      <c r="I101" s="577"/>
      <c r="J101" s="735"/>
      <c r="K101" s="597">
        <v>7.1789</v>
      </c>
      <c r="L101" s="598" t="s">
        <v>1218</v>
      </c>
      <c r="M101" s="636" t="s">
        <v>2432</v>
      </c>
      <c r="N101" s="975"/>
      <c r="O101" s="740" t="s">
        <v>3396</v>
      </c>
      <c r="P101" s="250"/>
      <c r="Q101" s="751"/>
      <c r="R101" s="755"/>
      <c r="S101" s="756"/>
    </row>
    <row r="102" s="10" customFormat="1" ht="18.75" customHeight="1" spans="1:19">
      <c r="A102" s="713"/>
      <c r="B102" s="721"/>
      <c r="C102" s="664"/>
      <c r="D102" s="557"/>
      <c r="E102" s="568" t="s">
        <v>165</v>
      </c>
      <c r="F102" s="904" t="s">
        <v>1968</v>
      </c>
      <c r="G102" s="722">
        <v>20000</v>
      </c>
      <c r="H102" s="567">
        <f t="shared" si="5"/>
        <v>143578</v>
      </c>
      <c r="I102" s="570"/>
      <c r="J102" s="735"/>
      <c r="K102" s="597">
        <v>7.1789</v>
      </c>
      <c r="L102" s="598" t="s">
        <v>1218</v>
      </c>
      <c r="M102" s="636" t="s">
        <v>2432</v>
      </c>
      <c r="N102" s="975"/>
      <c r="O102" s="740" t="s">
        <v>3396</v>
      </c>
      <c r="P102" s="250"/>
      <c r="Q102" s="751"/>
      <c r="R102" s="755"/>
      <c r="S102" s="756"/>
    </row>
    <row r="103" s="10" customFormat="1" ht="18.75" customHeight="1" spans="1:19">
      <c r="A103" s="713"/>
      <c r="B103" s="721"/>
      <c r="C103" s="664"/>
      <c r="D103" s="557"/>
      <c r="E103" s="568" t="s">
        <v>167</v>
      </c>
      <c r="F103" s="904" t="s">
        <v>1967</v>
      </c>
      <c r="G103" s="722">
        <v>20000</v>
      </c>
      <c r="H103" s="567">
        <f t="shared" si="5"/>
        <v>143578</v>
      </c>
      <c r="I103" s="735"/>
      <c r="J103" s="735"/>
      <c r="K103" s="597">
        <v>7.1789</v>
      </c>
      <c r="L103" s="598" t="s">
        <v>1218</v>
      </c>
      <c r="M103" s="625" t="s">
        <v>199</v>
      </c>
      <c r="N103" s="645"/>
      <c r="O103" s="740" t="s">
        <v>2521</v>
      </c>
      <c r="P103" s="250"/>
      <c r="Q103" s="751"/>
      <c r="R103" s="755"/>
      <c r="S103" s="756"/>
    </row>
    <row r="104" s="10" customFormat="1" ht="18.75" customHeight="1" spans="1:19">
      <c r="A104" s="713"/>
      <c r="B104" s="721"/>
      <c r="C104" s="556" t="s">
        <v>209</v>
      </c>
      <c r="D104" s="557"/>
      <c r="E104" s="568" t="s">
        <v>274</v>
      </c>
      <c r="F104" s="903"/>
      <c r="G104" s="725">
        <v>500000</v>
      </c>
      <c r="H104" s="567"/>
      <c r="I104" s="735"/>
      <c r="J104" s="735"/>
      <c r="K104" s="597">
        <v>7.1789</v>
      </c>
      <c r="L104" s="598" t="s">
        <v>1218</v>
      </c>
      <c r="M104" s="636" t="s">
        <v>621</v>
      </c>
      <c r="N104" s="975"/>
      <c r="O104" s="740" t="s">
        <v>3397</v>
      </c>
      <c r="P104" s="250"/>
      <c r="Q104" s="751"/>
      <c r="R104" s="755"/>
      <c r="S104" s="756"/>
    </row>
    <row r="105" s="10" customFormat="1" ht="18.75" customHeight="1" spans="1:19">
      <c r="A105" s="713"/>
      <c r="B105" s="721"/>
      <c r="C105" s="556"/>
      <c r="D105" s="557"/>
      <c r="E105" s="568" t="s">
        <v>1974</v>
      </c>
      <c r="F105" s="904" t="s">
        <v>1975</v>
      </c>
      <c r="G105" s="722">
        <v>30000</v>
      </c>
      <c r="H105" s="567">
        <f t="shared" si="5"/>
        <v>215367</v>
      </c>
      <c r="I105" s="735"/>
      <c r="J105" s="735"/>
      <c r="K105" s="597">
        <v>7.1789</v>
      </c>
      <c r="L105" s="598" t="s">
        <v>1966</v>
      </c>
      <c r="M105" s="636" t="s">
        <v>621</v>
      </c>
      <c r="N105" s="975"/>
      <c r="O105" s="740" t="s">
        <v>3233</v>
      </c>
      <c r="P105" s="250"/>
      <c r="Q105" s="751"/>
      <c r="R105" s="755"/>
      <c r="S105" s="756"/>
    </row>
    <row r="106" s="10" customFormat="1" ht="18.75" customHeight="1" spans="1:19">
      <c r="A106" s="713"/>
      <c r="B106" s="721"/>
      <c r="C106" s="556"/>
      <c r="D106" s="557"/>
      <c r="E106" s="568" t="s">
        <v>247</v>
      </c>
      <c r="F106" s="904" t="s">
        <v>50</v>
      </c>
      <c r="G106" s="722">
        <v>30000</v>
      </c>
      <c r="H106" s="567">
        <f t="shared" si="5"/>
        <v>215367</v>
      </c>
      <c r="I106" s="735"/>
      <c r="J106" s="735"/>
      <c r="K106" s="597">
        <v>7.1789</v>
      </c>
      <c r="L106" s="598" t="s">
        <v>1218</v>
      </c>
      <c r="M106" s="636" t="s">
        <v>621</v>
      </c>
      <c r="N106" s="975"/>
      <c r="O106" s="740" t="s">
        <v>3236</v>
      </c>
      <c r="P106" s="250"/>
      <c r="Q106" s="751"/>
      <c r="R106" s="755"/>
      <c r="S106" s="756"/>
    </row>
    <row r="107" s="10" customFormat="1" ht="18.75" customHeight="1" spans="1:19">
      <c r="A107" s="713"/>
      <c r="B107" s="721"/>
      <c r="C107" s="556"/>
      <c r="D107" s="557"/>
      <c r="E107" s="568" t="s">
        <v>243</v>
      </c>
      <c r="F107" s="904" t="s">
        <v>2528</v>
      </c>
      <c r="G107" s="722">
        <v>10000</v>
      </c>
      <c r="H107" s="567">
        <f t="shared" si="5"/>
        <v>71789</v>
      </c>
      <c r="I107" s="735"/>
      <c r="J107" s="735"/>
      <c r="K107" s="597">
        <v>7.1789</v>
      </c>
      <c r="L107" s="598" t="s">
        <v>1218</v>
      </c>
      <c r="M107" s="636" t="s">
        <v>621</v>
      </c>
      <c r="N107" s="975"/>
      <c r="O107" s="740" t="s">
        <v>2521</v>
      </c>
      <c r="P107" s="250"/>
      <c r="Q107" s="751"/>
      <c r="R107" s="755"/>
      <c r="S107" s="756"/>
    </row>
    <row r="108" s="10" customFormat="1" ht="18.75" customHeight="1" spans="1:19">
      <c r="A108" s="713"/>
      <c r="B108" s="721"/>
      <c r="C108" s="556"/>
      <c r="D108" s="557"/>
      <c r="E108" s="568" t="s">
        <v>1408</v>
      </c>
      <c r="F108" s="724" t="s">
        <v>2472</v>
      </c>
      <c r="G108" s="725"/>
      <c r="H108" s="567"/>
      <c r="I108" s="735"/>
      <c r="J108" s="735"/>
      <c r="K108" s="597">
        <v>7.1789</v>
      </c>
      <c r="L108" s="598" t="s">
        <v>1218</v>
      </c>
      <c r="M108" s="636" t="s">
        <v>621</v>
      </c>
      <c r="N108" s="975"/>
      <c r="O108" s="740" t="s">
        <v>2521</v>
      </c>
      <c r="P108" s="250"/>
      <c r="Q108" s="751"/>
      <c r="R108" s="755"/>
      <c r="S108" s="756"/>
    </row>
    <row r="109" s="10" customFormat="1" ht="18.75" customHeight="1" spans="1:19">
      <c r="A109" s="713"/>
      <c r="B109" s="721"/>
      <c r="C109" s="556"/>
      <c r="D109" s="557"/>
      <c r="E109" s="568" t="s">
        <v>1483</v>
      </c>
      <c r="F109" s="731" t="s">
        <v>3398</v>
      </c>
      <c r="G109" s="725"/>
      <c r="H109" s="567"/>
      <c r="I109" s="735"/>
      <c r="J109" s="735"/>
      <c r="K109" s="597">
        <v>7.1789</v>
      </c>
      <c r="L109" s="598" t="s">
        <v>1218</v>
      </c>
      <c r="M109" s="636" t="s">
        <v>621</v>
      </c>
      <c r="N109" s="975"/>
      <c r="O109" s="740" t="s">
        <v>2521</v>
      </c>
      <c r="P109" s="250"/>
      <c r="Q109" s="751"/>
      <c r="R109" s="755"/>
      <c r="S109" s="756"/>
    </row>
    <row r="110" s="10" customFormat="1" ht="18.75" customHeight="1" spans="1:19">
      <c r="A110" s="713"/>
      <c r="B110" s="721"/>
      <c r="C110" s="556"/>
      <c r="D110" s="557"/>
      <c r="E110" s="568" t="s">
        <v>1483</v>
      </c>
      <c r="F110" s="731" t="s">
        <v>2514</v>
      </c>
      <c r="G110" s="725"/>
      <c r="H110" s="567"/>
      <c r="I110" s="735"/>
      <c r="J110" s="735"/>
      <c r="K110" s="597">
        <v>7.1789</v>
      </c>
      <c r="L110" s="598" t="s">
        <v>1218</v>
      </c>
      <c r="M110" s="636" t="s">
        <v>621</v>
      </c>
      <c r="N110" s="975"/>
      <c r="O110" s="740" t="s">
        <v>2521</v>
      </c>
      <c r="P110" s="250"/>
      <c r="Q110" s="751"/>
      <c r="R110" s="755"/>
      <c r="S110" s="756"/>
    </row>
    <row r="111" s="10" customFormat="1" ht="18.75" customHeight="1" spans="1:19">
      <c r="A111" s="713"/>
      <c r="B111" s="721"/>
      <c r="C111" s="556"/>
      <c r="D111" s="557"/>
      <c r="E111" s="568" t="s">
        <v>2476</v>
      </c>
      <c r="F111" s="904" t="s">
        <v>2477</v>
      </c>
      <c r="G111" s="722">
        <v>70000</v>
      </c>
      <c r="H111" s="567">
        <f>G111*K111</f>
        <v>502523</v>
      </c>
      <c r="I111" s="735"/>
      <c r="J111" s="735"/>
      <c r="K111" s="597">
        <v>7.1789</v>
      </c>
      <c r="L111" s="598" t="s">
        <v>1218</v>
      </c>
      <c r="M111" s="636" t="s">
        <v>621</v>
      </c>
      <c r="N111" s="975"/>
      <c r="O111" s="740" t="s">
        <v>3399</v>
      </c>
      <c r="P111" s="250"/>
      <c r="Q111" s="751"/>
      <c r="R111" s="755"/>
      <c r="S111" s="756"/>
    </row>
    <row r="112" s="10" customFormat="1" ht="18.75" customHeight="1" spans="1:19">
      <c r="A112" s="713"/>
      <c r="B112" s="721"/>
      <c r="C112" s="556"/>
      <c r="D112" s="557"/>
      <c r="E112" s="568" t="s">
        <v>1418</v>
      </c>
      <c r="F112" s="1055" t="s">
        <v>1981</v>
      </c>
      <c r="G112" s="722">
        <v>13000</v>
      </c>
      <c r="H112" s="567">
        <f>G112*K112</f>
        <v>93325.7</v>
      </c>
      <c r="I112" s="735"/>
      <c r="J112" s="735"/>
      <c r="K112" s="597">
        <v>7.1789</v>
      </c>
      <c r="L112" s="598" t="s">
        <v>1218</v>
      </c>
      <c r="M112" s="636" t="s">
        <v>621</v>
      </c>
      <c r="N112" s="975"/>
      <c r="O112" s="740" t="s">
        <v>3234</v>
      </c>
      <c r="P112" s="250"/>
      <c r="Q112" s="751"/>
      <c r="R112" s="755"/>
      <c r="S112" s="756"/>
    </row>
    <row r="113" s="10" customFormat="1" ht="16.5" spans="1:19">
      <c r="A113" s="713"/>
      <c r="B113" s="721"/>
      <c r="C113" s="543" t="s">
        <v>1437</v>
      </c>
      <c r="D113" s="557"/>
      <c r="E113" s="542" t="s">
        <v>1340</v>
      </c>
      <c r="F113" s="971" t="s">
        <v>1982</v>
      </c>
      <c r="G113" s="725">
        <v>30000</v>
      </c>
      <c r="H113" s="567">
        <f>G113*K113</f>
        <v>215367</v>
      </c>
      <c r="I113" s="577"/>
      <c r="J113" s="735"/>
      <c r="K113" s="597">
        <v>7.1789</v>
      </c>
      <c r="L113" s="708" t="s">
        <v>1251</v>
      </c>
      <c r="M113" s="636" t="s">
        <v>621</v>
      </c>
      <c r="N113" s="975"/>
      <c r="O113" s="740" t="s">
        <v>3236</v>
      </c>
      <c r="P113" s="623"/>
      <c r="Q113" s="655"/>
      <c r="R113" s="656"/>
      <c r="S113" s="754"/>
    </row>
    <row r="114" s="10" customFormat="1" ht="16.5" spans="1:19">
      <c r="A114" s="713"/>
      <c r="B114" s="673"/>
      <c r="C114" s="652" t="s">
        <v>1874</v>
      </c>
      <c r="D114" s="652"/>
      <c r="E114" s="652"/>
      <c r="F114" s="652"/>
      <c r="G114" s="652"/>
      <c r="H114" s="782">
        <f>SUM(H100:H113)</f>
        <v>2067523.2</v>
      </c>
      <c r="I114" s="782"/>
      <c r="J114" s="782"/>
      <c r="K114" s="614"/>
      <c r="L114" s="610"/>
      <c r="M114" s="644"/>
      <c r="N114" s="644"/>
      <c r="O114" s="1013"/>
      <c r="P114" s="623"/>
      <c r="Q114" s="655"/>
      <c r="R114" s="656"/>
      <c r="S114" s="754"/>
    </row>
    <row r="115" s="536" customFormat="1" ht="38.95" customHeight="1" spans="1:19">
      <c r="A115" s="537" t="s">
        <v>1092</v>
      </c>
      <c r="B115" s="537" t="s">
        <v>1820</v>
      </c>
      <c r="C115" s="538" t="s">
        <v>1946</v>
      </c>
      <c r="D115" s="539" t="s">
        <v>1821</v>
      </c>
      <c r="E115" s="539" t="s">
        <v>1822</v>
      </c>
      <c r="F115" s="558" t="s">
        <v>1095</v>
      </c>
      <c r="G115" s="559" t="s">
        <v>362</v>
      </c>
      <c r="H115" s="560" t="s">
        <v>1716</v>
      </c>
      <c r="I115" s="560" t="s">
        <v>1717</v>
      </c>
      <c r="J115" s="560" t="s">
        <v>1718</v>
      </c>
      <c r="K115" s="594" t="s">
        <v>1096</v>
      </c>
      <c r="L115" s="595" t="s">
        <v>1098</v>
      </c>
      <c r="M115" s="619" t="s">
        <v>1097</v>
      </c>
      <c r="N115" s="619" t="s">
        <v>1214</v>
      </c>
      <c r="O115" s="1015" t="s">
        <v>1215</v>
      </c>
      <c r="P115" s="621" t="s">
        <v>7</v>
      </c>
      <c r="Q115" s="652" t="s">
        <v>8</v>
      </c>
      <c r="R115" s="653" t="s">
        <v>9</v>
      </c>
      <c r="S115" s="654" t="s">
        <v>1291</v>
      </c>
    </row>
    <row r="116" s="1022" customFormat="1" ht="18" customHeight="1" spans="1:19">
      <c r="A116" s="1052" t="s">
        <v>1984</v>
      </c>
      <c r="B116" s="571" t="s">
        <v>1824</v>
      </c>
      <c r="C116" s="666" t="s">
        <v>38</v>
      </c>
      <c r="D116" s="759">
        <v>209</v>
      </c>
      <c r="E116" s="572" t="s">
        <v>1224</v>
      </c>
      <c r="F116" s="579" t="s">
        <v>3249</v>
      </c>
      <c r="G116" s="978">
        <v>69678</v>
      </c>
      <c r="H116" s="577">
        <f>G116*K116</f>
        <v>500211.3942</v>
      </c>
      <c r="I116" s="577">
        <f>G116*K116</f>
        <v>500211.3942</v>
      </c>
      <c r="J116" s="567">
        <f>G116*K116</f>
        <v>500211.3942</v>
      </c>
      <c r="K116" s="614">
        <v>7.1789</v>
      </c>
      <c r="L116" s="625">
        <v>45229</v>
      </c>
      <c r="M116" s="633">
        <v>45229</v>
      </c>
      <c r="N116" s="633">
        <v>45232</v>
      </c>
      <c r="O116" s="937" t="s">
        <v>3400</v>
      </c>
      <c r="P116" s="987"/>
      <c r="Q116" s="655"/>
      <c r="R116" s="664"/>
      <c r="S116" s="577"/>
    </row>
    <row r="117" s="1022" customFormat="1" ht="18" customHeight="1" spans="1:19">
      <c r="A117" s="1053"/>
      <c r="B117" s="947"/>
      <c r="C117" s="572"/>
      <c r="D117" s="557"/>
      <c r="E117" s="579" t="s">
        <v>143</v>
      </c>
      <c r="F117" s="572" t="s">
        <v>3401</v>
      </c>
      <c r="G117" s="725">
        <v>40872</v>
      </c>
      <c r="H117" s="577">
        <f>G117*K117</f>
        <v>293416.0008</v>
      </c>
      <c r="I117" s="577">
        <f>H117</f>
        <v>293416.0008</v>
      </c>
      <c r="J117" s="567"/>
      <c r="K117" s="614">
        <v>7.1789</v>
      </c>
      <c r="L117" s="625" t="s">
        <v>1218</v>
      </c>
      <c r="M117" s="625">
        <v>45225</v>
      </c>
      <c r="N117" s="625">
        <v>45231</v>
      </c>
      <c r="O117" s="994"/>
      <c r="P117" s="1056"/>
      <c r="Q117" s="1062"/>
      <c r="R117" s="1056"/>
      <c r="S117" s="1056"/>
    </row>
    <row r="118" s="1022" customFormat="1" ht="18" customHeight="1" spans="1:19">
      <c r="A118" s="1053"/>
      <c r="B118" s="571"/>
      <c r="C118" s="666" t="s">
        <v>1987</v>
      </c>
      <c r="D118" s="759">
        <v>41</v>
      </c>
      <c r="E118" s="572" t="s">
        <v>143</v>
      </c>
      <c r="F118" s="571" t="s">
        <v>3402</v>
      </c>
      <c r="G118" s="979">
        <v>32371</v>
      </c>
      <c r="H118" s="577">
        <f>G118*K118</f>
        <v>232388.1719</v>
      </c>
      <c r="I118" s="577">
        <f>H118</f>
        <v>232388.1719</v>
      </c>
      <c r="J118" s="567"/>
      <c r="K118" s="614">
        <v>7.1789</v>
      </c>
      <c r="L118" s="625" t="s">
        <v>1218</v>
      </c>
      <c r="M118" s="625">
        <v>45227</v>
      </c>
      <c r="N118" s="988">
        <v>45234</v>
      </c>
      <c r="O118" s="1057" t="s">
        <v>3403</v>
      </c>
      <c r="P118" s="572"/>
      <c r="Q118" s="874"/>
      <c r="R118" s="625"/>
      <c r="S118" s="631"/>
    </row>
    <row r="119" s="10" customFormat="1" ht="18" customHeight="1" spans="1:19">
      <c r="A119" s="775"/>
      <c r="B119" s="776"/>
      <c r="C119" s="556"/>
      <c r="D119" s="557"/>
      <c r="E119" s="250" t="s">
        <v>143</v>
      </c>
      <c r="F119" s="250"/>
      <c r="G119" s="576"/>
      <c r="H119" s="602">
        <v>70000</v>
      </c>
      <c r="I119" s="602">
        <v>70000</v>
      </c>
      <c r="J119" s="603">
        <f>I119</f>
        <v>70000</v>
      </c>
      <c r="K119" s="597">
        <v>7.1789</v>
      </c>
      <c r="L119" s="598"/>
      <c r="M119" s="598"/>
      <c r="N119" s="625"/>
      <c r="O119" s="998"/>
      <c r="P119" s="642"/>
      <c r="Q119" s="655"/>
      <c r="R119" s="664"/>
      <c r="S119" s="577"/>
    </row>
    <row r="120" s="10" customFormat="1" ht="18" customHeight="1" spans="1:19">
      <c r="A120" s="775"/>
      <c r="B120" s="776"/>
      <c r="C120" s="664" t="s">
        <v>509</v>
      </c>
      <c r="D120" s="655">
        <v>457</v>
      </c>
      <c r="E120" s="250" t="s">
        <v>1232</v>
      </c>
      <c r="F120" s="250" t="s">
        <v>3404</v>
      </c>
      <c r="G120" s="981">
        <v>623013</v>
      </c>
      <c r="H120" s="596">
        <f>G120</f>
        <v>623013</v>
      </c>
      <c r="I120" s="577">
        <f>H120</f>
        <v>623013</v>
      </c>
      <c r="J120" s="603"/>
      <c r="K120" s="597">
        <v>7.1789</v>
      </c>
      <c r="L120" s="598"/>
      <c r="M120" s="598">
        <v>45230</v>
      </c>
      <c r="N120" s="625">
        <v>45243</v>
      </c>
      <c r="O120" s="998" t="s">
        <v>3405</v>
      </c>
      <c r="P120" s="642"/>
      <c r="Q120" s="655"/>
      <c r="R120" s="664"/>
      <c r="S120" s="577"/>
    </row>
    <row r="121" s="10" customFormat="1" ht="18" customHeight="1" spans="1:19">
      <c r="A121" s="775"/>
      <c r="B121" s="776"/>
      <c r="C121" s="664"/>
      <c r="D121" s="655"/>
      <c r="E121" s="250" t="s">
        <v>454</v>
      </c>
      <c r="F121" s="250" t="s">
        <v>3263</v>
      </c>
      <c r="G121" s="1002">
        <v>50810</v>
      </c>
      <c r="H121" s="577">
        <f>G121*K121</f>
        <v>364759.909</v>
      </c>
      <c r="I121" s="981">
        <f>H121</f>
        <v>364759.909</v>
      </c>
      <c r="J121" s="596">
        <f>I121</f>
        <v>364759.909</v>
      </c>
      <c r="K121" s="597">
        <v>7.1789</v>
      </c>
      <c r="L121" s="598" t="s">
        <v>1218</v>
      </c>
      <c r="M121" s="598">
        <v>45212</v>
      </c>
      <c r="N121" s="625">
        <v>45218</v>
      </c>
      <c r="O121" s="1057" t="s">
        <v>2714</v>
      </c>
      <c r="P121" s="642"/>
      <c r="Q121" s="655"/>
      <c r="R121" s="664"/>
      <c r="S121" s="577"/>
    </row>
    <row r="122" s="10" customFormat="1" ht="18" customHeight="1" spans="1:19">
      <c r="A122" s="775"/>
      <c r="B122" s="776"/>
      <c r="C122" s="664"/>
      <c r="D122" s="655"/>
      <c r="E122" s="250" t="s">
        <v>3406</v>
      </c>
      <c r="F122" s="250" t="s">
        <v>3407</v>
      </c>
      <c r="G122" s="1002">
        <v>3986</v>
      </c>
      <c r="H122" s="577">
        <f>G122*K122</f>
        <v>28615.0954</v>
      </c>
      <c r="I122" s="981">
        <f>H122</f>
        <v>28615.0954</v>
      </c>
      <c r="J122" s="596">
        <f>I122</f>
        <v>28615.0954</v>
      </c>
      <c r="K122" s="597">
        <v>7.1789</v>
      </c>
      <c r="L122" s="598" t="s">
        <v>1218</v>
      </c>
      <c r="M122" s="598">
        <v>45229</v>
      </c>
      <c r="N122" s="625"/>
      <c r="O122" s="1009" t="s">
        <v>3408</v>
      </c>
      <c r="P122" s="642"/>
      <c r="Q122" s="655"/>
      <c r="R122" s="664"/>
      <c r="S122" s="577"/>
    </row>
    <row r="123" s="10" customFormat="1" ht="18" customHeight="1" spans="1:19">
      <c r="A123" s="775"/>
      <c r="B123" s="776"/>
      <c r="C123" s="664"/>
      <c r="D123" s="655"/>
      <c r="E123" s="250" t="s">
        <v>1991</v>
      </c>
      <c r="F123" s="250" t="s">
        <v>1992</v>
      </c>
      <c r="G123" s="1002"/>
      <c r="H123" s="577"/>
      <c r="I123" s="981"/>
      <c r="J123" s="981">
        <v>464806</v>
      </c>
      <c r="K123" s="597">
        <v>7.1789</v>
      </c>
      <c r="L123" s="598" t="s">
        <v>1218</v>
      </c>
      <c r="M123" s="598">
        <v>45196</v>
      </c>
      <c r="N123" s="625">
        <v>45212</v>
      </c>
      <c r="O123" s="1057" t="s">
        <v>3409</v>
      </c>
      <c r="P123" s="642"/>
      <c r="Q123" s="655"/>
      <c r="R123" s="664"/>
      <c r="S123" s="577"/>
    </row>
    <row r="124" s="1022" customFormat="1" ht="18" customHeight="1" spans="1:19">
      <c r="A124" s="1053"/>
      <c r="B124" s="1054"/>
      <c r="C124" s="664" t="s">
        <v>1393</v>
      </c>
      <c r="D124" s="655">
        <v>351</v>
      </c>
      <c r="E124" s="787" t="s">
        <v>2015</v>
      </c>
      <c r="F124" s="787" t="s">
        <v>2016</v>
      </c>
      <c r="G124" s="725">
        <v>45416</v>
      </c>
      <c r="H124" s="567">
        <f>G124*K124</f>
        <v>326036.9224</v>
      </c>
      <c r="I124" s="811">
        <f>G124*K124</f>
        <v>326036.9224</v>
      </c>
      <c r="J124" s="567">
        <f>G124*K123</f>
        <v>326036.9224</v>
      </c>
      <c r="K124" s="614">
        <v>7.1789</v>
      </c>
      <c r="L124" s="625" t="s">
        <v>1218</v>
      </c>
      <c r="M124" s="750">
        <v>45223</v>
      </c>
      <c r="N124" s="1058">
        <v>45232</v>
      </c>
      <c r="O124" s="994" t="s">
        <v>3410</v>
      </c>
      <c r="P124" s="572"/>
      <c r="Q124" s="874"/>
      <c r="R124" s="664"/>
      <c r="S124" s="577"/>
    </row>
    <row r="125" s="1022" customFormat="1" ht="18" customHeight="1" spans="1:19">
      <c r="A125" s="1053"/>
      <c r="B125" s="1054"/>
      <c r="C125" s="664"/>
      <c r="D125" s="655"/>
      <c r="E125" s="787" t="s">
        <v>150</v>
      </c>
      <c r="F125" s="787" t="s">
        <v>2041</v>
      </c>
      <c r="G125" s="725">
        <v>36100</v>
      </c>
      <c r="H125" s="567">
        <f>G125*K125</f>
        <v>259158.29</v>
      </c>
      <c r="I125" s="811">
        <f>G125*K125</f>
        <v>259158.29</v>
      </c>
      <c r="J125" s="567">
        <f>G125*K125</f>
        <v>259158.29</v>
      </c>
      <c r="K125" s="614">
        <v>7.1789</v>
      </c>
      <c r="L125" s="625">
        <v>45229</v>
      </c>
      <c r="M125" s="750">
        <v>45230</v>
      </c>
      <c r="N125" s="750">
        <v>45235</v>
      </c>
      <c r="O125" s="937" t="s">
        <v>3411</v>
      </c>
      <c r="P125" s="572"/>
      <c r="Q125" s="874"/>
      <c r="R125" s="664"/>
      <c r="S125" s="577"/>
    </row>
    <row r="126" s="1022" customFormat="1" ht="18" customHeight="1" spans="1:19">
      <c r="A126" s="1053"/>
      <c r="B126" s="1054"/>
      <c r="C126" s="664"/>
      <c r="D126" s="655"/>
      <c r="E126" s="572" t="s">
        <v>2000</v>
      </c>
      <c r="F126" s="572" t="s">
        <v>3412</v>
      </c>
      <c r="G126" s="725">
        <v>42642</v>
      </c>
      <c r="H126" s="567">
        <f>G126*K126</f>
        <v>306122.6538</v>
      </c>
      <c r="I126" s="811">
        <f>G126*K126</f>
        <v>306122.6538</v>
      </c>
      <c r="J126" s="567">
        <f>G126*K126</f>
        <v>306122.6538</v>
      </c>
      <c r="K126" s="614">
        <v>7.1789</v>
      </c>
      <c r="L126" s="625" t="s">
        <v>1218</v>
      </c>
      <c r="M126" s="1059">
        <v>45226</v>
      </c>
      <c r="N126" s="1060">
        <v>45232</v>
      </c>
      <c r="O126" s="623" t="s">
        <v>3413</v>
      </c>
      <c r="P126" s="572"/>
      <c r="Q126" s="874"/>
      <c r="R126" s="664"/>
      <c r="S126" s="577"/>
    </row>
    <row r="127" s="10" customFormat="1" ht="18" customHeight="1" spans="1:19">
      <c r="A127" s="775"/>
      <c r="B127" s="776"/>
      <c r="C127" s="664"/>
      <c r="D127" s="655"/>
      <c r="E127" s="244"/>
      <c r="F127" s="244"/>
      <c r="G127" s="576"/>
      <c r="H127" s="567"/>
      <c r="I127" s="981"/>
      <c r="J127" s="570"/>
      <c r="K127" s="597"/>
      <c r="L127" s="598"/>
      <c r="M127" s="1061"/>
      <c r="N127" s="570"/>
      <c r="O127" s="691"/>
      <c r="P127" s="572"/>
      <c r="Q127" s="874"/>
      <c r="R127" s="664"/>
      <c r="S127" s="577"/>
    </row>
    <row r="128" s="10" customFormat="1" ht="18" customHeight="1" spans="1:19">
      <c r="A128" s="775"/>
      <c r="B128" s="568"/>
      <c r="C128" s="777" t="s">
        <v>1124</v>
      </c>
      <c r="D128" s="545">
        <f>D116+D118+D120+D124</f>
        <v>1058</v>
      </c>
      <c r="E128" s="980"/>
      <c r="F128" s="727"/>
      <c r="G128" s="795" t="s">
        <v>1235</v>
      </c>
      <c r="H128" s="804">
        <f>SUM(H116:H127)</f>
        <v>3003721.4375</v>
      </c>
      <c r="I128" s="804">
        <f>SUM(I116:I127)</f>
        <v>3003721.4375</v>
      </c>
      <c r="J128" s="804">
        <f>SUM(J116:J127)</f>
        <v>2319710.2648</v>
      </c>
      <c r="K128" s="808"/>
      <c r="L128" s="809"/>
      <c r="M128" s="821"/>
      <c r="N128" s="821"/>
      <c r="P128" s="727"/>
      <c r="Q128" s="652"/>
      <c r="R128" s="653"/>
      <c r="S128" s="809"/>
    </row>
    <row r="129" s="10" customFormat="1" ht="18" customHeight="1" spans="1:19">
      <c r="A129" s="775"/>
      <c r="B129" s="568"/>
      <c r="C129" s="779"/>
      <c r="D129" s="547"/>
      <c r="E129" s="652"/>
      <c r="F129" s="727"/>
      <c r="G129" s="795" t="s">
        <v>1236</v>
      </c>
      <c r="H129" s="796">
        <f>H128/10580000</f>
        <v>0.283905617911153</v>
      </c>
      <c r="I129" s="796">
        <f>I128/3500000</f>
        <v>0.858206125</v>
      </c>
      <c r="J129" s="796">
        <f>J128/3500000</f>
        <v>0.662774361371429</v>
      </c>
      <c r="K129" s="808"/>
      <c r="L129" s="809"/>
      <c r="M129" s="821"/>
      <c r="N129" s="996"/>
      <c r="O129" s="1063"/>
      <c r="P129" s="727"/>
      <c r="Q129" s="652"/>
      <c r="R129" s="653"/>
      <c r="S129" s="809"/>
    </row>
    <row r="130" s="10" customFormat="1" ht="18" customHeight="1" spans="1:19">
      <c r="A130" s="775"/>
      <c r="B130" s="553" t="s">
        <v>1820</v>
      </c>
      <c r="C130" s="554" t="s">
        <v>1946</v>
      </c>
      <c r="D130" s="555" t="s">
        <v>1821</v>
      </c>
      <c r="E130" s="555" t="s">
        <v>1822</v>
      </c>
      <c r="F130" s="588" t="s">
        <v>1095</v>
      </c>
      <c r="G130" s="589" t="s">
        <v>362</v>
      </c>
      <c r="H130" s="590" t="s">
        <v>1865</v>
      </c>
      <c r="I130" s="810" t="s">
        <v>1717</v>
      </c>
      <c r="J130" s="810" t="s">
        <v>1718</v>
      </c>
      <c r="K130" s="590" t="s">
        <v>1866</v>
      </c>
      <c r="L130" s="615" t="s">
        <v>1098</v>
      </c>
      <c r="M130" s="590" t="s">
        <v>1867</v>
      </c>
      <c r="N130" s="646"/>
      <c r="O130" s="997"/>
      <c r="P130" s="727"/>
      <c r="Q130" s="652"/>
      <c r="R130" s="727"/>
      <c r="S130" s="727"/>
    </row>
    <row r="131" s="10" customFormat="1" ht="18" customHeight="1" spans="1:19">
      <c r="A131" s="775"/>
      <c r="B131" s="541" t="s">
        <v>3248</v>
      </c>
      <c r="C131" s="721" t="s">
        <v>1987</v>
      </c>
      <c r="D131" s="545"/>
      <c r="E131" s="673"/>
      <c r="F131" s="250"/>
      <c r="G131" s="562"/>
      <c r="H131" s="596"/>
      <c r="I131" s="981"/>
      <c r="J131" s="603"/>
      <c r="K131" s="597">
        <v>7.1789</v>
      </c>
      <c r="L131" s="598"/>
      <c r="M131" s="598"/>
      <c r="N131" s="736"/>
      <c r="O131" s="1009"/>
      <c r="P131" s="727"/>
      <c r="Q131" s="652"/>
      <c r="R131" s="727"/>
      <c r="S131" s="727"/>
    </row>
    <row r="132" s="10" customFormat="1" ht="18" customHeight="1" spans="1:19">
      <c r="A132" s="775"/>
      <c r="B132" s="541"/>
      <c r="C132" s="564" t="s">
        <v>509</v>
      </c>
      <c r="D132" s="545"/>
      <c r="E132" s="250" t="s">
        <v>1232</v>
      </c>
      <c r="F132" s="250" t="s">
        <v>2006</v>
      </c>
      <c r="G132" s="981">
        <v>435967</v>
      </c>
      <c r="H132" s="596">
        <f t="shared" ref="H132:H135" si="6">G132</f>
        <v>435967</v>
      </c>
      <c r="I132" s="981"/>
      <c r="J132" s="603"/>
      <c r="K132" s="597">
        <v>7.1789</v>
      </c>
      <c r="L132" s="598">
        <v>45230</v>
      </c>
      <c r="M132" s="598">
        <v>45230</v>
      </c>
      <c r="N132" s="625"/>
      <c r="O132" s="998" t="s">
        <v>3414</v>
      </c>
      <c r="P132" s="727"/>
      <c r="Q132" s="652"/>
      <c r="R132" s="727"/>
      <c r="S132" s="727"/>
    </row>
    <row r="133" s="10" customFormat="1" ht="18" customHeight="1" spans="1:19">
      <c r="A133" s="775"/>
      <c r="B133" s="541"/>
      <c r="C133" s="721"/>
      <c r="D133" s="545"/>
      <c r="E133" s="787" t="s">
        <v>2009</v>
      </c>
      <c r="F133" s="788" t="s">
        <v>1989</v>
      </c>
      <c r="G133" s="596">
        <v>661934</v>
      </c>
      <c r="H133" s="596">
        <f t="shared" si="6"/>
        <v>661934</v>
      </c>
      <c r="I133" s="787"/>
      <c r="J133" s="788"/>
      <c r="K133" s="597">
        <v>7.1789</v>
      </c>
      <c r="L133" s="598">
        <v>45260</v>
      </c>
      <c r="M133" s="598"/>
      <c r="N133" s="625"/>
      <c r="O133" s="937" t="s">
        <v>3415</v>
      </c>
      <c r="P133" s="727"/>
      <c r="Q133" s="652"/>
      <c r="R133" s="727"/>
      <c r="S133" s="727"/>
    </row>
    <row r="134" s="10" customFormat="1" ht="18" customHeight="1" spans="1:19">
      <c r="A134" s="775"/>
      <c r="B134" s="776"/>
      <c r="C134" s="721"/>
      <c r="D134" s="545"/>
      <c r="E134" s="787" t="s">
        <v>2009</v>
      </c>
      <c r="F134" s="788" t="s">
        <v>2541</v>
      </c>
      <c r="G134" s="596">
        <v>997724</v>
      </c>
      <c r="H134" s="596">
        <f t="shared" si="6"/>
        <v>997724</v>
      </c>
      <c r="I134" s="787"/>
      <c r="J134" s="788"/>
      <c r="K134" s="597">
        <v>7.1789</v>
      </c>
      <c r="L134" s="598">
        <v>45245</v>
      </c>
      <c r="M134" s="602"/>
      <c r="N134" s="625"/>
      <c r="O134" s="937" t="s">
        <v>3416</v>
      </c>
      <c r="P134" s="642"/>
      <c r="Q134" s="655"/>
      <c r="R134" s="664"/>
      <c r="S134" s="577"/>
    </row>
    <row r="135" s="10" customFormat="1" ht="18" customHeight="1" spans="1:19">
      <c r="A135" s="775"/>
      <c r="B135" s="776"/>
      <c r="C135" s="721"/>
      <c r="D135" s="545"/>
      <c r="E135" s="787" t="s">
        <v>2009</v>
      </c>
      <c r="F135" s="788" t="s">
        <v>2543</v>
      </c>
      <c r="G135" s="596">
        <v>255512</v>
      </c>
      <c r="H135" s="596">
        <f t="shared" si="6"/>
        <v>255512</v>
      </c>
      <c r="I135" s="570"/>
      <c r="J135" s="570"/>
      <c r="K135" s="597">
        <v>7.1789</v>
      </c>
      <c r="L135" s="570"/>
      <c r="M135" s="570"/>
      <c r="N135" s="570"/>
      <c r="O135" s="691" t="s">
        <v>3417</v>
      </c>
      <c r="P135" s="642"/>
      <c r="Q135" s="655"/>
      <c r="R135" s="664"/>
      <c r="S135" s="577"/>
    </row>
    <row r="136" s="10" customFormat="1" ht="18" customHeight="1" spans="1:19">
      <c r="A136" s="775"/>
      <c r="B136" s="541"/>
      <c r="C136" s="721"/>
      <c r="D136" s="545"/>
      <c r="E136" s="787" t="s">
        <v>2009</v>
      </c>
      <c r="F136" s="788" t="s">
        <v>2585</v>
      </c>
      <c r="G136" s="981">
        <v>1316412</v>
      </c>
      <c r="H136" s="596"/>
      <c r="I136" s="570"/>
      <c r="J136" s="570"/>
      <c r="K136" s="597">
        <v>7.1789</v>
      </c>
      <c r="L136" s="570"/>
      <c r="M136" s="570"/>
      <c r="N136" s="570"/>
      <c r="O136" s="691" t="s">
        <v>3418</v>
      </c>
      <c r="P136" s="727"/>
      <c r="Q136" s="652"/>
      <c r="R136" s="727"/>
      <c r="S136" s="727"/>
    </row>
    <row r="137" s="10" customFormat="1" ht="18" customHeight="1" spans="1:19">
      <c r="A137" s="775"/>
      <c r="B137" s="541"/>
      <c r="C137" s="721"/>
      <c r="D137" s="545"/>
      <c r="E137" s="787" t="s">
        <v>2009</v>
      </c>
      <c r="F137" s="788" t="s">
        <v>1302</v>
      </c>
      <c r="G137" s="981">
        <v>142827</v>
      </c>
      <c r="H137" s="596"/>
      <c r="I137" s="851"/>
      <c r="J137" s="788"/>
      <c r="K137" s="597">
        <v>7.1789</v>
      </c>
      <c r="L137" s="598"/>
      <c r="M137" s="598"/>
      <c r="N137" s="625"/>
      <c r="O137" s="937" t="s">
        <v>3419</v>
      </c>
      <c r="P137" s="727"/>
      <c r="Q137" s="652"/>
      <c r="R137" s="727"/>
      <c r="S137" s="727"/>
    </row>
    <row r="138" s="10" customFormat="1" ht="18" customHeight="1" spans="1:19">
      <c r="A138" s="775"/>
      <c r="B138" s="541"/>
      <c r="C138" s="721"/>
      <c r="D138" s="545"/>
      <c r="E138" s="787" t="s">
        <v>2009</v>
      </c>
      <c r="F138" s="788" t="s">
        <v>1302</v>
      </c>
      <c r="G138" s="981">
        <v>102714.94</v>
      </c>
      <c r="H138" s="596"/>
      <c r="I138" s="851"/>
      <c r="J138" s="788"/>
      <c r="K138" s="597">
        <v>7.1789</v>
      </c>
      <c r="L138" s="598">
        <v>45255</v>
      </c>
      <c r="M138" s="602"/>
      <c r="N138" s="625"/>
      <c r="O138" s="937" t="s">
        <v>3420</v>
      </c>
      <c r="P138" s="727"/>
      <c r="Q138" s="652"/>
      <c r="R138" s="727"/>
      <c r="S138" s="727"/>
    </row>
    <row r="139" s="10" customFormat="1" ht="18" customHeight="1" spans="1:19">
      <c r="A139" s="775"/>
      <c r="B139" s="541"/>
      <c r="C139" s="721"/>
      <c r="D139" s="545"/>
      <c r="P139" s="727"/>
      <c r="Q139" s="652"/>
      <c r="R139" s="727"/>
      <c r="S139" s="727"/>
    </row>
    <row r="140" s="10" customFormat="1" ht="18" customHeight="1" spans="1:19">
      <c r="A140" s="775"/>
      <c r="B140" s="541"/>
      <c r="C140" s="721"/>
      <c r="D140" s="545"/>
      <c r="P140" s="727"/>
      <c r="Q140" s="652"/>
      <c r="R140" s="727"/>
      <c r="S140" s="727"/>
    </row>
    <row r="141" s="10" customFormat="1" ht="18" customHeight="1" spans="1:19">
      <c r="A141" s="713"/>
      <c r="B141" s="541"/>
      <c r="C141" s="564" t="s">
        <v>1393</v>
      </c>
      <c r="D141" s="545"/>
      <c r="E141" s="787" t="s">
        <v>150</v>
      </c>
      <c r="F141" s="788" t="s">
        <v>3279</v>
      </c>
      <c r="G141" s="722">
        <v>70960</v>
      </c>
      <c r="H141" s="567">
        <f>G141*K141</f>
        <v>509414.744</v>
      </c>
      <c r="I141" s="851"/>
      <c r="J141" s="788"/>
      <c r="K141" s="597">
        <v>7.1789</v>
      </c>
      <c r="L141" s="598" t="s">
        <v>3421</v>
      </c>
      <c r="M141" s="596"/>
      <c r="N141" s="605"/>
      <c r="O141" s="937" t="s">
        <v>3422</v>
      </c>
      <c r="P141" s="727"/>
      <c r="Q141" s="652"/>
      <c r="R141" s="727"/>
      <c r="S141" s="727"/>
    </row>
    <row r="142" s="10" customFormat="1" ht="18" customHeight="1" spans="1:19">
      <c r="A142" s="718"/>
      <c r="B142" s="541"/>
      <c r="C142" s="721"/>
      <c r="D142" s="545"/>
      <c r="E142" s="572" t="s">
        <v>1121</v>
      </c>
      <c r="F142" s="250" t="s">
        <v>3251</v>
      </c>
      <c r="G142" s="725">
        <v>42497</v>
      </c>
      <c r="H142" s="577">
        <v>305077.4636</v>
      </c>
      <c r="J142" s="567"/>
      <c r="K142" s="597">
        <v>7.1789</v>
      </c>
      <c r="L142" s="625">
        <v>45238</v>
      </c>
      <c r="M142" s="598" t="s">
        <v>2432</v>
      </c>
      <c r="N142" s="618" t="s">
        <v>2432</v>
      </c>
      <c r="O142" s="937" t="s">
        <v>3423</v>
      </c>
      <c r="P142" s="727"/>
      <c r="Q142" s="652"/>
      <c r="R142" s="727"/>
      <c r="S142" s="727"/>
    </row>
    <row r="143" s="10" customFormat="1" ht="18" customHeight="1" spans="1:19">
      <c r="A143" s="718"/>
      <c r="B143" s="721"/>
      <c r="C143" s="721"/>
      <c r="D143" s="545"/>
      <c r="E143" s="787" t="s">
        <v>2000</v>
      </c>
      <c r="F143" s="716" t="s">
        <v>2581</v>
      </c>
      <c r="G143" s="722">
        <v>32007</v>
      </c>
      <c r="H143" s="567">
        <f>G143*K143</f>
        <v>229775.0523</v>
      </c>
      <c r="I143" s="851"/>
      <c r="J143" s="788"/>
      <c r="K143" s="597">
        <v>7.1789</v>
      </c>
      <c r="L143" s="598"/>
      <c r="M143" s="602"/>
      <c r="N143" s="600"/>
      <c r="O143" s="937" t="s">
        <v>3424</v>
      </c>
      <c r="P143" s="727"/>
      <c r="Q143" s="652"/>
      <c r="R143" s="727"/>
      <c r="S143" s="727"/>
    </row>
    <row r="144" s="10" customFormat="1" ht="18" customHeight="1" spans="1:19">
      <c r="A144" s="718"/>
      <c r="B144" s="721"/>
      <c r="C144" s="721"/>
      <c r="D144" s="545"/>
      <c r="E144" s="787" t="s">
        <v>2000</v>
      </c>
      <c r="F144" s="716" t="s">
        <v>2569</v>
      </c>
      <c r="G144" s="722">
        <v>10654</v>
      </c>
      <c r="H144" s="567">
        <f>G144*K144</f>
        <v>76484.0006</v>
      </c>
      <c r="I144" s="851"/>
      <c r="J144" s="788"/>
      <c r="K144" s="597">
        <v>7.1789</v>
      </c>
      <c r="L144" s="598"/>
      <c r="M144" s="602"/>
      <c r="N144" s="1010"/>
      <c r="O144" s="937" t="s">
        <v>3425</v>
      </c>
      <c r="P144" s="727"/>
      <c r="Q144" s="652"/>
      <c r="R144" s="727"/>
      <c r="S144" s="727"/>
    </row>
    <row r="145" s="10" customFormat="1" ht="18" customHeight="1" spans="1:19">
      <c r="A145" s="775"/>
      <c r="B145" s="541"/>
      <c r="C145" s="721"/>
      <c r="D145" s="545"/>
      <c r="E145" s="787" t="s">
        <v>2000</v>
      </c>
      <c r="F145" s="716" t="s">
        <v>2571</v>
      </c>
      <c r="G145" s="722">
        <v>4268</v>
      </c>
      <c r="H145" s="567">
        <f>G145*K145</f>
        <v>30639.5452</v>
      </c>
      <c r="I145" s="1007"/>
      <c r="J145" s="839"/>
      <c r="K145" s="597">
        <v>7.1789</v>
      </c>
      <c r="L145" s="598"/>
      <c r="M145" s="598"/>
      <c r="N145" s="1011"/>
      <c r="O145" s="937"/>
      <c r="P145" s="727"/>
      <c r="Q145" s="652"/>
      <c r="R145" s="727"/>
      <c r="S145" s="727"/>
    </row>
    <row r="146" s="10" customFormat="1" ht="18" customHeight="1" spans="1:19">
      <c r="A146" s="775"/>
      <c r="B146" s="541"/>
      <c r="C146" s="545"/>
      <c r="D146" s="545"/>
      <c r="E146" s="716"/>
      <c r="F146" s="716"/>
      <c r="G146" s="716"/>
      <c r="H146" s="804"/>
      <c r="I146" s="1007"/>
      <c r="J146" s="839"/>
      <c r="K146" s="597"/>
      <c r="L146" s="598"/>
      <c r="M146" s="598"/>
      <c r="N146" s="1011"/>
      <c r="O146" s="997"/>
      <c r="P146" s="727"/>
      <c r="Q146" s="652"/>
      <c r="R146" s="727"/>
      <c r="S146" s="727"/>
    </row>
    <row r="147" s="10" customFormat="1" ht="18" customHeight="1" spans="1:19">
      <c r="A147" s="775"/>
      <c r="B147" s="672"/>
      <c r="C147" s="716" t="s">
        <v>1874</v>
      </c>
      <c r="D147" s="716"/>
      <c r="E147" s="716"/>
      <c r="F147" s="716"/>
      <c r="G147" s="716"/>
      <c r="H147" s="804">
        <f>SUM(H131:H144)</f>
        <v>3471888.2605</v>
      </c>
      <c r="I147" s="839"/>
      <c r="J147" s="839"/>
      <c r="K147" s="597">
        <v>7.1789</v>
      </c>
      <c r="L147" s="598"/>
      <c r="M147" s="598"/>
      <c r="N147" s="863"/>
      <c r="O147" s="997"/>
      <c r="P147" s="727"/>
      <c r="Q147" s="652"/>
      <c r="R147" s="727"/>
      <c r="S147" s="727"/>
    </row>
    <row r="148" s="10" customFormat="1" ht="18" customHeight="1" spans="1:19">
      <c r="A148" s="718"/>
      <c r="B148" s="721" t="s">
        <v>1875</v>
      </c>
      <c r="C148" s="564" t="s">
        <v>1987</v>
      </c>
      <c r="D148" s="545"/>
      <c r="E148" s="572" t="s">
        <v>3269</v>
      </c>
      <c r="F148" s="250"/>
      <c r="G148" s="725">
        <v>40000</v>
      </c>
      <c r="H148" s="567">
        <f>G148*K148</f>
        <v>287156</v>
      </c>
      <c r="I148" s="567"/>
      <c r="J148" s="570"/>
      <c r="K148" s="597">
        <v>7.1789</v>
      </c>
      <c r="L148" s="625" t="s">
        <v>1218</v>
      </c>
      <c r="M148" s="598"/>
      <c r="N148" s="863"/>
      <c r="O148" s="937" t="s">
        <v>3270</v>
      </c>
      <c r="P148" s="727"/>
      <c r="Q148" s="652"/>
      <c r="R148" s="727"/>
      <c r="S148" s="727"/>
    </row>
    <row r="149" s="10" customFormat="1" ht="18" customHeight="1" spans="1:19">
      <c r="A149" s="718"/>
      <c r="B149" s="721"/>
      <c r="C149" s="721"/>
      <c r="D149" s="545"/>
      <c r="E149" s="673" t="s">
        <v>3426</v>
      </c>
      <c r="F149" s="250"/>
      <c r="G149" s="576">
        <v>60000</v>
      </c>
      <c r="H149" s="596"/>
      <c r="I149" s="596"/>
      <c r="J149" s="744"/>
      <c r="K149" s="597"/>
      <c r="L149" s="598"/>
      <c r="M149" s="598"/>
      <c r="N149" s="863"/>
      <c r="O149" s="706"/>
      <c r="P149" s="727"/>
      <c r="Q149" s="652"/>
      <c r="R149" s="727"/>
      <c r="S149" s="727"/>
    </row>
    <row r="150" s="10" customFormat="1" ht="18" customHeight="1" spans="1:19">
      <c r="A150" s="713"/>
      <c r="B150" s="721"/>
      <c r="C150" s="673"/>
      <c r="D150" s="545"/>
      <c r="E150" s="547" t="s">
        <v>2024</v>
      </c>
      <c r="F150" s="727"/>
      <c r="G150" s="576">
        <v>30000</v>
      </c>
      <c r="H150" s="804"/>
      <c r="I150" s="804"/>
      <c r="J150" s="804"/>
      <c r="K150" s="597">
        <v>7.1789</v>
      </c>
      <c r="L150" s="625" t="s">
        <v>1218</v>
      </c>
      <c r="M150" s="854"/>
      <c r="N150" s="863"/>
      <c r="O150" s="1064"/>
      <c r="P150" s="727"/>
      <c r="Q150" s="652"/>
      <c r="R150" s="727"/>
      <c r="S150" s="727"/>
    </row>
    <row r="151" s="10" customFormat="1" ht="18" customHeight="1" spans="1:19">
      <c r="A151" s="775"/>
      <c r="B151" s="721"/>
      <c r="C151" s="250" t="s">
        <v>509</v>
      </c>
      <c r="D151" s="545"/>
      <c r="E151" s="787" t="s">
        <v>3427</v>
      </c>
      <c r="F151" s="788"/>
      <c r="G151" s="1002"/>
      <c r="H151" s="567"/>
      <c r="I151" s="851"/>
      <c r="J151" s="788"/>
      <c r="K151" s="597">
        <v>7.1789</v>
      </c>
      <c r="L151" s="856"/>
      <c r="M151" s="596"/>
      <c r="N151" s="605"/>
      <c r="O151" s="994" t="s">
        <v>3428</v>
      </c>
      <c r="P151" s="727"/>
      <c r="Q151" s="652"/>
      <c r="R151" s="727"/>
      <c r="S151" s="727"/>
    </row>
    <row r="152" s="10" customFormat="1" ht="18" customHeight="1" spans="1:19">
      <c r="A152" s="775"/>
      <c r="B152" s="721"/>
      <c r="C152" s="250"/>
      <c r="D152" s="545"/>
      <c r="E152" s="788" t="s">
        <v>768</v>
      </c>
      <c r="F152" s="788"/>
      <c r="G152" s="1002">
        <v>35000</v>
      </c>
      <c r="H152" s="567"/>
      <c r="I152" s="851"/>
      <c r="J152" s="788"/>
      <c r="K152" s="597">
        <v>7.1789</v>
      </c>
      <c r="L152" s="856"/>
      <c r="M152" s="596"/>
      <c r="N152" s="605"/>
      <c r="O152" s="994" t="s">
        <v>3429</v>
      </c>
      <c r="P152" s="727"/>
      <c r="Q152" s="652"/>
      <c r="R152" s="727"/>
      <c r="S152" s="727"/>
    </row>
    <row r="153" s="10" customFormat="1" ht="18" customHeight="1" spans="1:19">
      <c r="A153" s="775"/>
      <c r="B153" s="721"/>
      <c r="C153" s="250"/>
      <c r="D153" s="545"/>
      <c r="E153" s="788" t="s">
        <v>1232</v>
      </c>
      <c r="F153" s="788"/>
      <c r="G153" s="1002"/>
      <c r="H153" s="567"/>
      <c r="I153" s="851"/>
      <c r="J153" s="788"/>
      <c r="K153" s="597">
        <v>7.1789</v>
      </c>
      <c r="L153" s="856"/>
      <c r="M153" s="596"/>
      <c r="N153" s="605"/>
      <c r="O153" s="994" t="s">
        <v>3430</v>
      </c>
      <c r="P153" s="727"/>
      <c r="Q153" s="652"/>
      <c r="R153" s="727"/>
      <c r="S153" s="727"/>
    </row>
    <row r="154" s="10" customFormat="1" ht="18" customHeight="1" spans="1:19">
      <c r="A154" s="775"/>
      <c r="B154" s="721"/>
      <c r="C154" s="250"/>
      <c r="D154" s="545"/>
      <c r="E154" s="787" t="s">
        <v>526</v>
      </c>
      <c r="F154" s="788"/>
      <c r="G154" s="722"/>
      <c r="H154" s="567"/>
      <c r="I154" s="851"/>
      <c r="J154" s="788"/>
      <c r="K154" s="597">
        <v>7.1789</v>
      </c>
      <c r="L154" s="598"/>
      <c r="M154" s="598"/>
      <c r="N154" s="618"/>
      <c r="O154" s="994" t="s">
        <v>379</v>
      </c>
      <c r="P154" s="727"/>
      <c r="Q154" s="652"/>
      <c r="R154" s="727"/>
      <c r="S154" s="727"/>
    </row>
    <row r="155" s="10" customFormat="1" ht="18" customHeight="1" spans="1:19">
      <c r="A155" s="775"/>
      <c r="B155" s="721"/>
      <c r="C155" s="250"/>
      <c r="D155" s="545"/>
      <c r="E155" s="787" t="s">
        <v>2099</v>
      </c>
      <c r="G155" s="722"/>
      <c r="H155" s="567"/>
      <c r="I155" s="851"/>
      <c r="J155" s="788"/>
      <c r="K155" s="597">
        <v>7.1789</v>
      </c>
      <c r="L155" s="856"/>
      <c r="M155" s="596"/>
      <c r="N155" s="605"/>
      <c r="O155" s="994" t="s">
        <v>3431</v>
      </c>
      <c r="P155" s="727"/>
      <c r="Q155" s="652"/>
      <c r="R155" s="727"/>
      <c r="S155" s="727"/>
    </row>
    <row r="156" s="10" customFormat="1" ht="18" customHeight="1" spans="1:19">
      <c r="A156" s="718"/>
      <c r="B156" s="564"/>
      <c r="C156" s="564" t="s">
        <v>1393</v>
      </c>
      <c r="D156" s="545"/>
      <c r="E156" s="572" t="s">
        <v>152</v>
      </c>
      <c r="F156" s="250" t="s">
        <v>2018</v>
      </c>
      <c r="G156" s="725"/>
      <c r="H156" s="567"/>
      <c r="I156" s="567"/>
      <c r="J156" s="567"/>
      <c r="K156" s="597">
        <v>7.1789</v>
      </c>
      <c r="L156" s="625" t="s">
        <v>1218</v>
      </c>
      <c r="M156" s="598"/>
      <c r="N156" s="863"/>
      <c r="O156" s="937" t="s">
        <v>3432</v>
      </c>
      <c r="P156" s="727"/>
      <c r="Q156" s="652"/>
      <c r="R156" s="727"/>
      <c r="S156" s="727"/>
    </row>
    <row r="157" s="10" customFormat="1" ht="18" customHeight="1" spans="1:19">
      <c r="A157" s="718"/>
      <c r="B157" s="721"/>
      <c r="C157" s="721"/>
      <c r="D157" s="545"/>
      <c r="E157" s="788" t="s">
        <v>841</v>
      </c>
      <c r="F157" s="788" t="s">
        <v>2037</v>
      </c>
      <c r="G157" s="722">
        <v>23225</v>
      </c>
      <c r="H157" s="567">
        <f>G157*K157</f>
        <v>166729.9525</v>
      </c>
      <c r="I157" s="851"/>
      <c r="J157" s="788"/>
      <c r="K157" s="597">
        <v>7.1789</v>
      </c>
      <c r="L157" s="856"/>
      <c r="M157" s="596"/>
      <c r="N157" s="605"/>
      <c r="O157" s="994" t="s">
        <v>3433</v>
      </c>
      <c r="P157" s="727"/>
      <c r="Q157" s="652"/>
      <c r="R157" s="727"/>
      <c r="S157" s="727"/>
    </row>
    <row r="158" s="10" customFormat="1" ht="20.65" customHeight="1" spans="1:19">
      <c r="A158" s="718"/>
      <c r="B158" s="721"/>
      <c r="C158" s="721"/>
      <c r="D158" s="545"/>
      <c r="E158" s="787" t="s">
        <v>3434</v>
      </c>
      <c r="F158" s="788"/>
      <c r="G158" s="722"/>
      <c r="H158" s="567"/>
      <c r="I158" s="851"/>
      <c r="J158" s="788"/>
      <c r="K158" s="597">
        <v>7.1789</v>
      </c>
      <c r="L158" s="856"/>
      <c r="M158" s="596"/>
      <c r="N158" s="605"/>
      <c r="O158" s="994" t="s">
        <v>3435</v>
      </c>
      <c r="P158" s="727"/>
      <c r="Q158" s="652"/>
      <c r="R158" s="727"/>
      <c r="S158" s="727"/>
    </row>
    <row r="159" s="10" customFormat="1" ht="16.5" spans="1:19">
      <c r="A159" s="828"/>
      <c r="B159" s="721"/>
      <c r="C159" s="721"/>
      <c r="D159" s="545"/>
      <c r="E159" s="716" t="s">
        <v>1224</v>
      </c>
      <c r="F159" s="716" t="s">
        <v>3436</v>
      </c>
      <c r="G159" s="652"/>
      <c r="H159" s="804"/>
      <c r="I159" s="853"/>
      <c r="J159" s="804"/>
      <c r="K159" s="928">
        <v>7.1789</v>
      </c>
      <c r="L159" s="854"/>
      <c r="M159" s="854"/>
      <c r="N159" s="863"/>
      <c r="O159" s="1012" t="s">
        <v>3437</v>
      </c>
      <c r="P159" s="727"/>
      <c r="Q159" s="652"/>
      <c r="R159" s="727"/>
      <c r="S159" s="727"/>
    </row>
    <row r="160" s="10" customFormat="1" ht="18" customHeight="1" spans="1:19">
      <c r="A160" s="718"/>
      <c r="B160" s="721"/>
      <c r="C160" s="721"/>
      <c r="D160" s="545"/>
      <c r="E160" s="787" t="s">
        <v>355</v>
      </c>
      <c r="F160" s="788" t="s">
        <v>3277</v>
      </c>
      <c r="G160" s="722">
        <v>39908</v>
      </c>
      <c r="H160" s="567">
        <f>G160*K160</f>
        <v>286495.5412</v>
      </c>
      <c r="I160" s="851"/>
      <c r="J160" s="788"/>
      <c r="K160" s="597">
        <v>7.1789</v>
      </c>
      <c r="L160" s="856"/>
      <c r="M160" s="596"/>
      <c r="N160" s="605"/>
      <c r="O160" s="937" t="s">
        <v>3278</v>
      </c>
      <c r="P160" s="727"/>
      <c r="Q160" s="652"/>
      <c r="R160" s="727"/>
      <c r="S160" s="727"/>
    </row>
    <row r="161" s="10" customFormat="1" ht="18" customHeight="1" spans="1:19">
      <c r="A161" s="718"/>
      <c r="B161" s="721"/>
      <c r="C161" s="721"/>
      <c r="D161" s="545"/>
      <c r="E161" s="787" t="s">
        <v>663</v>
      </c>
      <c r="F161" s="788"/>
      <c r="G161" s="722">
        <v>80000</v>
      </c>
      <c r="H161" s="567"/>
      <c r="I161" s="851"/>
      <c r="J161" s="788"/>
      <c r="K161" s="597">
        <v>7.1789</v>
      </c>
      <c r="L161" s="856"/>
      <c r="M161" s="596"/>
      <c r="N161" s="605"/>
      <c r="O161" s="937" t="s">
        <v>2040</v>
      </c>
      <c r="P161" s="727"/>
      <c r="Q161" s="652"/>
      <c r="R161" s="727"/>
      <c r="S161" s="727"/>
    </row>
    <row r="162" s="10" customFormat="1" ht="16.5" spans="1:19">
      <c r="A162" s="828"/>
      <c r="B162" s="721"/>
      <c r="C162" s="721"/>
      <c r="D162" s="545"/>
      <c r="E162" s="716" t="s">
        <v>1563</v>
      </c>
      <c r="F162" s="716" t="s">
        <v>3438</v>
      </c>
      <c r="G162" s="722">
        <v>34958</v>
      </c>
      <c r="H162" s="567">
        <f>G162*K162</f>
        <v>250959.9862</v>
      </c>
      <c r="I162" s="1007"/>
      <c r="J162" s="839"/>
      <c r="K162" s="597">
        <v>7.1789</v>
      </c>
      <c r="L162" s="598" t="s">
        <v>1218</v>
      </c>
      <c r="M162" s="598"/>
      <c r="N162" s="618"/>
      <c r="O162" s="1013" t="s">
        <v>3439</v>
      </c>
      <c r="P162" s="727"/>
      <c r="Q162" s="652"/>
      <c r="R162" s="727"/>
      <c r="S162" s="727"/>
    </row>
    <row r="163" s="10" customFormat="1" ht="16.5" spans="1:19">
      <c r="A163" s="828"/>
      <c r="B163" s="721"/>
      <c r="C163" s="721"/>
      <c r="D163" s="545"/>
      <c r="E163" s="655" t="s">
        <v>261</v>
      </c>
      <c r="F163" s="716" t="s">
        <v>2604</v>
      </c>
      <c r="G163" s="722">
        <v>29689</v>
      </c>
      <c r="H163" s="567">
        <f>G163*K163</f>
        <v>213134.3621</v>
      </c>
      <c r="I163" s="1007"/>
      <c r="J163" s="839"/>
      <c r="K163" s="597">
        <v>7.1789</v>
      </c>
      <c r="L163" s="598" t="s">
        <v>1218</v>
      </c>
      <c r="M163" s="598"/>
      <c r="N163" s="618"/>
      <c r="O163" s="1012" t="s">
        <v>3440</v>
      </c>
      <c r="P163" s="727"/>
      <c r="Q163" s="652"/>
      <c r="R163" s="727"/>
      <c r="S163" s="727"/>
    </row>
    <row r="164" s="10" customFormat="1" ht="16.5" spans="1:19">
      <c r="A164" s="828"/>
      <c r="B164" s="721"/>
      <c r="C164" s="721"/>
      <c r="D164" s="545"/>
      <c r="E164" s="716" t="s">
        <v>451</v>
      </c>
      <c r="F164" s="716"/>
      <c r="G164" s="722"/>
      <c r="H164" s="804"/>
      <c r="I164" s="853"/>
      <c r="J164" s="804"/>
      <c r="K164" s="928"/>
      <c r="L164" s="854"/>
      <c r="M164" s="854"/>
      <c r="N164" s="863"/>
      <c r="O164" s="1013" t="s">
        <v>3441</v>
      </c>
      <c r="P164" s="727"/>
      <c r="Q164" s="652"/>
      <c r="R164" s="727"/>
      <c r="S164" s="727"/>
    </row>
    <row r="165" s="10" customFormat="1" ht="16.5" spans="1:19">
      <c r="A165" s="828"/>
      <c r="B165" s="673"/>
      <c r="C165" s="652" t="s">
        <v>1874</v>
      </c>
      <c r="D165" s="652"/>
      <c r="E165" s="652"/>
      <c r="F165" s="652"/>
      <c r="G165" s="652"/>
      <c r="H165" s="804">
        <f>SUM(H148:H164)</f>
        <v>1204475.842</v>
      </c>
      <c r="I165" s="804"/>
      <c r="J165" s="804"/>
      <c r="K165" s="928"/>
      <c r="L165" s="854"/>
      <c r="M165" s="854"/>
      <c r="N165" s="863"/>
      <c r="O165" s="1013" t="s">
        <v>3442</v>
      </c>
      <c r="P165" s="727"/>
      <c r="Q165" s="652"/>
      <c r="R165" s="727"/>
      <c r="S165" s="727"/>
    </row>
    <row r="166" s="536" customFormat="1" ht="9.6" customHeight="1" spans="1:19">
      <c r="A166" s="999"/>
      <c r="B166" s="999"/>
      <c r="C166" s="780"/>
      <c r="D166" s="652"/>
      <c r="E166" s="652"/>
      <c r="F166" s="727"/>
      <c r="G166" s="727"/>
      <c r="H166" s="804"/>
      <c r="I166" s="804"/>
      <c r="J166" s="804"/>
      <c r="K166" s="727"/>
      <c r="L166" s="727"/>
      <c r="M166" s="854"/>
      <c r="N166" s="863"/>
      <c r="O166" s="997"/>
      <c r="P166" s="727"/>
      <c r="Q166" s="652"/>
      <c r="R166" s="727"/>
      <c r="S166" s="727"/>
    </row>
    <row r="167" s="10" customFormat="1" ht="16.5" spans="1:19">
      <c r="A167" s="738" t="s">
        <v>2044</v>
      </c>
      <c r="B167" s="780"/>
      <c r="C167" s="780"/>
      <c r="D167" s="652">
        <f>D17+D77+D128</f>
        <v>2402</v>
      </c>
      <c r="E167" s="652"/>
      <c r="F167" s="727"/>
      <c r="G167" s="727" t="s">
        <v>1235</v>
      </c>
      <c r="H167" s="804">
        <f>H17+H77+H128</f>
        <v>8384163.6935</v>
      </c>
      <c r="I167" s="804">
        <f>I17+I77+I128</f>
        <v>8384163.6892</v>
      </c>
      <c r="J167" s="804">
        <f>J17+J77+J128</f>
        <v>9072363.2007</v>
      </c>
      <c r="K167" s="727"/>
      <c r="L167" s="727"/>
      <c r="M167" s="854"/>
      <c r="N167" s="854"/>
      <c r="O167" s="1015"/>
      <c r="P167" s="727"/>
      <c r="Q167" s="652"/>
      <c r="R167" s="727"/>
      <c r="S167" s="727"/>
    </row>
    <row r="168" s="10" customFormat="1" ht="16.5" spans="1:19">
      <c r="A168" s="780"/>
      <c r="B168" s="780"/>
      <c r="C168" s="780"/>
      <c r="D168" s="652"/>
      <c r="E168" s="652"/>
      <c r="F168" s="727"/>
      <c r="G168" s="727" t="s">
        <v>1236</v>
      </c>
      <c r="H168" s="796">
        <f>H167/(D167*10000)</f>
        <v>0.349049279496253</v>
      </c>
      <c r="I168" s="796">
        <f>I167/(D167*10000)</f>
        <v>0.349049279317236</v>
      </c>
      <c r="J168" s="796">
        <f>J167/(D167*10000)</f>
        <v>0.377700383043297</v>
      </c>
      <c r="K168" s="727"/>
      <c r="L168" s="727"/>
      <c r="M168" s="854"/>
      <c r="N168" s="854"/>
      <c r="O168" s="1015"/>
      <c r="P168" s="727"/>
      <c r="Q168" s="727"/>
      <c r="R168" s="727"/>
      <c r="S168" s="727"/>
    </row>
    <row r="169" s="10" customFormat="1" ht="16.5" spans="1:19">
      <c r="A169" s="536"/>
      <c r="B169" s="536"/>
      <c r="C169" s="836"/>
      <c r="D169" s="837"/>
      <c r="E169" s="837"/>
      <c r="F169" s="836"/>
      <c r="G169" s="836"/>
      <c r="H169" s="850"/>
      <c r="I169" s="850"/>
      <c r="J169" s="850"/>
      <c r="K169" s="836"/>
      <c r="L169" s="836"/>
      <c r="M169" s="870"/>
      <c r="N169" s="870"/>
      <c r="O169" s="1016"/>
      <c r="P169" s="836"/>
      <c r="Q169" s="837"/>
      <c r="R169" s="836"/>
      <c r="S169" s="836"/>
    </row>
    <row r="170" s="10" customFormat="1" ht="16.5" spans="1:19">
      <c r="A170" s="536"/>
      <c r="B170" s="536"/>
      <c r="C170" s="836"/>
      <c r="D170" s="837"/>
      <c r="E170" s="837"/>
      <c r="F170" s="836"/>
      <c r="G170" s="836"/>
      <c r="H170" s="880"/>
      <c r="I170" s="880"/>
      <c r="J170" s="880"/>
      <c r="K170" s="836"/>
      <c r="L170" s="836"/>
      <c r="M170" s="870"/>
      <c r="N170" s="870"/>
      <c r="O170" s="1016"/>
      <c r="P170" s="836"/>
      <c r="Q170" s="837"/>
      <c r="R170" s="836"/>
      <c r="S170" s="836"/>
    </row>
    <row r="171" s="10" customFormat="1" ht="16.5" spans="1:19">
      <c r="A171" s="875" t="s">
        <v>1814</v>
      </c>
      <c r="B171" s="875"/>
      <c r="C171" s="875"/>
      <c r="D171" s="875"/>
      <c r="E171" s="875"/>
      <c r="F171" s="881"/>
      <c r="G171" s="886" t="s">
        <v>3443</v>
      </c>
      <c r="H171" s="850"/>
      <c r="I171" s="850"/>
      <c r="J171" s="892">
        <f>H38+H99+H147</f>
        <v>16061432.1848</v>
      </c>
      <c r="K171" s="836"/>
      <c r="L171" s="836"/>
      <c r="M171" s="870"/>
      <c r="N171" s="870"/>
      <c r="O171" s="1016"/>
      <c r="P171" s="894"/>
      <c r="Q171" s="837"/>
      <c r="R171" s="836"/>
      <c r="S171" s="836"/>
    </row>
    <row r="172" s="10" customFormat="1" ht="16.5" spans="1:19">
      <c r="A172" s="875" t="s">
        <v>2045</v>
      </c>
      <c r="B172" s="875"/>
      <c r="C172" s="875"/>
      <c r="D172" s="875"/>
      <c r="E172" s="875"/>
      <c r="F172" s="875"/>
      <c r="G172" s="886"/>
      <c r="J172" s="328"/>
      <c r="K172" s="836"/>
      <c r="L172" s="836"/>
      <c r="M172" s="870"/>
      <c r="N172" s="870"/>
      <c r="O172" s="1016"/>
      <c r="P172" s="894"/>
      <c r="Q172" s="837"/>
      <c r="R172" s="836"/>
      <c r="S172" s="836"/>
    </row>
    <row r="173" s="10" customFormat="1" ht="16.5" spans="1:19">
      <c r="A173" s="875" t="s">
        <v>2046</v>
      </c>
      <c r="B173" s="875"/>
      <c r="C173" s="875"/>
      <c r="D173" s="875"/>
      <c r="E173" s="875"/>
      <c r="F173" s="875"/>
      <c r="G173" s="886" t="s">
        <v>3444</v>
      </c>
      <c r="H173" s="850"/>
      <c r="I173" s="850"/>
      <c r="J173" s="328">
        <v>70350000</v>
      </c>
      <c r="K173" s="892"/>
      <c r="L173" s="836"/>
      <c r="M173" s="870"/>
      <c r="N173" s="870"/>
      <c r="O173" s="1016"/>
      <c r="P173" s="894"/>
      <c r="Q173" s="837"/>
      <c r="R173" s="836"/>
      <c r="S173" s="836"/>
    </row>
    <row r="174" s="10" customFormat="1" ht="16.5" spans="1:19">
      <c r="A174" s="875" t="s">
        <v>2047</v>
      </c>
      <c r="B174" s="875"/>
      <c r="C174" s="875"/>
      <c r="D174" s="875"/>
      <c r="E174" s="875"/>
      <c r="F174" s="875"/>
      <c r="G174" s="885"/>
      <c r="H174" s="850"/>
      <c r="I174" s="850"/>
      <c r="J174" s="892"/>
      <c r="K174" s="836"/>
      <c r="L174" s="836"/>
      <c r="M174" s="870"/>
      <c r="N174" s="870"/>
      <c r="O174" s="1016"/>
      <c r="P174" s="894"/>
      <c r="Q174" s="837"/>
      <c r="R174" s="836"/>
      <c r="S174" s="836"/>
    </row>
    <row r="175" s="10" customFormat="1" ht="16.5" spans="1:19">
      <c r="A175" s="875"/>
      <c r="B175" s="875"/>
      <c r="C175" s="876"/>
      <c r="D175" s="876"/>
      <c r="E175" s="876"/>
      <c r="F175" s="876"/>
      <c r="G175" s="886" t="s">
        <v>2616</v>
      </c>
      <c r="H175" s="850"/>
      <c r="I175" s="850"/>
      <c r="J175" s="328">
        <f>120000000-H167-J171-J172-J173</f>
        <v>25204404.1217</v>
      </c>
      <c r="K175" s="893"/>
      <c r="L175" s="893"/>
      <c r="M175" s="870"/>
      <c r="N175" s="870"/>
      <c r="O175" s="1021"/>
      <c r="P175" s="894"/>
      <c r="Q175" s="837"/>
      <c r="R175" s="893"/>
      <c r="S175" s="893"/>
    </row>
    <row r="176" ht="16.5" spans="1:19">
      <c r="A176" s="875"/>
      <c r="B176" s="875"/>
      <c r="C176" s="876"/>
      <c r="D176" s="876"/>
      <c r="E176" s="876"/>
      <c r="F176" s="876"/>
      <c r="G176" s="886" t="s">
        <v>2617</v>
      </c>
      <c r="H176" s="850"/>
      <c r="I176" s="850"/>
      <c r="J176" s="328">
        <f>145000000-H167-J171-J172-J173</f>
        <v>50204404.1217</v>
      </c>
      <c r="K176" s="877"/>
      <c r="L176" s="877"/>
      <c r="M176" s="896"/>
      <c r="N176" s="896"/>
      <c r="O176" s="887"/>
      <c r="P176" s="876"/>
      <c r="Q176" s="878"/>
      <c r="R176" s="877"/>
      <c r="S176" s="877"/>
    </row>
    <row r="177" ht="16.5" spans="1:19">
      <c r="A177" s="417"/>
      <c r="B177" s="417"/>
      <c r="C177" s="877"/>
      <c r="D177" s="878"/>
      <c r="E177" s="878"/>
      <c r="F177" s="877"/>
      <c r="G177" s="887"/>
      <c r="H177" s="850"/>
      <c r="I177" s="850"/>
      <c r="J177" s="850"/>
      <c r="K177" s="877"/>
      <c r="L177" s="877"/>
      <c r="M177" s="896"/>
      <c r="N177" s="896"/>
      <c r="O177" s="887"/>
      <c r="P177" s="877"/>
      <c r="Q177" s="878"/>
      <c r="R177" s="877"/>
      <c r="S177" s="877"/>
    </row>
    <row r="178" ht="16.5" spans="1:19">
      <c r="A178" s="417"/>
      <c r="B178" s="417"/>
      <c r="C178" s="417"/>
      <c r="D178" s="879"/>
      <c r="E178" s="879"/>
      <c r="F178" s="417"/>
      <c r="G178" s="888"/>
      <c r="H178" s="880"/>
      <c r="I178" s="880"/>
      <c r="J178" s="880"/>
      <c r="K178" s="417"/>
      <c r="L178" s="417"/>
      <c r="M178" s="898"/>
      <c r="N178" s="898"/>
      <c r="O178" s="888"/>
      <c r="P178" s="417"/>
      <c r="Q178" s="900"/>
      <c r="R178" s="417"/>
      <c r="S178" s="417"/>
    </row>
    <row r="179" spans="7:7">
      <c r="G179" s="12"/>
    </row>
    <row r="180" spans="12:12">
      <c r="L180" s="265"/>
    </row>
  </sheetData>
  <sheetProtection formatCells="0" insertHyperlinks="0" autoFilter="0"/>
  <mergeCells count="112">
    <mergeCell ref="A1:R1"/>
    <mergeCell ref="I19:J19"/>
    <mergeCell ref="M19:N19"/>
    <mergeCell ref="C38:G38"/>
    <mergeCell ref="C53:G53"/>
    <mergeCell ref="I79:J79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C99:G99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C114:G114"/>
    <mergeCell ref="M130:N130"/>
    <mergeCell ref="C147:G147"/>
    <mergeCell ref="C165:G165"/>
    <mergeCell ref="A3:A53"/>
    <mergeCell ref="A55:A114"/>
    <mergeCell ref="A116:A165"/>
    <mergeCell ref="B3:B18"/>
    <mergeCell ref="B20:B38"/>
    <mergeCell ref="B39:B53"/>
    <mergeCell ref="B55:B78"/>
    <mergeCell ref="B80:B99"/>
    <mergeCell ref="B100:B114"/>
    <mergeCell ref="B116:B129"/>
    <mergeCell ref="B131:B147"/>
    <mergeCell ref="B148:B165"/>
    <mergeCell ref="C3:C6"/>
    <mergeCell ref="C7:C14"/>
    <mergeCell ref="C15:C16"/>
    <mergeCell ref="C17:C18"/>
    <mergeCell ref="C20:C29"/>
    <mergeCell ref="C36:C37"/>
    <mergeCell ref="C43:C45"/>
    <mergeCell ref="C46:C50"/>
    <mergeCell ref="C51:C52"/>
    <mergeCell ref="C55:C57"/>
    <mergeCell ref="C58:C60"/>
    <mergeCell ref="C61:C74"/>
    <mergeCell ref="C75:C76"/>
    <mergeCell ref="C77:C78"/>
    <mergeCell ref="C80:C89"/>
    <mergeCell ref="C90:C93"/>
    <mergeCell ref="C94:C96"/>
    <mergeCell ref="C101:C103"/>
    <mergeCell ref="C104:C112"/>
    <mergeCell ref="C116:C117"/>
    <mergeCell ref="C118:C119"/>
    <mergeCell ref="C120:C123"/>
    <mergeCell ref="C124:C127"/>
    <mergeCell ref="C128:C129"/>
    <mergeCell ref="C132:C140"/>
    <mergeCell ref="C141:C145"/>
    <mergeCell ref="C148:C150"/>
    <mergeCell ref="C151:C155"/>
    <mergeCell ref="C156:C164"/>
    <mergeCell ref="D3:D6"/>
    <mergeCell ref="D7:D14"/>
    <mergeCell ref="D15:D16"/>
    <mergeCell ref="D17:D18"/>
    <mergeCell ref="D20:D37"/>
    <mergeCell ref="D39:D52"/>
    <mergeCell ref="D55:D57"/>
    <mergeCell ref="D58:D60"/>
    <mergeCell ref="D61:D74"/>
    <mergeCell ref="D75:D76"/>
    <mergeCell ref="D77:D78"/>
    <mergeCell ref="D80:D98"/>
    <mergeCell ref="D100:D113"/>
    <mergeCell ref="D116:D117"/>
    <mergeCell ref="D118:D119"/>
    <mergeCell ref="D120:D123"/>
    <mergeCell ref="D124:D127"/>
    <mergeCell ref="D128:D129"/>
    <mergeCell ref="D131:D145"/>
    <mergeCell ref="D148:D164"/>
    <mergeCell ref="D167:D168"/>
    <mergeCell ref="E55:E57"/>
    <mergeCell ref="E80:E89"/>
    <mergeCell ref="O144:O145"/>
    <mergeCell ref="A167:C168"/>
  </mergeCells>
  <pageMargins left="0.75" right="0.75" top="1" bottom="1" header="0.5" footer="0.5"/>
  <headerFooter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0"/>
  <dimension ref="A1:S204"/>
  <sheetViews>
    <sheetView workbookViewId="0">
      <pane xSplit="1" ySplit="1" topLeftCell="J131" activePane="bottomRight" state="frozen"/>
      <selection/>
      <selection pane="topRight"/>
      <selection pane="bottomLeft"/>
      <selection pane="bottomRight" activeCell="J135" sqref="J135"/>
    </sheetView>
  </sheetViews>
  <sheetFormatPr defaultColWidth="9" defaultRowHeight="13.5"/>
  <cols>
    <col min="1" max="1" width="6.425" customWidth="1"/>
    <col min="2" max="2" width="10.4416666666667" customWidth="1"/>
    <col min="3" max="3" width="8.375" customWidth="1"/>
    <col min="4" max="4" width="8.58333333333333" customWidth="1"/>
    <col min="5" max="5" width="20.375" customWidth="1"/>
    <col min="6" max="6" width="18.125" customWidth="1"/>
    <col min="7" max="7" width="17.375" customWidth="1"/>
    <col min="8" max="9" width="15.375" customWidth="1"/>
    <col min="10" max="10" width="17.2916666666667" customWidth="1"/>
    <col min="11" max="11" width="9.25833333333333"/>
    <col min="12" max="12" width="14.2583333333333" customWidth="1"/>
    <col min="13" max="13" width="13.625" customWidth="1"/>
    <col min="14" max="14" width="11.2583333333333" customWidth="1"/>
    <col min="15" max="15" width="85.4333333333333" style="12" customWidth="1"/>
    <col min="16" max="16" width="17.3416666666667" customWidth="1"/>
    <col min="17" max="17" width="9" style="510"/>
    <col min="18" max="18" width="13.125"/>
  </cols>
  <sheetData>
    <row r="1" s="10" customFormat="1" ht="33.2" customHeight="1" spans="1:19">
      <c r="A1" s="28" t="s">
        <v>3445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420"/>
      <c r="N1" s="420"/>
      <c r="O1" s="931"/>
      <c r="P1" s="28"/>
      <c r="Q1" s="28"/>
      <c r="R1" s="28"/>
      <c r="S1" s="944"/>
    </row>
    <row r="2" s="10" customFormat="1" ht="30" spans="1:19">
      <c r="A2" s="537" t="s">
        <v>1092</v>
      </c>
      <c r="B2" s="537" t="s">
        <v>1820</v>
      </c>
      <c r="C2" s="538" t="s">
        <v>1093</v>
      </c>
      <c r="D2" s="539" t="s">
        <v>1821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1097</v>
      </c>
      <c r="N2" s="619" t="s">
        <v>1214</v>
      </c>
      <c r="O2" s="932" t="s">
        <v>1215</v>
      </c>
      <c r="P2" s="621" t="s">
        <v>7</v>
      </c>
      <c r="Q2" s="652" t="s">
        <v>8</v>
      </c>
      <c r="R2" s="653" t="s">
        <v>9</v>
      </c>
      <c r="S2" s="739" t="s">
        <v>1291</v>
      </c>
    </row>
    <row r="3" s="10" customFormat="1" ht="16.5" spans="1:19">
      <c r="A3" s="540" t="s">
        <v>1823</v>
      </c>
      <c r="B3" s="541" t="s">
        <v>1824</v>
      </c>
      <c r="C3" s="715" t="s">
        <v>1825</v>
      </c>
      <c r="D3" s="716">
        <v>336</v>
      </c>
      <c r="E3" s="572" t="s">
        <v>1869</v>
      </c>
      <c r="F3" s="250" t="s">
        <v>3312</v>
      </c>
      <c r="G3" s="562">
        <v>117546</v>
      </c>
      <c r="H3" s="567">
        <f>G3*K3</f>
        <v>843721.6788</v>
      </c>
      <c r="I3" s="603">
        <v>843722</v>
      </c>
      <c r="J3" s="567">
        <v>843722</v>
      </c>
      <c r="K3" s="597">
        <v>7.1778</v>
      </c>
      <c r="L3" s="598">
        <v>45244</v>
      </c>
      <c r="M3" s="598">
        <v>45244</v>
      </c>
      <c r="N3" s="598">
        <v>45247</v>
      </c>
      <c r="O3" s="933" t="s">
        <v>3446</v>
      </c>
      <c r="P3" s="642" t="s">
        <v>2300</v>
      </c>
      <c r="Q3" s="655" t="s">
        <v>1859</v>
      </c>
      <c r="R3" s="667"/>
      <c r="S3" s="577"/>
    </row>
    <row r="4" s="10" customFormat="1" ht="16.5" spans="1:19">
      <c r="A4" s="540"/>
      <c r="B4" s="541"/>
      <c r="C4" s="715"/>
      <c r="D4" s="716"/>
      <c r="E4" s="572" t="s">
        <v>1869</v>
      </c>
      <c r="F4" s="250" t="s">
        <v>3314</v>
      </c>
      <c r="G4" s="562">
        <v>2729.5</v>
      </c>
      <c r="H4" s="567">
        <f t="shared" ref="H4:H11" si="0">G4*K4</f>
        <v>19591.8051</v>
      </c>
      <c r="I4" s="603">
        <v>19592</v>
      </c>
      <c r="J4" s="567">
        <v>19592</v>
      </c>
      <c r="K4" s="597">
        <v>7.1778</v>
      </c>
      <c r="L4" s="598">
        <v>45244</v>
      </c>
      <c r="M4" s="598">
        <v>45244</v>
      </c>
      <c r="N4" s="645">
        <v>45256</v>
      </c>
      <c r="O4" s="934" t="s">
        <v>3447</v>
      </c>
      <c r="P4" s="642" t="s">
        <v>3448</v>
      </c>
      <c r="Q4" s="642" t="s">
        <v>3449</v>
      </c>
      <c r="R4" s="655"/>
      <c r="S4" s="577"/>
    </row>
    <row r="5" s="10" customFormat="1" ht="16.5" spans="1:19">
      <c r="A5" s="540"/>
      <c r="B5" s="541"/>
      <c r="C5" s="715"/>
      <c r="D5" s="716"/>
      <c r="E5" s="572" t="s">
        <v>1869</v>
      </c>
      <c r="F5" s="250" t="s">
        <v>3318</v>
      </c>
      <c r="G5" s="562">
        <v>3182</v>
      </c>
      <c r="H5" s="567">
        <f t="shared" si="0"/>
        <v>22839.7596</v>
      </c>
      <c r="I5" s="603">
        <v>22840</v>
      </c>
      <c r="J5" s="567">
        <v>22840</v>
      </c>
      <c r="K5" s="597">
        <v>7.1778</v>
      </c>
      <c r="L5" s="598" t="s">
        <v>1218</v>
      </c>
      <c r="M5" s="645">
        <v>45233</v>
      </c>
      <c r="N5" s="645">
        <v>45235</v>
      </c>
      <c r="O5" s="934" t="s">
        <v>3450</v>
      </c>
      <c r="P5" s="642" t="s">
        <v>3451</v>
      </c>
      <c r="Q5" s="655" t="s">
        <v>3452</v>
      </c>
      <c r="R5" s="655"/>
      <c r="S5" s="577"/>
    </row>
    <row r="6" s="10" customFormat="1" ht="16.5" spans="1:19">
      <c r="A6" s="540"/>
      <c r="B6" s="541"/>
      <c r="C6" s="715"/>
      <c r="D6" s="716"/>
      <c r="E6" s="250" t="s">
        <v>936</v>
      </c>
      <c r="F6" s="568" t="s">
        <v>3150</v>
      </c>
      <c r="G6" s="591">
        <v>188661</v>
      </c>
      <c r="H6" s="567">
        <v>1198382.32</v>
      </c>
      <c r="I6" s="603">
        <v>1198382.32</v>
      </c>
      <c r="J6" s="567">
        <v>1198382.32</v>
      </c>
      <c r="K6" s="597">
        <v>7.1778</v>
      </c>
      <c r="L6" s="598" t="s">
        <v>1218</v>
      </c>
      <c r="M6" s="645">
        <v>45238</v>
      </c>
      <c r="N6" s="645">
        <v>45243</v>
      </c>
      <c r="O6" s="935" t="s">
        <v>3453</v>
      </c>
      <c r="P6" s="642"/>
      <c r="Q6" s="655" t="s">
        <v>3322</v>
      </c>
      <c r="R6" s="655"/>
      <c r="S6" s="577"/>
    </row>
    <row r="7" s="10" customFormat="1" ht="16.5" spans="1:19">
      <c r="A7" s="540"/>
      <c r="B7" s="541"/>
      <c r="C7" s="715"/>
      <c r="D7" s="716"/>
      <c r="E7" s="572" t="s">
        <v>936</v>
      </c>
      <c r="F7" s="568" t="s">
        <v>3152</v>
      </c>
      <c r="G7" s="591">
        <v>84097.9</v>
      </c>
      <c r="H7" s="567">
        <v>534192.92</v>
      </c>
      <c r="I7" s="567">
        <v>534192.92</v>
      </c>
      <c r="J7" s="567">
        <v>534193</v>
      </c>
      <c r="K7" s="597">
        <v>7.1778</v>
      </c>
      <c r="L7" s="598">
        <v>45255</v>
      </c>
      <c r="M7" s="598">
        <v>45258</v>
      </c>
      <c r="N7" s="645">
        <v>45260</v>
      </c>
      <c r="O7" s="936" t="s">
        <v>2351</v>
      </c>
      <c r="P7" s="642"/>
      <c r="Q7" s="655" t="s">
        <v>2962</v>
      </c>
      <c r="R7" s="667"/>
      <c r="S7" s="577"/>
    </row>
    <row r="8" s="10" customFormat="1" ht="16.5" spans="1:19">
      <c r="A8" s="540"/>
      <c r="B8" s="541"/>
      <c r="C8" s="715"/>
      <c r="D8" s="716"/>
      <c r="E8" s="572" t="s">
        <v>161</v>
      </c>
      <c r="F8" s="572" t="s">
        <v>3454</v>
      </c>
      <c r="G8" s="591"/>
      <c r="H8" s="567"/>
      <c r="I8" s="603"/>
      <c r="J8" s="567">
        <v>10558.54</v>
      </c>
      <c r="K8" s="597">
        <v>7.1778</v>
      </c>
      <c r="L8" s="708"/>
      <c r="M8" s="625"/>
      <c r="N8" s="625"/>
      <c r="O8" s="937" t="s">
        <v>3286</v>
      </c>
      <c r="P8" s="642"/>
      <c r="Q8" s="655"/>
      <c r="R8" s="667"/>
      <c r="S8" s="577"/>
    </row>
    <row r="9" s="10" customFormat="1" ht="16.5" spans="1:19">
      <c r="A9" s="540"/>
      <c r="B9" s="541"/>
      <c r="C9" s="715"/>
      <c r="D9" s="716"/>
      <c r="E9" s="572" t="s">
        <v>157</v>
      </c>
      <c r="F9" s="572" t="s">
        <v>3455</v>
      </c>
      <c r="G9" s="591">
        <v>212</v>
      </c>
      <c r="H9" s="567">
        <f t="shared" si="0"/>
        <v>1521.6936</v>
      </c>
      <c r="I9" s="603">
        <v>1522</v>
      </c>
      <c r="J9" s="567">
        <v>1522</v>
      </c>
      <c r="K9" s="597">
        <v>7.1778</v>
      </c>
      <c r="L9" s="708"/>
      <c r="M9" s="625"/>
      <c r="N9" s="625"/>
      <c r="O9" s="936" t="s">
        <v>3456</v>
      </c>
      <c r="P9" s="642"/>
      <c r="Q9" s="655"/>
      <c r="R9" s="667"/>
      <c r="S9" s="577"/>
    </row>
    <row r="10" s="10" customFormat="1" ht="16.5" spans="1:19">
      <c r="A10" s="540"/>
      <c r="B10" s="541"/>
      <c r="C10" s="715"/>
      <c r="D10" s="716"/>
      <c r="E10" s="572" t="s">
        <v>145</v>
      </c>
      <c r="F10" s="250" t="s">
        <v>2314</v>
      </c>
      <c r="G10" s="591">
        <v>55817</v>
      </c>
      <c r="H10" s="567">
        <f t="shared" si="0"/>
        <v>400643.2626</v>
      </c>
      <c r="I10" s="603">
        <v>400643</v>
      </c>
      <c r="J10" s="567"/>
      <c r="K10" s="597">
        <v>7.1778</v>
      </c>
      <c r="L10" s="598">
        <v>45254</v>
      </c>
      <c r="M10" s="598">
        <v>45254</v>
      </c>
      <c r="N10" s="645">
        <v>45268</v>
      </c>
      <c r="O10" s="639" t="s">
        <v>3457</v>
      </c>
      <c r="P10" s="642"/>
      <c r="Q10" s="655" t="s">
        <v>2734</v>
      </c>
      <c r="R10" s="655"/>
      <c r="S10" s="577"/>
    </row>
    <row r="11" s="10" customFormat="1" ht="16.5" spans="1:19">
      <c r="A11" s="540"/>
      <c r="B11" s="669"/>
      <c r="C11" s="542" t="s">
        <v>224</v>
      </c>
      <c r="D11" s="543">
        <v>121</v>
      </c>
      <c r="E11" s="250" t="s">
        <v>1904</v>
      </c>
      <c r="F11" s="250" t="s">
        <v>3324</v>
      </c>
      <c r="G11" s="562">
        <v>28606</v>
      </c>
      <c r="H11" s="567">
        <f t="shared" si="0"/>
        <v>205328.1468</v>
      </c>
      <c r="I11" s="567">
        <v>205328</v>
      </c>
      <c r="J11" s="567">
        <v>205328</v>
      </c>
      <c r="K11" s="597">
        <v>7.1778</v>
      </c>
      <c r="L11" s="598">
        <v>45254</v>
      </c>
      <c r="M11" s="598">
        <v>45253</v>
      </c>
      <c r="N11" s="645">
        <v>45256</v>
      </c>
      <c r="O11" s="641" t="s">
        <v>3458</v>
      </c>
      <c r="P11" s="642" t="s">
        <v>3459</v>
      </c>
      <c r="Q11" s="655" t="s">
        <v>1671</v>
      </c>
      <c r="S11" s="657"/>
    </row>
    <row r="12" s="10" customFormat="1" ht="16.5" spans="1:19">
      <c r="A12" s="540"/>
      <c r="B12" s="669"/>
      <c r="C12" s="544"/>
      <c r="D12" s="545"/>
      <c r="E12" s="561" t="s">
        <v>1844</v>
      </c>
      <c r="F12" s="571" t="s">
        <v>2359</v>
      </c>
      <c r="G12" s="591">
        <v>12500</v>
      </c>
      <c r="H12" s="567">
        <v>216362</v>
      </c>
      <c r="I12" s="567">
        <v>216362</v>
      </c>
      <c r="J12" s="567"/>
      <c r="K12" s="597">
        <v>7.1778</v>
      </c>
      <c r="L12" s="598">
        <v>45237</v>
      </c>
      <c r="M12" s="633">
        <v>45252</v>
      </c>
      <c r="N12" s="633">
        <v>45259</v>
      </c>
      <c r="O12" s="641" t="s">
        <v>2360</v>
      </c>
      <c r="P12" s="642" t="s">
        <v>3460</v>
      </c>
      <c r="Q12" s="655" t="s">
        <v>1671</v>
      </c>
      <c r="R12" s="910"/>
      <c r="S12" s="657"/>
    </row>
    <row r="13" s="10" customFormat="1" ht="17.6" customHeight="1" spans="1:19">
      <c r="A13" s="540"/>
      <c r="B13" s="669"/>
      <c r="C13" s="544"/>
      <c r="D13" s="545"/>
      <c r="E13" s="250" t="s">
        <v>1860</v>
      </c>
      <c r="F13" s="244" t="s">
        <v>2350</v>
      </c>
      <c r="G13" s="722">
        <v>65243</v>
      </c>
      <c r="H13" s="567">
        <f>G13*K13</f>
        <v>468301.2054</v>
      </c>
      <c r="I13" s="603">
        <f>H13</f>
        <v>468301.2054</v>
      </c>
      <c r="J13" s="567"/>
      <c r="K13" s="597">
        <v>7.1778</v>
      </c>
      <c r="L13" s="598">
        <v>45257</v>
      </c>
      <c r="M13" s="598">
        <v>45257</v>
      </c>
      <c r="N13" s="633">
        <v>45262</v>
      </c>
      <c r="O13" s="938" t="s">
        <v>2351</v>
      </c>
      <c r="P13" s="623" t="s">
        <v>2352</v>
      </c>
      <c r="Q13" s="572" t="s">
        <v>2131</v>
      </c>
      <c r="R13" s="910"/>
      <c r="S13" s="657"/>
    </row>
    <row r="14" s="10" customFormat="1" ht="16.5" spans="1:19">
      <c r="A14" s="540"/>
      <c r="B14" s="669"/>
      <c r="C14" s="544"/>
      <c r="D14" s="545"/>
      <c r="E14" s="561" t="s">
        <v>775</v>
      </c>
      <c r="F14" s="571" t="s">
        <v>3329</v>
      </c>
      <c r="G14" s="576">
        <v>11334</v>
      </c>
      <c r="H14" s="567">
        <f>G14*K14</f>
        <v>81353.1852</v>
      </c>
      <c r="I14" s="567">
        <v>81353</v>
      </c>
      <c r="J14" s="567">
        <v>81353</v>
      </c>
      <c r="K14" s="597">
        <v>7.1778</v>
      </c>
      <c r="L14" s="598" t="s">
        <v>1218</v>
      </c>
      <c r="M14" s="633">
        <v>45252</v>
      </c>
      <c r="N14" s="633">
        <v>45259</v>
      </c>
      <c r="O14" s="641" t="s">
        <v>2360</v>
      </c>
      <c r="P14" s="623" t="s">
        <v>3331</v>
      </c>
      <c r="Q14" s="572" t="s">
        <v>1656</v>
      </c>
      <c r="R14" s="910"/>
      <c r="S14" s="657"/>
    </row>
    <row r="15" s="10" customFormat="1" ht="20.7" customHeight="1" spans="1:19">
      <c r="A15" s="540"/>
      <c r="B15" s="669"/>
      <c r="C15" s="544"/>
      <c r="D15" s="545"/>
      <c r="E15" s="574" t="s">
        <v>840</v>
      </c>
      <c r="F15" s="571" t="s">
        <v>2353</v>
      </c>
      <c r="G15" s="562">
        <v>22172</v>
      </c>
      <c r="H15" s="567">
        <f>G15*K15</f>
        <v>159146.1816</v>
      </c>
      <c r="I15" s="567">
        <v>159146</v>
      </c>
      <c r="J15" s="567"/>
      <c r="K15" s="597">
        <v>7.1778</v>
      </c>
      <c r="L15" s="598" t="s">
        <v>1218</v>
      </c>
      <c r="M15" s="633">
        <v>45252</v>
      </c>
      <c r="N15" s="633">
        <v>45261</v>
      </c>
      <c r="O15" s="687" t="s">
        <v>2354</v>
      </c>
      <c r="P15" s="642" t="s">
        <v>2355</v>
      </c>
      <c r="Q15" s="655" t="s">
        <v>2068</v>
      </c>
      <c r="R15" s="945"/>
      <c r="S15" s="577"/>
    </row>
    <row r="16" s="10" customFormat="1" ht="20.7" customHeight="1" spans="1:19">
      <c r="A16" s="540"/>
      <c r="B16" s="669"/>
      <c r="C16" s="544"/>
      <c r="D16" s="545"/>
      <c r="E16" s="561" t="s">
        <v>1904</v>
      </c>
      <c r="F16" s="571" t="s">
        <v>2356</v>
      </c>
      <c r="G16" s="562">
        <v>179554</v>
      </c>
      <c r="H16" s="567">
        <f>G16*K16</f>
        <v>1276628.94</v>
      </c>
      <c r="I16" s="567">
        <f>H16</f>
        <v>1276628.94</v>
      </c>
      <c r="J16" s="567"/>
      <c r="K16" s="597">
        <v>7.11</v>
      </c>
      <c r="L16" s="598" t="s">
        <v>1218</v>
      </c>
      <c r="M16" s="633">
        <v>45258</v>
      </c>
      <c r="N16" s="633">
        <v>45262</v>
      </c>
      <c r="O16" s="687" t="s">
        <v>2357</v>
      </c>
      <c r="P16" s="642" t="s">
        <v>2332</v>
      </c>
      <c r="Q16" s="937" t="s">
        <v>2358</v>
      </c>
      <c r="R16" s="945"/>
      <c r="S16" s="577"/>
    </row>
    <row r="17" s="10" customFormat="1" ht="20.7" customHeight="1" spans="1:19">
      <c r="A17" s="540"/>
      <c r="B17" s="669"/>
      <c r="C17" s="544"/>
      <c r="D17" s="545"/>
      <c r="E17" s="250" t="s">
        <v>2950</v>
      </c>
      <c r="F17" s="244" t="s">
        <v>3461</v>
      </c>
      <c r="G17" s="576">
        <v>42359</v>
      </c>
      <c r="H17" s="567">
        <f>G17*K17</f>
        <v>304044.4302</v>
      </c>
      <c r="I17" s="603">
        <f>H17</f>
        <v>304044.4302</v>
      </c>
      <c r="J17" s="567">
        <f>I17</f>
        <v>304044.4302</v>
      </c>
      <c r="K17" s="597">
        <v>7.1778</v>
      </c>
      <c r="L17" s="598" t="s">
        <v>1218</v>
      </c>
      <c r="M17" s="633">
        <v>45253</v>
      </c>
      <c r="N17" s="633">
        <v>45259</v>
      </c>
      <c r="O17" s="641" t="s">
        <v>3462</v>
      </c>
      <c r="P17" s="642" t="s">
        <v>3463</v>
      </c>
      <c r="Q17" s="655" t="s">
        <v>1671</v>
      </c>
      <c r="R17" s="945"/>
      <c r="S17" s="577"/>
    </row>
    <row r="18" s="10" customFormat="1" ht="20.7" customHeight="1" spans="1:19">
      <c r="A18" s="540"/>
      <c r="B18" s="669"/>
      <c r="C18" s="544"/>
      <c r="D18" s="545"/>
      <c r="E18" s="561" t="s">
        <v>867</v>
      </c>
      <c r="F18" s="568" t="s">
        <v>3464</v>
      </c>
      <c r="G18" s="562">
        <v>105</v>
      </c>
      <c r="I18" s="257"/>
      <c r="J18" s="567">
        <v>666</v>
      </c>
      <c r="K18" s="597">
        <v>7.1778</v>
      </c>
      <c r="L18" s="598" t="s">
        <v>1218</v>
      </c>
      <c r="M18" s="645"/>
      <c r="N18" s="644"/>
      <c r="O18" s="641"/>
      <c r="P18" s="623"/>
      <c r="Q18" s="572"/>
      <c r="R18" s="945"/>
      <c r="S18" s="577"/>
    </row>
    <row r="19" s="10" customFormat="1" ht="20.7" customHeight="1" spans="1:19">
      <c r="A19" s="540"/>
      <c r="B19" s="669"/>
      <c r="C19" s="544"/>
      <c r="D19" s="545"/>
      <c r="E19" s="561" t="s">
        <v>1904</v>
      </c>
      <c r="F19" s="568" t="s">
        <v>3288</v>
      </c>
      <c r="G19" s="576">
        <v>95839</v>
      </c>
      <c r="H19" s="596"/>
      <c r="I19" s="602"/>
      <c r="J19" s="602">
        <f>G19*K19</f>
        <v>687913.1742</v>
      </c>
      <c r="K19" s="597">
        <v>7.1778</v>
      </c>
      <c r="L19" s="625">
        <v>45227</v>
      </c>
      <c r="M19" s="625">
        <v>45227</v>
      </c>
      <c r="N19" s="645">
        <v>45231</v>
      </c>
      <c r="O19" s="935" t="s">
        <v>3465</v>
      </c>
      <c r="P19" s="623"/>
      <c r="Q19" s="572"/>
      <c r="R19" s="570"/>
      <c r="S19" s="570"/>
    </row>
    <row r="20" s="10" customFormat="1" ht="20.7" customHeight="1" spans="1:19">
      <c r="A20" s="540"/>
      <c r="B20" s="669"/>
      <c r="C20" s="544"/>
      <c r="D20" s="545"/>
      <c r="E20" s="561" t="s">
        <v>1904</v>
      </c>
      <c r="F20" s="568" t="s">
        <v>3291</v>
      </c>
      <c r="G20" s="562">
        <v>31200</v>
      </c>
      <c r="H20" s="596"/>
      <c r="I20" s="602"/>
      <c r="J20" s="602">
        <f>G20*K20</f>
        <v>223947.36</v>
      </c>
      <c r="K20" s="597">
        <v>7.1778</v>
      </c>
      <c r="L20" s="598" t="s">
        <v>3157</v>
      </c>
      <c r="M20" s="625">
        <v>45227</v>
      </c>
      <c r="N20" s="645">
        <v>45231</v>
      </c>
      <c r="O20" s="935" t="s">
        <v>3465</v>
      </c>
      <c r="P20" s="623"/>
      <c r="Q20" s="572"/>
      <c r="R20" s="945"/>
      <c r="S20" s="577"/>
    </row>
    <row r="21" s="10" customFormat="1" ht="20.7" customHeight="1" spans="1:19">
      <c r="A21" s="540"/>
      <c r="B21" s="669"/>
      <c r="C21" s="544"/>
      <c r="D21" s="545"/>
      <c r="E21" s="561" t="s">
        <v>3299</v>
      </c>
      <c r="F21" s="568" t="s">
        <v>3300</v>
      </c>
      <c r="G21" s="562"/>
      <c r="H21" s="257"/>
      <c r="I21" s="257"/>
      <c r="J21" s="602">
        <v>69542</v>
      </c>
      <c r="K21" s="597">
        <v>7.1778</v>
      </c>
      <c r="L21" s="598" t="s">
        <v>1218</v>
      </c>
      <c r="M21" s="645">
        <v>45223</v>
      </c>
      <c r="N21" s="645">
        <v>45231</v>
      </c>
      <c r="O21" s="641" t="s">
        <v>3466</v>
      </c>
      <c r="P21" s="623"/>
      <c r="Q21" s="572"/>
      <c r="R21" s="945"/>
      <c r="S21" s="577"/>
    </row>
    <row r="22" s="10" customFormat="1" ht="16.5" spans="1:19">
      <c r="A22" s="540"/>
      <c r="B22" s="669"/>
      <c r="C22" s="542" t="s">
        <v>2361</v>
      </c>
      <c r="D22" s="716"/>
      <c r="E22" s="250" t="s">
        <v>197</v>
      </c>
      <c r="F22" s="568" t="s">
        <v>2380</v>
      </c>
      <c r="G22" s="562">
        <v>21350</v>
      </c>
      <c r="H22" s="596">
        <f>G22*K22</f>
        <v>153246.03</v>
      </c>
      <c r="I22" s="596">
        <v>153246</v>
      </c>
      <c r="J22" s="596"/>
      <c r="K22" s="597">
        <v>7.1778</v>
      </c>
      <c r="L22" s="598">
        <v>45258</v>
      </c>
      <c r="M22" s="645">
        <v>45257</v>
      </c>
      <c r="N22" s="633">
        <v>45266</v>
      </c>
      <c r="O22" s="935" t="s">
        <v>2351</v>
      </c>
      <c r="P22" s="642" t="s">
        <v>3467</v>
      </c>
      <c r="Q22" s="655" t="s">
        <v>1656</v>
      </c>
      <c r="R22" s="945"/>
      <c r="S22" s="577"/>
    </row>
    <row r="23" s="10" customFormat="1" ht="20.7" customHeight="1" spans="1:19">
      <c r="A23" s="540"/>
      <c r="B23" s="669"/>
      <c r="C23" s="546"/>
      <c r="D23" s="547"/>
      <c r="E23" s="250" t="s">
        <v>1216</v>
      </c>
      <c r="F23" s="568" t="s">
        <v>3306</v>
      </c>
      <c r="G23" s="576"/>
      <c r="H23" s="596"/>
      <c r="I23" s="596"/>
      <c r="J23" s="596">
        <v>103074.6462</v>
      </c>
      <c r="K23" s="597">
        <v>7.1778</v>
      </c>
      <c r="L23" s="598">
        <v>45223</v>
      </c>
      <c r="M23" s="625">
        <v>45226</v>
      </c>
      <c r="N23" s="645">
        <v>45232</v>
      </c>
      <c r="O23" s="939" t="s">
        <v>3468</v>
      </c>
      <c r="P23" s="642"/>
      <c r="Q23" s="937"/>
      <c r="R23" s="664"/>
      <c r="S23" s="577"/>
    </row>
    <row r="24" s="10" customFormat="1" ht="22.5" customHeight="1" spans="1:19">
      <c r="A24" s="540"/>
      <c r="B24" s="541"/>
      <c r="C24" s="548" t="s">
        <v>1124</v>
      </c>
      <c r="D24" s="578">
        <v>457</v>
      </c>
      <c r="E24" s="578"/>
      <c r="F24" s="579"/>
      <c r="G24" s="580" t="s">
        <v>1235</v>
      </c>
      <c r="H24" s="581">
        <f>SUM(H3:H23)</f>
        <v>5885303.5589</v>
      </c>
      <c r="I24" s="581">
        <f>SUM(I3:I23)</f>
        <v>5885303.8156</v>
      </c>
      <c r="J24" s="581">
        <f>SUM(J3:J23)</f>
        <v>4306678.4706</v>
      </c>
      <c r="K24" s="609"/>
      <c r="L24" s="610"/>
      <c r="M24" s="644"/>
      <c r="N24" s="644"/>
      <c r="O24" s="940"/>
      <c r="P24" s="623"/>
      <c r="Q24" s="655"/>
      <c r="R24" s="656"/>
      <c r="S24" s="657"/>
    </row>
    <row r="25" s="10" customFormat="1" ht="22.5" customHeight="1" spans="1:19">
      <c r="A25" s="540"/>
      <c r="B25" s="541"/>
      <c r="C25" s="548"/>
      <c r="D25" s="582"/>
      <c r="E25" s="582"/>
      <c r="F25" s="583"/>
      <c r="G25" s="584" t="s">
        <v>1236</v>
      </c>
      <c r="H25" s="585">
        <f>H24/4570000</f>
        <v>1.2878125949453</v>
      </c>
      <c r="I25" s="585">
        <f>I24/4570000</f>
        <v>1.28781265111597</v>
      </c>
      <c r="J25" s="585">
        <f>J24/4570000</f>
        <v>0.942380409321663</v>
      </c>
      <c r="K25" s="611"/>
      <c r="L25" s="612"/>
      <c r="M25" s="941"/>
      <c r="N25" s="941"/>
      <c r="O25" s="942"/>
      <c r="P25" s="623"/>
      <c r="Q25" s="655"/>
      <c r="R25" s="656"/>
      <c r="S25" s="657"/>
    </row>
    <row r="26" s="10" customFormat="1" ht="32.85" customHeight="1" spans="1:19">
      <c r="A26" s="540"/>
      <c r="B26" s="553" t="s">
        <v>1820</v>
      </c>
      <c r="C26" s="554" t="s">
        <v>1093</v>
      </c>
      <c r="D26" s="555" t="s">
        <v>1821</v>
      </c>
      <c r="E26" s="555" t="s">
        <v>1822</v>
      </c>
      <c r="F26" s="588" t="s">
        <v>1095</v>
      </c>
      <c r="G26" s="589" t="s">
        <v>362</v>
      </c>
      <c r="H26" s="590" t="s">
        <v>1865</v>
      </c>
      <c r="I26" s="590"/>
      <c r="J26" s="590"/>
      <c r="K26" s="590" t="s">
        <v>1866</v>
      </c>
      <c r="L26" s="615" t="s">
        <v>1098</v>
      </c>
      <c r="M26" s="590" t="s">
        <v>1867</v>
      </c>
      <c r="N26" s="646"/>
      <c r="O26" s="942"/>
      <c r="P26" s="623"/>
      <c r="Q26" s="655"/>
      <c r="R26" s="656"/>
      <c r="S26" s="657"/>
    </row>
    <row r="27" s="10" customFormat="1" ht="22.1" customHeight="1" spans="1:19">
      <c r="A27" s="540"/>
      <c r="B27" s="541" t="s">
        <v>3248</v>
      </c>
      <c r="C27" s="556" t="s">
        <v>1825</v>
      </c>
      <c r="D27" s="557"/>
      <c r="E27" s="572" t="s">
        <v>936</v>
      </c>
      <c r="F27" s="568" t="s">
        <v>2294</v>
      </c>
      <c r="G27" s="591">
        <v>30800</v>
      </c>
      <c r="H27" s="567">
        <f>G27*K27</f>
        <v>221076.24</v>
      </c>
      <c r="I27" s="603"/>
      <c r="J27" s="567"/>
      <c r="K27" s="597">
        <v>7.1778</v>
      </c>
      <c r="L27" s="598" t="s">
        <v>1070</v>
      </c>
      <c r="M27" s="598" t="s">
        <v>1070</v>
      </c>
      <c r="N27" s="598" t="s">
        <v>1070</v>
      </c>
      <c r="O27" s="936" t="s">
        <v>3469</v>
      </c>
      <c r="P27" s="642"/>
      <c r="Q27" s="642"/>
      <c r="R27" s="667"/>
      <c r="S27" s="657"/>
    </row>
    <row r="28" s="10" customFormat="1" ht="22.1" customHeight="1" spans="1:19">
      <c r="A28" s="540"/>
      <c r="B28" s="541"/>
      <c r="C28" s="556"/>
      <c r="D28" s="557"/>
      <c r="E28" s="572" t="s">
        <v>1869</v>
      </c>
      <c r="F28" s="250" t="s">
        <v>1882</v>
      </c>
      <c r="G28" s="591">
        <v>51358</v>
      </c>
      <c r="H28" s="567">
        <f>G28*K28</f>
        <v>368637.4524</v>
      </c>
      <c r="I28" s="603"/>
      <c r="J28" s="567"/>
      <c r="K28" s="597">
        <v>7.1778</v>
      </c>
      <c r="L28" s="930" t="s">
        <v>2097</v>
      </c>
      <c r="M28" s="930" t="s">
        <v>2097</v>
      </c>
      <c r="N28" s="930" t="s">
        <v>2097</v>
      </c>
      <c r="O28" s="943" t="s">
        <v>3470</v>
      </c>
      <c r="P28" s="642"/>
      <c r="Q28" s="642"/>
      <c r="R28" s="946" t="s">
        <v>3471</v>
      </c>
      <c r="S28" s="657"/>
    </row>
    <row r="29" s="10" customFormat="1" ht="22.1" customHeight="1" spans="1:19">
      <c r="A29" s="540"/>
      <c r="B29" s="541"/>
      <c r="C29" s="556"/>
      <c r="D29" s="557"/>
      <c r="E29" s="572" t="s">
        <v>1869</v>
      </c>
      <c r="F29" s="250" t="s">
        <v>2298</v>
      </c>
      <c r="G29" s="562">
        <v>2364</v>
      </c>
      <c r="H29" s="567">
        <f>G29*K29</f>
        <v>16968.3192</v>
      </c>
      <c r="I29" s="603"/>
      <c r="J29" s="567"/>
      <c r="K29" s="597">
        <v>7.1778</v>
      </c>
      <c r="L29" s="598">
        <v>45244</v>
      </c>
      <c r="M29" s="598" t="s">
        <v>1070</v>
      </c>
      <c r="N29" s="598" t="s">
        <v>1070</v>
      </c>
      <c r="O29" s="938" t="s">
        <v>3472</v>
      </c>
      <c r="P29" s="642" t="s">
        <v>2300</v>
      </c>
      <c r="Q29" s="655" t="s">
        <v>2301</v>
      </c>
      <c r="R29" s="667"/>
      <c r="S29" s="657"/>
    </row>
    <row r="30" s="10" customFormat="1" ht="22.1" customHeight="1" spans="1:19">
      <c r="A30" s="540"/>
      <c r="B30" s="541"/>
      <c r="C30" s="556"/>
      <c r="D30" s="557"/>
      <c r="E30" s="572" t="s">
        <v>1869</v>
      </c>
      <c r="F30" s="250" t="s">
        <v>2302</v>
      </c>
      <c r="G30" s="562">
        <v>6936.5</v>
      </c>
      <c r="H30" s="567">
        <f>G30*K30</f>
        <v>49788.8097</v>
      </c>
      <c r="I30" s="603"/>
      <c r="J30" s="567"/>
      <c r="K30" s="597">
        <v>7.1778</v>
      </c>
      <c r="L30" s="598">
        <v>45244</v>
      </c>
      <c r="M30" s="598" t="s">
        <v>1070</v>
      </c>
      <c r="N30" s="598" t="s">
        <v>1070</v>
      </c>
      <c r="O30" s="933" t="s">
        <v>3473</v>
      </c>
      <c r="P30" s="642"/>
      <c r="Q30" s="642"/>
      <c r="R30" s="655"/>
      <c r="S30" s="657"/>
    </row>
    <row r="31" s="10" customFormat="1" ht="22.1" customHeight="1" spans="1:19">
      <c r="A31" s="540"/>
      <c r="B31" s="541"/>
      <c r="C31" s="556"/>
      <c r="D31" s="557"/>
      <c r="E31" s="572" t="s">
        <v>1869</v>
      </c>
      <c r="F31" s="250" t="s">
        <v>2303</v>
      </c>
      <c r="G31" s="562">
        <v>3812</v>
      </c>
      <c r="H31" s="567">
        <f>G31*K31</f>
        <v>27361.7736</v>
      </c>
      <c r="I31" s="603"/>
      <c r="J31" s="567"/>
      <c r="K31" s="597">
        <v>7.1778</v>
      </c>
      <c r="L31" s="598">
        <v>45244</v>
      </c>
      <c r="M31" s="598" t="s">
        <v>1070</v>
      </c>
      <c r="N31" s="598" t="s">
        <v>1070</v>
      </c>
      <c r="O31" s="934" t="s">
        <v>3474</v>
      </c>
      <c r="P31" s="642"/>
      <c r="Q31" s="655"/>
      <c r="R31" s="655"/>
      <c r="S31" s="657"/>
    </row>
    <row r="32" s="10" customFormat="1" ht="22.9" customHeight="1" spans="1:19">
      <c r="A32" s="540"/>
      <c r="B32" s="541"/>
      <c r="C32" s="556"/>
      <c r="D32" s="557"/>
      <c r="E32" s="574" t="s">
        <v>1381</v>
      </c>
      <c r="F32" s="564" t="s">
        <v>2304</v>
      </c>
      <c r="G32" s="593">
        <v>45000</v>
      </c>
      <c r="H32" s="567">
        <f t="shared" ref="H32:H40" si="1">G32*K32</f>
        <v>323001</v>
      </c>
      <c r="I32" s="605"/>
      <c r="J32" s="592"/>
      <c r="K32" s="597">
        <v>7.1778</v>
      </c>
      <c r="L32" s="598">
        <v>45280</v>
      </c>
      <c r="M32" s="598" t="s">
        <v>1070</v>
      </c>
      <c r="N32" s="598" t="s">
        <v>1070</v>
      </c>
      <c r="O32" s="936" t="s">
        <v>3475</v>
      </c>
      <c r="P32" s="642" t="s">
        <v>2306</v>
      </c>
      <c r="Q32" s="655" t="s">
        <v>2301</v>
      </c>
      <c r="R32" s="656"/>
      <c r="S32" s="657"/>
    </row>
    <row r="33" s="10" customFormat="1" ht="22.9" customHeight="1" spans="1:19">
      <c r="A33" s="540"/>
      <c r="B33" s="541"/>
      <c r="C33" s="556"/>
      <c r="D33" s="557"/>
      <c r="E33" s="574" t="s">
        <v>201</v>
      </c>
      <c r="F33" s="564" t="s">
        <v>1887</v>
      </c>
      <c r="G33" s="950">
        <v>43450</v>
      </c>
      <c r="H33" s="592">
        <f t="shared" si="1"/>
        <v>311875.41</v>
      </c>
      <c r="I33" s="605"/>
      <c r="J33" s="592"/>
      <c r="K33" s="597">
        <v>7.1778</v>
      </c>
      <c r="L33" s="955">
        <v>45289</v>
      </c>
      <c r="M33" s="633" t="s">
        <v>1070</v>
      </c>
      <c r="N33" s="633" t="s">
        <v>1070</v>
      </c>
      <c r="O33" s="936" t="s">
        <v>3476</v>
      </c>
      <c r="P33" s="642" t="s">
        <v>1889</v>
      </c>
      <c r="Q33" s="655" t="s">
        <v>1671</v>
      </c>
      <c r="R33" s="656"/>
      <c r="S33" s="657"/>
    </row>
    <row r="34" s="10" customFormat="1" ht="22.9" customHeight="1" spans="1:19">
      <c r="A34" s="540"/>
      <c r="B34" s="541"/>
      <c r="C34" s="556"/>
      <c r="D34" s="557"/>
      <c r="E34" s="250" t="s">
        <v>157</v>
      </c>
      <c r="F34" s="250" t="s">
        <v>2308</v>
      </c>
      <c r="G34" s="562">
        <v>75872</v>
      </c>
      <c r="H34" s="567">
        <f t="shared" si="1"/>
        <v>544594.0416</v>
      </c>
      <c r="I34" s="603"/>
      <c r="J34" s="567"/>
      <c r="K34" s="597">
        <v>7.1778</v>
      </c>
      <c r="L34" s="598">
        <v>45285</v>
      </c>
      <c r="M34" s="598" t="s">
        <v>1070</v>
      </c>
      <c r="N34" s="598" t="s">
        <v>1070</v>
      </c>
      <c r="O34" s="936" t="s">
        <v>3477</v>
      </c>
      <c r="P34" s="642" t="s">
        <v>2309</v>
      </c>
      <c r="Q34" s="667" t="s">
        <v>2131</v>
      </c>
      <c r="R34" s="656" t="s">
        <v>3478</v>
      </c>
      <c r="S34" s="657"/>
    </row>
    <row r="35" s="10" customFormat="1" ht="20.65" customHeight="1" spans="1:19">
      <c r="A35" s="540"/>
      <c r="B35" s="541"/>
      <c r="C35" s="670"/>
      <c r="D35" s="557"/>
      <c r="E35" s="250" t="s">
        <v>157</v>
      </c>
      <c r="F35" s="250" t="s">
        <v>2310</v>
      </c>
      <c r="G35" s="562">
        <v>75120</v>
      </c>
      <c r="H35" s="567">
        <f t="shared" si="1"/>
        <v>539196.336</v>
      </c>
      <c r="I35" s="603"/>
      <c r="J35" s="567"/>
      <c r="K35" s="597">
        <v>7.1778</v>
      </c>
      <c r="L35" s="955">
        <v>45290</v>
      </c>
      <c r="M35" s="598" t="s">
        <v>1070</v>
      </c>
      <c r="N35" s="598" t="s">
        <v>1070</v>
      </c>
      <c r="O35" s="956" t="s">
        <v>3479</v>
      </c>
      <c r="P35" s="642" t="s">
        <v>2312</v>
      </c>
      <c r="Q35" s="667" t="s">
        <v>1671</v>
      </c>
      <c r="R35" s="656"/>
      <c r="S35" s="657"/>
    </row>
    <row r="36" s="10" customFormat="1" ht="20.65" customHeight="1" spans="1:19">
      <c r="A36" s="540"/>
      <c r="B36" s="541"/>
      <c r="C36" s="556"/>
      <c r="D36" s="557"/>
      <c r="E36" s="250" t="s">
        <v>335</v>
      </c>
      <c r="F36" s="562" t="s">
        <v>2320</v>
      </c>
      <c r="G36" s="562">
        <v>47318</v>
      </c>
      <c r="H36" s="567">
        <f t="shared" si="1"/>
        <v>339639.1404</v>
      </c>
      <c r="I36" s="570"/>
      <c r="J36" s="570"/>
      <c r="K36" s="597">
        <v>7.1778</v>
      </c>
      <c r="L36" s="598">
        <v>45285</v>
      </c>
      <c r="M36" s="633" t="s">
        <v>1070</v>
      </c>
      <c r="N36" s="633" t="s">
        <v>1070</v>
      </c>
      <c r="O36" s="957" t="s">
        <v>3480</v>
      </c>
      <c r="P36" s="691" t="s">
        <v>2322</v>
      </c>
      <c r="Q36" s="655" t="s">
        <v>1671</v>
      </c>
      <c r="R36" s="910"/>
      <c r="S36" s="657"/>
    </row>
    <row r="37" s="10" customFormat="1" ht="20.65" customHeight="1" spans="1:19">
      <c r="A37" s="540"/>
      <c r="B37" s="541"/>
      <c r="C37" s="556"/>
      <c r="D37" s="557"/>
      <c r="E37" s="250" t="s">
        <v>408</v>
      </c>
      <c r="F37" s="571" t="s">
        <v>2323</v>
      </c>
      <c r="G37" s="562">
        <v>55208</v>
      </c>
      <c r="H37" s="567">
        <f t="shared" si="1"/>
        <v>396271.9824</v>
      </c>
      <c r="I37" s="600"/>
      <c r="J37" s="602"/>
      <c r="K37" s="597">
        <v>7.1778</v>
      </c>
      <c r="L37" s="598">
        <v>45284</v>
      </c>
      <c r="M37" s="633" t="s">
        <v>1070</v>
      </c>
      <c r="N37" s="633" t="s">
        <v>1070</v>
      </c>
      <c r="O37" s="687" t="s">
        <v>3481</v>
      </c>
      <c r="P37" s="642" t="s">
        <v>2325</v>
      </c>
      <c r="Q37" s="655" t="s">
        <v>2131</v>
      </c>
      <c r="R37" s="656" t="s">
        <v>3482</v>
      </c>
      <c r="S37" s="577"/>
    </row>
    <row r="38" s="10" customFormat="1" ht="20.65" customHeight="1" spans="1:19">
      <c r="A38" s="540"/>
      <c r="B38" s="541"/>
      <c r="C38" s="556"/>
      <c r="D38" s="557"/>
      <c r="E38" s="250" t="s">
        <v>408</v>
      </c>
      <c r="F38" s="571" t="s">
        <v>2323</v>
      </c>
      <c r="G38" s="562">
        <v>41028</v>
      </c>
      <c r="H38" s="567">
        <f t="shared" si="1"/>
        <v>294490.7784</v>
      </c>
      <c r="I38" s="600"/>
      <c r="J38" s="602"/>
      <c r="K38" s="597">
        <v>7.1778</v>
      </c>
      <c r="L38" s="955">
        <v>45291</v>
      </c>
      <c r="M38" s="633" t="s">
        <v>1070</v>
      </c>
      <c r="N38" s="633" t="s">
        <v>1070</v>
      </c>
      <c r="O38" s="687" t="s">
        <v>3483</v>
      </c>
      <c r="P38" s="642" t="s">
        <v>1008</v>
      </c>
      <c r="Q38" s="655" t="s">
        <v>1671</v>
      </c>
      <c r="R38" s="656"/>
      <c r="S38" s="577"/>
    </row>
    <row r="39" s="10" customFormat="1" ht="20.65" customHeight="1" spans="1:19">
      <c r="A39" s="540"/>
      <c r="B39" s="541"/>
      <c r="C39" s="556"/>
      <c r="D39" s="557"/>
      <c r="E39" s="250" t="s">
        <v>408</v>
      </c>
      <c r="F39" s="571" t="s">
        <v>2323</v>
      </c>
      <c r="G39" s="562">
        <v>39550</v>
      </c>
      <c r="H39" s="567">
        <f t="shared" si="1"/>
        <v>283881.99</v>
      </c>
      <c r="I39" s="600"/>
      <c r="J39" s="602"/>
      <c r="K39" s="597">
        <v>7.1778</v>
      </c>
      <c r="L39" s="955">
        <v>45290</v>
      </c>
      <c r="M39" s="633" t="s">
        <v>1070</v>
      </c>
      <c r="N39" s="633" t="s">
        <v>1070</v>
      </c>
      <c r="O39" s="687" t="s">
        <v>3484</v>
      </c>
      <c r="P39" s="642" t="s">
        <v>1030</v>
      </c>
      <c r="Q39" s="655" t="s">
        <v>1671</v>
      </c>
      <c r="R39" s="656"/>
      <c r="S39" s="577"/>
    </row>
    <row r="40" s="10" customFormat="1" ht="20.65" customHeight="1" spans="1:19">
      <c r="A40" s="540"/>
      <c r="B40" s="541"/>
      <c r="C40" s="556"/>
      <c r="D40" s="557"/>
      <c r="E40" s="250" t="s">
        <v>400</v>
      </c>
      <c r="F40" s="250" t="s">
        <v>1872</v>
      </c>
      <c r="G40" s="562">
        <v>99501</v>
      </c>
      <c r="H40" s="567">
        <f t="shared" si="1"/>
        <v>714198.2778</v>
      </c>
      <c r="I40" s="603"/>
      <c r="J40" s="567"/>
      <c r="K40" s="597">
        <v>7.1778</v>
      </c>
      <c r="L40" s="633" t="s">
        <v>1070</v>
      </c>
      <c r="M40" s="633" t="s">
        <v>1070</v>
      </c>
      <c r="N40" s="633" t="s">
        <v>1070</v>
      </c>
      <c r="O40" s="935" t="s">
        <v>3485</v>
      </c>
      <c r="P40" s="642" t="s">
        <v>2329</v>
      </c>
      <c r="Q40" s="655" t="s">
        <v>1859</v>
      </c>
      <c r="R40" s="910"/>
      <c r="S40" s="577"/>
    </row>
    <row r="41" s="10" customFormat="1" ht="20.65" customHeight="1" spans="1:19">
      <c r="A41" s="540"/>
      <c r="B41" s="541"/>
      <c r="C41" s="556" t="s">
        <v>224</v>
      </c>
      <c r="D41" s="557"/>
      <c r="E41" s="561" t="s">
        <v>1904</v>
      </c>
      <c r="F41" s="571" t="s">
        <v>2330</v>
      </c>
      <c r="G41" s="562">
        <v>181194</v>
      </c>
      <c r="H41" s="567">
        <f t="shared" ref="H41:H46" si="2">G41*K41</f>
        <v>1300574.2932</v>
      </c>
      <c r="I41" s="600"/>
      <c r="J41" s="602"/>
      <c r="K41" s="597">
        <v>7.1778</v>
      </c>
      <c r="L41" s="955">
        <v>45290</v>
      </c>
      <c r="M41" s="633" t="s">
        <v>1070</v>
      </c>
      <c r="N41" s="633" t="s">
        <v>1070</v>
      </c>
      <c r="O41" s="935" t="s">
        <v>3486</v>
      </c>
      <c r="P41" s="642" t="s">
        <v>3487</v>
      </c>
      <c r="Q41" s="655" t="s">
        <v>3488</v>
      </c>
      <c r="R41" s="910"/>
      <c r="S41" s="657"/>
    </row>
    <row r="42" s="10" customFormat="1" ht="20.65" customHeight="1" spans="1:19">
      <c r="A42" s="540"/>
      <c r="B42" s="541"/>
      <c r="C42" s="666" t="s">
        <v>2361</v>
      </c>
      <c r="D42" s="557"/>
      <c r="E42" s="250" t="s">
        <v>1544</v>
      </c>
      <c r="F42" s="568" t="s">
        <v>3489</v>
      </c>
      <c r="G42" s="562">
        <v>74390</v>
      </c>
      <c r="H42" s="567">
        <f t="shared" si="2"/>
        <v>533956.542</v>
      </c>
      <c r="I42" s="603"/>
      <c r="J42" s="567"/>
      <c r="K42" s="597">
        <v>7.1778</v>
      </c>
      <c r="L42" s="598"/>
      <c r="M42" s="633"/>
      <c r="N42" s="633"/>
      <c r="O42" s="956" t="s">
        <v>3490</v>
      </c>
      <c r="P42" s="642"/>
      <c r="Q42" s="655"/>
      <c r="R42" s="591"/>
      <c r="S42" s="567"/>
    </row>
    <row r="43" s="10" customFormat="1" ht="20.65" customHeight="1" spans="1:19">
      <c r="A43" s="540"/>
      <c r="B43" s="541"/>
      <c r="C43" s="556"/>
      <c r="D43" s="557"/>
      <c r="E43" s="250" t="s">
        <v>2376</v>
      </c>
      <c r="F43" s="568" t="s">
        <v>2377</v>
      </c>
      <c r="G43" s="562">
        <v>48082</v>
      </c>
      <c r="H43" s="567">
        <f t="shared" si="2"/>
        <v>345122.9796</v>
      </c>
      <c r="I43" s="603"/>
      <c r="J43" s="567"/>
      <c r="K43" s="597">
        <v>7.1778</v>
      </c>
      <c r="L43" s="598" t="s">
        <v>1218</v>
      </c>
      <c r="M43" s="633" t="s">
        <v>1070</v>
      </c>
      <c r="N43" s="633" t="s">
        <v>1070</v>
      </c>
      <c r="O43" s="936" t="s">
        <v>3491</v>
      </c>
      <c r="P43" s="642" t="s">
        <v>2379</v>
      </c>
      <c r="Q43" s="655" t="s">
        <v>1671</v>
      </c>
      <c r="R43" s="591"/>
      <c r="S43" s="567"/>
    </row>
    <row r="44" s="10" customFormat="1" ht="16.5" spans="1:19">
      <c r="A44" s="540"/>
      <c r="B44" s="541"/>
      <c r="C44" s="670"/>
      <c r="D44" s="557"/>
      <c r="E44" s="250" t="s">
        <v>197</v>
      </c>
      <c r="F44" s="568" t="s">
        <v>2393</v>
      </c>
      <c r="G44" s="562">
        <v>41548</v>
      </c>
      <c r="H44" s="596">
        <f t="shared" si="2"/>
        <v>298223.2344</v>
      </c>
      <c r="I44" s="596"/>
      <c r="J44" s="596"/>
      <c r="K44" s="597">
        <v>7.1778</v>
      </c>
      <c r="L44" s="598">
        <v>45254</v>
      </c>
      <c r="M44" s="633" t="s">
        <v>1070</v>
      </c>
      <c r="N44" s="633" t="s">
        <v>1070</v>
      </c>
      <c r="O44" s="936" t="s">
        <v>3492</v>
      </c>
      <c r="P44" s="642" t="s">
        <v>3493</v>
      </c>
      <c r="Q44" s="655" t="s">
        <v>1671</v>
      </c>
      <c r="R44" s="656"/>
      <c r="S44" s="602"/>
    </row>
    <row r="45" s="10" customFormat="1" ht="16.5" spans="1:19">
      <c r="A45" s="540"/>
      <c r="B45" s="541"/>
      <c r="C45" s="947" t="s">
        <v>2382</v>
      </c>
      <c r="D45" s="574"/>
      <c r="E45" s="574" t="s">
        <v>2383</v>
      </c>
      <c r="F45" s="574" t="s">
        <v>3494</v>
      </c>
      <c r="G45" s="951">
        <v>276726</v>
      </c>
      <c r="H45" s="596">
        <f t="shared" si="2"/>
        <v>1986283.8828</v>
      </c>
      <c r="I45" s="577"/>
      <c r="J45" s="577"/>
      <c r="K45" s="597">
        <v>7.1778</v>
      </c>
      <c r="L45" s="598" t="s">
        <v>1070</v>
      </c>
      <c r="M45" s="598" t="s">
        <v>1070</v>
      </c>
      <c r="N45" s="598" t="s">
        <v>1070</v>
      </c>
      <c r="O45" s="938" t="s">
        <v>3495</v>
      </c>
      <c r="P45" s="642" t="s">
        <v>2400</v>
      </c>
      <c r="Q45" s="655" t="s">
        <v>3496</v>
      </c>
      <c r="R45" s="963" t="s">
        <v>3497</v>
      </c>
      <c r="S45" s="602"/>
    </row>
    <row r="46" s="10" customFormat="1" ht="16.5" spans="1:19">
      <c r="A46" s="948"/>
      <c r="B46" s="541"/>
      <c r="C46" s="579"/>
      <c r="D46" s="947"/>
      <c r="E46" s="572" t="s">
        <v>2401</v>
      </c>
      <c r="F46" s="572" t="s">
        <v>2402</v>
      </c>
      <c r="G46" s="562">
        <v>32672</v>
      </c>
      <c r="H46" s="596">
        <f t="shared" si="2"/>
        <v>234513.0816</v>
      </c>
      <c r="I46" s="600"/>
      <c r="J46" s="602"/>
      <c r="K46" s="597">
        <v>7.1778</v>
      </c>
      <c r="L46" s="682" t="s">
        <v>3498</v>
      </c>
      <c r="M46" s="633" t="s">
        <v>1070</v>
      </c>
      <c r="N46" s="633" t="s">
        <v>1070</v>
      </c>
      <c r="O46" s="942" t="s">
        <v>3499</v>
      </c>
      <c r="P46" s="958">
        <v>77</v>
      </c>
      <c r="Q46" s="655" t="s">
        <v>1671</v>
      </c>
      <c r="R46" s="656"/>
      <c r="S46" s="657"/>
    </row>
    <row r="47" s="10" customFormat="1" ht="16.5" spans="1:19">
      <c r="A47" s="540"/>
      <c r="B47" s="672"/>
      <c r="C47" s="551" t="s">
        <v>1874</v>
      </c>
      <c r="D47" s="551"/>
      <c r="E47" s="551"/>
      <c r="F47" s="551"/>
      <c r="G47" s="551"/>
      <c r="H47" s="675">
        <f>SUM(H27:H46)</f>
        <v>9129655.5651</v>
      </c>
      <c r="I47" s="600"/>
      <c r="J47" s="602"/>
      <c r="K47" s="614"/>
      <c r="L47" s="682"/>
      <c r="M47" s="645"/>
      <c r="N47" s="645"/>
      <c r="O47" s="641"/>
      <c r="P47" s="570"/>
      <c r="Q47" s="570"/>
      <c r="R47" s="656"/>
      <c r="S47" s="657"/>
    </row>
    <row r="48" s="10" customFormat="1" ht="16.5" spans="1:19">
      <c r="A48" s="540"/>
      <c r="B48" s="541" t="s">
        <v>1875</v>
      </c>
      <c r="C48" s="947" t="s">
        <v>1825</v>
      </c>
      <c r="D48" s="557" t="s">
        <v>1125</v>
      </c>
      <c r="E48" s="572" t="s">
        <v>2404</v>
      </c>
      <c r="F48" s="568" t="s">
        <v>2405</v>
      </c>
      <c r="G48" s="591">
        <v>40000</v>
      </c>
      <c r="I48" s="603"/>
      <c r="J48" s="567"/>
      <c r="K48" s="597">
        <v>7.1778</v>
      </c>
      <c r="L48" s="708"/>
      <c r="M48" s="644"/>
      <c r="N48" s="644"/>
      <c r="O48" s="936" t="s">
        <v>2406</v>
      </c>
      <c r="P48" s="642"/>
      <c r="Q48" s="655"/>
      <c r="R48" s="656" t="s">
        <v>2407</v>
      </c>
      <c r="S48" s="657"/>
    </row>
    <row r="49" s="10" customFormat="1" ht="16.5" spans="1:19">
      <c r="A49" s="540"/>
      <c r="B49" s="541"/>
      <c r="C49" s="947"/>
      <c r="D49" s="557"/>
      <c r="E49" s="572" t="s">
        <v>2408</v>
      </c>
      <c r="F49" s="250" t="s">
        <v>2409</v>
      </c>
      <c r="G49" s="562">
        <v>250000</v>
      </c>
      <c r="H49" s="567"/>
      <c r="I49" s="603"/>
      <c r="J49" s="567"/>
      <c r="K49" s="597">
        <v>7.1778</v>
      </c>
      <c r="L49" s="598"/>
      <c r="M49" s="645"/>
      <c r="N49" s="645"/>
      <c r="O49" s="936" t="s">
        <v>3500</v>
      </c>
      <c r="P49" s="642"/>
      <c r="Q49" s="667"/>
      <c r="R49" s="656"/>
      <c r="S49" s="657"/>
    </row>
    <row r="50" s="10" customFormat="1" ht="16.5" spans="1:19">
      <c r="A50" s="540"/>
      <c r="B50" s="541"/>
      <c r="C50" s="947"/>
      <c r="D50" s="557"/>
      <c r="E50" s="572" t="s">
        <v>1884</v>
      </c>
      <c r="F50" s="250" t="s">
        <v>1885</v>
      </c>
      <c r="G50" s="562">
        <v>900</v>
      </c>
      <c r="H50" s="567"/>
      <c r="I50" s="603"/>
      <c r="J50" s="567"/>
      <c r="K50" s="597">
        <v>7.1778</v>
      </c>
      <c r="L50" s="598"/>
      <c r="M50" s="645"/>
      <c r="N50" s="645"/>
      <c r="O50" s="935" t="s">
        <v>2414</v>
      </c>
      <c r="P50" s="642"/>
      <c r="Q50" s="655"/>
      <c r="R50" s="656"/>
      <c r="S50" s="657"/>
    </row>
    <row r="51" s="10" customFormat="1" ht="16.5" spans="1:19">
      <c r="A51" s="540"/>
      <c r="B51" s="541"/>
      <c r="C51" s="947"/>
      <c r="D51" s="557"/>
      <c r="E51" s="574" t="s">
        <v>157</v>
      </c>
      <c r="F51" s="564" t="s">
        <v>3501</v>
      </c>
      <c r="G51" s="952">
        <v>40000</v>
      </c>
      <c r="H51" s="592"/>
      <c r="I51" s="605"/>
      <c r="J51" s="592"/>
      <c r="K51" s="597">
        <v>7.1778</v>
      </c>
      <c r="L51" s="618"/>
      <c r="M51" s="767"/>
      <c r="N51" s="767"/>
      <c r="O51" s="936" t="s">
        <v>3502</v>
      </c>
      <c r="P51" s="959" t="s">
        <v>3503</v>
      </c>
      <c r="Q51" s="655"/>
      <c r="R51" s="656"/>
      <c r="S51" s="657"/>
    </row>
    <row r="52" s="10" customFormat="1" ht="16.5" spans="1:19">
      <c r="A52" s="540"/>
      <c r="B52" s="541"/>
      <c r="C52" s="947"/>
      <c r="D52" s="557"/>
      <c r="E52" s="574" t="s">
        <v>1722</v>
      </c>
      <c r="F52" s="564" t="s">
        <v>2387</v>
      </c>
      <c r="G52" s="593">
        <v>50000</v>
      </c>
      <c r="H52" s="592"/>
      <c r="I52" s="605"/>
      <c r="J52" s="592"/>
      <c r="K52" s="597">
        <v>7.1778</v>
      </c>
      <c r="L52" s="618"/>
      <c r="M52" s="736"/>
      <c r="N52" s="736"/>
      <c r="O52" s="936" t="s">
        <v>3504</v>
      </c>
      <c r="P52" s="959"/>
      <c r="Q52" s="655"/>
      <c r="R52" s="656"/>
      <c r="S52" s="657"/>
    </row>
    <row r="53" s="10" customFormat="1" ht="16.5" spans="1:19">
      <c r="A53" s="540"/>
      <c r="B53" s="541"/>
      <c r="C53" s="579"/>
      <c r="D53" s="557"/>
      <c r="E53" s="574" t="s">
        <v>1113</v>
      </c>
      <c r="F53" s="564" t="s">
        <v>2411</v>
      </c>
      <c r="G53" s="593">
        <v>40000</v>
      </c>
      <c r="H53" s="592"/>
      <c r="I53" s="605"/>
      <c r="J53" s="592"/>
      <c r="K53" s="597">
        <v>7.1778</v>
      </c>
      <c r="L53" s="618"/>
      <c r="M53" s="736"/>
      <c r="N53" s="736"/>
      <c r="O53" s="936" t="s">
        <v>3131</v>
      </c>
      <c r="P53" s="642"/>
      <c r="Q53" s="655"/>
      <c r="R53" s="656"/>
      <c r="S53" s="657"/>
    </row>
    <row r="54" s="10" customFormat="1" ht="22.5" customHeight="1" spans="1:19">
      <c r="A54" s="540"/>
      <c r="B54" s="541"/>
      <c r="C54" s="664" t="s">
        <v>224</v>
      </c>
      <c r="D54" s="557"/>
      <c r="E54" s="677" t="s">
        <v>1895</v>
      </c>
      <c r="F54" s="571" t="s">
        <v>1896</v>
      </c>
      <c r="G54" s="953">
        <v>200000</v>
      </c>
      <c r="H54" s="567"/>
      <c r="I54" s="600"/>
      <c r="J54" s="602"/>
      <c r="K54" s="597">
        <v>7.1778</v>
      </c>
      <c r="L54" s="598"/>
      <c r="M54" s="645"/>
      <c r="N54" s="645"/>
      <c r="O54" s="641" t="s">
        <v>3505</v>
      </c>
      <c r="P54" s="960" t="s">
        <v>3506</v>
      </c>
      <c r="Q54" s="572"/>
      <c r="R54" s="656" t="s">
        <v>2420</v>
      </c>
      <c r="S54" s="577"/>
    </row>
    <row r="55" s="10" customFormat="1" ht="20.95" customHeight="1" spans="1:19">
      <c r="A55" s="540"/>
      <c r="B55" s="541"/>
      <c r="C55" s="664"/>
      <c r="D55" s="557"/>
      <c r="E55" s="677" t="s">
        <v>400</v>
      </c>
      <c r="F55" s="571" t="s">
        <v>2421</v>
      </c>
      <c r="G55" s="953">
        <v>106681</v>
      </c>
      <c r="H55" s="567"/>
      <c r="I55" s="603"/>
      <c r="J55" s="567"/>
      <c r="K55" s="597">
        <v>7.1788</v>
      </c>
      <c r="L55" s="598"/>
      <c r="M55" s="645"/>
      <c r="N55" s="645"/>
      <c r="O55" s="938" t="s">
        <v>3507</v>
      </c>
      <c r="P55" s="642"/>
      <c r="Q55" s="655"/>
      <c r="R55" s="656"/>
      <c r="S55" s="577"/>
    </row>
    <row r="56" s="10" customFormat="1" ht="17.6" customHeight="1" spans="1:19">
      <c r="A56" s="540"/>
      <c r="B56" s="541"/>
      <c r="C56" s="664"/>
      <c r="D56" s="557"/>
      <c r="E56" s="250" t="s">
        <v>1901</v>
      </c>
      <c r="F56" s="571" t="s">
        <v>1902</v>
      </c>
      <c r="G56" s="591">
        <v>1000000</v>
      </c>
      <c r="H56" s="567"/>
      <c r="I56" s="600"/>
      <c r="J56" s="602"/>
      <c r="K56" s="597">
        <v>7.1778</v>
      </c>
      <c r="L56" s="707"/>
      <c r="M56" s="644"/>
      <c r="N56" s="644"/>
      <c r="O56" s="935" t="s">
        <v>2423</v>
      </c>
      <c r="P56" s="642"/>
      <c r="Q56" s="572"/>
      <c r="R56" s="656" t="s">
        <v>2424</v>
      </c>
      <c r="S56" s="570"/>
    </row>
    <row r="57" s="10" customFormat="1" ht="20.65" customHeight="1" spans="1:19">
      <c r="A57" s="540"/>
      <c r="B57" s="541"/>
      <c r="C57" s="664"/>
      <c r="D57" s="557"/>
      <c r="E57" s="250" t="s">
        <v>1860</v>
      </c>
      <c r="F57" s="571" t="s">
        <v>2336</v>
      </c>
      <c r="G57" s="951">
        <v>29248</v>
      </c>
      <c r="H57" s="567">
        <f>G57*K57</f>
        <v>209936.2944</v>
      </c>
      <c r="I57" s="600"/>
      <c r="J57" s="602"/>
      <c r="K57" s="597">
        <v>7.1778</v>
      </c>
      <c r="L57" s="707"/>
      <c r="M57" s="644"/>
      <c r="N57" s="644"/>
      <c r="O57" s="935" t="s">
        <v>3508</v>
      </c>
      <c r="P57" s="642" t="s">
        <v>2338</v>
      </c>
      <c r="Q57" s="572"/>
      <c r="R57" s="656"/>
      <c r="S57" s="577"/>
    </row>
    <row r="58" s="10" customFormat="1" ht="20.65" customHeight="1" spans="1:19">
      <c r="A58" s="540"/>
      <c r="B58" s="541"/>
      <c r="C58" s="664"/>
      <c r="D58" s="557"/>
      <c r="E58" s="250" t="s">
        <v>3509</v>
      </c>
      <c r="F58" s="244" t="s">
        <v>3510</v>
      </c>
      <c r="G58" s="953">
        <v>91029</v>
      </c>
      <c r="H58" s="567">
        <f>G58*K58</f>
        <v>653387.9562</v>
      </c>
      <c r="I58" s="603"/>
      <c r="J58" s="567"/>
      <c r="K58" s="597">
        <v>7.1778</v>
      </c>
      <c r="L58" s="625" t="s">
        <v>1070</v>
      </c>
      <c r="M58" s="625" t="s">
        <v>1070</v>
      </c>
      <c r="N58" s="625" t="s">
        <v>1070</v>
      </c>
      <c r="O58" s="961" t="s">
        <v>3511</v>
      </c>
      <c r="P58" s="662" t="s">
        <v>2343</v>
      </c>
      <c r="Q58" s="691" t="s">
        <v>2344</v>
      </c>
      <c r="R58" s="658"/>
      <c r="S58" s="577"/>
    </row>
    <row r="59" s="10" customFormat="1" ht="16.5" spans="1:19">
      <c r="A59" s="540"/>
      <c r="B59" s="541"/>
      <c r="C59" s="671"/>
      <c r="D59" s="557"/>
      <c r="E59" s="250" t="s">
        <v>2368</v>
      </c>
      <c r="F59" s="568" t="s">
        <v>2016</v>
      </c>
      <c r="G59" s="562">
        <v>40300.68</v>
      </c>
      <c r="H59" s="567"/>
      <c r="I59" s="603"/>
      <c r="J59" s="567"/>
      <c r="K59" s="597">
        <v>7.1778</v>
      </c>
      <c r="L59" s="598" t="s">
        <v>1070</v>
      </c>
      <c r="M59" s="633" t="s">
        <v>1070</v>
      </c>
      <c r="N59" s="633" t="s">
        <v>1070</v>
      </c>
      <c r="O59" s="936" t="s">
        <v>3512</v>
      </c>
      <c r="P59" s="642" t="s">
        <v>518</v>
      </c>
      <c r="Q59" s="570"/>
      <c r="R59" s="656" t="s">
        <v>3513</v>
      </c>
      <c r="S59" s="570"/>
    </row>
    <row r="60" s="10" customFormat="1" ht="16.5" spans="1:19">
      <c r="A60" s="540"/>
      <c r="B60" s="541"/>
      <c r="C60" s="671" t="s">
        <v>2361</v>
      </c>
      <c r="D60" s="557"/>
      <c r="E60" s="250" t="s">
        <v>2425</v>
      </c>
      <c r="F60" s="568" t="s">
        <v>2426</v>
      </c>
      <c r="G60" s="951">
        <v>45000</v>
      </c>
      <c r="H60" s="567">
        <f>G60*K60</f>
        <v>323001</v>
      </c>
      <c r="I60" s="603"/>
      <c r="J60" s="567"/>
      <c r="K60" s="597">
        <v>7.1778</v>
      </c>
      <c r="L60" s="598"/>
      <c r="M60" s="633"/>
      <c r="N60" s="636"/>
      <c r="O60" s="935" t="s">
        <v>2427</v>
      </c>
      <c r="P60" s="642" t="s">
        <v>2428</v>
      </c>
      <c r="Q60" s="655"/>
      <c r="R60" s="656"/>
      <c r="S60" s="602"/>
    </row>
    <row r="61" s="10" customFormat="1" ht="16.5" spans="1:19">
      <c r="A61" s="540"/>
      <c r="B61" s="541"/>
      <c r="C61" s="671"/>
      <c r="D61" s="557"/>
      <c r="E61" s="954" t="s">
        <v>53</v>
      </c>
      <c r="F61" s="571" t="s">
        <v>2372</v>
      </c>
      <c r="G61" s="953">
        <v>60000</v>
      </c>
      <c r="H61" s="567">
        <f>G61*K61</f>
        <v>430668</v>
      </c>
      <c r="I61" s="603"/>
      <c r="J61" s="567"/>
      <c r="K61" s="597">
        <v>7.1778</v>
      </c>
      <c r="L61" s="598" t="s">
        <v>2432</v>
      </c>
      <c r="M61" s="625" t="s">
        <v>2432</v>
      </c>
      <c r="N61" s="962" t="s">
        <v>2432</v>
      </c>
      <c r="O61" s="935" t="s">
        <v>3514</v>
      </c>
      <c r="P61" s="642" t="s">
        <v>3515</v>
      </c>
      <c r="Q61" s="655" t="s">
        <v>2131</v>
      </c>
      <c r="R61" s="964" t="s">
        <v>2375</v>
      </c>
      <c r="S61" s="602"/>
    </row>
    <row r="62" s="10" customFormat="1" ht="16.5" spans="1:19">
      <c r="A62" s="699"/>
      <c r="B62" s="541"/>
      <c r="C62" s="671"/>
      <c r="D62" s="557"/>
      <c r="E62" s="250" t="s">
        <v>1907</v>
      </c>
      <c r="F62" s="562" t="s">
        <v>1908</v>
      </c>
      <c r="G62" s="562">
        <v>50687</v>
      </c>
      <c r="H62" s="567"/>
      <c r="I62" s="600"/>
      <c r="J62" s="602"/>
      <c r="K62" s="597">
        <v>7.1778</v>
      </c>
      <c r="L62" s="707"/>
      <c r="M62" s="645"/>
      <c r="N62" s="645"/>
      <c r="O62" s="687" t="s">
        <v>2429</v>
      </c>
      <c r="P62" s="642" t="s">
        <v>2430</v>
      </c>
      <c r="Q62" s="655" t="s">
        <v>1671</v>
      </c>
      <c r="R62" s="656"/>
      <c r="S62" s="577"/>
    </row>
    <row r="63" s="10" customFormat="1" ht="16.5" spans="1:19">
      <c r="A63" s="949"/>
      <c r="B63" s="541"/>
      <c r="C63" s="572" t="s">
        <v>2382</v>
      </c>
      <c r="D63" s="947"/>
      <c r="E63" s="574"/>
      <c r="F63" s="574"/>
      <c r="G63" s="951"/>
      <c r="H63" s="596"/>
      <c r="I63" s="577"/>
      <c r="J63" s="577"/>
      <c r="K63" s="597"/>
      <c r="L63" s="598"/>
      <c r="M63" s="598"/>
      <c r="N63" s="598"/>
      <c r="O63" s="938"/>
      <c r="P63" s="642"/>
      <c r="Q63" s="655"/>
      <c r="R63" s="963"/>
      <c r="S63" s="602"/>
    </row>
    <row r="64" s="10" customFormat="1" ht="16.5" spans="1:19">
      <c r="A64" s="699"/>
      <c r="B64" s="541"/>
      <c r="C64" s="712" t="s">
        <v>1874</v>
      </c>
      <c r="D64" s="712"/>
      <c r="E64" s="712"/>
      <c r="F64" s="712"/>
      <c r="G64" s="712"/>
      <c r="H64" s="675">
        <f>SUM(H48:H63)</f>
        <v>1616993.2506</v>
      </c>
      <c r="I64" s="732"/>
      <c r="J64" s="732"/>
      <c r="K64" s="733"/>
      <c r="L64" s="598"/>
      <c r="M64" s="645"/>
      <c r="N64" s="645"/>
      <c r="O64" s="938"/>
      <c r="P64" s="642"/>
      <c r="Q64" s="655"/>
      <c r="R64" s="664"/>
      <c r="S64" s="602"/>
    </row>
    <row r="65" s="10" customFormat="1" ht="33.55" customHeight="1" spans="1:19">
      <c r="A65" s="537" t="s">
        <v>1092</v>
      </c>
      <c r="B65" s="537" t="s">
        <v>1820</v>
      </c>
      <c r="C65" s="538" t="s">
        <v>1946</v>
      </c>
      <c r="D65" s="539" t="s">
        <v>1821</v>
      </c>
      <c r="E65" s="539" t="s">
        <v>1822</v>
      </c>
      <c r="F65" s="558" t="s">
        <v>1095</v>
      </c>
      <c r="G65" s="559" t="s">
        <v>362</v>
      </c>
      <c r="H65" s="560" t="s">
        <v>1716</v>
      </c>
      <c r="I65" s="560" t="s">
        <v>1717</v>
      </c>
      <c r="J65" s="560" t="s">
        <v>1718</v>
      </c>
      <c r="K65" s="594" t="s">
        <v>1866</v>
      </c>
      <c r="L65" s="595" t="s">
        <v>1098</v>
      </c>
      <c r="M65" s="619" t="s">
        <v>1097</v>
      </c>
      <c r="N65" s="619" t="s">
        <v>1214</v>
      </c>
      <c r="O65" s="932" t="s">
        <v>1215</v>
      </c>
      <c r="P65" s="621" t="s">
        <v>7</v>
      </c>
      <c r="Q65" s="652" t="s">
        <v>8</v>
      </c>
      <c r="R65" s="653" t="s">
        <v>9</v>
      </c>
      <c r="S65" s="739" t="s">
        <v>1291</v>
      </c>
    </row>
    <row r="66" s="10" customFormat="1" ht="16.5" spans="1:19">
      <c r="A66" s="713" t="s">
        <v>1913</v>
      </c>
      <c r="B66" s="541" t="s">
        <v>1824</v>
      </c>
      <c r="C66" s="556" t="s">
        <v>1248</v>
      </c>
      <c r="D66" s="557">
        <v>354</v>
      </c>
      <c r="E66" s="541" t="s">
        <v>299</v>
      </c>
      <c r="F66" s="764" t="s">
        <v>3211</v>
      </c>
      <c r="G66" s="762"/>
      <c r="H66" s="567"/>
      <c r="I66" s="577"/>
      <c r="J66" s="602">
        <v>228647.965</v>
      </c>
      <c r="K66" s="597">
        <v>7.1778</v>
      </c>
      <c r="L66" s="598" t="s">
        <v>3355</v>
      </c>
      <c r="M66" s="625">
        <v>45230</v>
      </c>
      <c r="N66" s="625">
        <v>45236</v>
      </c>
      <c r="O66" s="743" t="s">
        <v>3516</v>
      </c>
      <c r="P66" s="250" t="s">
        <v>2434</v>
      </c>
      <c r="Q66" s="751">
        <v>91</v>
      </c>
      <c r="R66" s="752">
        <v>350</v>
      </c>
      <c r="S66" s="750"/>
    </row>
    <row r="67" s="10" customFormat="1" ht="16.5" spans="1:19">
      <c r="A67" s="713"/>
      <c r="B67" s="541"/>
      <c r="C67" s="556"/>
      <c r="D67" s="557"/>
      <c r="E67" s="541"/>
      <c r="F67" s="764" t="s">
        <v>3213</v>
      </c>
      <c r="G67" s="762"/>
      <c r="H67" s="567"/>
      <c r="I67" s="577"/>
      <c r="J67" s="602">
        <v>228647.965</v>
      </c>
      <c r="K67" s="597">
        <v>7.1778</v>
      </c>
      <c r="L67" s="598" t="s">
        <v>3355</v>
      </c>
      <c r="M67" s="625">
        <v>45230</v>
      </c>
      <c r="N67" s="625">
        <v>45236</v>
      </c>
      <c r="O67" s="743" t="s">
        <v>3516</v>
      </c>
      <c r="P67" s="250" t="s">
        <v>2434</v>
      </c>
      <c r="Q67" s="751">
        <v>91</v>
      </c>
      <c r="R67" s="752">
        <v>350</v>
      </c>
      <c r="S67" s="750"/>
    </row>
    <row r="68" s="10" customFormat="1" ht="16.5" spans="1:19">
      <c r="A68" s="713"/>
      <c r="B68" s="541"/>
      <c r="C68" s="556"/>
      <c r="D68" s="557"/>
      <c r="E68" s="541"/>
      <c r="F68" s="764" t="s">
        <v>2431</v>
      </c>
      <c r="G68" s="762">
        <v>31850</v>
      </c>
      <c r="H68" s="567">
        <f>G68*K68</f>
        <v>228612.93</v>
      </c>
      <c r="I68" s="735">
        <v>228612.93</v>
      </c>
      <c r="J68" s="735"/>
      <c r="K68" s="597">
        <v>7.1778</v>
      </c>
      <c r="L68" s="708" t="s">
        <v>2432</v>
      </c>
      <c r="M68" s="625">
        <v>45257</v>
      </c>
      <c r="N68" s="625">
        <v>45260</v>
      </c>
      <c r="O68" s="743" t="s">
        <v>3517</v>
      </c>
      <c r="P68" s="250" t="s">
        <v>2434</v>
      </c>
      <c r="Q68" s="751">
        <v>91</v>
      </c>
      <c r="R68" s="752">
        <v>350</v>
      </c>
      <c r="S68" s="750"/>
    </row>
    <row r="69" s="10" customFormat="1" ht="16.5" spans="1:19">
      <c r="A69" s="713"/>
      <c r="B69" s="541"/>
      <c r="C69" s="556"/>
      <c r="D69" s="557"/>
      <c r="E69" s="541"/>
      <c r="F69" s="764" t="s">
        <v>2435</v>
      </c>
      <c r="G69" s="762">
        <v>31850</v>
      </c>
      <c r="H69" s="567">
        <f>G69*K69</f>
        <v>228612.93</v>
      </c>
      <c r="I69" s="735">
        <v>228612.93</v>
      </c>
      <c r="J69" s="735"/>
      <c r="K69" s="597">
        <v>7.1778</v>
      </c>
      <c r="L69" s="708" t="s">
        <v>2432</v>
      </c>
      <c r="M69" s="625">
        <v>45257</v>
      </c>
      <c r="N69" s="625">
        <v>45260</v>
      </c>
      <c r="O69" s="743" t="s">
        <v>3517</v>
      </c>
      <c r="P69" s="250" t="s">
        <v>2434</v>
      </c>
      <c r="Q69" s="751">
        <v>91</v>
      </c>
      <c r="R69" s="752">
        <v>350</v>
      </c>
      <c r="S69" s="750"/>
    </row>
    <row r="70" s="10" customFormat="1" ht="18.75" customHeight="1" spans="1:19">
      <c r="A70" s="713"/>
      <c r="B70" s="541"/>
      <c r="C70" s="556"/>
      <c r="D70" s="557"/>
      <c r="E70" s="541"/>
      <c r="F70" s="764" t="s">
        <v>2436</v>
      </c>
      <c r="G70" s="762">
        <v>31850</v>
      </c>
      <c r="H70" s="567">
        <f t="shared" ref="H70:H76" si="3">G70*K70</f>
        <v>228612.93</v>
      </c>
      <c r="I70" s="735">
        <v>228612.93</v>
      </c>
      <c r="J70" s="735"/>
      <c r="K70" s="597">
        <v>7.1778</v>
      </c>
      <c r="L70" s="708" t="s">
        <v>2432</v>
      </c>
      <c r="M70" s="625">
        <v>45257</v>
      </c>
      <c r="N70" s="625">
        <v>45260</v>
      </c>
      <c r="O70" s="743" t="s">
        <v>3517</v>
      </c>
      <c r="P70" s="250" t="s">
        <v>2434</v>
      </c>
      <c r="Q70" s="751">
        <v>91</v>
      </c>
      <c r="R70" s="752">
        <v>350</v>
      </c>
      <c r="S70" s="753"/>
    </row>
    <row r="71" s="10" customFormat="1" ht="18.75" customHeight="1" spans="1:19">
      <c r="A71" s="713"/>
      <c r="B71" s="541"/>
      <c r="C71" s="965" t="s">
        <v>1922</v>
      </c>
      <c r="D71" s="759">
        <v>202</v>
      </c>
      <c r="E71" s="571" t="s">
        <v>97</v>
      </c>
      <c r="F71" s="724" t="s">
        <v>2447</v>
      </c>
      <c r="G71" s="725">
        <v>43525</v>
      </c>
      <c r="H71" s="567">
        <f t="shared" si="3"/>
        <v>312413.745</v>
      </c>
      <c r="I71" s="735">
        <v>312413.745</v>
      </c>
      <c r="J71" s="735"/>
      <c r="K71" s="597">
        <v>7.1778</v>
      </c>
      <c r="L71" s="598" t="s">
        <v>3518</v>
      </c>
      <c r="M71" s="625">
        <v>45257</v>
      </c>
      <c r="N71" s="966">
        <v>45262</v>
      </c>
      <c r="O71" s="743" t="s">
        <v>3519</v>
      </c>
      <c r="P71" s="572"/>
      <c r="Q71" s="572"/>
      <c r="R71" s="752"/>
      <c r="S71" s="753"/>
    </row>
    <row r="72" s="10" customFormat="1" ht="18.75" customHeight="1" spans="1:19">
      <c r="A72" s="713"/>
      <c r="B72" s="541"/>
      <c r="C72" s="913"/>
      <c r="D72" s="557"/>
      <c r="E72" s="571" t="s">
        <v>287</v>
      </c>
      <c r="F72" s="904" t="s">
        <v>3383</v>
      </c>
      <c r="G72" s="722">
        <v>7299</v>
      </c>
      <c r="H72" s="567">
        <f t="shared" si="3"/>
        <v>52390.7622</v>
      </c>
      <c r="I72" s="735">
        <v>52390.7622</v>
      </c>
      <c r="J72" s="735">
        <v>52390.7622</v>
      </c>
      <c r="K72" s="597">
        <v>7.1778</v>
      </c>
      <c r="L72" s="598" t="s">
        <v>1218</v>
      </c>
      <c r="M72" s="625">
        <v>45254</v>
      </c>
      <c r="N72" s="598" t="s">
        <v>2432</v>
      </c>
      <c r="O72" s="743" t="s">
        <v>3520</v>
      </c>
      <c r="P72" s="572"/>
      <c r="Q72" s="572"/>
      <c r="R72" s="752"/>
      <c r="S72" s="753"/>
    </row>
    <row r="73" s="10" customFormat="1" ht="16.5" spans="1:19">
      <c r="A73" s="718"/>
      <c r="B73" s="541"/>
      <c r="C73" s="913"/>
      <c r="D73" s="557"/>
      <c r="E73" s="705" t="s">
        <v>1169</v>
      </c>
      <c r="F73" s="904" t="s">
        <v>3360</v>
      </c>
      <c r="G73" s="576"/>
      <c r="H73" s="596"/>
      <c r="I73" s="766"/>
      <c r="J73" s="766">
        <v>221418.8127</v>
      </c>
      <c r="K73" s="597">
        <v>7.1789</v>
      </c>
      <c r="L73" s="598" t="s">
        <v>3355</v>
      </c>
      <c r="M73" s="625">
        <v>45225</v>
      </c>
      <c r="N73" s="625">
        <v>45231</v>
      </c>
      <c r="O73" s="743" t="s">
        <v>3521</v>
      </c>
      <c r="P73" s="744"/>
      <c r="Q73" s="572"/>
      <c r="R73" s="744"/>
      <c r="S73" s="754"/>
    </row>
    <row r="74" s="536" customFormat="1" ht="24.6" customHeight="1" spans="1:19">
      <c r="A74" s="718"/>
      <c r="B74" s="541"/>
      <c r="C74" s="913"/>
      <c r="D74" s="557"/>
      <c r="E74" s="672"/>
      <c r="F74" s="672" t="s">
        <v>3522</v>
      </c>
      <c r="G74" s="576">
        <v>1680</v>
      </c>
      <c r="H74" s="567">
        <f t="shared" si="3"/>
        <v>12058.704</v>
      </c>
      <c r="I74" s="766">
        <v>12058.704</v>
      </c>
      <c r="J74" s="766">
        <v>12058.704</v>
      </c>
      <c r="K74" s="597">
        <v>7.1778</v>
      </c>
      <c r="L74" s="244" t="s">
        <v>1218</v>
      </c>
      <c r="M74" s="638">
        <v>45239</v>
      </c>
      <c r="N74" s="598" t="s">
        <v>1125</v>
      </c>
      <c r="O74" s="743" t="s">
        <v>3523</v>
      </c>
      <c r="P74" s="744"/>
      <c r="Q74" s="250"/>
      <c r="R74" s="744"/>
      <c r="S74" s="754"/>
    </row>
    <row r="75" s="536" customFormat="1" ht="24.6" customHeight="1" spans="1:19">
      <c r="A75" s="718"/>
      <c r="B75" s="541"/>
      <c r="C75" s="913"/>
      <c r="D75" s="557"/>
      <c r="E75" s="568" t="s">
        <v>167</v>
      </c>
      <c r="F75" s="904" t="s">
        <v>1967</v>
      </c>
      <c r="G75" s="725">
        <v>11042</v>
      </c>
      <c r="H75" s="567">
        <f t="shared" si="3"/>
        <v>79257.2676</v>
      </c>
      <c r="I75" s="735">
        <v>79257.2676</v>
      </c>
      <c r="J75" s="735"/>
      <c r="K75" s="597">
        <v>7.1778</v>
      </c>
      <c r="L75" s="598" t="s">
        <v>1218</v>
      </c>
      <c r="M75" s="625">
        <v>45258</v>
      </c>
      <c r="N75" s="625">
        <v>45263</v>
      </c>
      <c r="O75" s="743" t="s">
        <v>3524</v>
      </c>
      <c r="P75" s="744"/>
      <c r="Q75" s="250"/>
      <c r="R75" s="744"/>
      <c r="S75" s="754"/>
    </row>
    <row r="76" s="536" customFormat="1" ht="24.6" customHeight="1" spans="1:19">
      <c r="A76" s="718"/>
      <c r="B76" s="541"/>
      <c r="C76" s="913"/>
      <c r="D76" s="557"/>
      <c r="E76" s="571" t="s">
        <v>1925</v>
      </c>
      <c r="F76" s="904" t="s">
        <v>3525</v>
      </c>
      <c r="G76" s="786">
        <v>128</v>
      </c>
      <c r="H76" s="567">
        <f t="shared" si="3"/>
        <v>918.7584</v>
      </c>
      <c r="I76" s="735">
        <v>918.7584</v>
      </c>
      <c r="J76" s="735">
        <v>918.7584</v>
      </c>
      <c r="K76" s="597">
        <v>7.1778</v>
      </c>
      <c r="L76" s="598" t="s">
        <v>1218</v>
      </c>
      <c r="M76" s="625">
        <v>45259</v>
      </c>
      <c r="N76" s="625" t="s">
        <v>1125</v>
      </c>
      <c r="O76" s="743" t="s">
        <v>3526</v>
      </c>
      <c r="P76" s="744"/>
      <c r="Q76" s="250"/>
      <c r="R76" s="744"/>
      <c r="S76" s="754"/>
    </row>
    <row r="77" s="536" customFormat="1" ht="24.6" customHeight="1" spans="1:19">
      <c r="A77" s="718"/>
      <c r="B77" s="541"/>
      <c r="C77" s="715" t="s">
        <v>209</v>
      </c>
      <c r="D77" s="716">
        <v>192</v>
      </c>
      <c r="E77" s="568" t="s">
        <v>1978</v>
      </c>
      <c r="F77" s="672" t="s">
        <v>3369</v>
      </c>
      <c r="G77" s="576"/>
      <c r="H77" s="596"/>
      <c r="I77" s="766"/>
      <c r="J77" s="766">
        <v>257127</v>
      </c>
      <c r="K77" s="597">
        <v>7.1789</v>
      </c>
      <c r="L77" s="598" t="s">
        <v>1218</v>
      </c>
      <c r="M77" s="598">
        <v>45226</v>
      </c>
      <c r="N77" s="598">
        <v>45232</v>
      </c>
      <c r="O77" s="743" t="s">
        <v>3527</v>
      </c>
      <c r="P77" s="744"/>
      <c r="Q77" s="250"/>
      <c r="R77" s="744"/>
      <c r="S77" s="754"/>
    </row>
    <row r="78" s="536" customFormat="1" ht="18.75" customHeight="1" spans="1:19">
      <c r="A78" s="713"/>
      <c r="B78" s="721"/>
      <c r="C78" s="715"/>
      <c r="D78" s="716"/>
      <c r="E78" s="705" t="s">
        <v>1934</v>
      </c>
      <c r="F78" s="672" t="s">
        <v>3367</v>
      </c>
      <c r="G78" s="576"/>
      <c r="H78" s="596"/>
      <c r="I78" s="766"/>
      <c r="J78" s="766">
        <v>211167</v>
      </c>
      <c r="K78" s="597">
        <v>7.1789</v>
      </c>
      <c r="L78" s="598" t="s">
        <v>1218</v>
      </c>
      <c r="M78" s="967">
        <v>45229</v>
      </c>
      <c r="N78" s="967">
        <v>45234</v>
      </c>
      <c r="O78" s="743" t="s">
        <v>3527</v>
      </c>
      <c r="P78" s="250"/>
      <c r="Q78" s="751"/>
      <c r="R78" s="755"/>
      <c r="S78" s="756"/>
    </row>
    <row r="79" s="536" customFormat="1" ht="18.75" customHeight="1" spans="1:19">
      <c r="A79" s="713"/>
      <c r="B79" s="721"/>
      <c r="C79" s="544"/>
      <c r="D79" s="545"/>
      <c r="E79" s="541"/>
      <c r="F79" s="672" t="s">
        <v>3528</v>
      </c>
      <c r="G79" s="576"/>
      <c r="H79" s="766">
        <v>-55871.98</v>
      </c>
      <c r="I79" s="766">
        <v>-55871.98</v>
      </c>
      <c r="J79" s="766"/>
      <c r="K79" s="597">
        <v>7.1789</v>
      </c>
      <c r="L79" s="598" t="s">
        <v>1218</v>
      </c>
      <c r="M79" s="967"/>
      <c r="N79" s="967"/>
      <c r="O79" s="743"/>
      <c r="P79" s="250"/>
      <c r="Q79" s="751"/>
      <c r="R79" s="755"/>
      <c r="S79" s="756"/>
    </row>
    <row r="80" s="10" customFormat="1" ht="18.75" customHeight="1" spans="1:19">
      <c r="A80" s="713"/>
      <c r="B80" s="541"/>
      <c r="C80" s="544"/>
      <c r="D80" s="545"/>
      <c r="E80" s="541"/>
      <c r="F80" s="561" t="s">
        <v>2479</v>
      </c>
      <c r="G80" s="725">
        <v>41400</v>
      </c>
      <c r="H80" s="567">
        <f t="shared" ref="H80:H85" si="4">G80*K80</f>
        <v>297160.92</v>
      </c>
      <c r="I80" s="766">
        <f t="shared" ref="I80:I86" si="5">H80</f>
        <v>297160.92</v>
      </c>
      <c r="J80" s="567"/>
      <c r="K80" s="597">
        <v>7.1778</v>
      </c>
      <c r="L80" s="598" t="s">
        <v>1218</v>
      </c>
      <c r="M80" s="625">
        <v>45259</v>
      </c>
      <c r="N80" s="625">
        <v>45261</v>
      </c>
      <c r="O80" s="743" t="s">
        <v>3529</v>
      </c>
      <c r="P80" s="572"/>
      <c r="Q80" s="572"/>
      <c r="R80" s="752"/>
      <c r="S80" s="753"/>
    </row>
    <row r="81" s="10" customFormat="1" ht="18.75" customHeight="1" spans="1:19">
      <c r="A81" s="713"/>
      <c r="B81" s="541"/>
      <c r="C81" s="544"/>
      <c r="D81" s="545"/>
      <c r="E81" s="541"/>
      <c r="F81" s="903" t="s">
        <v>2480</v>
      </c>
      <c r="G81" s="725">
        <v>43718</v>
      </c>
      <c r="H81" s="567">
        <f t="shared" si="4"/>
        <v>313799.0604</v>
      </c>
      <c r="I81" s="766">
        <f t="shared" si="5"/>
        <v>313799.0604</v>
      </c>
      <c r="J81" s="681"/>
      <c r="K81" s="597">
        <v>7.1778</v>
      </c>
      <c r="L81" s="598" t="s">
        <v>1218</v>
      </c>
      <c r="M81" s="625">
        <v>45259</v>
      </c>
      <c r="N81" s="625">
        <v>45261</v>
      </c>
      <c r="O81" s="743" t="s">
        <v>3529</v>
      </c>
      <c r="P81" s="572"/>
      <c r="Q81" s="572"/>
      <c r="R81" s="752"/>
      <c r="S81" s="753"/>
    </row>
    <row r="82" s="10" customFormat="1" ht="18.75" customHeight="1" spans="1:19">
      <c r="A82" s="713"/>
      <c r="B82" s="541"/>
      <c r="C82" s="544"/>
      <c r="D82" s="545"/>
      <c r="E82" s="541"/>
      <c r="F82" s="672" t="s">
        <v>3530</v>
      </c>
      <c r="G82" s="722">
        <v>48437</v>
      </c>
      <c r="H82" s="567">
        <f t="shared" si="4"/>
        <v>347671.0986</v>
      </c>
      <c r="I82" s="735">
        <f t="shared" si="5"/>
        <v>347671.0986</v>
      </c>
      <c r="J82" s="735">
        <f>I82</f>
        <v>347671.0986</v>
      </c>
      <c r="K82" s="597">
        <v>7.1778</v>
      </c>
      <c r="L82" s="598" t="s">
        <v>1218</v>
      </c>
      <c r="M82" s="625">
        <v>45233</v>
      </c>
      <c r="N82" s="625">
        <v>45243</v>
      </c>
      <c r="O82" s="743" t="s">
        <v>3531</v>
      </c>
      <c r="P82" s="572"/>
      <c r="Q82" s="572"/>
      <c r="R82" s="752"/>
      <c r="S82" s="753"/>
    </row>
    <row r="83" s="10" customFormat="1" ht="18.75" customHeight="1" spans="1:19">
      <c r="A83" s="713"/>
      <c r="B83" s="541"/>
      <c r="C83" s="544"/>
      <c r="D83" s="545"/>
      <c r="E83" s="541"/>
      <c r="F83" s="672" t="s">
        <v>3532</v>
      </c>
      <c r="G83" s="722">
        <v>38749</v>
      </c>
      <c r="H83" s="567">
        <f t="shared" si="4"/>
        <v>278132.5722</v>
      </c>
      <c r="I83" s="735">
        <f t="shared" si="5"/>
        <v>278132.5722</v>
      </c>
      <c r="J83" s="735">
        <f>I83</f>
        <v>278132.5722</v>
      </c>
      <c r="K83" s="597">
        <v>7.1778</v>
      </c>
      <c r="L83" s="598" t="s">
        <v>1218</v>
      </c>
      <c r="M83" s="625">
        <v>45233</v>
      </c>
      <c r="N83" s="625">
        <v>45243</v>
      </c>
      <c r="O83" s="743" t="s">
        <v>3531</v>
      </c>
      <c r="P83" s="572"/>
      <c r="Q83" s="572"/>
      <c r="R83" s="752"/>
      <c r="S83" s="753"/>
    </row>
    <row r="84" s="10" customFormat="1" ht="18.75" customHeight="1" spans="1:19">
      <c r="A84" s="713"/>
      <c r="B84" s="541"/>
      <c r="C84" s="544"/>
      <c r="D84" s="545"/>
      <c r="E84" s="541"/>
      <c r="F84" s="672" t="s">
        <v>3533</v>
      </c>
      <c r="G84" s="722">
        <v>49760</v>
      </c>
      <c r="H84" s="567">
        <f t="shared" si="4"/>
        <v>357167.328</v>
      </c>
      <c r="I84" s="735">
        <f t="shared" si="5"/>
        <v>357167.328</v>
      </c>
      <c r="J84" s="735">
        <f>I84</f>
        <v>357167.328</v>
      </c>
      <c r="K84" s="597">
        <v>7.1778</v>
      </c>
      <c r="L84" s="598" t="s">
        <v>1218</v>
      </c>
      <c r="M84" s="625">
        <v>45252</v>
      </c>
      <c r="N84" s="625">
        <v>45254</v>
      </c>
      <c r="O84" s="743" t="s">
        <v>3534</v>
      </c>
      <c r="P84" s="572"/>
      <c r="Q84" s="572"/>
      <c r="R84" s="752"/>
      <c r="S84" s="753"/>
    </row>
    <row r="85" s="10" customFormat="1" ht="18.75" customHeight="1" spans="1:19">
      <c r="A85" s="713"/>
      <c r="B85" s="541"/>
      <c r="C85" s="544"/>
      <c r="D85" s="545"/>
      <c r="E85" s="541"/>
      <c r="F85" s="672" t="s">
        <v>3535</v>
      </c>
      <c r="G85" s="722">
        <v>47997</v>
      </c>
      <c r="H85" s="567">
        <f t="shared" si="4"/>
        <v>344512.8666</v>
      </c>
      <c r="I85" s="735">
        <f t="shared" si="5"/>
        <v>344512.8666</v>
      </c>
      <c r="J85" s="735">
        <f>I85</f>
        <v>344512.8666</v>
      </c>
      <c r="K85" s="597">
        <v>7.1778</v>
      </c>
      <c r="L85" s="598" t="s">
        <v>1218</v>
      </c>
      <c r="M85" s="625">
        <v>45252</v>
      </c>
      <c r="N85" s="625">
        <v>45254</v>
      </c>
      <c r="O85" s="743" t="s">
        <v>3534</v>
      </c>
      <c r="P85" s="750"/>
      <c r="Q85" s="572"/>
      <c r="R85" s="752"/>
      <c r="S85" s="753"/>
    </row>
    <row r="86" s="10" customFormat="1" ht="18.75" customHeight="1" spans="1:19">
      <c r="A86" s="713"/>
      <c r="B86" s="541"/>
      <c r="C86" s="544"/>
      <c r="D86" s="545"/>
      <c r="E86" s="561" t="s">
        <v>274</v>
      </c>
      <c r="F86" s="561" t="s">
        <v>3536</v>
      </c>
      <c r="G86" s="722"/>
      <c r="H86" s="567"/>
      <c r="I86" s="735"/>
      <c r="J86" s="735">
        <v>9948.43</v>
      </c>
      <c r="K86" s="597">
        <v>7.1778</v>
      </c>
      <c r="L86" s="598" t="s">
        <v>1218</v>
      </c>
      <c r="M86" s="625"/>
      <c r="N86" s="625"/>
      <c r="O86" s="743"/>
      <c r="P86" s="750"/>
      <c r="Q86" s="572"/>
      <c r="R86" s="752"/>
      <c r="S86" s="753"/>
    </row>
    <row r="87" s="10" customFormat="1" ht="18.75" customHeight="1" spans="1:19">
      <c r="A87" s="713"/>
      <c r="B87" s="541"/>
      <c r="C87" s="544"/>
      <c r="D87" s="545"/>
      <c r="E87" s="705" t="s">
        <v>1483</v>
      </c>
      <c r="F87" s="731" t="s">
        <v>2466</v>
      </c>
      <c r="G87" s="725">
        <v>77518.51</v>
      </c>
      <c r="H87" s="567">
        <f>G87*K87</f>
        <v>556412.361078</v>
      </c>
      <c r="I87" s="735">
        <f>H87</f>
        <v>556412.361078</v>
      </c>
      <c r="J87" s="735"/>
      <c r="K87" s="597">
        <v>7.1778</v>
      </c>
      <c r="L87" s="598" t="s">
        <v>1218</v>
      </c>
      <c r="M87" s="625">
        <v>45257</v>
      </c>
      <c r="N87" s="625">
        <v>45261</v>
      </c>
      <c r="O87" s="743" t="s">
        <v>3537</v>
      </c>
      <c r="P87" s="572"/>
      <c r="Q87" s="572"/>
      <c r="R87" s="752"/>
      <c r="S87" s="753"/>
    </row>
    <row r="88" s="10" customFormat="1" ht="18.75" customHeight="1" spans="1:19">
      <c r="A88" s="713"/>
      <c r="B88" s="541"/>
      <c r="C88" s="544"/>
      <c r="D88" s="545"/>
      <c r="E88" s="672"/>
      <c r="F88" s="731" t="s">
        <v>3398</v>
      </c>
      <c r="G88" s="725">
        <v>37415</v>
      </c>
      <c r="H88" s="567">
        <f>G88*K88</f>
        <v>268557.387</v>
      </c>
      <c r="I88" s="735">
        <f t="shared" ref="I88:I94" si="6">H88</f>
        <v>268557.387</v>
      </c>
      <c r="J88" s="735">
        <f>I88</f>
        <v>268557.387</v>
      </c>
      <c r="K88" s="597">
        <v>7.1778</v>
      </c>
      <c r="L88" s="598" t="s">
        <v>1218</v>
      </c>
      <c r="M88" s="625">
        <v>45244</v>
      </c>
      <c r="N88" s="625" t="s">
        <v>1125</v>
      </c>
      <c r="O88" s="743" t="s">
        <v>3538</v>
      </c>
      <c r="P88" s="572"/>
      <c r="Q88" s="572"/>
      <c r="R88" s="752"/>
      <c r="S88" s="753"/>
    </row>
    <row r="89" s="10" customFormat="1" ht="35.25" customHeight="1" spans="1:19">
      <c r="A89" s="713"/>
      <c r="B89" s="541"/>
      <c r="C89" s="544"/>
      <c r="D89" s="545"/>
      <c r="E89" s="705" t="s">
        <v>256</v>
      </c>
      <c r="F89" s="838" t="s">
        <v>3539</v>
      </c>
      <c r="G89" s="725">
        <v>17254</v>
      </c>
      <c r="H89" s="567">
        <f t="shared" ref="H89:H98" si="7">G89*K89</f>
        <v>123845.7612</v>
      </c>
      <c r="I89" s="735">
        <f t="shared" si="6"/>
        <v>123845.7612</v>
      </c>
      <c r="J89" s="735">
        <f>I89</f>
        <v>123845.7612</v>
      </c>
      <c r="K89" s="597">
        <v>7.1778</v>
      </c>
      <c r="L89" s="598" t="s">
        <v>1218</v>
      </c>
      <c r="M89" s="625">
        <v>45241</v>
      </c>
      <c r="N89" s="625">
        <v>45244</v>
      </c>
      <c r="O89" s="743" t="s">
        <v>3540</v>
      </c>
      <c r="P89" s="572"/>
      <c r="Q89" s="572"/>
      <c r="R89" s="752"/>
      <c r="S89" s="753"/>
    </row>
    <row r="90" s="536" customFormat="1" ht="35.25" customHeight="1" spans="1:19">
      <c r="A90" s="713"/>
      <c r="B90" s="721"/>
      <c r="C90" s="544"/>
      <c r="D90" s="545"/>
      <c r="E90" s="541"/>
      <c r="F90" s="672" t="s">
        <v>3541</v>
      </c>
      <c r="G90" s="576">
        <v>14849</v>
      </c>
      <c r="H90" s="567">
        <f t="shared" si="7"/>
        <v>106583.1522</v>
      </c>
      <c r="I90" s="766">
        <f t="shared" si="6"/>
        <v>106583.1522</v>
      </c>
      <c r="J90" s="766">
        <f>I90</f>
        <v>106583.1522</v>
      </c>
      <c r="K90" s="597">
        <v>7.1778</v>
      </c>
      <c r="L90" s="598" t="s">
        <v>1218</v>
      </c>
      <c r="M90" s="598">
        <v>45241</v>
      </c>
      <c r="N90" s="598">
        <v>45244</v>
      </c>
      <c r="O90" s="743" t="s">
        <v>3540</v>
      </c>
      <c r="P90" s="250"/>
      <c r="Q90" s="751"/>
      <c r="R90" s="755"/>
      <c r="S90" s="756"/>
    </row>
    <row r="91" s="536" customFormat="1" ht="35.25" customHeight="1" spans="1:19">
      <c r="A91" s="713"/>
      <c r="B91" s="721"/>
      <c r="C91" s="544"/>
      <c r="D91" s="545"/>
      <c r="E91" s="672"/>
      <c r="F91" s="672" t="s">
        <v>3542</v>
      </c>
      <c r="G91" s="576">
        <v>37677</v>
      </c>
      <c r="H91" s="567">
        <f t="shared" si="7"/>
        <v>270437.9706</v>
      </c>
      <c r="I91" s="602">
        <f t="shared" si="6"/>
        <v>270437.9706</v>
      </c>
      <c r="J91" s="766">
        <f>I91</f>
        <v>270437.9706</v>
      </c>
      <c r="K91" s="597">
        <v>7.1778</v>
      </c>
      <c r="L91" s="598" t="s">
        <v>1218</v>
      </c>
      <c r="M91" s="625">
        <v>45254</v>
      </c>
      <c r="N91" s="625">
        <v>45255</v>
      </c>
      <c r="O91" s="743" t="s">
        <v>3543</v>
      </c>
      <c r="P91" s="250"/>
      <c r="Q91" s="751"/>
      <c r="R91" s="755"/>
      <c r="S91" s="756"/>
    </row>
    <row r="92" s="10" customFormat="1" ht="15.85" customHeight="1" spans="1:19">
      <c r="A92" s="713"/>
      <c r="B92" s="541"/>
      <c r="C92" s="544"/>
      <c r="D92" s="545"/>
      <c r="E92" s="705" t="s">
        <v>247</v>
      </c>
      <c r="F92" s="904" t="s">
        <v>3391</v>
      </c>
      <c r="G92" s="722">
        <v>31647</v>
      </c>
      <c r="H92" s="567">
        <f t="shared" si="7"/>
        <v>227155.8366</v>
      </c>
      <c r="I92" s="577">
        <f t="shared" si="6"/>
        <v>227155.8366</v>
      </c>
      <c r="J92" s="577">
        <f>I92</f>
        <v>227155.8366</v>
      </c>
      <c r="K92" s="597">
        <v>7.1778</v>
      </c>
      <c r="L92" s="598" t="s">
        <v>1218</v>
      </c>
      <c r="M92" s="598">
        <v>45254</v>
      </c>
      <c r="N92" s="598">
        <v>45256</v>
      </c>
      <c r="O92" s="743" t="s">
        <v>3544</v>
      </c>
      <c r="P92" s="572"/>
      <c r="Q92" s="572"/>
      <c r="R92" s="752"/>
      <c r="S92" s="753"/>
    </row>
    <row r="93" s="10" customFormat="1" ht="18.75" customHeight="1" spans="1:19">
      <c r="A93" s="713"/>
      <c r="B93" s="721"/>
      <c r="C93" s="544"/>
      <c r="D93" s="545"/>
      <c r="E93" s="672"/>
      <c r="F93" s="904" t="s">
        <v>3545</v>
      </c>
      <c r="G93" s="725">
        <v>5310</v>
      </c>
      <c r="H93" s="567">
        <f t="shared" si="7"/>
        <v>38114.118</v>
      </c>
      <c r="I93" s="567">
        <f t="shared" si="6"/>
        <v>38114.118</v>
      </c>
      <c r="J93" s="567">
        <v>38114.118</v>
      </c>
      <c r="K93" s="597">
        <v>7.1778</v>
      </c>
      <c r="L93" s="598" t="s">
        <v>1218</v>
      </c>
      <c r="M93" s="598">
        <v>45246</v>
      </c>
      <c r="N93" s="625" t="s">
        <v>1125</v>
      </c>
      <c r="O93" s="743" t="s">
        <v>3546</v>
      </c>
      <c r="P93" s="250"/>
      <c r="Q93" s="751"/>
      <c r="R93" s="755"/>
      <c r="S93" s="756"/>
    </row>
    <row r="94" s="10" customFormat="1" ht="18.75" customHeight="1" spans="1:19">
      <c r="A94" s="713"/>
      <c r="B94" s="721"/>
      <c r="C94" s="544"/>
      <c r="D94" s="545"/>
      <c r="E94" s="568" t="s">
        <v>1418</v>
      </c>
      <c r="F94" s="731" t="s">
        <v>1981</v>
      </c>
      <c r="G94" s="725">
        <v>13032</v>
      </c>
      <c r="H94" s="567">
        <f t="shared" si="7"/>
        <v>93541.0896</v>
      </c>
      <c r="I94" s="577">
        <f t="shared" si="6"/>
        <v>93541.0896</v>
      </c>
      <c r="J94" s="577">
        <f>I94</f>
        <v>93541.0896</v>
      </c>
      <c r="K94" s="597">
        <v>7.1778</v>
      </c>
      <c r="L94" s="598" t="s">
        <v>1218</v>
      </c>
      <c r="M94" s="625">
        <v>45246</v>
      </c>
      <c r="N94" s="598">
        <v>45249</v>
      </c>
      <c r="O94" s="743" t="s">
        <v>3547</v>
      </c>
      <c r="P94" s="250"/>
      <c r="Q94" s="751"/>
      <c r="R94" s="755"/>
      <c r="S94" s="756"/>
    </row>
    <row r="95" s="10" customFormat="1" ht="18.75" customHeight="1" spans="1:19">
      <c r="A95" s="713"/>
      <c r="B95" s="541"/>
      <c r="C95" s="666" t="s">
        <v>1437</v>
      </c>
      <c r="D95" s="759">
        <v>54</v>
      </c>
      <c r="E95" s="716" t="s">
        <v>1573</v>
      </c>
      <c r="F95" s="561" t="s">
        <v>3548</v>
      </c>
      <c r="G95" s="725">
        <v>10624</v>
      </c>
      <c r="H95" s="567">
        <f t="shared" si="7"/>
        <v>76256.9472</v>
      </c>
      <c r="I95" s="735">
        <v>76256.9472</v>
      </c>
      <c r="J95" s="735">
        <v>76256.9472</v>
      </c>
      <c r="K95" s="597">
        <v>7.1778</v>
      </c>
      <c r="L95" s="598" t="s">
        <v>1218</v>
      </c>
      <c r="M95" s="598">
        <v>45232</v>
      </c>
      <c r="N95" s="625">
        <v>45237</v>
      </c>
      <c r="O95" s="743" t="s">
        <v>3549</v>
      </c>
      <c r="P95" s="572"/>
      <c r="Q95" s="572"/>
      <c r="R95" s="752"/>
      <c r="S95" s="753"/>
    </row>
    <row r="96" s="10" customFormat="1" ht="18.75" customHeight="1" spans="1:19">
      <c r="A96" s="713"/>
      <c r="B96" s="541"/>
      <c r="C96" s="556"/>
      <c r="D96" s="557"/>
      <c r="E96" s="543" t="s">
        <v>2794</v>
      </c>
      <c r="F96" s="561" t="s">
        <v>2795</v>
      </c>
      <c r="G96" s="725">
        <v>4190</v>
      </c>
      <c r="H96" s="567">
        <f t="shared" si="7"/>
        <v>30074.982</v>
      </c>
      <c r="I96" s="735">
        <v>30074.982</v>
      </c>
      <c r="J96" s="735">
        <v>30074.982</v>
      </c>
      <c r="K96" s="597">
        <v>7.1778</v>
      </c>
      <c r="L96" s="598" t="s">
        <v>1218</v>
      </c>
      <c r="M96" s="598">
        <v>45233</v>
      </c>
      <c r="N96" s="625" t="s">
        <v>1125</v>
      </c>
      <c r="O96" s="743" t="s">
        <v>3550</v>
      </c>
      <c r="P96" s="572"/>
      <c r="Q96" s="572"/>
      <c r="R96" s="752"/>
      <c r="S96" s="753"/>
    </row>
    <row r="97" s="10" customFormat="1" ht="18.75" customHeight="1" spans="1:19">
      <c r="A97" s="713"/>
      <c r="B97" s="541"/>
      <c r="C97" s="556"/>
      <c r="D97" s="557"/>
      <c r="E97" s="543" t="s">
        <v>246</v>
      </c>
      <c r="F97" s="561" t="s">
        <v>3551</v>
      </c>
      <c r="G97" s="725">
        <v>42000</v>
      </c>
      <c r="H97" s="567">
        <f t="shared" si="7"/>
        <v>301467.6</v>
      </c>
      <c r="I97" s="735">
        <f>H97</f>
        <v>301467.6</v>
      </c>
      <c r="J97" s="735">
        <v>301467.6</v>
      </c>
      <c r="K97" s="597">
        <v>7.1778</v>
      </c>
      <c r="L97" s="598" t="s">
        <v>1218</v>
      </c>
      <c r="M97" s="598">
        <v>45244</v>
      </c>
      <c r="N97" s="625" t="s">
        <v>1125</v>
      </c>
      <c r="O97" s="743" t="s">
        <v>3552</v>
      </c>
      <c r="P97" s="572"/>
      <c r="Q97" s="572"/>
      <c r="R97" s="752"/>
      <c r="S97" s="753"/>
    </row>
    <row r="98" s="10" customFormat="1" ht="18.75" customHeight="1" spans="1:19">
      <c r="A98" s="713"/>
      <c r="B98" s="541"/>
      <c r="C98" s="556"/>
      <c r="D98" s="557"/>
      <c r="E98" s="547"/>
      <c r="F98" s="561" t="s">
        <v>3553</v>
      </c>
      <c r="G98" s="725">
        <v>3403</v>
      </c>
      <c r="H98" s="567">
        <f t="shared" si="7"/>
        <v>24426.0534</v>
      </c>
      <c r="I98" s="735">
        <v>24426.0534</v>
      </c>
      <c r="J98" s="735">
        <v>24426.0534</v>
      </c>
      <c r="K98" s="597">
        <v>7.1778</v>
      </c>
      <c r="L98" s="598" t="s">
        <v>1218</v>
      </c>
      <c r="M98" s="598">
        <v>45247</v>
      </c>
      <c r="N98" s="625" t="s">
        <v>1125</v>
      </c>
      <c r="O98" s="743" t="s">
        <v>3554</v>
      </c>
      <c r="P98" s="572"/>
      <c r="Q98" s="572"/>
      <c r="R98" s="752"/>
      <c r="S98" s="753"/>
    </row>
    <row r="99" s="10" customFormat="1" ht="18.75" customHeight="1" spans="1:19">
      <c r="A99" s="713"/>
      <c r="B99" s="541"/>
      <c r="C99" s="556"/>
      <c r="D99" s="557"/>
      <c r="E99" s="655" t="s">
        <v>1298</v>
      </c>
      <c r="F99" s="561"/>
      <c r="G99" s="725"/>
      <c r="H99" s="567">
        <v>10050</v>
      </c>
      <c r="I99" s="567">
        <v>10050</v>
      </c>
      <c r="J99" s="567">
        <v>10050</v>
      </c>
      <c r="K99" s="597">
        <v>7.1778</v>
      </c>
      <c r="L99" s="598" t="s">
        <v>1218</v>
      </c>
      <c r="M99" s="598">
        <v>45232</v>
      </c>
      <c r="N99" s="625" t="s">
        <v>1125</v>
      </c>
      <c r="O99" s="743" t="s">
        <v>3538</v>
      </c>
      <c r="P99" s="572"/>
      <c r="Q99" s="572"/>
      <c r="R99" s="752"/>
      <c r="S99" s="753"/>
    </row>
    <row r="100" s="10" customFormat="1" ht="18.75" customHeight="1" spans="1:19">
      <c r="A100" s="713"/>
      <c r="B100" s="541"/>
      <c r="C100" s="666" t="s">
        <v>1124</v>
      </c>
      <c r="D100" s="759">
        <f>SUM(D66:D99)</f>
        <v>802</v>
      </c>
      <c r="E100" s="715"/>
      <c r="F100" s="571"/>
      <c r="G100" s="726" t="s">
        <v>1235</v>
      </c>
      <c r="H100" s="675">
        <f>SUM(H66:H99)</f>
        <v>5152373.151878</v>
      </c>
      <c r="I100" s="675">
        <f>SUM(I66:I99)</f>
        <v>5152373.151878</v>
      </c>
      <c r="J100" s="675">
        <f>SUM(J66:J99)</f>
        <v>4120320.1605</v>
      </c>
      <c r="K100" s="597"/>
      <c r="L100" s="598"/>
      <c r="M100" s="644"/>
      <c r="N100" s="644"/>
      <c r="O100" s="743"/>
      <c r="P100" s="572"/>
      <c r="Q100" s="572"/>
      <c r="R100" s="752"/>
      <c r="S100" s="753"/>
    </row>
    <row r="101" s="10" customFormat="1" ht="18.75" customHeight="1" spans="1:19">
      <c r="A101" s="713"/>
      <c r="B101" s="541"/>
      <c r="C101" s="670"/>
      <c r="D101" s="968"/>
      <c r="E101" s="715"/>
      <c r="F101" s="571"/>
      <c r="G101" s="969" t="s">
        <v>1236</v>
      </c>
      <c r="H101" s="970">
        <f>H100/8020000</f>
        <v>0.642440542628179</v>
      </c>
      <c r="I101" s="970">
        <f>I100/8020000</f>
        <v>0.642440542628179</v>
      </c>
      <c r="J101" s="970">
        <f>J100/8020000</f>
        <v>0.513755630985037</v>
      </c>
      <c r="K101" s="614"/>
      <c r="L101" s="598"/>
      <c r="M101" s="644"/>
      <c r="N101" s="644"/>
      <c r="O101" s="743"/>
      <c r="P101" s="572"/>
      <c r="Q101" s="572"/>
      <c r="R101" s="752"/>
      <c r="S101" s="753"/>
    </row>
    <row r="102" s="10" customFormat="1" ht="30" spans="1:19">
      <c r="A102" s="718"/>
      <c r="B102" s="553" t="s">
        <v>1820</v>
      </c>
      <c r="C102" s="554" t="s">
        <v>1946</v>
      </c>
      <c r="D102" s="555" t="s">
        <v>1821</v>
      </c>
      <c r="E102" s="555" t="s">
        <v>1822</v>
      </c>
      <c r="F102" s="588" t="s">
        <v>1095</v>
      </c>
      <c r="G102" s="589" t="s">
        <v>362</v>
      </c>
      <c r="H102" s="590" t="s">
        <v>1865</v>
      </c>
      <c r="I102" s="590"/>
      <c r="J102" s="590"/>
      <c r="K102" s="590" t="s">
        <v>1866</v>
      </c>
      <c r="L102" s="615" t="s">
        <v>1098</v>
      </c>
      <c r="M102" s="590" t="s">
        <v>1867</v>
      </c>
      <c r="N102" s="646"/>
      <c r="O102" s="743"/>
      <c r="P102" s="744"/>
      <c r="Q102" s="572"/>
      <c r="R102" s="744"/>
      <c r="S102" s="754"/>
    </row>
    <row r="103" s="10" customFormat="1" ht="16.5" spans="1:19">
      <c r="A103" s="718"/>
      <c r="B103" s="541" t="s">
        <v>1947</v>
      </c>
      <c r="C103" s="542" t="s">
        <v>1248</v>
      </c>
      <c r="D103" s="543" t="s">
        <v>1125</v>
      </c>
      <c r="E103" s="705" t="s">
        <v>299</v>
      </c>
      <c r="F103" s="764" t="s">
        <v>1948</v>
      </c>
      <c r="G103" s="762">
        <v>31850</v>
      </c>
      <c r="H103" s="567">
        <f>G103*K103</f>
        <v>228612.93</v>
      </c>
      <c r="I103" s="577"/>
      <c r="J103" s="764"/>
      <c r="K103" s="597">
        <v>7.1778</v>
      </c>
      <c r="L103" s="708" t="s">
        <v>2437</v>
      </c>
      <c r="M103" s="638" t="s">
        <v>621</v>
      </c>
      <c r="N103" s="974"/>
      <c r="O103" s="743" t="s">
        <v>3378</v>
      </c>
      <c r="P103" s="744"/>
      <c r="Q103" s="572"/>
      <c r="R103" s="744"/>
      <c r="S103" s="754"/>
    </row>
    <row r="104" s="10" customFormat="1" ht="16.5" spans="1:19">
      <c r="A104" s="718"/>
      <c r="B104" s="541"/>
      <c r="C104" s="544"/>
      <c r="D104" s="545"/>
      <c r="E104" s="541"/>
      <c r="F104" s="764" t="s">
        <v>1952</v>
      </c>
      <c r="G104" s="762">
        <v>31850</v>
      </c>
      <c r="H104" s="567">
        <f>G104*K104</f>
        <v>228612.93</v>
      </c>
      <c r="I104" s="735"/>
      <c r="J104" s="764"/>
      <c r="K104" s="597">
        <v>7.1778</v>
      </c>
      <c r="L104" s="708" t="s">
        <v>2437</v>
      </c>
      <c r="M104" s="638" t="s">
        <v>621</v>
      </c>
      <c r="N104" s="974"/>
      <c r="O104" s="743" t="s">
        <v>3378</v>
      </c>
      <c r="P104" s="744"/>
      <c r="Q104" s="572"/>
      <c r="R104" s="744"/>
      <c r="S104" s="754"/>
    </row>
    <row r="105" s="10" customFormat="1" ht="16.5" spans="1:19">
      <c r="A105" s="718"/>
      <c r="B105" s="541"/>
      <c r="C105" s="544"/>
      <c r="D105" s="545"/>
      <c r="E105" s="541"/>
      <c r="F105" s="764" t="s">
        <v>1953</v>
      </c>
      <c r="G105" s="762">
        <v>31850</v>
      </c>
      <c r="H105" s="567">
        <f t="shared" ref="H105:H110" si="8">G105*K105</f>
        <v>228612.93</v>
      </c>
      <c r="I105" s="735"/>
      <c r="J105" s="764"/>
      <c r="K105" s="597">
        <v>7.1778</v>
      </c>
      <c r="L105" s="708" t="s">
        <v>2437</v>
      </c>
      <c r="M105" s="638" t="s">
        <v>621</v>
      </c>
      <c r="N105" s="974"/>
      <c r="O105" s="743" t="s">
        <v>3378</v>
      </c>
      <c r="P105" s="744"/>
      <c r="Q105" s="572"/>
      <c r="R105" s="744"/>
      <c r="S105" s="754"/>
    </row>
    <row r="106" s="10" customFormat="1" ht="16.5" spans="1:19">
      <c r="A106" s="718"/>
      <c r="B106" s="541"/>
      <c r="C106" s="544"/>
      <c r="D106" s="545"/>
      <c r="E106" s="541"/>
      <c r="F106" s="763" t="s">
        <v>1920</v>
      </c>
      <c r="G106" s="725">
        <v>39480</v>
      </c>
      <c r="H106" s="567">
        <f t="shared" si="8"/>
        <v>283379.544</v>
      </c>
      <c r="I106" s="735"/>
      <c r="J106" s="735"/>
      <c r="K106" s="597">
        <v>7.1778</v>
      </c>
      <c r="L106" s="708" t="s">
        <v>1251</v>
      </c>
      <c r="M106" s="636" t="s">
        <v>3214</v>
      </c>
      <c r="N106" s="975"/>
      <c r="O106" s="743" t="s">
        <v>1955</v>
      </c>
      <c r="P106" s="744"/>
      <c r="Q106" s="572"/>
      <c r="R106" s="744"/>
      <c r="S106" s="754"/>
    </row>
    <row r="107" s="10" customFormat="1" ht="16.5" spans="1:19">
      <c r="A107" s="718"/>
      <c r="B107" s="541"/>
      <c r="C107" s="544"/>
      <c r="D107" s="545"/>
      <c r="E107" s="541"/>
      <c r="F107" s="763" t="s">
        <v>1954</v>
      </c>
      <c r="G107" s="725">
        <v>39480</v>
      </c>
      <c r="H107" s="567">
        <f t="shared" si="8"/>
        <v>283379.544</v>
      </c>
      <c r="I107" s="735"/>
      <c r="J107" s="735"/>
      <c r="K107" s="597">
        <v>7.1778</v>
      </c>
      <c r="L107" s="708" t="s">
        <v>1251</v>
      </c>
      <c r="M107" s="636" t="s">
        <v>3214</v>
      </c>
      <c r="N107" s="975"/>
      <c r="O107" s="743" t="s">
        <v>1955</v>
      </c>
      <c r="P107" s="744"/>
      <c r="Q107" s="572"/>
      <c r="R107" s="744"/>
      <c r="S107" s="754"/>
    </row>
    <row r="108" s="10" customFormat="1" ht="16.5" spans="1:19">
      <c r="A108" s="718"/>
      <c r="B108" s="541"/>
      <c r="C108" s="544"/>
      <c r="D108" s="545"/>
      <c r="E108" s="541"/>
      <c r="F108" s="764" t="s">
        <v>2444</v>
      </c>
      <c r="G108" s="576">
        <v>41250</v>
      </c>
      <c r="H108" s="567">
        <f t="shared" si="8"/>
        <v>296084.25</v>
      </c>
      <c r="I108" s="766"/>
      <c r="J108" s="766"/>
      <c r="K108" s="597">
        <v>7.1778</v>
      </c>
      <c r="L108" s="598" t="s">
        <v>1961</v>
      </c>
      <c r="M108" s="638" t="s">
        <v>3217</v>
      </c>
      <c r="N108" s="974"/>
      <c r="O108" s="743" t="s">
        <v>3380</v>
      </c>
      <c r="P108" s="744"/>
      <c r="Q108" s="572"/>
      <c r="R108" s="744"/>
      <c r="S108" s="754"/>
    </row>
    <row r="109" s="10" customFormat="1" ht="16.5" spans="1:19">
      <c r="A109" s="718"/>
      <c r="B109" s="541"/>
      <c r="C109" s="544"/>
      <c r="D109" s="545"/>
      <c r="E109" s="541"/>
      <c r="F109" s="764" t="s">
        <v>2446</v>
      </c>
      <c r="G109" s="576">
        <v>41250</v>
      </c>
      <c r="H109" s="567">
        <f t="shared" si="8"/>
        <v>296084.25</v>
      </c>
      <c r="I109" s="766"/>
      <c r="J109" s="766"/>
      <c r="K109" s="597">
        <v>7.1778</v>
      </c>
      <c r="L109" s="598" t="s">
        <v>1961</v>
      </c>
      <c r="M109" s="636" t="s">
        <v>3498</v>
      </c>
      <c r="N109" s="975"/>
      <c r="O109" s="743" t="s">
        <v>3380</v>
      </c>
      <c r="P109" s="744"/>
      <c r="Q109" s="572"/>
      <c r="R109" s="744"/>
      <c r="S109" s="754"/>
    </row>
    <row r="110" s="10" customFormat="1" ht="27.1" customHeight="1" spans="1:19">
      <c r="A110" s="718"/>
      <c r="B110" s="541"/>
      <c r="C110" s="546"/>
      <c r="D110" s="545"/>
      <c r="E110" s="541"/>
      <c r="F110" s="579" t="s">
        <v>2504</v>
      </c>
      <c r="G110" s="722">
        <v>12000</v>
      </c>
      <c r="H110" s="567">
        <f t="shared" si="8"/>
        <v>86133.6</v>
      </c>
      <c r="I110" s="735"/>
      <c r="J110" s="735"/>
      <c r="K110" s="597">
        <v>7.1778</v>
      </c>
      <c r="L110" s="598" t="s">
        <v>2505</v>
      </c>
      <c r="M110" s="636" t="s">
        <v>3498</v>
      </c>
      <c r="N110" s="975"/>
      <c r="O110" s="743" t="s">
        <v>3555</v>
      </c>
      <c r="P110" s="744"/>
      <c r="Q110" s="572"/>
      <c r="R110" s="744"/>
      <c r="S110" s="754"/>
    </row>
    <row r="111" s="10" customFormat="1" ht="26.25" customHeight="1" spans="1:19">
      <c r="A111" s="718"/>
      <c r="B111" s="541"/>
      <c r="C111" s="715" t="s">
        <v>1922</v>
      </c>
      <c r="D111" s="545"/>
      <c r="E111" s="571" t="s">
        <v>324</v>
      </c>
      <c r="F111" s="579" t="s">
        <v>2450</v>
      </c>
      <c r="G111" s="722">
        <v>31416</v>
      </c>
      <c r="H111" s="567">
        <f t="shared" ref="H111:H119" si="9">G111*K111</f>
        <v>225497.7648</v>
      </c>
      <c r="I111" s="735"/>
      <c r="J111" s="735"/>
      <c r="K111" s="597">
        <v>7.1778</v>
      </c>
      <c r="L111" s="598" t="s">
        <v>2451</v>
      </c>
      <c r="M111" s="636" t="s">
        <v>3217</v>
      </c>
      <c r="N111" s="966"/>
      <c r="O111" s="743" t="s">
        <v>3221</v>
      </c>
      <c r="P111" s="744"/>
      <c r="Q111" s="572"/>
      <c r="R111" s="744"/>
      <c r="S111" s="754"/>
    </row>
    <row r="112" s="10" customFormat="1" ht="15" customHeight="1" spans="1:19">
      <c r="A112" s="718"/>
      <c r="B112" s="541"/>
      <c r="C112" s="715"/>
      <c r="D112" s="545"/>
      <c r="E112" s="971" t="s">
        <v>1169</v>
      </c>
      <c r="F112" s="904" t="s">
        <v>2458</v>
      </c>
      <c r="G112" s="722">
        <v>34943</v>
      </c>
      <c r="H112" s="567">
        <f t="shared" si="9"/>
        <v>250813.8654</v>
      </c>
      <c r="I112" s="735"/>
      <c r="J112" s="735"/>
      <c r="K112" s="597">
        <v>7.1778</v>
      </c>
      <c r="L112" s="598" t="s">
        <v>1218</v>
      </c>
      <c r="M112" s="636" t="s">
        <v>621</v>
      </c>
      <c r="N112" s="966"/>
      <c r="O112" s="743" t="s">
        <v>3556</v>
      </c>
      <c r="P112" s="744"/>
      <c r="Q112" s="572"/>
      <c r="R112" s="744"/>
      <c r="S112" s="754"/>
    </row>
    <row r="113" s="10" customFormat="1" ht="18.75" customHeight="1" spans="1:19">
      <c r="A113" s="713"/>
      <c r="B113" s="721"/>
      <c r="C113" s="715"/>
      <c r="D113" s="545"/>
      <c r="E113" s="542" t="s">
        <v>1340</v>
      </c>
      <c r="F113" s="571" t="s">
        <v>1982</v>
      </c>
      <c r="G113" s="725">
        <v>33579</v>
      </c>
      <c r="H113" s="567">
        <f t="shared" si="9"/>
        <v>241023.3462</v>
      </c>
      <c r="I113" s="735"/>
      <c r="J113" s="735"/>
      <c r="K113" s="597">
        <v>7.1778</v>
      </c>
      <c r="L113" s="598" t="s">
        <v>3557</v>
      </c>
      <c r="M113" s="636" t="s">
        <v>3498</v>
      </c>
      <c r="N113" s="975"/>
      <c r="O113" s="743" t="s">
        <v>3558</v>
      </c>
      <c r="P113" s="250"/>
      <c r="Q113" s="751"/>
      <c r="R113" s="755"/>
      <c r="S113" s="756"/>
    </row>
    <row r="114" s="10" customFormat="1" ht="18.75" customHeight="1" spans="1:19">
      <c r="A114" s="713"/>
      <c r="B114" s="721"/>
      <c r="C114" s="715"/>
      <c r="D114" s="545"/>
      <c r="E114" s="544"/>
      <c r="F114" s="571" t="s">
        <v>2456</v>
      </c>
      <c r="G114" s="725">
        <v>38640</v>
      </c>
      <c r="H114" s="567">
        <f t="shared" si="9"/>
        <v>277350.192</v>
      </c>
      <c r="I114" s="735"/>
      <c r="J114" s="735"/>
      <c r="K114" s="597">
        <v>7.1778</v>
      </c>
      <c r="L114" s="598" t="s">
        <v>3559</v>
      </c>
      <c r="M114" s="636" t="s">
        <v>3498</v>
      </c>
      <c r="N114" s="975"/>
      <c r="O114" s="743" t="s">
        <v>3560</v>
      </c>
      <c r="P114" s="250"/>
      <c r="Q114" s="751"/>
      <c r="R114" s="755"/>
      <c r="S114" s="756"/>
    </row>
    <row r="115" s="10" customFormat="1" ht="18.75" customHeight="1" spans="1:19">
      <c r="A115" s="713"/>
      <c r="B115" s="721"/>
      <c r="C115" s="715"/>
      <c r="D115" s="545"/>
      <c r="E115" s="544"/>
      <c r="F115" s="571" t="s">
        <v>3561</v>
      </c>
      <c r="G115" s="725">
        <v>33579</v>
      </c>
      <c r="H115" s="567">
        <f t="shared" si="9"/>
        <v>241023.3462</v>
      </c>
      <c r="I115" s="735"/>
      <c r="J115" s="735"/>
      <c r="K115" s="597">
        <v>7.1778</v>
      </c>
      <c r="L115" s="598" t="s">
        <v>3557</v>
      </c>
      <c r="M115" s="638" t="s">
        <v>3562</v>
      </c>
      <c r="N115" s="974"/>
      <c r="O115" s="743" t="s">
        <v>3558</v>
      </c>
      <c r="P115" s="250"/>
      <c r="Q115" s="751"/>
      <c r="R115" s="755"/>
      <c r="S115" s="756"/>
    </row>
    <row r="116" s="10" customFormat="1" ht="18.75" customHeight="1" spans="1:19">
      <c r="A116" s="713"/>
      <c r="B116" s="721"/>
      <c r="C116" s="715"/>
      <c r="D116" s="545"/>
      <c r="E116" s="544"/>
      <c r="F116" s="571" t="s">
        <v>3563</v>
      </c>
      <c r="G116" s="725">
        <v>38640</v>
      </c>
      <c r="H116" s="567">
        <f t="shared" si="9"/>
        <v>277350.192</v>
      </c>
      <c r="I116" s="735"/>
      <c r="J116" s="735"/>
      <c r="K116" s="597">
        <v>7.1778</v>
      </c>
      <c r="L116" s="598" t="s">
        <v>3559</v>
      </c>
      <c r="M116" s="638" t="s">
        <v>3562</v>
      </c>
      <c r="N116" s="974"/>
      <c r="O116" s="743" t="s">
        <v>3560</v>
      </c>
      <c r="P116" s="250"/>
      <c r="Q116" s="751"/>
      <c r="R116" s="755"/>
      <c r="S116" s="756"/>
    </row>
    <row r="117" s="10" customFormat="1" ht="18.75" customHeight="1" spans="1:19">
      <c r="A117" s="713"/>
      <c r="B117" s="721"/>
      <c r="C117" s="664" t="s">
        <v>209</v>
      </c>
      <c r="D117" s="545"/>
      <c r="E117" s="971" t="s">
        <v>1934</v>
      </c>
      <c r="F117" s="571" t="s">
        <v>3564</v>
      </c>
      <c r="G117" s="722">
        <v>19500</v>
      </c>
      <c r="H117" s="567">
        <f t="shared" si="9"/>
        <v>139967.1</v>
      </c>
      <c r="I117" s="735"/>
      <c r="J117" s="735"/>
      <c r="K117" s="597">
        <v>7.1778</v>
      </c>
      <c r="L117" s="598" t="s">
        <v>1218</v>
      </c>
      <c r="M117" s="638" t="s">
        <v>621</v>
      </c>
      <c r="N117" s="974"/>
      <c r="O117" s="743" t="s">
        <v>3565</v>
      </c>
      <c r="P117" s="250"/>
      <c r="Q117" s="751"/>
      <c r="R117" s="755"/>
      <c r="S117" s="756"/>
    </row>
    <row r="118" s="10" customFormat="1" ht="18.75" customHeight="1" spans="1:19">
      <c r="A118" s="713"/>
      <c r="B118" s="721"/>
      <c r="C118" s="556"/>
      <c r="D118" s="545"/>
      <c r="E118" s="972"/>
      <c r="F118" s="724" t="s">
        <v>3566</v>
      </c>
      <c r="G118" s="725">
        <v>150000</v>
      </c>
      <c r="H118" s="567">
        <f t="shared" si="9"/>
        <v>1076670</v>
      </c>
      <c r="I118" s="735"/>
      <c r="J118" s="735"/>
      <c r="K118" s="597">
        <v>7.1778</v>
      </c>
      <c r="L118" s="598" t="s">
        <v>1218</v>
      </c>
      <c r="M118" s="636" t="s">
        <v>3567</v>
      </c>
      <c r="N118" s="975"/>
      <c r="O118" s="743" t="s">
        <v>3389</v>
      </c>
      <c r="P118" s="250"/>
      <c r="Q118" s="751"/>
      <c r="R118" s="755"/>
      <c r="S118" s="756"/>
    </row>
    <row r="119" s="10" customFormat="1" ht="18.75" customHeight="1" spans="1:19">
      <c r="A119" s="713"/>
      <c r="B119" s="541"/>
      <c r="C119" s="568" t="s">
        <v>1437</v>
      </c>
      <c r="D119" s="547"/>
      <c r="E119" s="716"/>
      <c r="F119" s="561"/>
      <c r="G119" s="725"/>
      <c r="H119" s="567"/>
      <c r="I119" s="735"/>
      <c r="J119" s="735"/>
      <c r="K119" s="597">
        <v>7.1778</v>
      </c>
      <c r="L119" s="598"/>
      <c r="M119" s="636"/>
      <c r="N119" s="975"/>
      <c r="O119" s="743"/>
      <c r="P119" s="250"/>
      <c r="Q119" s="751"/>
      <c r="R119" s="755"/>
      <c r="S119" s="756"/>
    </row>
    <row r="120" s="10" customFormat="1" ht="18.75" customHeight="1" spans="1:19">
      <c r="A120" s="713"/>
      <c r="B120" s="672"/>
      <c r="C120" s="757" t="s">
        <v>1874</v>
      </c>
      <c r="D120" s="758"/>
      <c r="E120" s="758"/>
      <c r="F120" s="758"/>
      <c r="G120" s="760"/>
      <c r="H120" s="761">
        <f>SUM(H103:H119)</f>
        <v>4660595.7846</v>
      </c>
      <c r="I120" s="766"/>
      <c r="J120" s="766"/>
      <c r="K120" s="597">
        <v>7.1778</v>
      </c>
      <c r="L120" s="598"/>
      <c r="M120" s="682"/>
      <c r="N120" s="976"/>
      <c r="O120" s="743"/>
      <c r="P120" s="250"/>
      <c r="Q120" s="751"/>
      <c r="R120" s="755"/>
      <c r="S120" s="756"/>
    </row>
    <row r="121" s="10" customFormat="1" ht="18.75" customHeight="1" spans="1:19">
      <c r="A121" s="713"/>
      <c r="B121" s="564" t="s">
        <v>1875</v>
      </c>
      <c r="C121" s="666" t="s">
        <v>1248</v>
      </c>
      <c r="D121" s="557" t="s">
        <v>1125</v>
      </c>
      <c r="E121" s="716" t="s">
        <v>2496</v>
      </c>
      <c r="F121" s="561" t="s">
        <v>2497</v>
      </c>
      <c r="G121" s="973">
        <v>35000</v>
      </c>
      <c r="H121" s="567">
        <f>G121*K121</f>
        <v>251223</v>
      </c>
      <c r="I121" s="735"/>
      <c r="J121" s="735"/>
      <c r="K121" s="597">
        <v>7.1778</v>
      </c>
      <c r="L121" s="598" t="s">
        <v>1218</v>
      </c>
      <c r="M121" s="636" t="s">
        <v>621</v>
      </c>
      <c r="N121" s="975"/>
      <c r="O121" s="743" t="s">
        <v>3395</v>
      </c>
      <c r="P121" s="250"/>
      <c r="Q121" s="751"/>
      <c r="R121" s="755"/>
      <c r="S121" s="756"/>
    </row>
    <row r="122" s="10" customFormat="1" ht="18.75" customHeight="1" spans="1:19">
      <c r="A122" s="713"/>
      <c r="B122" s="721"/>
      <c r="C122" s="670"/>
      <c r="D122" s="557"/>
      <c r="E122" s="568" t="s">
        <v>1974</v>
      </c>
      <c r="F122" s="904" t="s">
        <v>1975</v>
      </c>
      <c r="G122" s="973">
        <v>30000</v>
      </c>
      <c r="H122" s="567">
        <f>G122*K122</f>
        <v>215334</v>
      </c>
      <c r="I122" s="735"/>
      <c r="J122" s="735"/>
      <c r="K122" s="597">
        <v>7.1778</v>
      </c>
      <c r="L122" s="598" t="s">
        <v>1961</v>
      </c>
      <c r="M122" s="636" t="s">
        <v>621</v>
      </c>
      <c r="N122" s="966"/>
      <c r="O122" s="743" t="s">
        <v>3395</v>
      </c>
      <c r="P122" s="250"/>
      <c r="Q122" s="751"/>
      <c r="R122" s="755"/>
      <c r="S122" s="756"/>
    </row>
    <row r="123" s="10" customFormat="1" ht="18.75" customHeight="1" spans="1:19">
      <c r="A123" s="713"/>
      <c r="B123" s="721"/>
      <c r="C123" s="664" t="s">
        <v>1922</v>
      </c>
      <c r="D123" s="557"/>
      <c r="E123" s="705" t="s">
        <v>165</v>
      </c>
      <c r="F123" s="904" t="s">
        <v>2519</v>
      </c>
      <c r="G123" s="722">
        <v>30000</v>
      </c>
      <c r="H123" s="567"/>
      <c r="I123" s="577"/>
      <c r="J123" s="735"/>
      <c r="K123" s="597">
        <v>7.1778</v>
      </c>
      <c r="L123" s="598" t="s">
        <v>1218</v>
      </c>
      <c r="M123" s="636" t="s">
        <v>621</v>
      </c>
      <c r="N123" s="975"/>
      <c r="O123" s="743" t="s">
        <v>2518</v>
      </c>
      <c r="P123" s="250"/>
      <c r="Q123" s="751"/>
      <c r="R123" s="755"/>
      <c r="S123" s="756"/>
    </row>
    <row r="124" s="10" customFormat="1" ht="18.75" customHeight="1" spans="1:19">
      <c r="A124" s="713"/>
      <c r="B124" s="721"/>
      <c r="C124" s="664"/>
      <c r="D124" s="557"/>
      <c r="E124" s="541"/>
      <c r="F124" s="904" t="s">
        <v>1968</v>
      </c>
      <c r="G124" s="722">
        <v>20000</v>
      </c>
      <c r="H124" s="567"/>
      <c r="I124" s="570"/>
      <c r="J124" s="735"/>
      <c r="K124" s="597">
        <v>7.1778</v>
      </c>
      <c r="L124" s="598" t="s">
        <v>1218</v>
      </c>
      <c r="M124" s="636" t="s">
        <v>621</v>
      </c>
      <c r="N124" s="975"/>
      <c r="O124" s="743" t="s">
        <v>2518</v>
      </c>
      <c r="P124" s="250"/>
      <c r="Q124" s="751"/>
      <c r="R124" s="755"/>
      <c r="S124" s="756"/>
    </row>
    <row r="125" s="10" customFormat="1" ht="18.75" customHeight="1" spans="1:19">
      <c r="A125" s="713"/>
      <c r="B125" s="721"/>
      <c r="C125" s="664"/>
      <c r="D125" s="557"/>
      <c r="E125" s="541"/>
      <c r="F125" s="904" t="s">
        <v>2517</v>
      </c>
      <c r="G125" s="973">
        <v>20000</v>
      </c>
      <c r="H125" s="567">
        <f>G125*K125</f>
        <v>143556</v>
      </c>
      <c r="I125" s="577"/>
      <c r="J125" s="735"/>
      <c r="K125" s="597">
        <v>7.1778</v>
      </c>
      <c r="L125" s="598" t="s">
        <v>1218</v>
      </c>
      <c r="M125" s="636" t="s">
        <v>621</v>
      </c>
      <c r="N125" s="975"/>
      <c r="O125" s="743" t="s">
        <v>3568</v>
      </c>
      <c r="P125" s="250"/>
      <c r="Q125" s="751"/>
      <c r="R125" s="755"/>
      <c r="S125" s="756"/>
    </row>
    <row r="126" s="10" customFormat="1" ht="18.75" customHeight="1" spans="1:19">
      <c r="A126" s="713"/>
      <c r="B126" s="721"/>
      <c r="C126" s="556" t="s">
        <v>209</v>
      </c>
      <c r="D126" s="557"/>
      <c r="E126" s="568" t="s">
        <v>274</v>
      </c>
      <c r="F126" s="903"/>
      <c r="G126" s="576"/>
      <c r="H126" s="567"/>
      <c r="I126" s="735"/>
      <c r="J126" s="735"/>
      <c r="K126" s="597">
        <v>7.1778</v>
      </c>
      <c r="L126" s="598" t="s">
        <v>1218</v>
      </c>
      <c r="M126" s="636" t="s">
        <v>621</v>
      </c>
      <c r="N126" s="966"/>
      <c r="O126" s="743" t="s">
        <v>3569</v>
      </c>
      <c r="P126" s="250"/>
      <c r="Q126" s="751"/>
      <c r="R126" s="755"/>
      <c r="S126" s="756"/>
    </row>
    <row r="127" s="10" customFormat="1" ht="18.75" customHeight="1" spans="1:19">
      <c r="A127" s="713"/>
      <c r="B127" s="721"/>
      <c r="C127" s="556"/>
      <c r="D127" s="557"/>
      <c r="E127" s="568" t="s">
        <v>175</v>
      </c>
      <c r="F127" s="904" t="s">
        <v>50</v>
      </c>
      <c r="G127" s="973">
        <v>14000</v>
      </c>
      <c r="H127" s="567">
        <f>G127*K127</f>
        <v>100489.2</v>
      </c>
      <c r="I127" s="735"/>
      <c r="J127" s="735"/>
      <c r="K127" s="597">
        <v>7.1778</v>
      </c>
      <c r="L127" s="598" t="s">
        <v>1218</v>
      </c>
      <c r="M127" s="636" t="s">
        <v>621</v>
      </c>
      <c r="N127" s="966"/>
      <c r="O127" s="743" t="s">
        <v>3570</v>
      </c>
      <c r="P127" s="250"/>
      <c r="Q127" s="751"/>
      <c r="R127" s="755"/>
      <c r="S127" s="756"/>
    </row>
    <row r="128" s="10" customFormat="1" ht="18.75" customHeight="1" spans="1:19">
      <c r="A128" s="713"/>
      <c r="B128" s="721"/>
      <c r="C128" s="556"/>
      <c r="D128" s="557"/>
      <c r="E128" s="568"/>
      <c r="F128" s="904"/>
      <c r="G128" s="973"/>
      <c r="H128" s="567"/>
      <c r="I128" s="735"/>
      <c r="J128" s="735"/>
      <c r="K128" s="597"/>
      <c r="L128" s="598"/>
      <c r="M128" s="636"/>
      <c r="N128" s="966"/>
      <c r="O128" s="743"/>
      <c r="P128" s="250"/>
      <c r="Q128" s="751"/>
      <c r="R128" s="755"/>
      <c r="S128" s="756"/>
    </row>
    <row r="129" s="10" customFormat="1" ht="18.75" customHeight="1" spans="1:19">
      <c r="A129" s="713"/>
      <c r="B129" s="721"/>
      <c r="C129" s="556"/>
      <c r="D129" s="557"/>
      <c r="E129" s="568" t="s">
        <v>243</v>
      </c>
      <c r="F129" s="904" t="s">
        <v>2528</v>
      </c>
      <c r="G129" s="953">
        <v>10000</v>
      </c>
      <c r="H129" s="567">
        <f>G129*K129</f>
        <v>71778</v>
      </c>
      <c r="I129" s="735"/>
      <c r="J129" s="735"/>
      <c r="K129" s="597">
        <v>7.1778</v>
      </c>
      <c r="L129" s="598" t="s">
        <v>1218</v>
      </c>
      <c r="M129" s="636" t="s">
        <v>621</v>
      </c>
      <c r="N129" s="975"/>
      <c r="O129" s="743" t="s">
        <v>3395</v>
      </c>
      <c r="P129" s="250"/>
      <c r="Q129" s="751"/>
      <c r="R129" s="755"/>
      <c r="S129" s="756"/>
    </row>
    <row r="130" s="10" customFormat="1" ht="18.75" customHeight="1" spans="1:19">
      <c r="A130" s="713"/>
      <c r="B130" s="721"/>
      <c r="C130" s="556"/>
      <c r="D130" s="557"/>
      <c r="E130" s="568" t="s">
        <v>1408</v>
      </c>
      <c r="F130" s="724" t="s">
        <v>2472</v>
      </c>
      <c r="G130" s="953">
        <v>30000</v>
      </c>
      <c r="H130" s="567">
        <f>G130*K130</f>
        <v>215334</v>
      </c>
      <c r="I130" s="735"/>
      <c r="J130" s="735"/>
      <c r="K130" s="597">
        <v>7.1778</v>
      </c>
      <c r="L130" s="598" t="s">
        <v>1218</v>
      </c>
      <c r="M130" s="636" t="s">
        <v>621</v>
      </c>
      <c r="N130" s="975"/>
      <c r="O130" s="743" t="s">
        <v>3395</v>
      </c>
      <c r="P130" s="250"/>
      <c r="Q130" s="751"/>
      <c r="R130" s="755"/>
      <c r="S130" s="756"/>
    </row>
    <row r="131" s="10" customFormat="1" ht="18.75" customHeight="1" spans="1:19">
      <c r="A131" s="713"/>
      <c r="B131" s="721"/>
      <c r="C131" s="556"/>
      <c r="D131" s="557"/>
      <c r="E131" s="568" t="s">
        <v>1408</v>
      </c>
      <c r="F131" s="724" t="s">
        <v>2474</v>
      </c>
      <c r="G131" s="953">
        <v>30000</v>
      </c>
      <c r="H131" s="567">
        <f>G131*K131</f>
        <v>215334</v>
      </c>
      <c r="I131" s="735"/>
      <c r="J131" s="735"/>
      <c r="K131" s="597">
        <v>7.1778</v>
      </c>
      <c r="L131" s="598" t="s">
        <v>1218</v>
      </c>
      <c r="M131" s="636" t="s">
        <v>621</v>
      </c>
      <c r="N131" s="975"/>
      <c r="O131" s="743" t="s">
        <v>3395</v>
      </c>
      <c r="P131" s="250"/>
      <c r="Q131" s="751"/>
      <c r="R131" s="755"/>
      <c r="S131" s="756"/>
    </row>
    <row r="132" s="10" customFormat="1" ht="18.75" customHeight="1" spans="1:19">
      <c r="A132" s="713"/>
      <c r="B132" s="721"/>
      <c r="C132" s="556"/>
      <c r="D132" s="557"/>
      <c r="E132" s="568" t="s">
        <v>2476</v>
      </c>
      <c r="F132" s="904" t="s">
        <v>2477</v>
      </c>
      <c r="G132" s="576">
        <v>70000</v>
      </c>
      <c r="H132" s="567"/>
      <c r="I132" s="735"/>
      <c r="J132" s="735"/>
      <c r="K132" s="597">
        <v>7.1778</v>
      </c>
      <c r="L132" s="598" t="s">
        <v>1218</v>
      </c>
      <c r="M132" s="636" t="s">
        <v>621</v>
      </c>
      <c r="N132" s="975"/>
      <c r="O132" s="743" t="s">
        <v>3395</v>
      </c>
      <c r="P132" s="250"/>
      <c r="Q132" s="751"/>
      <c r="R132" s="755"/>
      <c r="S132" s="756"/>
    </row>
    <row r="133" s="10" customFormat="1" ht="16.5" spans="1:19">
      <c r="A133" s="713"/>
      <c r="B133" s="721"/>
      <c r="C133" s="543" t="s">
        <v>1437</v>
      </c>
      <c r="D133" s="557"/>
      <c r="E133" s="542"/>
      <c r="F133" s="971"/>
      <c r="G133" s="725"/>
      <c r="H133" s="567"/>
      <c r="I133" s="577"/>
      <c r="J133" s="735"/>
      <c r="K133" s="597">
        <v>7.1778</v>
      </c>
      <c r="L133" s="708"/>
      <c r="M133" s="636"/>
      <c r="N133" s="975"/>
      <c r="O133" s="743"/>
      <c r="P133" s="623"/>
      <c r="Q133" s="655"/>
      <c r="R133" s="656"/>
      <c r="S133" s="754"/>
    </row>
    <row r="134" s="10" customFormat="1" ht="16.5" spans="1:19">
      <c r="A134" s="713"/>
      <c r="B134" s="673"/>
      <c r="C134" s="652" t="s">
        <v>1874</v>
      </c>
      <c r="D134" s="652"/>
      <c r="E134" s="652"/>
      <c r="F134" s="652"/>
      <c r="G134" s="652"/>
      <c r="H134" s="782">
        <f>SUM(H121:H133)</f>
        <v>1213048.2</v>
      </c>
      <c r="I134" s="782"/>
      <c r="J134" s="782"/>
      <c r="K134" s="614"/>
      <c r="L134" s="610"/>
      <c r="M134" s="644"/>
      <c r="N134" s="644"/>
      <c r="O134" s="985"/>
      <c r="P134" s="623"/>
      <c r="Q134" s="655"/>
      <c r="R134" s="656"/>
      <c r="S134" s="754"/>
    </row>
    <row r="135" s="536" customFormat="1" ht="38.95" customHeight="1" spans="1:19">
      <c r="A135" s="537" t="s">
        <v>1092</v>
      </c>
      <c r="B135" s="537" t="s">
        <v>1820</v>
      </c>
      <c r="C135" s="538" t="s">
        <v>1946</v>
      </c>
      <c r="D135" s="539" t="s">
        <v>1821</v>
      </c>
      <c r="E135" s="539" t="s">
        <v>1822</v>
      </c>
      <c r="F135" s="558" t="s">
        <v>1095</v>
      </c>
      <c r="G135" s="559" t="s">
        <v>362</v>
      </c>
      <c r="H135" s="560" t="s">
        <v>1716</v>
      </c>
      <c r="I135" s="560" t="s">
        <v>1717</v>
      </c>
      <c r="J135" s="560" t="s">
        <v>1718</v>
      </c>
      <c r="K135" s="594" t="s">
        <v>1096</v>
      </c>
      <c r="L135" s="595" t="s">
        <v>1098</v>
      </c>
      <c r="M135" s="619" t="s">
        <v>1097</v>
      </c>
      <c r="N135" s="619" t="s">
        <v>1214</v>
      </c>
      <c r="O135" s="986" t="s">
        <v>1215</v>
      </c>
      <c r="P135" s="621" t="s">
        <v>7</v>
      </c>
      <c r="Q135" s="652" t="s">
        <v>8</v>
      </c>
      <c r="R135" s="653" t="s">
        <v>9</v>
      </c>
      <c r="S135" s="739" t="s">
        <v>1291</v>
      </c>
    </row>
    <row r="136" s="536" customFormat="1" ht="18" customHeight="1" spans="1:19">
      <c r="A136" s="977" t="s">
        <v>1984</v>
      </c>
      <c r="B136" s="568" t="s">
        <v>1824</v>
      </c>
      <c r="C136" s="666" t="s">
        <v>1987</v>
      </c>
      <c r="D136" s="759">
        <v>272</v>
      </c>
      <c r="E136" s="250" t="s">
        <v>143</v>
      </c>
      <c r="F136" s="673" t="s">
        <v>3571</v>
      </c>
      <c r="G136" s="978">
        <v>658</v>
      </c>
      <c r="H136" s="577">
        <f>G136*K136</f>
        <v>4722.9924</v>
      </c>
      <c r="I136" s="577">
        <f>G136*K136</f>
        <v>4722.9924</v>
      </c>
      <c r="J136" s="567"/>
      <c r="K136" s="597">
        <v>7.1778</v>
      </c>
      <c r="L136" s="708"/>
      <c r="M136" s="633"/>
      <c r="N136" s="633"/>
      <c r="O136" s="935" t="s">
        <v>3572</v>
      </c>
      <c r="P136" s="987"/>
      <c r="Q136" s="655"/>
      <c r="R136" s="664"/>
      <c r="S136" s="577"/>
    </row>
    <row r="137" s="536" customFormat="1" ht="18" customHeight="1" spans="1:19">
      <c r="A137" s="775"/>
      <c r="B137" s="776"/>
      <c r="C137" s="556"/>
      <c r="D137" s="557"/>
      <c r="E137" s="579" t="s">
        <v>143</v>
      </c>
      <c r="F137" s="572" t="s">
        <v>3401</v>
      </c>
      <c r="G137" s="725"/>
      <c r="H137" s="577"/>
      <c r="I137" s="577"/>
      <c r="J137" s="567">
        <v>293416</v>
      </c>
      <c r="K137" s="614">
        <v>7.1789</v>
      </c>
      <c r="L137" s="625" t="s">
        <v>1218</v>
      </c>
      <c r="M137" s="625">
        <v>45225</v>
      </c>
      <c r="N137" s="625">
        <v>45231</v>
      </c>
      <c r="O137" s="936" t="s">
        <v>3573</v>
      </c>
      <c r="P137" s="987"/>
      <c r="Q137" s="655"/>
      <c r="R137" s="664"/>
      <c r="S137" s="577"/>
    </row>
    <row r="138" s="536" customFormat="1" ht="18" customHeight="1" spans="1:19">
      <c r="A138" s="775"/>
      <c r="B138" s="776"/>
      <c r="C138" s="556"/>
      <c r="D138" s="557"/>
      <c r="E138" s="572" t="s">
        <v>143</v>
      </c>
      <c r="F138" s="571" t="s">
        <v>3402</v>
      </c>
      <c r="G138" s="979"/>
      <c r="H138" s="577"/>
      <c r="I138" s="577"/>
      <c r="J138" s="567">
        <v>232388</v>
      </c>
      <c r="K138" s="614">
        <v>7.1789</v>
      </c>
      <c r="L138" s="625" t="s">
        <v>1218</v>
      </c>
      <c r="M138" s="625">
        <v>45227</v>
      </c>
      <c r="N138" s="988">
        <v>45234</v>
      </c>
      <c r="O138" s="989" t="s">
        <v>3573</v>
      </c>
      <c r="P138" s="987"/>
      <c r="Q138" s="655"/>
      <c r="R138" s="664"/>
      <c r="S138" s="577"/>
    </row>
    <row r="139" s="10" customFormat="1" ht="18" customHeight="1" spans="1:19">
      <c r="A139" s="775"/>
      <c r="B139" s="776"/>
      <c r="C139" s="556"/>
      <c r="D139" s="557"/>
      <c r="E139" s="250" t="s">
        <v>2530</v>
      </c>
      <c r="F139" s="250" t="s">
        <v>3574</v>
      </c>
      <c r="G139" s="596">
        <v>119683.81</v>
      </c>
      <c r="H139" s="596">
        <v>119683.81</v>
      </c>
      <c r="I139" s="577">
        <v>119684</v>
      </c>
      <c r="J139" s="603"/>
      <c r="K139" s="597"/>
      <c r="L139" s="598">
        <v>45253</v>
      </c>
      <c r="M139" s="598">
        <v>45257</v>
      </c>
      <c r="N139" s="625">
        <v>45257</v>
      </c>
      <c r="O139" s="990" t="s">
        <v>3575</v>
      </c>
      <c r="P139" s="642"/>
      <c r="Q139" s="655"/>
      <c r="R139" s="664"/>
      <c r="S139" s="577"/>
    </row>
    <row r="140" s="10" customFormat="1" ht="18" customHeight="1" spans="1:19">
      <c r="A140" s="775"/>
      <c r="B140" s="776"/>
      <c r="C140" s="664" t="s">
        <v>509</v>
      </c>
      <c r="D140" s="655">
        <v>260</v>
      </c>
      <c r="E140" s="250" t="s">
        <v>1232</v>
      </c>
      <c r="F140" s="250" t="s">
        <v>2559</v>
      </c>
      <c r="G140" s="596">
        <v>435967</v>
      </c>
      <c r="H140" s="596">
        <f>G140</f>
        <v>435967</v>
      </c>
      <c r="I140" s="596">
        <f>G140</f>
        <v>435967</v>
      </c>
      <c r="J140" s="603"/>
      <c r="K140" s="597">
        <v>7.1778</v>
      </c>
      <c r="L140" s="598">
        <v>45245</v>
      </c>
      <c r="M140" s="598">
        <v>45254</v>
      </c>
      <c r="N140" s="625">
        <v>45266</v>
      </c>
      <c r="O140" s="991" t="s">
        <v>3576</v>
      </c>
      <c r="P140" s="642"/>
      <c r="Q140" s="655"/>
      <c r="R140" s="664"/>
      <c r="S140" s="577"/>
    </row>
    <row r="141" s="10" customFormat="1" ht="18" customHeight="1" spans="1:19">
      <c r="A141" s="775"/>
      <c r="B141" s="776"/>
      <c r="C141" s="664"/>
      <c r="D141" s="655"/>
      <c r="E141" s="787" t="s">
        <v>2009</v>
      </c>
      <c r="F141" s="788" t="s">
        <v>1989</v>
      </c>
      <c r="G141" s="596">
        <v>962100</v>
      </c>
      <c r="H141" s="596">
        <f>G141</f>
        <v>962100</v>
      </c>
      <c r="I141" s="602">
        <f>G141</f>
        <v>962100</v>
      </c>
      <c r="J141" s="602">
        <f>H141</f>
        <v>962100</v>
      </c>
      <c r="K141" s="597">
        <v>7.1778</v>
      </c>
      <c r="L141" s="598">
        <v>45245</v>
      </c>
      <c r="M141" s="598">
        <v>45254</v>
      </c>
      <c r="N141" s="625">
        <v>45260</v>
      </c>
      <c r="O141" s="935" t="s">
        <v>3577</v>
      </c>
      <c r="P141" s="642"/>
      <c r="Q141" s="655"/>
      <c r="R141" s="664"/>
      <c r="S141" s="577"/>
    </row>
    <row r="142" s="10" customFormat="1" ht="18" customHeight="1" spans="1:19">
      <c r="A142" s="775"/>
      <c r="B142" s="776"/>
      <c r="C142" s="664"/>
      <c r="D142" s="655"/>
      <c r="E142" s="787" t="s">
        <v>2099</v>
      </c>
      <c r="F142" s="788" t="s">
        <v>2561</v>
      </c>
      <c r="G142" s="596">
        <v>989477</v>
      </c>
      <c r="H142" s="596">
        <v>989477</v>
      </c>
      <c r="I142" s="602">
        <f>G142</f>
        <v>989477</v>
      </c>
      <c r="J142" s="982"/>
      <c r="K142" s="597">
        <v>7.1778</v>
      </c>
      <c r="L142" s="625" t="s">
        <v>1218</v>
      </c>
      <c r="M142" s="598">
        <v>45260</v>
      </c>
      <c r="N142" s="625">
        <v>45265</v>
      </c>
      <c r="O142" s="935" t="s">
        <v>3578</v>
      </c>
      <c r="P142" s="642"/>
      <c r="Q142" s="655"/>
      <c r="R142" s="664"/>
      <c r="S142" s="577"/>
    </row>
    <row r="143" s="10" customFormat="1" ht="18" customHeight="1" spans="1:19">
      <c r="A143" s="775"/>
      <c r="B143" s="776"/>
      <c r="C143" s="664"/>
      <c r="D143" s="655"/>
      <c r="E143" s="250" t="s">
        <v>1232</v>
      </c>
      <c r="F143" s="250" t="s">
        <v>3404</v>
      </c>
      <c r="G143" s="570"/>
      <c r="H143" s="570"/>
      <c r="I143" s="570"/>
      <c r="J143" s="981">
        <v>623013</v>
      </c>
      <c r="K143" s="614">
        <v>7.1789</v>
      </c>
      <c r="L143" s="570"/>
      <c r="M143" s="570"/>
      <c r="N143" s="244" t="s">
        <v>3579</v>
      </c>
      <c r="O143" s="940"/>
      <c r="P143" s="642"/>
      <c r="Q143" s="655"/>
      <c r="R143" s="664"/>
      <c r="S143" s="577"/>
    </row>
    <row r="144" s="10" customFormat="1" ht="34" customHeight="1" spans="1:19">
      <c r="A144" s="775"/>
      <c r="B144" s="776"/>
      <c r="C144" s="664" t="s">
        <v>1393</v>
      </c>
      <c r="D144" s="655">
        <v>380</v>
      </c>
      <c r="E144" s="787" t="s">
        <v>150</v>
      </c>
      <c r="F144" s="787" t="s">
        <v>2579</v>
      </c>
      <c r="G144" s="921">
        <v>38700</v>
      </c>
      <c r="H144" s="596">
        <f t="shared" ref="H144:H150" si="10">G144*K144</f>
        <v>277780.86</v>
      </c>
      <c r="I144" s="596">
        <f t="shared" ref="I144:I150" si="11">G144*K144</f>
        <v>277780.86</v>
      </c>
      <c r="J144" s="602">
        <f>G144*K144</f>
        <v>277780.86</v>
      </c>
      <c r="K144" s="597">
        <v>7.1778</v>
      </c>
      <c r="L144" s="598">
        <v>45260</v>
      </c>
      <c r="M144" s="992">
        <v>45260</v>
      </c>
      <c r="N144" s="993">
        <v>45262</v>
      </c>
      <c r="O144" s="639" t="s">
        <v>3580</v>
      </c>
      <c r="P144" s="572"/>
      <c r="Q144" s="874"/>
      <c r="R144" s="664"/>
      <c r="S144" s="577"/>
    </row>
    <row r="145" s="10" customFormat="1" ht="33" customHeight="1" spans="1:19">
      <c r="A145" s="775"/>
      <c r="B145" s="776"/>
      <c r="C145" s="664"/>
      <c r="D145" s="655"/>
      <c r="E145" s="250" t="s">
        <v>2000</v>
      </c>
      <c r="F145" s="250" t="s">
        <v>2581</v>
      </c>
      <c r="G145" s="722">
        <v>31029</v>
      </c>
      <c r="H145" s="567">
        <f t="shared" si="10"/>
        <v>222719.9562</v>
      </c>
      <c r="I145" s="596">
        <f t="shared" si="11"/>
        <v>222719.9562</v>
      </c>
      <c r="J145" s="602">
        <f>G145*K145</f>
        <v>222719.9562</v>
      </c>
      <c r="K145" s="597">
        <v>7.1778</v>
      </c>
      <c r="L145" s="598" t="s">
        <v>1218</v>
      </c>
      <c r="M145" s="992">
        <v>45254</v>
      </c>
      <c r="N145" s="618">
        <v>45261</v>
      </c>
      <c r="O145" s="641" t="s">
        <v>3581</v>
      </c>
      <c r="P145" s="572"/>
      <c r="Q145" s="874"/>
      <c r="R145" s="664"/>
      <c r="S145" s="577"/>
    </row>
    <row r="146" s="10" customFormat="1" ht="22.65" customHeight="1" spans="1:19">
      <c r="A146" s="775"/>
      <c r="B146" s="776"/>
      <c r="C146" s="664"/>
      <c r="D146" s="655"/>
      <c r="E146" s="788" t="s">
        <v>841</v>
      </c>
      <c r="F146" s="788" t="s">
        <v>2037</v>
      </c>
      <c r="G146" s="576">
        <v>40457</v>
      </c>
      <c r="H146" s="567">
        <f t="shared" si="10"/>
        <v>290392.2546</v>
      </c>
      <c r="I146" s="577">
        <f t="shared" si="11"/>
        <v>290392.2546</v>
      </c>
      <c r="J146" s="602">
        <f>G146*K146</f>
        <v>290392.2546</v>
      </c>
      <c r="K146" s="597">
        <v>7.1778</v>
      </c>
      <c r="L146" s="598">
        <v>45260</v>
      </c>
      <c r="M146" s="818">
        <v>0.366666666666667</v>
      </c>
      <c r="N146" s="618">
        <v>45270</v>
      </c>
      <c r="O146" s="994" t="s">
        <v>3582</v>
      </c>
      <c r="P146" s="572"/>
      <c r="Q146" s="874"/>
      <c r="R146" s="664"/>
      <c r="S146" s="577"/>
    </row>
    <row r="147" s="10" customFormat="1" ht="18" customHeight="1" spans="1:19">
      <c r="A147" s="775"/>
      <c r="B147" s="776"/>
      <c r="C147" s="664"/>
      <c r="D147" s="655"/>
      <c r="E147" s="572" t="s">
        <v>1121</v>
      </c>
      <c r="F147" s="250" t="s">
        <v>3251</v>
      </c>
      <c r="G147" s="725">
        <v>42497</v>
      </c>
      <c r="H147" s="577">
        <f t="shared" si="10"/>
        <v>305034.9666</v>
      </c>
      <c r="I147" s="577">
        <f t="shared" si="11"/>
        <v>305034.9666</v>
      </c>
      <c r="J147" s="602">
        <f>I147</f>
        <v>305034.9666</v>
      </c>
      <c r="K147" s="597">
        <v>7.1778</v>
      </c>
      <c r="L147" s="625">
        <v>45247</v>
      </c>
      <c r="M147" s="598">
        <v>45247</v>
      </c>
      <c r="N147" s="618">
        <v>45251</v>
      </c>
      <c r="O147" s="935" t="s">
        <v>3583</v>
      </c>
      <c r="P147" s="572"/>
      <c r="Q147" s="874"/>
      <c r="R147" s="664"/>
      <c r="S147" s="577"/>
    </row>
    <row r="148" s="10" customFormat="1" ht="16.75" customHeight="1" spans="1:19">
      <c r="A148" s="775"/>
      <c r="B148" s="776"/>
      <c r="C148" s="664"/>
      <c r="D148" s="655"/>
      <c r="E148" s="250" t="s">
        <v>267</v>
      </c>
      <c r="F148" s="250" t="s">
        <v>2583</v>
      </c>
      <c r="G148" s="576">
        <v>40593</v>
      </c>
      <c r="H148" s="577">
        <f t="shared" si="10"/>
        <v>291368.4354</v>
      </c>
      <c r="I148" s="577">
        <f t="shared" si="11"/>
        <v>291368.4354</v>
      </c>
      <c r="J148" s="602">
        <f>G148*K148</f>
        <v>291368.4354</v>
      </c>
      <c r="K148" s="597">
        <v>7.1778</v>
      </c>
      <c r="L148" s="625">
        <v>45260</v>
      </c>
      <c r="M148" s="598">
        <v>45260</v>
      </c>
      <c r="N148" s="618">
        <v>45267</v>
      </c>
      <c r="O148" s="935" t="s">
        <v>3584</v>
      </c>
      <c r="P148" s="572"/>
      <c r="Q148" s="874"/>
      <c r="R148" s="664"/>
      <c r="S148" s="577"/>
    </row>
    <row r="149" s="10" customFormat="1" ht="16.75" customHeight="1" spans="1:19">
      <c r="A149" s="775"/>
      <c r="B149" s="776"/>
      <c r="C149" s="664"/>
      <c r="D149" s="655"/>
      <c r="E149" s="250" t="s">
        <v>1563</v>
      </c>
      <c r="F149" s="250" t="s">
        <v>3438</v>
      </c>
      <c r="G149" s="576">
        <v>28166</v>
      </c>
      <c r="H149" s="567">
        <f t="shared" si="10"/>
        <v>202169.9148</v>
      </c>
      <c r="I149" s="577">
        <f t="shared" si="11"/>
        <v>202169.9148</v>
      </c>
      <c r="J149" s="983">
        <f>G149*K149</f>
        <v>202169.9148</v>
      </c>
      <c r="K149" s="597">
        <v>7.1778</v>
      </c>
      <c r="L149" s="625">
        <v>45250</v>
      </c>
      <c r="M149" s="598">
        <v>45256</v>
      </c>
      <c r="N149" s="618">
        <v>45255</v>
      </c>
      <c r="O149" s="935" t="s">
        <v>3585</v>
      </c>
      <c r="P149" s="572"/>
      <c r="Q149" s="874"/>
      <c r="R149" s="664"/>
      <c r="S149" s="577"/>
    </row>
    <row r="150" s="10" customFormat="1" ht="16.75" customHeight="1" spans="1:19">
      <c r="A150" s="775"/>
      <c r="B150" s="776"/>
      <c r="C150" s="664"/>
      <c r="D150" s="655"/>
      <c r="E150" s="244" t="s">
        <v>261</v>
      </c>
      <c r="F150" s="244" t="s">
        <v>3586</v>
      </c>
      <c r="G150" s="576">
        <v>4712</v>
      </c>
      <c r="H150" s="577">
        <f t="shared" si="10"/>
        <v>33821.7936</v>
      </c>
      <c r="I150" s="981">
        <f t="shared" si="11"/>
        <v>33821.7936</v>
      </c>
      <c r="J150" s="984">
        <v>33822</v>
      </c>
      <c r="K150" s="597">
        <v>7.1778</v>
      </c>
      <c r="L150" s="598" t="s">
        <v>1218</v>
      </c>
      <c r="M150" s="867">
        <v>45233</v>
      </c>
      <c r="N150" s="570"/>
      <c r="O150" s="939" t="s">
        <v>3587</v>
      </c>
      <c r="P150" s="572"/>
      <c r="Q150" s="874"/>
      <c r="R150" s="664"/>
      <c r="S150" s="577"/>
    </row>
    <row r="151" s="10" customFormat="1" ht="18" customHeight="1" spans="1:19">
      <c r="A151" s="775"/>
      <c r="B151" s="776"/>
      <c r="C151" s="664"/>
      <c r="D151" s="655"/>
      <c r="E151" s="572" t="s">
        <v>150</v>
      </c>
      <c r="F151" s="250" t="s">
        <v>2041</v>
      </c>
      <c r="G151" s="725"/>
      <c r="H151" s="577"/>
      <c r="I151" s="570"/>
      <c r="J151" s="983">
        <v>258440</v>
      </c>
      <c r="K151" s="597">
        <v>7.1778</v>
      </c>
      <c r="L151" s="625"/>
      <c r="M151" s="598"/>
      <c r="N151" s="618">
        <v>45235</v>
      </c>
      <c r="O151" s="935" t="s">
        <v>3573</v>
      </c>
      <c r="P151" s="572"/>
      <c r="Q151" s="874"/>
      <c r="R151" s="664"/>
      <c r="S151" s="577"/>
    </row>
    <row r="152" s="10" customFormat="1" ht="18" customHeight="1" spans="1:19">
      <c r="A152" s="775"/>
      <c r="B152" s="776"/>
      <c r="C152" s="664"/>
      <c r="D152" s="655"/>
      <c r="E152" s="572" t="s">
        <v>2015</v>
      </c>
      <c r="F152" s="250" t="s">
        <v>2016</v>
      </c>
      <c r="G152" s="722"/>
      <c r="H152" s="577"/>
      <c r="I152" s="629"/>
      <c r="J152" s="983">
        <v>326037</v>
      </c>
      <c r="K152" s="597">
        <v>7.1778</v>
      </c>
      <c r="L152" s="625"/>
      <c r="M152" s="598"/>
      <c r="N152" s="618">
        <v>45232</v>
      </c>
      <c r="O152" s="935" t="s">
        <v>3573</v>
      </c>
      <c r="P152" s="572"/>
      <c r="Q152" s="874"/>
      <c r="R152" s="664"/>
      <c r="S152" s="577"/>
    </row>
    <row r="153" s="10" customFormat="1" ht="18" customHeight="1" spans="1:19">
      <c r="A153" s="775"/>
      <c r="B153" s="776"/>
      <c r="C153" s="664"/>
      <c r="D153" s="655"/>
      <c r="E153" s="572" t="s">
        <v>1224</v>
      </c>
      <c r="F153" s="579" t="s">
        <v>3249</v>
      </c>
      <c r="G153" s="576"/>
      <c r="H153" s="577"/>
      <c r="I153" s="577"/>
      <c r="J153" s="983">
        <v>500211</v>
      </c>
      <c r="K153" s="614">
        <v>7.1789</v>
      </c>
      <c r="L153" s="625">
        <v>45229</v>
      </c>
      <c r="M153" s="633">
        <v>45229</v>
      </c>
      <c r="N153" s="625">
        <v>45232</v>
      </c>
      <c r="O153" s="935" t="s">
        <v>3573</v>
      </c>
      <c r="P153" s="572"/>
      <c r="Q153" s="874"/>
      <c r="R153" s="664"/>
      <c r="S153" s="577"/>
    </row>
    <row r="154" s="10" customFormat="1" ht="18" customHeight="1" spans="1:19">
      <c r="A154" s="775"/>
      <c r="B154" s="776"/>
      <c r="C154" s="664"/>
      <c r="D154" s="655"/>
      <c r="E154" s="250" t="s">
        <v>2000</v>
      </c>
      <c r="F154" s="250" t="s">
        <v>3412</v>
      </c>
      <c r="H154" s="577"/>
      <c r="I154" s="570"/>
      <c r="J154" s="983">
        <v>306123</v>
      </c>
      <c r="K154" s="597">
        <v>7.1778</v>
      </c>
      <c r="L154" s="625"/>
      <c r="M154" s="598"/>
      <c r="N154" s="618">
        <v>45232</v>
      </c>
      <c r="O154" s="935" t="s">
        <v>3573</v>
      </c>
      <c r="P154" s="572"/>
      <c r="Q154" s="874"/>
      <c r="R154" s="664"/>
      <c r="S154" s="577"/>
    </row>
    <row r="155" s="10" customFormat="1" ht="18" customHeight="1" spans="1:19">
      <c r="A155" s="775"/>
      <c r="B155" s="568"/>
      <c r="C155" s="777" t="s">
        <v>1124</v>
      </c>
      <c r="D155" s="545">
        <f>D136+D140+D144</f>
        <v>912</v>
      </c>
      <c r="E155" s="980"/>
      <c r="F155" s="727"/>
      <c r="G155" s="795" t="s">
        <v>1235</v>
      </c>
      <c r="H155" s="804">
        <f>SUM(H136:H152)</f>
        <v>4135238.9836</v>
      </c>
      <c r="I155" s="804">
        <f>SUM(I136:I152)</f>
        <v>4135239.1736</v>
      </c>
      <c r="J155" s="804">
        <f>SUM(J136:J152)</f>
        <v>4318682.3876</v>
      </c>
      <c r="K155" s="597"/>
      <c r="L155" s="809"/>
      <c r="M155" s="821"/>
      <c r="N155" s="821"/>
      <c r="O155" s="995"/>
      <c r="P155" s="727"/>
      <c r="Q155" s="652"/>
      <c r="R155" s="653"/>
      <c r="S155" s="809"/>
    </row>
    <row r="156" s="10" customFormat="1" ht="18" customHeight="1" spans="1:19">
      <c r="A156" s="775"/>
      <c r="B156" s="568"/>
      <c r="C156" s="779"/>
      <c r="D156" s="547"/>
      <c r="E156" s="652"/>
      <c r="F156" s="727"/>
      <c r="G156" s="795" t="s">
        <v>1236</v>
      </c>
      <c r="H156" s="796">
        <f>H155/9120000</f>
        <v>0.453425327149123</v>
      </c>
      <c r="I156" s="796">
        <f>I155/9120000</f>
        <v>0.453425347982456</v>
      </c>
      <c r="J156" s="796">
        <f>J155/3500000</f>
        <v>1.2339092536</v>
      </c>
      <c r="K156" s="808"/>
      <c r="L156" s="809"/>
      <c r="M156" s="821"/>
      <c r="N156" s="996"/>
      <c r="P156" s="727"/>
      <c r="Q156" s="652"/>
      <c r="R156" s="653"/>
      <c r="S156" s="809"/>
    </row>
    <row r="157" s="10" customFormat="1" ht="18" customHeight="1" spans="1:19">
      <c r="A157" s="775"/>
      <c r="B157" s="553" t="s">
        <v>1820</v>
      </c>
      <c r="C157" s="554" t="s">
        <v>1946</v>
      </c>
      <c r="D157" s="555" t="s">
        <v>1821</v>
      </c>
      <c r="E157" s="555" t="s">
        <v>1822</v>
      </c>
      <c r="F157" s="588" t="s">
        <v>1095</v>
      </c>
      <c r="G157" s="589" t="s">
        <v>362</v>
      </c>
      <c r="H157" s="590" t="s">
        <v>1865</v>
      </c>
      <c r="I157" s="810" t="s">
        <v>1717</v>
      </c>
      <c r="J157" s="810" t="s">
        <v>1718</v>
      </c>
      <c r="K157" s="590" t="s">
        <v>1866</v>
      </c>
      <c r="L157" s="615" t="s">
        <v>1098</v>
      </c>
      <c r="M157" s="590" t="s">
        <v>1867</v>
      </c>
      <c r="N157" s="646"/>
      <c r="O157" s="997"/>
      <c r="P157" s="719"/>
      <c r="Q157" s="746"/>
      <c r="R157" s="719"/>
      <c r="S157" s="719"/>
    </row>
    <row r="158" s="10" customFormat="1" ht="18" customHeight="1" spans="1:19">
      <c r="A158" s="718"/>
      <c r="B158" s="541" t="s">
        <v>2386</v>
      </c>
      <c r="C158" s="250" t="s">
        <v>1987</v>
      </c>
      <c r="D158" s="545" t="s">
        <v>1125</v>
      </c>
      <c r="E158" s="572"/>
      <c r="F158" s="250"/>
      <c r="G158" s="725"/>
      <c r="H158" s="577"/>
      <c r="J158" s="567"/>
      <c r="K158" s="597">
        <v>7.1778</v>
      </c>
      <c r="L158" s="625"/>
      <c r="M158" s="598"/>
      <c r="N158" s="618"/>
      <c r="O158" s="937"/>
      <c r="P158" s="727"/>
      <c r="Q158" s="652"/>
      <c r="R158" s="727"/>
      <c r="S158" s="727"/>
    </row>
    <row r="159" s="10" customFormat="1" ht="18" customHeight="1" spans="1:19">
      <c r="A159" s="775"/>
      <c r="B159" s="541"/>
      <c r="C159" s="564" t="s">
        <v>509</v>
      </c>
      <c r="D159" s="545"/>
      <c r="E159" s="787" t="s">
        <v>2009</v>
      </c>
      <c r="F159" s="788" t="s">
        <v>2541</v>
      </c>
      <c r="G159" s="981"/>
      <c r="H159" s="596"/>
      <c r="I159" s="981"/>
      <c r="J159" s="603"/>
      <c r="K159" s="597">
        <v>7.1778</v>
      </c>
      <c r="L159" s="598">
        <v>45260</v>
      </c>
      <c r="M159" s="598"/>
      <c r="N159" s="625"/>
      <c r="O159" s="998" t="s">
        <v>3588</v>
      </c>
      <c r="P159" s="727"/>
      <c r="Q159" s="652"/>
      <c r="R159" s="727"/>
      <c r="S159" s="727"/>
    </row>
    <row r="160" s="10" customFormat="1" ht="18" customHeight="1" spans="1:19">
      <c r="A160" s="775"/>
      <c r="B160" s="541"/>
      <c r="C160" s="721"/>
      <c r="D160" s="545"/>
      <c r="E160" s="787" t="s">
        <v>2009</v>
      </c>
      <c r="F160" s="788" t="s">
        <v>2543</v>
      </c>
      <c r="G160" s="981"/>
      <c r="H160" s="596"/>
      <c r="I160" s="981"/>
      <c r="J160" s="603"/>
      <c r="K160" s="597"/>
      <c r="L160" s="598"/>
      <c r="M160" s="598"/>
      <c r="N160" s="625"/>
      <c r="O160" s="998" t="s">
        <v>3589</v>
      </c>
      <c r="P160" s="727"/>
      <c r="Q160" s="652"/>
      <c r="R160" s="727"/>
      <c r="S160" s="727"/>
    </row>
    <row r="161" s="10" customFormat="1" ht="18" customHeight="1" spans="1:19">
      <c r="A161" s="775"/>
      <c r="B161" s="776"/>
      <c r="C161" s="721"/>
      <c r="D161" s="545"/>
      <c r="E161" s="250" t="s">
        <v>1232</v>
      </c>
      <c r="F161" s="250" t="s">
        <v>2591</v>
      </c>
      <c r="G161" s="576">
        <v>41300</v>
      </c>
      <c r="H161" s="981">
        <v>296488.57</v>
      </c>
      <c r="I161" s="981"/>
      <c r="J161" s="981"/>
      <c r="K161" s="597">
        <v>7.1778</v>
      </c>
      <c r="L161" s="598" t="s">
        <v>2589</v>
      </c>
      <c r="M161" s="598"/>
      <c r="N161" s="625"/>
      <c r="O161" s="1009" t="s">
        <v>3590</v>
      </c>
      <c r="P161" s="642"/>
      <c r="Q161" s="655"/>
      <c r="R161" s="664"/>
      <c r="S161" s="577"/>
    </row>
    <row r="162" s="10" customFormat="1" ht="18" customHeight="1" spans="1:19">
      <c r="A162" s="775"/>
      <c r="B162" s="776"/>
      <c r="C162" s="721"/>
      <c r="D162" s="545"/>
      <c r="E162" s="787" t="s">
        <v>454</v>
      </c>
      <c r="F162" s="250" t="s">
        <v>2549</v>
      </c>
      <c r="G162" s="725">
        <v>39348</v>
      </c>
      <c r="H162" s="596"/>
      <c r="I162" s="851"/>
      <c r="J162" s="788"/>
      <c r="K162" s="597">
        <v>7.1778</v>
      </c>
      <c r="L162" s="598">
        <v>45285</v>
      </c>
      <c r="M162" s="602"/>
      <c r="N162" s="625"/>
      <c r="O162" s="935"/>
      <c r="P162" s="642"/>
      <c r="Q162" s="655"/>
      <c r="R162" s="664"/>
      <c r="S162" s="577"/>
    </row>
    <row r="163" s="10" customFormat="1" ht="18" customHeight="1" spans="1:19">
      <c r="A163" s="775"/>
      <c r="B163" s="776"/>
      <c r="C163" s="721"/>
      <c r="D163" s="545"/>
      <c r="E163" s="787" t="s">
        <v>768</v>
      </c>
      <c r="F163" s="250" t="s">
        <v>2546</v>
      </c>
      <c r="G163" s="1000">
        <v>30000</v>
      </c>
      <c r="H163" s="596"/>
      <c r="J163" s="788"/>
      <c r="K163" s="597">
        <v>7.1778</v>
      </c>
      <c r="L163" s="598"/>
      <c r="M163" s="602"/>
      <c r="N163" s="625"/>
      <c r="O163" s="935" t="s">
        <v>3591</v>
      </c>
      <c r="P163" s="642"/>
      <c r="Q163" s="655"/>
      <c r="R163" s="664"/>
      <c r="S163" s="577"/>
    </row>
    <row r="164" s="10" customFormat="1" ht="18" customHeight="1" spans="1:19">
      <c r="A164" s="713"/>
      <c r="B164" s="541"/>
      <c r="C164" s="564" t="s">
        <v>1393</v>
      </c>
      <c r="D164" s="545"/>
      <c r="E164" s="787" t="s">
        <v>150</v>
      </c>
      <c r="F164" s="787" t="s">
        <v>2567</v>
      </c>
      <c r="G164" s="576">
        <v>34860</v>
      </c>
      <c r="H164" s="567">
        <f>G164*K164</f>
        <v>250218.108</v>
      </c>
      <c r="I164" s="851"/>
      <c r="J164" s="788"/>
      <c r="K164" s="597">
        <v>7.1778</v>
      </c>
      <c r="L164" s="598">
        <v>45290</v>
      </c>
      <c r="M164" s="596"/>
      <c r="N164" s="605"/>
      <c r="O164" s="937" t="s">
        <v>3592</v>
      </c>
      <c r="P164" s="727"/>
      <c r="Q164" s="652"/>
      <c r="R164" s="727"/>
      <c r="S164" s="727"/>
    </row>
    <row r="165" s="10" customFormat="1" ht="18" customHeight="1" spans="1:19">
      <c r="A165" s="718"/>
      <c r="B165" s="541"/>
      <c r="C165" s="721"/>
      <c r="D165" s="545"/>
      <c r="E165" s="244" t="s">
        <v>2000</v>
      </c>
      <c r="F165" s="572" t="s">
        <v>2569</v>
      </c>
      <c r="G165" s="722">
        <v>12334</v>
      </c>
      <c r="H165" s="567">
        <f>G165*K165</f>
        <v>88530.9852</v>
      </c>
      <c r="I165" s="788"/>
      <c r="J165" s="597"/>
      <c r="K165" s="597">
        <v>7.1778</v>
      </c>
      <c r="L165" s="1006">
        <v>0.48</v>
      </c>
      <c r="M165" s="1010"/>
      <c r="N165" s="570"/>
      <c r="O165" s="937" t="s">
        <v>3593</v>
      </c>
      <c r="P165" s="727"/>
      <c r="Q165" s="652"/>
      <c r="R165" s="727"/>
      <c r="S165" s="727"/>
    </row>
    <row r="166" s="10" customFormat="1" ht="18" customHeight="1" spans="1:19">
      <c r="A166" s="718"/>
      <c r="B166" s="721"/>
      <c r="C166" s="721"/>
      <c r="D166" s="545"/>
      <c r="E166" s="244" t="s">
        <v>2000</v>
      </c>
      <c r="F166" s="787" t="s">
        <v>2571</v>
      </c>
      <c r="G166" s="722">
        <v>6774</v>
      </c>
      <c r="H166" s="567">
        <f>G166*K166</f>
        <v>48622.4172</v>
      </c>
      <c r="I166" s="839"/>
      <c r="J166" s="597"/>
      <c r="K166" s="597">
        <v>7.1778</v>
      </c>
      <c r="L166" s="598">
        <v>45285</v>
      </c>
      <c r="M166" s="1011"/>
      <c r="N166" s="570"/>
      <c r="O166" s="937"/>
      <c r="P166" s="727"/>
      <c r="Q166" s="652"/>
      <c r="R166" s="727"/>
      <c r="S166" s="727"/>
    </row>
    <row r="167" s="10" customFormat="1" ht="18" customHeight="1" spans="1:19">
      <c r="A167" s="775"/>
      <c r="B167" s="541"/>
      <c r="C167" s="721"/>
      <c r="D167" s="545"/>
      <c r="E167" s="572" t="s">
        <v>1224</v>
      </c>
      <c r="F167" s="579" t="s">
        <v>2577</v>
      </c>
      <c r="G167" s="722">
        <v>33445</v>
      </c>
      <c r="H167" s="567">
        <f>G167*K167</f>
        <v>240061.521</v>
      </c>
      <c r="I167" s="839"/>
      <c r="J167" s="839"/>
      <c r="K167" s="597">
        <v>7.1778</v>
      </c>
      <c r="L167" s="598">
        <v>45280</v>
      </c>
      <c r="M167" s="612"/>
      <c r="N167" s="863"/>
      <c r="O167" s="997" t="s">
        <v>3594</v>
      </c>
      <c r="P167" s="727"/>
      <c r="Q167" s="652"/>
      <c r="R167" s="727"/>
      <c r="S167" s="727"/>
    </row>
    <row r="168" s="10" customFormat="1" ht="18" customHeight="1" spans="1:19">
      <c r="A168" s="775"/>
      <c r="B168" s="541"/>
      <c r="C168" s="545"/>
      <c r="D168" s="545"/>
      <c r="P168" s="727"/>
      <c r="Q168" s="652"/>
      <c r="R168" s="727"/>
      <c r="S168" s="727"/>
    </row>
    <row r="169" s="10" customFormat="1" ht="18" customHeight="1" spans="1:19">
      <c r="A169" s="775"/>
      <c r="B169" s="672"/>
      <c r="C169" s="716" t="s">
        <v>1874</v>
      </c>
      <c r="D169" s="716"/>
      <c r="E169" s="716"/>
      <c r="F169" s="716"/>
      <c r="G169" s="716"/>
      <c r="H169" s="804">
        <f ca="1">SUM(H158:H175)</f>
        <v>1152451.5334</v>
      </c>
      <c r="I169" s="567"/>
      <c r="J169" s="570"/>
      <c r="K169" s="597">
        <v>7.1778</v>
      </c>
      <c r="L169" s="598"/>
      <c r="M169" s="598"/>
      <c r="N169" s="863"/>
      <c r="O169" s="997"/>
      <c r="P169" s="727"/>
      <c r="Q169" s="652"/>
      <c r="R169" s="727"/>
      <c r="S169" s="727"/>
    </row>
    <row r="170" s="10" customFormat="1" ht="18" customHeight="1" spans="1:19">
      <c r="A170" s="718"/>
      <c r="B170" s="721" t="s">
        <v>1875</v>
      </c>
      <c r="C170" s="564" t="s">
        <v>1987</v>
      </c>
      <c r="D170" s="545" t="s">
        <v>1125</v>
      </c>
      <c r="E170" s="741" t="s">
        <v>143</v>
      </c>
      <c r="F170" s="250"/>
      <c r="G170" s="953">
        <v>90000</v>
      </c>
      <c r="H170" s="567">
        <f>G170*K170</f>
        <v>646002</v>
      </c>
      <c r="I170" s="596"/>
      <c r="J170" s="744"/>
      <c r="K170" s="597">
        <v>7.1778</v>
      </c>
      <c r="L170" s="625"/>
      <c r="M170" s="598"/>
      <c r="N170" s="863"/>
      <c r="O170" s="937" t="s">
        <v>3595</v>
      </c>
      <c r="P170" s="727"/>
      <c r="Q170" s="652"/>
      <c r="R170" s="727"/>
      <c r="S170" s="727"/>
    </row>
    <row r="171" s="10" customFormat="1" ht="18" customHeight="1" spans="1:19">
      <c r="A171" s="775"/>
      <c r="B171" s="721"/>
      <c r="C171" s="721"/>
      <c r="D171" s="545"/>
      <c r="E171" s="1001" t="s">
        <v>3596</v>
      </c>
      <c r="F171" s="788"/>
      <c r="G171" s="953">
        <v>63000</v>
      </c>
      <c r="H171" s="567">
        <f>G171*K171</f>
        <v>452201.4</v>
      </c>
      <c r="I171" s="851"/>
      <c r="J171" s="788"/>
      <c r="K171" s="597">
        <v>7.1778</v>
      </c>
      <c r="L171" s="856"/>
      <c r="M171" s="596"/>
      <c r="N171" s="605"/>
      <c r="O171" s="994"/>
      <c r="P171" s="727"/>
      <c r="Q171" s="652"/>
      <c r="R171" s="727"/>
      <c r="S171" s="727"/>
    </row>
    <row r="172" s="10" customFormat="1" ht="18" customHeight="1" spans="1:19">
      <c r="A172" s="775"/>
      <c r="B172" s="721"/>
      <c r="C172" s="250" t="s">
        <v>509</v>
      </c>
      <c r="D172" s="545"/>
      <c r="E172" s="787" t="s">
        <v>3427</v>
      </c>
      <c r="F172" s="788"/>
      <c r="G172" s="1002">
        <v>186187</v>
      </c>
      <c r="H172" s="567">
        <f t="shared" ref="H172:H179" si="12">G172*K172</f>
        <v>1336413.0486</v>
      </c>
      <c r="I172" s="851"/>
      <c r="J172" s="788"/>
      <c r="K172" s="597">
        <v>7.1778</v>
      </c>
      <c r="L172" s="856"/>
      <c r="M172" s="596"/>
      <c r="N172" s="605"/>
      <c r="O172" s="994" t="s">
        <v>3597</v>
      </c>
      <c r="P172" s="727"/>
      <c r="Q172" s="652"/>
      <c r="R172" s="727"/>
      <c r="S172" s="727"/>
    </row>
    <row r="173" s="10" customFormat="1" ht="18" customHeight="1" spans="1:19">
      <c r="A173" s="775"/>
      <c r="B173" s="721"/>
      <c r="C173" s="250"/>
      <c r="D173" s="545"/>
      <c r="E173" s="788" t="s">
        <v>1232</v>
      </c>
      <c r="F173" s="788"/>
      <c r="G173" s="1002"/>
      <c r="H173" s="567">
        <f t="shared" si="12"/>
        <v>0</v>
      </c>
      <c r="I173" s="851"/>
      <c r="J173" s="788"/>
      <c r="K173" s="597">
        <v>7.1778</v>
      </c>
      <c r="L173" s="856"/>
      <c r="M173" s="596"/>
      <c r="N173" s="605"/>
      <c r="O173" s="994" t="s">
        <v>3598</v>
      </c>
      <c r="P173" s="727"/>
      <c r="Q173" s="652"/>
      <c r="R173" s="727"/>
      <c r="S173" s="727"/>
    </row>
    <row r="174" s="10" customFormat="1" ht="18" customHeight="1" spans="1:19">
      <c r="A174" s="775"/>
      <c r="B174" s="721"/>
      <c r="C174" s="250"/>
      <c r="D174" s="545"/>
      <c r="E174" s="1003" t="s">
        <v>2099</v>
      </c>
      <c r="F174" s="1004"/>
      <c r="G174" s="951">
        <v>86436</v>
      </c>
      <c r="H174" s="567">
        <f t="shared" si="12"/>
        <v>620420.3208</v>
      </c>
      <c r="I174" s="851"/>
      <c r="J174" s="788"/>
      <c r="K174" s="597">
        <v>7.1778</v>
      </c>
      <c r="L174" s="856"/>
      <c r="M174" s="596"/>
      <c r="N174" s="605"/>
      <c r="O174" s="994" t="s">
        <v>3599</v>
      </c>
      <c r="P174" s="727"/>
      <c r="Q174" s="652"/>
      <c r="R174" s="727"/>
      <c r="S174" s="727"/>
    </row>
    <row r="175" s="10" customFormat="1" ht="18" customHeight="1" spans="1:19">
      <c r="A175" s="775"/>
      <c r="B175" s="721"/>
      <c r="C175" s="250"/>
      <c r="D175" s="545"/>
      <c r="E175" s="787" t="s">
        <v>2099</v>
      </c>
      <c r="G175" s="953">
        <v>37668</v>
      </c>
      <c r="H175" s="567">
        <f t="shared" si="12"/>
        <v>270373.3704</v>
      </c>
      <c r="I175" s="851"/>
      <c r="J175" s="788"/>
      <c r="K175" s="597">
        <v>7.1778</v>
      </c>
      <c r="L175" s="856"/>
      <c r="M175" s="596"/>
      <c r="N175" s="605"/>
      <c r="O175" s="994" t="s">
        <v>3600</v>
      </c>
      <c r="P175" s="727"/>
      <c r="Q175" s="652"/>
      <c r="R175" s="727"/>
      <c r="S175" s="727"/>
    </row>
    <row r="176" s="10" customFormat="1" ht="20.65" customHeight="1" spans="1:19">
      <c r="A176" s="718"/>
      <c r="B176" s="721"/>
      <c r="C176" s="721"/>
      <c r="D176" s="545"/>
      <c r="E176" s="787" t="s">
        <v>3434</v>
      </c>
      <c r="F176" s="788"/>
      <c r="G176" s="652"/>
      <c r="H176" s="567">
        <f t="shared" si="12"/>
        <v>0</v>
      </c>
      <c r="I176" s="853"/>
      <c r="K176" s="597">
        <v>7.1778</v>
      </c>
      <c r="L176" s="856"/>
      <c r="M176" s="596"/>
      <c r="N176" s="605"/>
      <c r="O176" s="994" t="s">
        <v>3601</v>
      </c>
      <c r="P176" s="727"/>
      <c r="Q176" s="652"/>
      <c r="R176" s="727"/>
      <c r="S176" s="727"/>
    </row>
    <row r="177" s="10" customFormat="1" ht="16.5" spans="1:19">
      <c r="A177" s="828"/>
      <c r="B177" s="721"/>
      <c r="C177" s="721"/>
      <c r="D177" s="545"/>
      <c r="E177" s="840" t="s">
        <v>1224</v>
      </c>
      <c r="F177" s="716" t="s">
        <v>3436</v>
      </c>
      <c r="G177" s="953">
        <v>40000</v>
      </c>
      <c r="H177" s="567">
        <f t="shared" si="12"/>
        <v>287112</v>
      </c>
      <c r="I177" s="1007"/>
      <c r="J177" s="839"/>
      <c r="K177" s="597">
        <v>7.1778</v>
      </c>
      <c r="L177" s="854"/>
      <c r="M177" s="854"/>
      <c r="N177" s="863"/>
      <c r="O177" s="1012" t="s">
        <v>3602</v>
      </c>
      <c r="P177" s="727"/>
      <c r="Q177" s="652"/>
      <c r="R177" s="727"/>
      <c r="S177" s="727"/>
    </row>
    <row r="178" s="10" customFormat="1" ht="18" customHeight="1" spans="1:19">
      <c r="A178" s="718"/>
      <c r="B178" s="721"/>
      <c r="C178" s="721"/>
      <c r="D178" s="545"/>
      <c r="E178" s="716" t="s">
        <v>451</v>
      </c>
      <c r="F178" s="716"/>
      <c r="G178" s="953">
        <v>30000</v>
      </c>
      <c r="H178" s="567">
        <f t="shared" si="12"/>
        <v>215334</v>
      </c>
      <c r="I178" s="853"/>
      <c r="J178" s="804"/>
      <c r="K178" s="597">
        <v>7.1778</v>
      </c>
      <c r="L178" s="854"/>
      <c r="M178" s="854"/>
      <c r="N178" s="863"/>
      <c r="O178" s="1013" t="s">
        <v>3603</v>
      </c>
      <c r="P178" s="727"/>
      <c r="Q178" s="652"/>
      <c r="R178" s="727"/>
      <c r="S178" s="727"/>
    </row>
    <row r="179" s="10" customFormat="1" ht="18" customHeight="1" spans="1:19">
      <c r="A179" s="828"/>
      <c r="B179" s="721"/>
      <c r="C179" s="721"/>
      <c r="D179" s="545"/>
      <c r="E179" s="716" t="s">
        <v>2595</v>
      </c>
      <c r="F179" s="716" t="s">
        <v>2596</v>
      </c>
      <c r="G179" s="953">
        <v>36690</v>
      </c>
      <c r="H179" s="567">
        <f t="shared" si="12"/>
        <v>263353.482</v>
      </c>
      <c r="I179" s="853"/>
      <c r="J179" s="804"/>
      <c r="K179" s="597">
        <v>7.1778</v>
      </c>
      <c r="L179" s="854"/>
      <c r="M179" s="854"/>
      <c r="N179" s="863"/>
      <c r="O179" s="1013" t="s">
        <v>3604</v>
      </c>
      <c r="P179" s="727"/>
      <c r="Q179" s="652"/>
      <c r="R179" s="727"/>
      <c r="S179" s="727"/>
    </row>
    <row r="180" s="10" customFormat="1" ht="18" customHeight="1" spans="1:19">
      <c r="A180" s="828"/>
      <c r="B180" s="721"/>
      <c r="C180" s="721"/>
      <c r="D180" s="545"/>
      <c r="E180" s="716" t="s">
        <v>2595</v>
      </c>
      <c r="F180" s="716" t="s">
        <v>2601</v>
      </c>
      <c r="G180" s="953"/>
      <c r="H180" s="567"/>
      <c r="I180" s="853"/>
      <c r="J180" s="804"/>
      <c r="K180" s="597"/>
      <c r="L180" s="854"/>
      <c r="M180" s="854"/>
      <c r="N180" s="863"/>
      <c r="O180" s="1013"/>
      <c r="P180" s="727"/>
      <c r="Q180" s="652"/>
      <c r="R180" s="727"/>
      <c r="S180" s="727"/>
    </row>
    <row r="181" s="10" customFormat="1" ht="18" customHeight="1" spans="1:19">
      <c r="A181" s="828"/>
      <c r="B181" s="721"/>
      <c r="C181" s="721"/>
      <c r="D181" s="545"/>
      <c r="E181" s="716" t="s">
        <v>327</v>
      </c>
      <c r="F181" s="716" t="s">
        <v>2593</v>
      </c>
      <c r="G181" s="953">
        <v>21162</v>
      </c>
      <c r="H181" s="567">
        <f>G181*K181</f>
        <v>151896.6036</v>
      </c>
      <c r="I181" s="853"/>
      <c r="J181" s="804"/>
      <c r="K181" s="597">
        <v>7.1778</v>
      </c>
      <c r="L181" s="854"/>
      <c r="M181" s="854"/>
      <c r="N181" s="863"/>
      <c r="O181" s="1013" t="s">
        <v>3605</v>
      </c>
      <c r="P181" s="727"/>
      <c r="Q181" s="652"/>
      <c r="R181" s="727"/>
      <c r="S181" s="727"/>
    </row>
    <row r="182" s="10" customFormat="1" ht="18" customHeight="1" spans="1:19">
      <c r="A182" s="828"/>
      <c r="B182" s="721"/>
      <c r="C182" s="721"/>
      <c r="D182" s="545"/>
      <c r="E182" s="655" t="s">
        <v>261</v>
      </c>
      <c r="F182" s="840" t="s">
        <v>2604</v>
      </c>
      <c r="G182" s="953">
        <v>26183</v>
      </c>
      <c r="H182" s="567"/>
      <c r="I182" s="1007"/>
      <c r="J182" s="839"/>
      <c r="K182" s="597">
        <v>7.1778</v>
      </c>
      <c r="L182" s="598" t="s">
        <v>1218</v>
      </c>
      <c r="M182" s="598"/>
      <c r="N182" s="618"/>
      <c r="O182" s="1014" t="s">
        <v>3606</v>
      </c>
      <c r="P182" s="727"/>
      <c r="Q182" s="652"/>
      <c r="R182" s="727"/>
      <c r="S182" s="727"/>
    </row>
    <row r="183" s="10" customFormat="1" ht="23.75" customHeight="1" spans="1:19">
      <c r="A183" s="828"/>
      <c r="B183" s="721"/>
      <c r="C183" s="721"/>
      <c r="D183" s="545"/>
      <c r="E183" s="716" t="s">
        <v>258</v>
      </c>
      <c r="F183" s="716"/>
      <c r="G183" s="576"/>
      <c r="H183" s="567"/>
      <c r="I183" s="853"/>
      <c r="J183" s="804"/>
      <c r="K183" s="597"/>
      <c r="L183" s="854"/>
      <c r="M183" s="854"/>
      <c r="N183" s="863"/>
      <c r="O183" s="1013" t="s">
        <v>3607</v>
      </c>
      <c r="P183" s="727"/>
      <c r="Q183" s="652"/>
      <c r="R183" s="727"/>
      <c r="S183" s="727"/>
    </row>
    <row r="184" s="10" customFormat="1" ht="34.65" customHeight="1" spans="1:19">
      <c r="A184" s="828"/>
      <c r="B184" s="721"/>
      <c r="C184" s="721"/>
      <c r="D184" s="545"/>
      <c r="E184" s="716" t="s">
        <v>3608</v>
      </c>
      <c r="F184" s="716"/>
      <c r="G184" s="722"/>
      <c r="H184" s="804"/>
      <c r="I184" s="853"/>
      <c r="J184" s="804"/>
      <c r="K184" s="597"/>
      <c r="L184" s="854"/>
      <c r="M184" s="854"/>
      <c r="N184" s="863"/>
      <c r="O184" s="740" t="s">
        <v>3609</v>
      </c>
      <c r="P184" s="727"/>
      <c r="Q184" s="652"/>
      <c r="R184" s="727"/>
      <c r="S184" s="727"/>
    </row>
    <row r="185" s="10" customFormat="1" ht="25.85" customHeight="1" spans="1:19">
      <c r="A185" s="828"/>
      <c r="B185" s="721"/>
      <c r="C185" s="721"/>
      <c r="D185" s="545"/>
      <c r="E185" s="716" t="s">
        <v>3610</v>
      </c>
      <c r="F185" s="652"/>
      <c r="G185" s="652"/>
      <c r="H185" s="804"/>
      <c r="I185" s="853"/>
      <c r="J185" s="804"/>
      <c r="K185" s="928"/>
      <c r="L185" s="854"/>
      <c r="M185" s="854"/>
      <c r="N185" s="863"/>
      <c r="O185" s="1013" t="s">
        <v>3611</v>
      </c>
      <c r="P185" s="727"/>
      <c r="Q185" s="652"/>
      <c r="R185" s="727"/>
      <c r="S185" s="727"/>
    </row>
    <row r="186" s="10" customFormat="1" ht="16.5" spans="1:19">
      <c r="A186" s="828"/>
      <c r="B186" s="673"/>
      <c r="C186" s="652" t="s">
        <v>1874</v>
      </c>
      <c r="D186" s="652"/>
      <c r="E186" s="652"/>
      <c r="F186" s="652"/>
      <c r="G186" s="652"/>
      <c r="H186" s="804">
        <f>SUM(H170:H184)</f>
        <v>4243106.2254</v>
      </c>
      <c r="I186" s="804"/>
      <c r="J186" s="804"/>
      <c r="K186" s="928"/>
      <c r="L186" s="854"/>
      <c r="M186" s="854"/>
      <c r="N186" s="863"/>
      <c r="O186" s="1013"/>
      <c r="P186" s="727"/>
      <c r="Q186" s="652"/>
      <c r="R186" s="727"/>
      <c r="S186" s="727"/>
    </row>
    <row r="187" s="536" customFormat="1" ht="9.6" customHeight="1" spans="1:19">
      <c r="A187" s="999"/>
      <c r="B187" s="999"/>
      <c r="C187" s="780"/>
      <c r="D187" s="652"/>
      <c r="E187" s="652"/>
      <c r="F187" s="727"/>
      <c r="G187" s="727"/>
      <c r="H187" s="804"/>
      <c r="I187" s="804"/>
      <c r="J187" s="804"/>
      <c r="K187" s="727"/>
      <c r="L187" s="727"/>
      <c r="M187" s="854"/>
      <c r="N187" s="863"/>
      <c r="O187" s="997"/>
      <c r="P187" s="727"/>
      <c r="Q187" s="652"/>
      <c r="R187" s="727"/>
      <c r="S187" s="727"/>
    </row>
    <row r="188" s="10" customFormat="1" ht="16.5" spans="1:19">
      <c r="A188" s="738" t="s">
        <v>2044</v>
      </c>
      <c r="B188" s="780"/>
      <c r="C188" s="780"/>
      <c r="D188" s="652">
        <f t="shared" ref="D188:J188" si="13">D24+D100+D155</f>
        <v>2171</v>
      </c>
      <c r="E188" s="652"/>
      <c r="F188" s="727"/>
      <c r="G188" s="727" t="s">
        <v>1235</v>
      </c>
      <c r="H188" s="804">
        <f t="shared" si="13"/>
        <v>15172915.694378</v>
      </c>
      <c r="I188" s="804">
        <f t="shared" si="13"/>
        <v>15172916.141078</v>
      </c>
      <c r="J188" s="804">
        <f t="shared" si="13"/>
        <v>12745681.0187</v>
      </c>
      <c r="K188" s="727"/>
      <c r="L188" s="727"/>
      <c r="M188" s="854"/>
      <c r="N188" s="854"/>
      <c r="O188" s="1015"/>
      <c r="P188" s="727"/>
      <c r="Q188" s="652"/>
      <c r="R188" s="727"/>
      <c r="S188" s="727"/>
    </row>
    <row r="189" s="10" customFormat="1" ht="16.5" spans="1:19">
      <c r="A189" s="780"/>
      <c r="B189" s="780"/>
      <c r="C189" s="780"/>
      <c r="D189" s="652"/>
      <c r="E189" s="652"/>
      <c r="F189" s="727"/>
      <c r="G189" s="727" t="s">
        <v>1236</v>
      </c>
      <c r="H189" s="796">
        <f>H188/(D188*10000)</f>
        <v>0.698890635392814</v>
      </c>
      <c r="I189" s="796">
        <f>I188/(D188*10000)</f>
        <v>0.698890655968586</v>
      </c>
      <c r="J189" s="796">
        <f>J188/(D188*10000)</f>
        <v>0.58708802481345</v>
      </c>
      <c r="K189" s="727"/>
      <c r="L189" s="727"/>
      <c r="M189" s="854"/>
      <c r="N189" s="854"/>
      <c r="O189" s="1015"/>
      <c r="P189" s="727"/>
      <c r="Q189" s="727"/>
      <c r="R189" s="727"/>
      <c r="S189" s="727"/>
    </row>
    <row r="190" s="10" customFormat="1" ht="16.5" spans="1:19">
      <c r="A190" s="536"/>
      <c r="B190" s="536"/>
      <c r="C190" s="836"/>
      <c r="D190" s="837"/>
      <c r="E190" s="837"/>
      <c r="F190" s="836"/>
      <c r="G190" s="836"/>
      <c r="H190" s="850"/>
      <c r="I190" s="850"/>
      <c r="J190" s="850"/>
      <c r="K190" s="836"/>
      <c r="L190" s="836"/>
      <c r="M190" s="870"/>
      <c r="N190" s="870"/>
      <c r="O190" s="1016"/>
      <c r="P190" s="836"/>
      <c r="Q190" s="837"/>
      <c r="R190" s="836"/>
      <c r="S190" s="836"/>
    </row>
    <row r="191" s="10" customFormat="1" ht="16.5" spans="1:19">
      <c r="A191" s="536"/>
      <c r="B191" s="536"/>
      <c r="C191" s="836"/>
      <c r="D191" s="837"/>
      <c r="E191" s="837"/>
      <c r="F191" s="836"/>
      <c r="G191" s="836"/>
      <c r="H191" s="850"/>
      <c r="I191" s="850"/>
      <c r="J191" s="850"/>
      <c r="K191" s="836"/>
      <c r="L191" s="836"/>
      <c r="M191" s="870"/>
      <c r="N191" s="870"/>
      <c r="O191" s="1016"/>
      <c r="P191" s="836"/>
      <c r="Q191" s="837"/>
      <c r="R191" s="836"/>
      <c r="S191" s="836"/>
    </row>
    <row r="192" s="10" customFormat="1" ht="17.25" spans="1:19">
      <c r="A192" s="536"/>
      <c r="B192" s="536"/>
      <c r="C192" s="836"/>
      <c r="D192" s="837"/>
      <c r="E192" s="837"/>
      <c r="F192" s="836"/>
      <c r="G192" s="1005" t="s">
        <v>3612</v>
      </c>
      <c r="H192" s="880"/>
      <c r="I192" s="880"/>
      <c r="J192" s="1008">
        <f>H188</f>
        <v>15172915.694378</v>
      </c>
      <c r="K192" s="836"/>
      <c r="L192" s="836"/>
      <c r="M192" s="870"/>
      <c r="N192" s="870"/>
      <c r="O192" s="1016"/>
      <c r="P192" s="836"/>
      <c r="Q192" s="837"/>
      <c r="R192" s="836"/>
      <c r="S192" s="836"/>
    </row>
    <row r="193" s="10" customFormat="1" ht="17.25" spans="1:19">
      <c r="A193" s="875" t="s">
        <v>1814</v>
      </c>
      <c r="B193" s="875"/>
      <c r="C193" s="875"/>
      <c r="D193" s="875"/>
      <c r="E193" s="875"/>
      <c r="F193" s="881"/>
      <c r="G193" s="1017" t="s">
        <v>3613</v>
      </c>
      <c r="H193" s="1018"/>
      <c r="I193" s="1018"/>
      <c r="J193" s="1019" t="e">
        <f>#REF!</f>
        <v>#REF!</v>
      </c>
      <c r="K193" s="836"/>
      <c r="L193" s="836"/>
      <c r="M193" s="870"/>
      <c r="N193" s="870"/>
      <c r="O193" s="1016"/>
      <c r="P193" s="894"/>
      <c r="Q193" s="837"/>
      <c r="R193" s="836"/>
      <c r="S193" s="836"/>
    </row>
    <row r="194" s="10" customFormat="1" ht="17.25" spans="1:19">
      <c r="A194" s="875" t="s">
        <v>2045</v>
      </c>
      <c r="B194" s="875"/>
      <c r="C194" s="875"/>
      <c r="D194" s="875"/>
      <c r="E194" s="875"/>
      <c r="F194" s="875"/>
      <c r="G194" s="886" t="s">
        <v>3614</v>
      </c>
      <c r="J194" s="1020"/>
      <c r="K194" s="836"/>
      <c r="L194" s="836"/>
      <c r="M194" s="870"/>
      <c r="N194" s="870"/>
      <c r="O194" s="1016"/>
      <c r="P194" s="894"/>
      <c r="Q194" s="837"/>
      <c r="R194" s="836"/>
      <c r="S194" s="836"/>
    </row>
    <row r="195" s="10" customFormat="1" ht="17.25" spans="1:19">
      <c r="A195" s="875" t="s">
        <v>2046</v>
      </c>
      <c r="B195" s="875"/>
      <c r="C195" s="875"/>
      <c r="D195" s="875"/>
      <c r="E195" s="875"/>
      <c r="F195" s="875"/>
      <c r="G195" s="1017" t="s">
        <v>3615</v>
      </c>
      <c r="H195" s="1018" t="s">
        <v>3616</v>
      </c>
      <c r="I195" s="1018"/>
      <c r="J195" s="1019">
        <v>72790000</v>
      </c>
      <c r="K195" s="892"/>
      <c r="L195" s="836"/>
      <c r="M195" s="870"/>
      <c r="N195" s="870"/>
      <c r="O195" s="1016"/>
      <c r="P195" s="894"/>
      <c r="Q195" s="837"/>
      <c r="R195" s="836"/>
      <c r="S195" s="836"/>
    </row>
    <row r="196" s="10" customFormat="1" ht="17.25" spans="1:19">
      <c r="A196" s="875" t="s">
        <v>2047</v>
      </c>
      <c r="B196" s="875"/>
      <c r="C196" s="875"/>
      <c r="D196" s="875"/>
      <c r="E196" s="875"/>
      <c r="F196" s="875"/>
      <c r="G196" s="886" t="s">
        <v>3617</v>
      </c>
      <c r="H196" s="850"/>
      <c r="I196" s="850"/>
      <c r="J196" s="1020">
        <v>6120000</v>
      </c>
      <c r="K196" s="836"/>
      <c r="L196" s="836"/>
      <c r="M196" s="870"/>
      <c r="N196" s="870"/>
      <c r="O196" s="1016"/>
      <c r="P196" s="894"/>
      <c r="Q196" s="837"/>
      <c r="R196" s="836"/>
      <c r="S196" s="836"/>
    </row>
    <row r="197" s="10" customFormat="1" ht="17.25" spans="1:19">
      <c r="A197" s="875"/>
      <c r="B197" s="875"/>
      <c r="C197" s="875"/>
      <c r="D197" s="875"/>
      <c r="E197" s="875"/>
      <c r="F197" s="875"/>
      <c r="G197" s="886"/>
      <c r="H197" s="850"/>
      <c r="I197" s="850"/>
      <c r="J197" s="1020"/>
      <c r="K197" s="836"/>
      <c r="L197" s="836"/>
      <c r="M197" s="870"/>
      <c r="N197" s="870"/>
      <c r="O197" s="1016"/>
      <c r="P197" s="894"/>
      <c r="Q197" s="837"/>
      <c r="R197" s="836"/>
      <c r="S197" s="836"/>
    </row>
    <row r="198" s="10" customFormat="1" ht="17.25" spans="1:19">
      <c r="A198" s="875"/>
      <c r="B198" s="875"/>
      <c r="C198" s="875"/>
      <c r="D198" s="875"/>
      <c r="E198" s="875"/>
      <c r="F198" s="875"/>
      <c r="G198" s="886"/>
      <c r="H198" s="850"/>
      <c r="I198" s="850"/>
      <c r="J198" s="1020"/>
      <c r="K198" s="836"/>
      <c r="L198" s="836"/>
      <c r="M198" s="870"/>
      <c r="N198" s="870"/>
      <c r="O198" s="1016"/>
      <c r="P198" s="894"/>
      <c r="Q198" s="837"/>
      <c r="R198" s="836"/>
      <c r="S198" s="836"/>
    </row>
    <row r="199" s="10" customFormat="1" ht="17.25" spans="1:19">
      <c r="A199" s="875"/>
      <c r="B199" s="875"/>
      <c r="C199" s="876"/>
      <c r="D199" s="876"/>
      <c r="E199" s="876"/>
      <c r="F199" s="876"/>
      <c r="G199" s="1017" t="s">
        <v>2616</v>
      </c>
      <c r="H199" s="1018"/>
      <c r="I199" s="1018"/>
      <c r="J199" s="1019" t="e">
        <f>120000000-J192-J193-J195-J196</f>
        <v>#REF!</v>
      </c>
      <c r="K199" s="893"/>
      <c r="L199" s="893"/>
      <c r="M199" s="870"/>
      <c r="N199" s="870"/>
      <c r="O199" s="1021"/>
      <c r="P199" s="894"/>
      <c r="Q199" s="837"/>
      <c r="R199" s="893"/>
      <c r="S199" s="893"/>
    </row>
    <row r="200" ht="17.25" spans="1:19">
      <c r="A200" s="875"/>
      <c r="B200" s="875"/>
      <c r="C200" s="876"/>
      <c r="D200" s="876"/>
      <c r="E200" s="876"/>
      <c r="F200" s="876"/>
      <c r="G200" s="886" t="s">
        <v>2617</v>
      </c>
      <c r="H200" s="850"/>
      <c r="I200" s="850"/>
      <c r="J200" s="1020" t="e">
        <f>145000000-J192-J193-J195-J196</f>
        <v>#REF!</v>
      </c>
      <c r="K200" s="877"/>
      <c r="L200" s="877"/>
      <c r="M200" s="896"/>
      <c r="N200" s="896"/>
      <c r="O200" s="887"/>
      <c r="P200" s="876"/>
      <c r="Q200" s="878"/>
      <c r="R200" s="877"/>
      <c r="S200" s="877"/>
    </row>
    <row r="201" ht="16.5" spans="1:19">
      <c r="A201" s="417"/>
      <c r="B201" s="417"/>
      <c r="C201" s="877"/>
      <c r="D201" s="878"/>
      <c r="E201" s="878"/>
      <c r="F201" s="877"/>
      <c r="G201" s="887"/>
      <c r="H201" s="850"/>
      <c r="I201" s="850"/>
      <c r="J201" s="850"/>
      <c r="K201" s="877"/>
      <c r="L201" s="877"/>
      <c r="M201" s="896"/>
      <c r="N201" s="896"/>
      <c r="O201" s="887"/>
      <c r="P201" s="877"/>
      <c r="Q201" s="878"/>
      <c r="R201" s="877"/>
      <c r="S201" s="877"/>
    </row>
    <row r="202" ht="16.5" spans="1:19">
      <c r="A202" s="417"/>
      <c r="B202" s="417"/>
      <c r="C202" s="417"/>
      <c r="D202" s="879"/>
      <c r="E202" s="879"/>
      <c r="F202" s="417"/>
      <c r="G202" s="888"/>
      <c r="H202" s="880"/>
      <c r="I202" s="880"/>
      <c r="J202" s="880"/>
      <c r="K202" s="417"/>
      <c r="L202" s="417"/>
      <c r="M202" s="898"/>
      <c r="N202" s="898"/>
      <c r="O202" s="888"/>
      <c r="P202" s="417"/>
      <c r="Q202" s="900"/>
      <c r="R202" s="417"/>
      <c r="S202" s="417"/>
    </row>
    <row r="203" spans="7:7">
      <c r="G203" s="12"/>
    </row>
    <row r="204" spans="12:12">
      <c r="L204" s="265"/>
    </row>
  </sheetData>
  <sheetProtection formatCells="0" insertHyperlinks="0" autoFilter="0"/>
  <protectedRanges>
    <protectedRange sqref="H184" name="Range1"/>
  </protectedRanges>
  <autoFilter xmlns:etc="http://www.wps.cn/officeDocument/2017/etCustomData" ref="A1:S204" etc:filterBottomFollowUsedRange="1">
    <extLst/>
  </autoFilter>
  <mergeCells count="116">
    <mergeCell ref="A1:R1"/>
    <mergeCell ref="I26:J26"/>
    <mergeCell ref="M26:N26"/>
    <mergeCell ref="C47:G47"/>
    <mergeCell ref="C64:G64"/>
    <mergeCell ref="I102:J102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C120:G120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9:N129"/>
    <mergeCell ref="M130:N130"/>
    <mergeCell ref="M131:N131"/>
    <mergeCell ref="M132:N132"/>
    <mergeCell ref="M133:N133"/>
    <mergeCell ref="C134:G134"/>
    <mergeCell ref="M157:N157"/>
    <mergeCell ref="C169:G169"/>
    <mergeCell ref="C186:G186"/>
    <mergeCell ref="A3:A64"/>
    <mergeCell ref="A66:A134"/>
    <mergeCell ref="A136:A186"/>
    <mergeCell ref="B3:B25"/>
    <mergeCell ref="B27:B47"/>
    <mergeCell ref="B48:B64"/>
    <mergeCell ref="B66:B101"/>
    <mergeCell ref="B103:B120"/>
    <mergeCell ref="B121:B134"/>
    <mergeCell ref="B136:B156"/>
    <mergeCell ref="B158:B169"/>
    <mergeCell ref="B170:B186"/>
    <mergeCell ref="C3:C10"/>
    <mergeCell ref="C11:C21"/>
    <mergeCell ref="C22:C23"/>
    <mergeCell ref="C24:C25"/>
    <mergeCell ref="C27:C35"/>
    <mergeCell ref="C42:C44"/>
    <mergeCell ref="C45:C46"/>
    <mergeCell ref="C48:C53"/>
    <mergeCell ref="C54:C58"/>
    <mergeCell ref="C60:C62"/>
    <mergeCell ref="C66:C70"/>
    <mergeCell ref="C71:C76"/>
    <mergeCell ref="C77:C94"/>
    <mergeCell ref="C95:C99"/>
    <mergeCell ref="C100:C101"/>
    <mergeCell ref="C103:C110"/>
    <mergeCell ref="C111:C116"/>
    <mergeCell ref="C117:C118"/>
    <mergeCell ref="C121:C122"/>
    <mergeCell ref="C123:C125"/>
    <mergeCell ref="C126:C132"/>
    <mergeCell ref="C136:C139"/>
    <mergeCell ref="C140:C143"/>
    <mergeCell ref="C144:C154"/>
    <mergeCell ref="C155:C156"/>
    <mergeCell ref="C159:C163"/>
    <mergeCell ref="C164:C167"/>
    <mergeCell ref="C170:C171"/>
    <mergeCell ref="C172:C175"/>
    <mergeCell ref="C176:C185"/>
    <mergeCell ref="D3:D10"/>
    <mergeCell ref="D11:D21"/>
    <mergeCell ref="D24:D25"/>
    <mergeCell ref="D27:D44"/>
    <mergeCell ref="D48:D62"/>
    <mergeCell ref="D66:D70"/>
    <mergeCell ref="D71:D76"/>
    <mergeCell ref="D77:D94"/>
    <mergeCell ref="D95:D99"/>
    <mergeCell ref="D100:D101"/>
    <mergeCell ref="D103:D119"/>
    <mergeCell ref="D121:D133"/>
    <mergeCell ref="D136:D139"/>
    <mergeCell ref="D140:D143"/>
    <mergeCell ref="D144:D154"/>
    <mergeCell ref="D155:D156"/>
    <mergeCell ref="D158:D167"/>
    <mergeCell ref="D170:D185"/>
    <mergeCell ref="D188:D189"/>
    <mergeCell ref="E66:E70"/>
    <mergeCell ref="E73:E74"/>
    <mergeCell ref="E78:E85"/>
    <mergeCell ref="E87:E88"/>
    <mergeCell ref="E89:E91"/>
    <mergeCell ref="E92:E93"/>
    <mergeCell ref="E97:E98"/>
    <mergeCell ref="E103:E110"/>
    <mergeCell ref="E113:E116"/>
    <mergeCell ref="E117:E118"/>
    <mergeCell ref="E123:E125"/>
    <mergeCell ref="O165:O166"/>
    <mergeCell ref="A188:C189"/>
  </mergeCells>
  <pageMargins left="0.75" right="0.75" top="1" bottom="1" header="0.5" footer="0.5"/>
  <headerFooter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4"/>
  <dimension ref="A1:T197"/>
  <sheetViews>
    <sheetView workbookViewId="0">
      <pane xSplit="7" ySplit="2" topLeftCell="J67" activePane="bottomRight" state="frozen"/>
      <selection/>
      <selection pane="topRight"/>
      <selection pane="bottomLeft"/>
      <selection pane="bottomRight" activeCell="H3" sqref="$A1:$XFD1048576"/>
    </sheetView>
  </sheetViews>
  <sheetFormatPr defaultColWidth="9" defaultRowHeight="13.5"/>
  <cols>
    <col min="1" max="1" width="5.3" customWidth="1"/>
    <col min="2" max="2" width="10.4416666666667" customWidth="1"/>
    <col min="3" max="3" width="9.225" customWidth="1"/>
    <col min="4" max="4" width="14.6416666666667" customWidth="1"/>
    <col min="5" max="5" width="25.0416666666667" customWidth="1"/>
    <col min="6" max="6" width="17.3833333333333" customWidth="1"/>
    <col min="7" max="7" width="15.5583333333333" customWidth="1"/>
    <col min="8" max="8" width="15.9416666666667" customWidth="1"/>
    <col min="9" max="9" width="18" customWidth="1"/>
    <col min="10" max="10" width="13.7583333333333" customWidth="1"/>
    <col min="11" max="11" width="7.64166666666667" customWidth="1"/>
    <col min="12" max="12" width="10.975" customWidth="1"/>
    <col min="13" max="13" width="8.875" customWidth="1"/>
    <col min="14" max="14" width="11.625" customWidth="1"/>
    <col min="15" max="15" width="83.9416666666667" style="14" customWidth="1"/>
    <col min="16" max="16" width="21.0666666666667" customWidth="1"/>
    <col min="17" max="17" width="9" style="510"/>
    <col min="18" max="18" width="13.125"/>
    <col min="19" max="19" width="44.5666666666667" customWidth="1"/>
    <col min="20" max="20" width="12.5"/>
  </cols>
  <sheetData>
    <row r="1" s="10" customFormat="1" ht="33.2" customHeight="1" spans="1:19">
      <c r="A1" s="28" t="s">
        <v>3618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420"/>
      <c r="N1" s="420"/>
      <c r="O1" s="421"/>
      <c r="P1" s="28"/>
      <c r="Q1" s="28"/>
      <c r="R1" s="28"/>
      <c r="S1" s="651"/>
    </row>
    <row r="2" s="10" customFormat="1" ht="21.75" customHeight="1" spans="1:19">
      <c r="A2" s="537" t="s">
        <v>1092</v>
      </c>
      <c r="B2" s="537" t="s">
        <v>1820</v>
      </c>
      <c r="C2" s="538" t="s">
        <v>1946</v>
      </c>
      <c r="D2" s="539" t="s">
        <v>3619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3620</v>
      </c>
      <c r="N2" s="619" t="s">
        <v>1214</v>
      </c>
      <c r="O2" s="620" t="s">
        <v>3621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540"/>
      <c r="B3" s="541" t="s">
        <v>3282</v>
      </c>
      <c r="C3" s="542" t="s">
        <v>1825</v>
      </c>
      <c r="D3" s="543">
        <v>30</v>
      </c>
      <c r="E3" s="572" t="s">
        <v>3622</v>
      </c>
      <c r="F3" s="565" t="s">
        <v>3623</v>
      </c>
      <c r="G3" s="902">
        <v>28800</v>
      </c>
      <c r="H3" s="569">
        <f t="shared" ref="H3:H7" si="0">G3*K3</f>
        <v>204649.92</v>
      </c>
      <c r="I3" s="603">
        <v>204650</v>
      </c>
      <c r="J3" s="905">
        <v>181085</v>
      </c>
      <c r="K3" s="597">
        <v>7.1059</v>
      </c>
      <c r="L3" s="244" t="s">
        <v>1218</v>
      </c>
      <c r="M3" s="598"/>
      <c r="N3" s="598" t="s">
        <v>3624</v>
      </c>
      <c r="O3" s="639" t="s">
        <v>3625</v>
      </c>
      <c r="P3" s="570"/>
      <c r="Q3" s="642"/>
      <c r="R3" s="909"/>
      <c r="S3" s="657"/>
    </row>
    <row r="4" s="10" customFormat="1" ht="15.5" customHeight="1" spans="1:19">
      <c r="A4" s="540"/>
      <c r="B4" s="541"/>
      <c r="C4" s="544"/>
      <c r="D4" s="545"/>
      <c r="E4" s="572" t="s">
        <v>161</v>
      </c>
      <c r="F4" s="572" t="s">
        <v>3626</v>
      </c>
      <c r="G4" s="902"/>
      <c r="H4" s="569"/>
      <c r="I4" s="603"/>
      <c r="J4" s="905">
        <v>15666</v>
      </c>
      <c r="K4" s="597">
        <v>7.1059</v>
      </c>
      <c r="L4" s="244" t="s">
        <v>1218</v>
      </c>
      <c r="M4" s="598">
        <v>45364</v>
      </c>
      <c r="N4" s="598">
        <v>45366</v>
      </c>
      <c r="O4" s="639" t="s">
        <v>3627</v>
      </c>
      <c r="P4" s="695"/>
      <c r="Q4" s="655"/>
      <c r="R4" s="570"/>
      <c r="S4" s="570"/>
    </row>
    <row r="5" s="10" customFormat="1" ht="15.5" customHeight="1" spans="1:19">
      <c r="A5" s="540"/>
      <c r="B5" s="541"/>
      <c r="C5" s="542" t="s">
        <v>224</v>
      </c>
      <c r="D5" s="543">
        <v>105</v>
      </c>
      <c r="E5" s="903" t="s">
        <v>335</v>
      </c>
      <c r="F5" s="904" t="s">
        <v>3628</v>
      </c>
      <c r="G5" s="674">
        <v>36942</v>
      </c>
      <c r="H5" s="569">
        <f t="shared" si="0"/>
        <v>262506.1578</v>
      </c>
      <c r="I5" s="567">
        <v>262506.1578</v>
      </c>
      <c r="J5" s="601">
        <v>262506</v>
      </c>
      <c r="K5" s="597">
        <v>7.1059</v>
      </c>
      <c r="L5" s="244" t="s">
        <v>1218</v>
      </c>
      <c r="M5" s="633">
        <v>45373</v>
      </c>
      <c r="N5" s="598">
        <v>45379</v>
      </c>
      <c r="O5" s="622" t="s">
        <v>3629</v>
      </c>
      <c r="P5" s="695" t="s">
        <v>3630</v>
      </c>
      <c r="Q5" s="655" t="s">
        <v>1671</v>
      </c>
      <c r="R5" s="570"/>
      <c r="S5" s="570"/>
    </row>
    <row r="6" s="10" customFormat="1" ht="15.5" customHeight="1" spans="1:19">
      <c r="A6" s="540"/>
      <c r="B6" s="541"/>
      <c r="C6" s="544"/>
      <c r="D6" s="545"/>
      <c r="E6" s="561" t="s">
        <v>1904</v>
      </c>
      <c r="F6" s="568" t="s">
        <v>3631</v>
      </c>
      <c r="G6" s="562">
        <v>283342</v>
      </c>
      <c r="H6" s="569">
        <f t="shared" si="0"/>
        <v>2013399.9178</v>
      </c>
      <c r="I6" s="567">
        <v>2013400</v>
      </c>
      <c r="J6" s="602"/>
      <c r="K6" s="597">
        <v>7.1059</v>
      </c>
      <c r="L6" s="244" t="s">
        <v>1218</v>
      </c>
      <c r="M6" s="633">
        <v>45374</v>
      </c>
      <c r="N6" s="625">
        <v>45388</v>
      </c>
      <c r="O6" s="622" t="s">
        <v>3629</v>
      </c>
      <c r="P6" s="642" t="s">
        <v>3632</v>
      </c>
      <c r="Q6" s="655" t="s">
        <v>3633</v>
      </c>
      <c r="R6" s="910"/>
      <c r="S6" s="662" t="s">
        <v>3634</v>
      </c>
    </row>
    <row r="7" s="10" customFormat="1" ht="15.5" customHeight="1" spans="1:19">
      <c r="A7" s="540"/>
      <c r="B7" s="541"/>
      <c r="C7" s="544"/>
      <c r="D7" s="545"/>
      <c r="E7" s="561" t="s">
        <v>1904</v>
      </c>
      <c r="F7" s="568" t="s">
        <v>3635</v>
      </c>
      <c r="G7" s="562">
        <v>87558</v>
      </c>
      <c r="H7" s="569">
        <f t="shared" si="0"/>
        <v>622178.3922</v>
      </c>
      <c r="I7" s="567">
        <v>622178</v>
      </c>
      <c r="J7" s="602"/>
      <c r="K7" s="597">
        <v>7.1059</v>
      </c>
      <c r="L7" s="244" t="s">
        <v>1218</v>
      </c>
      <c r="M7" s="633">
        <v>45381</v>
      </c>
      <c r="N7" s="625">
        <v>45388</v>
      </c>
      <c r="O7" s="622" t="s">
        <v>3636</v>
      </c>
      <c r="P7" s="642" t="s">
        <v>3632</v>
      </c>
      <c r="Q7" s="655" t="s">
        <v>1859</v>
      </c>
      <c r="R7" s="570"/>
      <c r="S7" s="662"/>
    </row>
    <row r="8" s="10" customFormat="1" ht="15.5" customHeight="1" spans="1:19">
      <c r="A8" s="540"/>
      <c r="B8" s="541"/>
      <c r="C8" s="544"/>
      <c r="D8" s="545"/>
      <c r="E8" s="250" t="s">
        <v>849</v>
      </c>
      <c r="F8" s="571" t="s">
        <v>3637</v>
      </c>
      <c r="G8" s="562">
        <v>43740</v>
      </c>
      <c r="H8" s="569">
        <f t="shared" ref="H8:H13" si="1">G8*K8</f>
        <v>310812.066</v>
      </c>
      <c r="I8" s="567">
        <v>310812</v>
      </c>
      <c r="J8" s="567"/>
      <c r="K8" s="597">
        <v>7.1059</v>
      </c>
      <c r="L8" s="244" t="s">
        <v>1218</v>
      </c>
      <c r="M8" s="633">
        <v>45378</v>
      </c>
      <c r="N8" s="625">
        <v>45383</v>
      </c>
      <c r="O8" s="626" t="s">
        <v>3638</v>
      </c>
      <c r="P8" s="642" t="s">
        <v>3639</v>
      </c>
      <c r="Q8" s="655" t="s">
        <v>1671</v>
      </c>
      <c r="R8" s="658"/>
      <c r="S8" s="911"/>
    </row>
    <row r="9" s="10" customFormat="1" ht="15.5" customHeight="1" spans="1:19">
      <c r="A9" s="540"/>
      <c r="B9" s="541"/>
      <c r="C9" s="542" t="s">
        <v>2361</v>
      </c>
      <c r="D9" s="543">
        <v>109</v>
      </c>
      <c r="E9" s="673" t="s">
        <v>197</v>
      </c>
      <c r="F9" s="672" t="s">
        <v>2393</v>
      </c>
      <c r="G9" s="674">
        <v>41548</v>
      </c>
      <c r="H9" s="569">
        <f t="shared" si="1"/>
        <v>295235.9332</v>
      </c>
      <c r="I9" s="860">
        <v>295236</v>
      </c>
      <c r="J9" s="601">
        <v>295235.93</v>
      </c>
      <c r="K9" s="597">
        <v>7.1059</v>
      </c>
      <c r="L9" s="598">
        <v>45254</v>
      </c>
      <c r="M9" s="633">
        <v>45355</v>
      </c>
      <c r="N9" s="633">
        <v>45359</v>
      </c>
      <c r="O9" s="687" t="s">
        <v>3629</v>
      </c>
      <c r="P9" s="693" t="s">
        <v>401</v>
      </c>
      <c r="Q9" s="655" t="s">
        <v>2301</v>
      </c>
      <c r="R9" s="910"/>
      <c r="S9" s="577"/>
    </row>
    <row r="10" s="10" customFormat="1" ht="15.5" customHeight="1" spans="1:19">
      <c r="A10" s="540"/>
      <c r="B10" s="541"/>
      <c r="C10" s="544"/>
      <c r="D10" s="545"/>
      <c r="E10" s="572" t="s">
        <v>2383</v>
      </c>
      <c r="F10" s="250" t="s">
        <v>3640</v>
      </c>
      <c r="G10" s="591">
        <v>57798</v>
      </c>
      <c r="H10" s="577">
        <f t="shared" si="1"/>
        <v>410706.8082</v>
      </c>
      <c r="I10" s="603">
        <v>410706.8082</v>
      </c>
      <c r="J10" s="577"/>
      <c r="K10" s="597">
        <v>7.1059</v>
      </c>
      <c r="L10" s="598">
        <v>45379</v>
      </c>
      <c r="M10" s="633">
        <v>45379</v>
      </c>
      <c r="N10" s="633">
        <v>45386</v>
      </c>
      <c r="O10" s="622" t="s">
        <v>3629</v>
      </c>
      <c r="P10" s="635" t="s">
        <v>3641</v>
      </c>
      <c r="Q10" s="655" t="s">
        <v>1671</v>
      </c>
      <c r="R10" s="591"/>
      <c r="S10" s="577" t="s">
        <v>3642</v>
      </c>
    </row>
    <row r="11" s="10" customFormat="1" ht="16.5" spans="1:19">
      <c r="A11" s="540"/>
      <c r="B11" s="541"/>
      <c r="C11" s="544"/>
      <c r="D11" s="545"/>
      <c r="E11" s="250" t="s">
        <v>283</v>
      </c>
      <c r="F11" s="568" t="s">
        <v>3643</v>
      </c>
      <c r="G11" s="562">
        <v>43560</v>
      </c>
      <c r="H11" s="577">
        <f t="shared" si="1"/>
        <v>309533.004</v>
      </c>
      <c r="I11" s="603">
        <v>309533</v>
      </c>
      <c r="J11" s="567"/>
      <c r="K11" s="597">
        <v>7.1059</v>
      </c>
      <c r="L11" s="598">
        <v>45379</v>
      </c>
      <c r="M11" s="633">
        <v>45381</v>
      </c>
      <c r="N11" s="636">
        <v>45386</v>
      </c>
      <c r="O11" s="687" t="s">
        <v>3644</v>
      </c>
      <c r="P11" s="642" t="s">
        <v>2309</v>
      </c>
      <c r="Q11" s="655" t="s">
        <v>1671</v>
      </c>
      <c r="R11" s="656"/>
      <c r="S11" s="602"/>
    </row>
    <row r="12" s="10" customFormat="1" ht="15.5" customHeight="1" spans="1:19">
      <c r="A12" s="540"/>
      <c r="B12" s="541"/>
      <c r="C12" s="544"/>
      <c r="D12" s="545"/>
      <c r="E12" s="250" t="s">
        <v>1216</v>
      </c>
      <c r="F12" s="568" t="s">
        <v>3645</v>
      </c>
      <c r="G12" s="591">
        <v>19000</v>
      </c>
      <c r="H12" s="577">
        <f t="shared" si="1"/>
        <v>135012.1</v>
      </c>
      <c r="I12" s="603">
        <v>135012</v>
      </c>
      <c r="J12" s="567"/>
      <c r="K12" s="597">
        <v>7.1059</v>
      </c>
      <c r="L12" s="598">
        <v>45378</v>
      </c>
      <c r="M12" s="633">
        <v>45380</v>
      </c>
      <c r="N12" s="598">
        <v>45385</v>
      </c>
      <c r="O12" s="626" t="s">
        <v>3629</v>
      </c>
      <c r="P12" s="635" t="s">
        <v>3646</v>
      </c>
      <c r="Q12" s="655" t="s">
        <v>1671</v>
      </c>
      <c r="R12" s="591"/>
      <c r="S12" s="577"/>
    </row>
    <row r="13" s="10" customFormat="1" ht="15.5" customHeight="1" spans="1:19">
      <c r="A13" s="540"/>
      <c r="B13" s="541"/>
      <c r="C13" s="666"/>
      <c r="D13" s="557"/>
      <c r="E13" s="607" t="s">
        <v>53</v>
      </c>
      <c r="F13" s="607" t="s">
        <v>3647</v>
      </c>
      <c r="G13" s="562">
        <v>61189</v>
      </c>
      <c r="H13" s="577">
        <f t="shared" si="1"/>
        <v>434802.9151</v>
      </c>
      <c r="I13" s="603">
        <v>434803</v>
      </c>
      <c r="J13" s="683"/>
      <c r="K13" s="597">
        <v>7.1059</v>
      </c>
      <c r="L13" s="607" t="s">
        <v>1218</v>
      </c>
      <c r="M13" s="633">
        <v>45379</v>
      </c>
      <c r="N13" s="598">
        <v>45385</v>
      </c>
      <c r="O13" s="628" t="s">
        <v>3629</v>
      </c>
      <c r="P13" s="695"/>
      <c r="Q13" s="655"/>
      <c r="R13" s="570"/>
      <c r="S13" s="570"/>
    </row>
    <row r="14" s="10" customFormat="1" ht="15.5" customHeight="1" spans="1:19">
      <c r="A14" s="540"/>
      <c r="B14" s="541"/>
      <c r="C14" s="542" t="s">
        <v>2382</v>
      </c>
      <c r="D14" s="543">
        <v>56</v>
      </c>
      <c r="E14" s="250"/>
      <c r="F14" s="574"/>
      <c r="G14" s="562"/>
      <c r="H14" s="577"/>
      <c r="I14" s="577"/>
      <c r="J14" s="577"/>
      <c r="K14" s="597"/>
      <c r="L14" s="598"/>
      <c r="M14" s="598"/>
      <c r="N14" s="598"/>
      <c r="O14" s="641"/>
      <c r="P14" s="642"/>
      <c r="Q14" s="655"/>
      <c r="R14" s="664"/>
      <c r="S14" s="665"/>
    </row>
    <row r="15" s="10" customFormat="1" ht="15.5" customHeight="1" spans="1:19">
      <c r="A15" s="540"/>
      <c r="B15" s="541"/>
      <c r="C15" s="544"/>
      <c r="D15" s="545"/>
      <c r="E15" s="250"/>
      <c r="F15" s="574"/>
      <c r="G15" s="593"/>
      <c r="H15" s="592"/>
      <c r="I15" s="906"/>
      <c r="J15" s="592"/>
      <c r="K15" s="617"/>
      <c r="L15" s="618"/>
      <c r="M15" s="598"/>
      <c r="N15" s="598"/>
      <c r="O15" s="624"/>
      <c r="P15" s="907"/>
      <c r="Q15" s="655"/>
      <c r="R15" s="666"/>
      <c r="S15" s="569"/>
    </row>
    <row r="16" s="10" customFormat="1" ht="15.5" customHeight="1" spans="1:19">
      <c r="A16" s="540"/>
      <c r="B16" s="541"/>
      <c r="C16" s="546"/>
      <c r="D16" s="547"/>
      <c r="E16" s="572"/>
      <c r="F16" s="572"/>
      <c r="G16" s="562"/>
      <c r="H16" s="567"/>
      <c r="I16" s="600"/>
      <c r="J16" s="577"/>
      <c r="K16" s="250"/>
      <c r="L16" s="608"/>
      <c r="M16" s="244"/>
      <c r="N16" s="598"/>
      <c r="O16" s="624"/>
      <c r="P16" s="643"/>
      <c r="Q16" s="655"/>
      <c r="R16" s="666"/>
      <c r="S16" s="569"/>
    </row>
    <row r="17" s="10" customFormat="1" ht="15.5" customHeight="1" spans="1:19">
      <c r="A17" s="540"/>
      <c r="B17" s="541"/>
      <c r="C17" s="548" t="s">
        <v>3648</v>
      </c>
      <c r="D17" s="549">
        <v>3000000</v>
      </c>
      <c r="E17" s="578"/>
      <c r="F17" s="579"/>
      <c r="G17" s="580" t="s">
        <v>1235</v>
      </c>
      <c r="H17" s="581">
        <f>SUM(H3:H16)</f>
        <v>4998837.2143</v>
      </c>
      <c r="I17" s="581">
        <f>SUM(I3:I16)</f>
        <v>4998836.966</v>
      </c>
      <c r="J17" s="581">
        <f>SUM(J3:J16)</f>
        <v>754492.93</v>
      </c>
      <c r="K17" s="609"/>
      <c r="L17" s="610"/>
      <c r="M17" s="644"/>
      <c r="N17" s="644"/>
      <c r="O17" s="622"/>
      <c r="P17" s="623"/>
      <c r="Q17" s="655"/>
      <c r="R17" s="656"/>
      <c r="S17" s="657"/>
    </row>
    <row r="18" s="10" customFormat="1" ht="15.5" customHeight="1" spans="1:19">
      <c r="A18" s="540"/>
      <c r="B18" s="541"/>
      <c r="C18" s="548"/>
      <c r="D18" s="550"/>
      <c r="E18" s="582"/>
      <c r="F18" s="583"/>
      <c r="G18" s="584" t="s">
        <v>3649</v>
      </c>
      <c r="H18" s="585">
        <f>H17/3000000</f>
        <v>1.66627907143333</v>
      </c>
      <c r="I18" s="585">
        <f>I17/3000000</f>
        <v>1.66627898866667</v>
      </c>
      <c r="J18" s="585">
        <f>J17/3000000</f>
        <v>0.251497643333333</v>
      </c>
      <c r="K18" s="611"/>
      <c r="L18" s="612"/>
      <c r="M18" s="645"/>
      <c r="N18" s="645"/>
      <c r="O18" s="622"/>
      <c r="P18" s="623"/>
      <c r="Q18" s="655"/>
      <c r="R18" s="656"/>
      <c r="S18" s="657"/>
    </row>
    <row r="19" s="10" customFormat="1" ht="15.5" customHeight="1" spans="1:19">
      <c r="A19" s="540"/>
      <c r="B19" s="541"/>
      <c r="C19" s="551" t="s">
        <v>3650</v>
      </c>
      <c r="D19" s="552">
        <v>11100000</v>
      </c>
      <c r="E19" s="582" t="s">
        <v>3651</v>
      </c>
      <c r="F19" s="586" t="e">
        <f>D19-#REF!-#REF!-H17</f>
        <v>#REF!</v>
      </c>
      <c r="G19" s="584" t="s">
        <v>3652</v>
      </c>
      <c r="H19" s="587" t="e">
        <f>(D19-F19)/D19</f>
        <v>#REF!</v>
      </c>
      <c r="I19" s="613"/>
      <c r="J19" s="613"/>
      <c r="K19" s="614"/>
      <c r="L19" s="598"/>
      <c r="M19" s="645"/>
      <c r="N19" s="645"/>
      <c r="O19" s="622"/>
      <c r="P19" s="623"/>
      <c r="Q19" s="655"/>
      <c r="R19" s="656"/>
      <c r="S19" s="657"/>
    </row>
    <row r="20" s="10" customFormat="1" ht="15.5" customHeight="1" spans="1:19">
      <c r="A20" s="540"/>
      <c r="B20" s="553" t="s">
        <v>1820</v>
      </c>
      <c r="C20" s="554" t="s">
        <v>1946</v>
      </c>
      <c r="D20" s="555" t="s">
        <v>1821</v>
      </c>
      <c r="E20" s="555" t="s">
        <v>1822</v>
      </c>
      <c r="F20" s="588" t="s">
        <v>1095</v>
      </c>
      <c r="G20" s="589" t="s">
        <v>362</v>
      </c>
      <c r="H20" s="590" t="s">
        <v>1865</v>
      </c>
      <c r="I20" s="590"/>
      <c r="J20" s="590"/>
      <c r="K20" s="590" t="s">
        <v>1866</v>
      </c>
      <c r="L20" s="615" t="s">
        <v>1098</v>
      </c>
      <c r="M20" s="590" t="s">
        <v>1867</v>
      </c>
      <c r="N20" s="646"/>
      <c r="O20" s="647"/>
      <c r="P20" s="570"/>
      <c r="Q20" s="570"/>
      <c r="R20" s="656"/>
      <c r="S20" s="657"/>
    </row>
    <row r="21" s="10" customFormat="1" ht="15.5" customHeight="1" spans="1:19">
      <c r="A21" s="540"/>
      <c r="B21" s="541" t="s">
        <v>3248</v>
      </c>
      <c r="C21" s="556" t="s">
        <v>1825</v>
      </c>
      <c r="D21" s="557" t="s">
        <v>1125</v>
      </c>
      <c r="E21" s="250" t="s">
        <v>161</v>
      </c>
      <c r="F21" s="561" t="s">
        <v>3653</v>
      </c>
      <c r="G21" s="591">
        <v>39717</v>
      </c>
      <c r="H21" s="592">
        <f>G21*K21</f>
        <v>282225.0303</v>
      </c>
      <c r="I21" s="603"/>
      <c r="J21" s="567"/>
      <c r="K21" s="597">
        <v>7.1059</v>
      </c>
      <c r="L21" s="598">
        <v>45392</v>
      </c>
      <c r="M21" s="644"/>
      <c r="N21" s="644"/>
      <c r="O21" s="622" t="s">
        <v>3654</v>
      </c>
      <c r="P21" s="623" t="s">
        <v>2175</v>
      </c>
      <c r="Q21" s="655" t="s">
        <v>1671</v>
      </c>
      <c r="R21" s="656"/>
      <c r="S21" s="657"/>
    </row>
    <row r="22" s="10" customFormat="1" ht="15.5" customHeight="1" spans="1:19">
      <c r="A22" s="540"/>
      <c r="B22" s="541"/>
      <c r="C22" s="556"/>
      <c r="D22" s="557"/>
      <c r="E22" s="564" t="s">
        <v>157</v>
      </c>
      <c r="F22" s="574" t="s">
        <v>3501</v>
      </c>
      <c r="G22" s="591">
        <v>50000</v>
      </c>
      <c r="H22" s="592">
        <f>G22*K22</f>
        <v>355295</v>
      </c>
      <c r="I22" s="603"/>
      <c r="J22" s="567"/>
      <c r="K22" s="597">
        <v>7.1059</v>
      </c>
      <c r="L22" s="598">
        <v>45392</v>
      </c>
      <c r="M22" s="633"/>
      <c r="N22" s="633"/>
      <c r="O22" s="624" t="s">
        <v>3655</v>
      </c>
      <c r="P22" s="623" t="s">
        <v>401</v>
      </c>
      <c r="Q22" s="655" t="s">
        <v>1671</v>
      </c>
      <c r="R22" s="656"/>
      <c r="S22" s="657"/>
    </row>
    <row r="23" s="10" customFormat="1" ht="15.5" customHeight="1" spans="1:19">
      <c r="A23" s="540"/>
      <c r="B23" s="541"/>
      <c r="C23" s="556"/>
      <c r="D23" s="557"/>
      <c r="E23" s="250"/>
      <c r="F23" s="250"/>
      <c r="G23" s="562"/>
      <c r="H23" s="592"/>
      <c r="I23" s="603"/>
      <c r="J23" s="567"/>
      <c r="K23" s="597"/>
      <c r="L23" s="598"/>
      <c r="M23" s="598"/>
      <c r="N23" s="598"/>
      <c r="O23" s="639"/>
      <c r="P23" s="642"/>
      <c r="Q23" s="667"/>
      <c r="R23" s="659"/>
      <c r="S23" s="668"/>
    </row>
    <row r="24" s="10" customFormat="1" ht="15.5" customHeight="1" spans="1:19">
      <c r="A24" s="540"/>
      <c r="B24" s="541"/>
      <c r="C24" s="664" t="s">
        <v>224</v>
      </c>
      <c r="D24" s="557"/>
      <c r="E24" s="561"/>
      <c r="F24" s="568"/>
      <c r="G24" s="562"/>
      <c r="H24" s="592"/>
      <c r="I24" s="570"/>
      <c r="J24" s="602"/>
      <c r="K24" s="597"/>
      <c r="L24" s="598"/>
      <c r="M24" s="625"/>
      <c r="N24" s="625"/>
      <c r="O24" s="622"/>
      <c r="P24" s="642"/>
      <c r="Q24" s="655"/>
      <c r="R24" s="570"/>
      <c r="S24" s="570"/>
    </row>
    <row r="25" s="10" customFormat="1" ht="15.5" customHeight="1" spans="1:19">
      <c r="A25" s="540"/>
      <c r="B25" s="541"/>
      <c r="C25" s="664"/>
      <c r="D25" s="557"/>
      <c r="E25" s="561" t="s">
        <v>1904</v>
      </c>
      <c r="F25" s="568" t="s">
        <v>3656</v>
      </c>
      <c r="G25" s="562">
        <v>74795</v>
      </c>
      <c r="H25" s="592">
        <f>G25*K25</f>
        <v>531485.7905</v>
      </c>
      <c r="I25" s="570"/>
      <c r="J25" s="602"/>
      <c r="K25" s="597">
        <v>7.1059</v>
      </c>
      <c r="L25" s="598"/>
      <c r="M25" s="631">
        <v>45440</v>
      </c>
      <c r="N25" s="908">
        <v>45442</v>
      </c>
      <c r="O25" s="628" t="s">
        <v>3657</v>
      </c>
      <c r="P25" s="570"/>
      <c r="Q25" s="570"/>
      <c r="R25" s="658"/>
      <c r="S25" s="628"/>
    </row>
    <row r="26" s="10" customFormat="1" ht="15.5" customHeight="1" spans="1:19">
      <c r="A26" s="540"/>
      <c r="B26" s="541"/>
      <c r="C26" s="664"/>
      <c r="D26" s="557"/>
      <c r="E26" s="903" t="s">
        <v>3658</v>
      </c>
      <c r="F26" s="904" t="s">
        <v>3659</v>
      </c>
      <c r="G26" s="674">
        <v>44340</v>
      </c>
      <c r="H26" s="616"/>
      <c r="I26" s="570"/>
      <c r="J26" s="570"/>
      <c r="K26" s="597">
        <v>7.1059</v>
      </c>
      <c r="L26" s="683"/>
      <c r="M26" s="631">
        <v>45440</v>
      </c>
      <c r="N26" s="908">
        <v>45442</v>
      </c>
      <c r="O26" s="628" t="s">
        <v>3660</v>
      </c>
      <c r="P26" s="642" t="s">
        <v>3661</v>
      </c>
      <c r="Q26" s="655" t="s">
        <v>2131</v>
      </c>
      <c r="R26" s="659"/>
      <c r="S26" s="660"/>
    </row>
    <row r="27" s="10" customFormat="1" ht="15.5" customHeight="1" spans="1:19">
      <c r="A27" s="540"/>
      <c r="B27" s="541"/>
      <c r="C27" s="556"/>
      <c r="D27" s="557"/>
      <c r="E27" s="673" t="s">
        <v>201</v>
      </c>
      <c r="F27" s="672" t="s">
        <v>3662</v>
      </c>
      <c r="G27" s="674">
        <v>47926</v>
      </c>
      <c r="H27" s="592">
        <f>G27*K27</f>
        <v>340557.3634</v>
      </c>
      <c r="I27" s="680"/>
      <c r="J27" s="681"/>
      <c r="K27" s="597">
        <v>7.1059</v>
      </c>
      <c r="L27" s="598">
        <v>45391</v>
      </c>
      <c r="M27" s="633"/>
      <c r="N27" s="636"/>
      <c r="O27" s="626" t="s">
        <v>3663</v>
      </c>
      <c r="P27" s="640" t="s">
        <v>3664</v>
      </c>
      <c r="Q27" s="663"/>
      <c r="R27" s="656"/>
      <c r="S27" s="602"/>
    </row>
    <row r="28" s="10" customFormat="1" ht="15.5" customHeight="1" spans="1:19">
      <c r="A28" s="540"/>
      <c r="B28" s="541"/>
      <c r="C28" s="664" t="s">
        <v>2361</v>
      </c>
      <c r="D28" s="557"/>
      <c r="E28" s="564" t="s">
        <v>1639</v>
      </c>
      <c r="F28" s="564" t="s">
        <v>3665</v>
      </c>
      <c r="G28" s="576">
        <v>40000</v>
      </c>
      <c r="H28" s="577"/>
      <c r="I28" s="605"/>
      <c r="J28" s="592"/>
      <c r="K28" s="597">
        <v>7.1059</v>
      </c>
      <c r="L28" s="607" t="s">
        <v>1218</v>
      </c>
      <c r="M28" s="625"/>
      <c r="N28" s="598"/>
      <c r="O28" s="639" t="s">
        <v>3666</v>
      </c>
      <c r="P28" s="640"/>
      <c r="Q28" s="655"/>
      <c r="R28" s="591"/>
      <c r="S28" s="577"/>
    </row>
    <row r="29" s="10" customFormat="1" ht="15.5" customHeight="1" spans="1:19">
      <c r="A29" s="540"/>
      <c r="B29" s="541"/>
      <c r="C29" s="671" t="s">
        <v>2382</v>
      </c>
      <c r="D29" s="557"/>
      <c r="E29" s="574"/>
      <c r="F29" s="574"/>
      <c r="G29" s="591"/>
      <c r="H29" s="567"/>
      <c r="I29" s="603"/>
      <c r="J29" s="567"/>
      <c r="K29" s="597"/>
      <c r="L29" s="598"/>
      <c r="M29" s="633"/>
      <c r="N29" s="633"/>
      <c r="O29" s="624"/>
      <c r="P29" s="632"/>
      <c r="Q29" s="655"/>
      <c r="R29" s="656"/>
      <c r="S29" s="657"/>
    </row>
    <row r="30" s="10" customFormat="1" ht="15.5" customHeight="1" spans="1:19">
      <c r="A30" s="540"/>
      <c r="B30" s="541"/>
      <c r="C30" s="671"/>
      <c r="D30" s="557"/>
      <c r="E30" s="561"/>
      <c r="F30" s="571"/>
      <c r="G30" s="576"/>
      <c r="H30" s="567"/>
      <c r="I30" s="603"/>
      <c r="J30" s="567"/>
      <c r="K30" s="597"/>
      <c r="L30" s="598"/>
      <c r="M30" s="625"/>
      <c r="N30" s="625"/>
      <c r="O30" s="624"/>
      <c r="P30" s="632"/>
      <c r="Q30" s="655"/>
      <c r="R30" s="656"/>
      <c r="S30" s="657"/>
    </row>
    <row r="31" s="10" customFormat="1" ht="15.5" customHeight="1" spans="1:19">
      <c r="A31" s="540"/>
      <c r="B31" s="672"/>
      <c r="C31" s="551" t="s">
        <v>1874</v>
      </c>
      <c r="D31" s="551"/>
      <c r="E31" s="551"/>
      <c r="F31" s="551"/>
      <c r="G31" s="551"/>
      <c r="H31" s="675">
        <f>SUM(H21:H30)</f>
        <v>1509563.1842</v>
      </c>
      <c r="I31" s="600"/>
      <c r="J31" s="602"/>
      <c r="K31" s="614"/>
      <c r="L31" s="682"/>
      <c r="M31" s="645"/>
      <c r="N31" s="645"/>
      <c r="O31" s="622"/>
      <c r="P31" s="570"/>
      <c r="Q31" s="570"/>
      <c r="R31" s="656"/>
      <c r="S31" s="657"/>
    </row>
    <row r="32" s="10" customFormat="1" ht="15.5" customHeight="1" spans="1:19">
      <c r="A32" s="540"/>
      <c r="B32" s="541" t="s">
        <v>1875</v>
      </c>
      <c r="C32" s="556" t="s">
        <v>1825</v>
      </c>
      <c r="D32" s="557"/>
      <c r="E32" s="574" t="s">
        <v>1113</v>
      </c>
      <c r="F32" s="564" t="s">
        <v>2411</v>
      </c>
      <c r="G32" s="576"/>
      <c r="H32" s="592">
        <f>G32*K32</f>
        <v>0</v>
      </c>
      <c r="I32" s="605"/>
      <c r="J32" s="592"/>
      <c r="K32" s="597">
        <v>7.1059</v>
      </c>
      <c r="L32" s="625"/>
      <c r="M32" s="625"/>
      <c r="N32" s="625"/>
      <c r="O32" s="639" t="s">
        <v>3667</v>
      </c>
      <c r="P32" s="642"/>
      <c r="Q32" s="655"/>
      <c r="R32" s="659" t="s">
        <v>3668</v>
      </c>
      <c r="S32" s="657"/>
    </row>
    <row r="33" s="10" customFormat="1" ht="15.5" customHeight="1" spans="1:19">
      <c r="A33" s="540"/>
      <c r="B33" s="541"/>
      <c r="C33" s="556"/>
      <c r="D33" s="557"/>
      <c r="E33" s="564" t="s">
        <v>1884</v>
      </c>
      <c r="F33" s="564" t="s">
        <v>1885</v>
      </c>
      <c r="G33" s="576">
        <v>900</v>
      </c>
      <c r="H33" s="592"/>
      <c r="I33" s="605"/>
      <c r="J33" s="592"/>
      <c r="K33" s="597">
        <v>7.1059</v>
      </c>
      <c r="L33" s="625"/>
      <c r="M33" s="625"/>
      <c r="N33" s="625"/>
      <c r="O33" s="639" t="s">
        <v>3669</v>
      </c>
      <c r="P33" s="642"/>
      <c r="Q33" s="655"/>
      <c r="R33" s="656"/>
      <c r="S33" s="657"/>
    </row>
    <row r="34" s="10" customFormat="1" ht="15.5" customHeight="1" spans="1:19">
      <c r="A34" s="540"/>
      <c r="B34" s="541"/>
      <c r="C34" s="556"/>
      <c r="D34" s="557"/>
      <c r="E34" s="564" t="s">
        <v>2938</v>
      </c>
      <c r="F34" s="564"/>
      <c r="G34" s="576"/>
      <c r="H34" s="592"/>
      <c r="I34" s="605"/>
      <c r="J34" s="592"/>
      <c r="K34" s="597"/>
      <c r="L34" s="625"/>
      <c r="M34" s="625"/>
      <c r="N34" s="625"/>
      <c r="O34" s="639" t="s">
        <v>3670</v>
      </c>
      <c r="P34" s="688"/>
      <c r="Q34" s="655"/>
      <c r="R34" s="656"/>
      <c r="S34" s="688" t="s">
        <v>3671</v>
      </c>
    </row>
    <row r="35" s="10" customFormat="1" ht="15.5" customHeight="1" spans="1:19">
      <c r="A35" s="540"/>
      <c r="B35" s="541"/>
      <c r="C35" s="556"/>
      <c r="D35" s="557"/>
      <c r="E35" s="564" t="s">
        <v>3672</v>
      </c>
      <c r="F35" s="564"/>
      <c r="G35" s="576"/>
      <c r="H35" s="592"/>
      <c r="I35" s="605"/>
      <c r="J35" s="592"/>
      <c r="K35" s="597"/>
      <c r="L35" s="625"/>
      <c r="M35" s="625"/>
      <c r="N35" s="625"/>
      <c r="O35" s="639" t="s">
        <v>3673</v>
      </c>
      <c r="P35" s="642"/>
      <c r="Q35" s="655"/>
      <c r="R35" s="656"/>
      <c r="S35" s="657"/>
    </row>
    <row r="36" s="10" customFormat="1" ht="15.5" customHeight="1" spans="1:19">
      <c r="A36" s="540"/>
      <c r="B36" s="541"/>
      <c r="C36" s="556"/>
      <c r="D36" s="557"/>
      <c r="E36" s="572" t="s">
        <v>3674</v>
      </c>
      <c r="F36" s="564"/>
      <c r="G36" s="562"/>
      <c r="H36" s="592"/>
      <c r="I36" s="616"/>
      <c r="J36" s="616"/>
      <c r="K36" s="597"/>
      <c r="L36" s="570"/>
      <c r="M36" s="570"/>
      <c r="N36" s="648"/>
      <c r="O36" s="689" t="s">
        <v>3675</v>
      </c>
      <c r="P36" s="642"/>
      <c r="Q36" s="655"/>
      <c r="R36" s="656"/>
      <c r="S36" s="657"/>
    </row>
    <row r="37" s="10" customFormat="1" ht="15.5" customHeight="1" spans="1:19">
      <c r="A37" s="540"/>
      <c r="B37" s="541"/>
      <c r="C37" s="556"/>
      <c r="D37" s="557"/>
      <c r="E37" s="572" t="s">
        <v>1869</v>
      </c>
      <c r="F37" s="564"/>
      <c r="G37" s="562"/>
      <c r="H37" s="592"/>
      <c r="I37" s="616"/>
      <c r="J37" s="616"/>
      <c r="K37" s="597"/>
      <c r="L37" s="570"/>
      <c r="M37" s="570"/>
      <c r="N37" s="648"/>
      <c r="O37" s="639" t="s">
        <v>3676</v>
      </c>
      <c r="P37" s="642"/>
      <c r="Q37" s="655"/>
      <c r="R37" s="656"/>
      <c r="S37" s="657"/>
    </row>
    <row r="38" s="10" customFormat="1" ht="15.5" customHeight="1" spans="1:19">
      <c r="A38" s="540"/>
      <c r="B38" s="541"/>
      <c r="C38" s="556"/>
      <c r="D38" s="557"/>
      <c r="E38" s="572" t="s">
        <v>3677</v>
      </c>
      <c r="F38" s="564"/>
      <c r="G38" s="562"/>
      <c r="H38" s="592"/>
      <c r="I38" s="616"/>
      <c r="J38" s="616"/>
      <c r="K38" s="597"/>
      <c r="L38" s="570"/>
      <c r="M38" s="570"/>
      <c r="N38" s="648"/>
      <c r="O38" s="639" t="s">
        <v>3678</v>
      </c>
      <c r="P38" s="642"/>
      <c r="Q38" s="655"/>
      <c r="R38" s="656"/>
      <c r="S38" s="657"/>
    </row>
    <row r="39" s="10" customFormat="1" ht="15.5" customHeight="1" spans="1:19">
      <c r="A39" s="540"/>
      <c r="B39" s="541"/>
      <c r="C39" s="556"/>
      <c r="D39" s="557"/>
      <c r="E39" s="572" t="s">
        <v>3679</v>
      </c>
      <c r="F39" s="564"/>
      <c r="G39" s="562"/>
      <c r="H39" s="592"/>
      <c r="I39" s="616"/>
      <c r="J39" s="616"/>
      <c r="K39" s="597"/>
      <c r="L39" s="570"/>
      <c r="M39" s="570"/>
      <c r="N39" s="648"/>
      <c r="O39" s="689" t="s">
        <v>3680</v>
      </c>
      <c r="P39" s="642"/>
      <c r="Q39" s="655"/>
      <c r="R39" s="656"/>
      <c r="S39" s="697" t="s">
        <v>3681</v>
      </c>
    </row>
    <row r="40" s="10" customFormat="1" ht="15.5" customHeight="1" spans="1:19">
      <c r="A40" s="540"/>
      <c r="B40" s="541"/>
      <c r="C40" s="666" t="s">
        <v>224</v>
      </c>
      <c r="D40" s="557"/>
      <c r="E40" s="903" t="s">
        <v>3682</v>
      </c>
      <c r="F40" s="672" t="s">
        <v>1877</v>
      </c>
      <c r="G40" s="674">
        <f>85000*7</f>
        <v>595000</v>
      </c>
      <c r="H40" s="616"/>
      <c r="I40" s="570"/>
      <c r="J40" s="570"/>
      <c r="K40" s="597"/>
      <c r="L40" s="683"/>
      <c r="M40" s="683"/>
      <c r="N40" s="694"/>
      <c r="O40" s="689" t="s">
        <v>3683</v>
      </c>
      <c r="P40" s="642"/>
      <c r="Q40" s="655"/>
      <c r="R40" s="656"/>
      <c r="S40" s="657"/>
    </row>
    <row r="41" s="10" customFormat="1" ht="15.5" customHeight="1" spans="1:19">
      <c r="A41" s="540"/>
      <c r="B41" s="541"/>
      <c r="C41" s="556"/>
      <c r="D41" s="557"/>
      <c r="E41" s="903" t="s">
        <v>3684</v>
      </c>
      <c r="F41" s="672" t="s">
        <v>3685</v>
      </c>
      <c r="G41" s="674"/>
      <c r="H41" s="616"/>
      <c r="I41" s="570"/>
      <c r="J41" s="570"/>
      <c r="K41" s="597"/>
      <c r="L41" s="683"/>
      <c r="M41" s="683"/>
      <c r="N41" s="694"/>
      <c r="O41" s="689" t="s">
        <v>3686</v>
      </c>
      <c r="P41" s="642"/>
      <c r="Q41" s="655"/>
      <c r="R41" s="656"/>
      <c r="S41" s="657"/>
    </row>
    <row r="42" s="10" customFormat="1" ht="15.5" customHeight="1" spans="1:19">
      <c r="A42" s="540"/>
      <c r="B42" s="541"/>
      <c r="C42" s="556"/>
      <c r="D42" s="557"/>
      <c r="E42" s="561" t="s">
        <v>2950</v>
      </c>
      <c r="F42" s="568" t="s">
        <v>3687</v>
      </c>
      <c r="G42" s="562">
        <v>11000</v>
      </c>
      <c r="H42" s="570"/>
      <c r="I42" s="570"/>
      <c r="J42" s="570"/>
      <c r="K42" s="597"/>
      <c r="L42" s="570"/>
      <c r="M42" s="570"/>
      <c r="N42" s="570"/>
      <c r="O42" s="628" t="s">
        <v>3688</v>
      </c>
      <c r="P42" s="691" t="s">
        <v>3689</v>
      </c>
      <c r="Q42" s="655"/>
      <c r="R42" s="656"/>
      <c r="S42" s="657"/>
    </row>
    <row r="43" s="10" customFormat="1" ht="15.5" customHeight="1" spans="1:19">
      <c r="A43" s="540"/>
      <c r="B43" s="541"/>
      <c r="C43" s="556"/>
      <c r="D43" s="557"/>
      <c r="E43" s="250" t="s">
        <v>408</v>
      </c>
      <c r="F43" s="568"/>
      <c r="G43" s="562">
        <v>40000</v>
      </c>
      <c r="H43" s="592"/>
      <c r="I43" s="570"/>
      <c r="J43" s="570"/>
      <c r="K43" s="597"/>
      <c r="L43" s="570"/>
      <c r="M43" s="570"/>
      <c r="N43" s="648"/>
      <c r="O43" s="686" t="s">
        <v>3690</v>
      </c>
      <c r="P43" s="696"/>
      <c r="Q43" s="655"/>
      <c r="R43" s="656"/>
      <c r="S43" s="657"/>
    </row>
    <row r="44" s="10" customFormat="1" ht="15.5" customHeight="1" spans="1:19">
      <c r="A44" s="540"/>
      <c r="B44" s="541"/>
      <c r="C44" s="556"/>
      <c r="D44" s="557"/>
      <c r="E44" s="250" t="s">
        <v>479</v>
      </c>
      <c r="F44" s="568" t="s">
        <v>3691</v>
      </c>
      <c r="G44" s="674">
        <v>67000</v>
      </c>
      <c r="H44" s="592"/>
      <c r="I44" s="570"/>
      <c r="J44" s="570"/>
      <c r="K44" s="597"/>
      <c r="L44" s="683"/>
      <c r="M44" s="683"/>
      <c r="N44" s="692"/>
      <c r="O44" s="686" t="s">
        <v>3692</v>
      </c>
      <c r="P44" s="623" t="s">
        <v>3693</v>
      </c>
      <c r="Q44" s="655"/>
      <c r="R44" s="656"/>
      <c r="S44" s="657"/>
    </row>
    <row r="45" s="10" customFormat="1" ht="15.5" customHeight="1" spans="1:19">
      <c r="A45" s="540"/>
      <c r="B45" s="541"/>
      <c r="C45" s="556"/>
      <c r="D45" s="557"/>
      <c r="E45" s="250" t="s">
        <v>3694</v>
      </c>
      <c r="F45" s="568"/>
      <c r="G45" s="674"/>
      <c r="H45" s="592"/>
      <c r="I45" s="600"/>
      <c r="J45" s="602"/>
      <c r="K45" s="597"/>
      <c r="L45" s="912"/>
      <c r="M45" s="644"/>
      <c r="N45" s="709"/>
      <c r="O45" s="626" t="s">
        <v>3695</v>
      </c>
      <c r="P45" s="696"/>
      <c r="Q45" s="655"/>
      <c r="R45" s="656"/>
      <c r="S45" s="657"/>
    </row>
    <row r="46" s="10" customFormat="1" ht="15.5" customHeight="1" spans="1:19">
      <c r="A46" s="540"/>
      <c r="B46" s="541"/>
      <c r="C46" s="556"/>
      <c r="D46" s="557"/>
      <c r="E46" s="903" t="s">
        <v>3696</v>
      </c>
      <c r="F46" s="672"/>
      <c r="G46" s="674">
        <v>45000</v>
      </c>
      <c r="H46" s="616"/>
      <c r="I46" s="683"/>
      <c r="J46" s="683"/>
      <c r="K46" s="597"/>
      <c r="L46" s="683"/>
      <c r="M46" s="683"/>
      <c r="N46" s="694"/>
      <c r="O46" s="689" t="s">
        <v>3697</v>
      </c>
      <c r="P46" s="695" t="s">
        <v>3698</v>
      </c>
      <c r="Q46" s="691" t="s">
        <v>1671</v>
      </c>
      <c r="R46" s="656"/>
      <c r="S46" s="577"/>
    </row>
    <row r="47" s="10" customFormat="1" ht="15.5" customHeight="1" spans="1:19">
      <c r="A47" s="540"/>
      <c r="B47" s="541"/>
      <c r="C47" s="556"/>
      <c r="D47" s="557"/>
      <c r="E47" s="561" t="s">
        <v>1895</v>
      </c>
      <c r="F47" s="568" t="s">
        <v>1896</v>
      </c>
      <c r="G47" s="576">
        <v>260000</v>
      </c>
      <c r="H47" s="592">
        <f>G47*K47</f>
        <v>1847534</v>
      </c>
      <c r="I47" s="600"/>
      <c r="J47" s="602"/>
      <c r="K47" s="597">
        <v>7.1059</v>
      </c>
      <c r="L47" s="598"/>
      <c r="M47" s="645"/>
      <c r="N47" s="645"/>
      <c r="O47" s="641" t="s">
        <v>3699</v>
      </c>
      <c r="P47" s="696"/>
      <c r="Q47" s="572"/>
      <c r="R47" s="656"/>
      <c r="S47" s="577"/>
    </row>
    <row r="48" s="10" customFormat="1" ht="15.5" customHeight="1" spans="1:19">
      <c r="A48" s="540"/>
      <c r="B48" s="541"/>
      <c r="C48" s="556"/>
      <c r="D48" s="557"/>
      <c r="E48" s="561" t="s">
        <v>400</v>
      </c>
      <c r="F48" s="568" t="s">
        <v>2421</v>
      </c>
      <c r="G48" s="576">
        <v>80000</v>
      </c>
      <c r="H48" s="592">
        <f>G48*K48</f>
        <v>568472</v>
      </c>
      <c r="I48" s="603"/>
      <c r="J48" s="567"/>
      <c r="K48" s="597">
        <v>7.1059</v>
      </c>
      <c r="L48" s="598"/>
      <c r="M48" s="645"/>
      <c r="N48" s="645"/>
      <c r="O48" s="641" t="s">
        <v>3700</v>
      </c>
      <c r="P48" s="696"/>
      <c r="Q48" s="572"/>
      <c r="R48" s="656"/>
      <c r="S48" s="577"/>
    </row>
    <row r="49" s="10" customFormat="1" ht="15.5" customHeight="1" spans="1:19">
      <c r="A49" s="540"/>
      <c r="B49" s="541"/>
      <c r="C49" s="556"/>
      <c r="D49" s="557"/>
      <c r="E49" s="250" t="s">
        <v>1901</v>
      </c>
      <c r="F49" s="568" t="s">
        <v>1902</v>
      </c>
      <c r="G49" s="562">
        <v>1000000</v>
      </c>
      <c r="H49" s="567"/>
      <c r="I49" s="600"/>
      <c r="J49" s="602"/>
      <c r="K49" s="597">
        <v>7.1059</v>
      </c>
      <c r="L49" s="707"/>
      <c r="M49" s="645"/>
      <c r="N49" s="645"/>
      <c r="O49" s="626" t="s">
        <v>3701</v>
      </c>
      <c r="P49" s="696"/>
      <c r="Q49" s="572"/>
      <c r="R49" s="656"/>
      <c r="S49" s="577"/>
    </row>
    <row r="50" s="10" customFormat="1" ht="15.5" customHeight="1" spans="1:19">
      <c r="A50" s="540"/>
      <c r="B50" s="541"/>
      <c r="C50" s="556"/>
      <c r="D50" s="557"/>
      <c r="E50" s="903" t="s">
        <v>3702</v>
      </c>
      <c r="F50" s="672"/>
      <c r="G50" s="674"/>
      <c r="H50" s="616"/>
      <c r="I50" s="683"/>
      <c r="J50" s="683"/>
      <c r="K50" s="597"/>
      <c r="L50" s="683"/>
      <c r="M50" s="683"/>
      <c r="N50" s="694"/>
      <c r="O50" s="689" t="s">
        <v>3703</v>
      </c>
      <c r="Q50" s="572"/>
      <c r="R50" s="656"/>
      <c r="S50" s="577"/>
    </row>
    <row r="51" s="10" customFormat="1" ht="15.5" customHeight="1" spans="1:19">
      <c r="A51" s="540"/>
      <c r="B51" s="541"/>
      <c r="C51" s="556"/>
      <c r="D51" s="557"/>
      <c r="E51" s="903" t="s">
        <v>3704</v>
      </c>
      <c r="F51" s="568"/>
      <c r="G51" s="674">
        <v>15000</v>
      </c>
      <c r="H51" s="616"/>
      <c r="I51" s="600"/>
      <c r="J51" s="602"/>
      <c r="K51" s="597"/>
      <c r="L51" s="683"/>
      <c r="M51" s="683"/>
      <c r="N51" s="694"/>
      <c r="O51" s="628" t="s">
        <v>3705</v>
      </c>
      <c r="P51" s="642"/>
      <c r="Q51" s="655"/>
      <c r="R51" s="658"/>
      <c r="S51" s="662"/>
    </row>
    <row r="52" s="10" customFormat="1" ht="15.5" customHeight="1" spans="1:19">
      <c r="A52" s="540"/>
      <c r="B52" s="541"/>
      <c r="C52" s="556"/>
      <c r="D52" s="557"/>
      <c r="E52" s="250" t="s">
        <v>638</v>
      </c>
      <c r="F52" s="250" t="s">
        <v>2416</v>
      </c>
      <c r="G52" s="562">
        <v>45000</v>
      </c>
      <c r="H52" s="592">
        <f>G52*K52</f>
        <v>319765.5</v>
      </c>
      <c r="I52" s="570"/>
      <c r="J52" s="570"/>
      <c r="K52" s="597">
        <v>7.1059</v>
      </c>
      <c r="L52" s="570"/>
      <c r="M52" s="570"/>
      <c r="N52" s="648"/>
      <c r="O52" s="628" t="s">
        <v>3706</v>
      </c>
      <c r="Q52" s="655"/>
      <c r="R52" s="658"/>
      <c r="S52" s="662"/>
    </row>
    <row r="53" s="10" customFormat="1" ht="15.5" customHeight="1" spans="1:19">
      <c r="A53" s="540"/>
      <c r="B53" s="541"/>
      <c r="C53" s="556"/>
      <c r="D53" s="557"/>
      <c r="E53" s="673" t="s">
        <v>3707</v>
      </c>
      <c r="F53" s="673"/>
      <c r="G53" s="683"/>
      <c r="H53" s="616"/>
      <c r="I53" s="683"/>
      <c r="J53" s="683"/>
      <c r="K53" s="597"/>
      <c r="L53" s="683"/>
      <c r="M53" s="683"/>
      <c r="N53" s="694"/>
      <c r="O53" s="689" t="s">
        <v>3708</v>
      </c>
      <c r="P53" s="695"/>
      <c r="Q53" s="655"/>
      <c r="R53" s="570"/>
      <c r="S53" s="570"/>
    </row>
    <row r="54" s="10" customFormat="1" ht="15.5" customHeight="1" spans="1:19">
      <c r="A54" s="540"/>
      <c r="B54" s="541"/>
      <c r="C54" s="670"/>
      <c r="D54" s="557"/>
      <c r="E54" s="673" t="s">
        <v>3709</v>
      </c>
      <c r="F54" s="673"/>
      <c r="G54" s="683"/>
      <c r="H54" s="616"/>
      <c r="I54" s="683"/>
      <c r="J54" s="683"/>
      <c r="K54" s="597"/>
      <c r="L54" s="683"/>
      <c r="M54" s="683"/>
      <c r="N54" s="694"/>
      <c r="O54" s="628" t="s">
        <v>3710</v>
      </c>
      <c r="P54" s="695"/>
      <c r="Q54" s="655"/>
      <c r="R54" s="570"/>
      <c r="S54" s="570"/>
    </row>
    <row r="55" s="10" customFormat="1" ht="15.5" customHeight="1" spans="1:19">
      <c r="A55" s="540"/>
      <c r="B55" s="541"/>
      <c r="C55" s="556" t="s">
        <v>2361</v>
      </c>
      <c r="D55" s="557"/>
      <c r="E55" s="673" t="s">
        <v>368</v>
      </c>
      <c r="F55" s="673" t="s">
        <v>3711</v>
      </c>
      <c r="G55" s="674">
        <v>40000</v>
      </c>
      <c r="H55" s="616"/>
      <c r="I55" s="683"/>
      <c r="J55" s="683"/>
      <c r="K55" s="597"/>
      <c r="L55" s="683"/>
      <c r="M55" s="683"/>
      <c r="N55" s="694"/>
      <c r="O55" s="628" t="s">
        <v>3712</v>
      </c>
      <c r="P55" s="695"/>
      <c r="Q55" s="655"/>
      <c r="R55" s="570"/>
      <c r="S55" s="570"/>
    </row>
    <row r="56" s="10" customFormat="1" ht="15.5" customHeight="1" spans="1:19">
      <c r="A56" s="540"/>
      <c r="B56" s="541"/>
      <c r="C56" s="556"/>
      <c r="D56" s="557"/>
      <c r="E56" s="673" t="s">
        <v>840</v>
      </c>
      <c r="F56" s="673" t="s">
        <v>2061</v>
      </c>
      <c r="G56" s="674"/>
      <c r="H56" s="616"/>
      <c r="I56" s="683"/>
      <c r="J56" s="683"/>
      <c r="K56" s="597"/>
      <c r="L56" s="683"/>
      <c r="M56" s="683"/>
      <c r="N56" s="694"/>
      <c r="O56" s="628" t="s">
        <v>3713</v>
      </c>
      <c r="P56" s="695"/>
      <c r="Q56" s="655"/>
      <c r="R56" s="570"/>
      <c r="S56" s="570"/>
    </row>
    <row r="57" s="10" customFormat="1" ht="15.5" customHeight="1" spans="1:19">
      <c r="A57" s="540"/>
      <c r="B57" s="541"/>
      <c r="C57" s="556"/>
      <c r="D57" s="557"/>
      <c r="E57" s="673" t="s">
        <v>1639</v>
      </c>
      <c r="F57" s="673" t="s">
        <v>3714</v>
      </c>
      <c r="G57" s="674">
        <v>30000</v>
      </c>
      <c r="H57" s="616"/>
      <c r="I57" s="683"/>
      <c r="J57" s="683"/>
      <c r="K57" s="597"/>
      <c r="L57" s="683"/>
      <c r="M57" s="683"/>
      <c r="N57" s="694"/>
      <c r="O57" s="628" t="s">
        <v>3715</v>
      </c>
      <c r="P57" s="695"/>
      <c r="Q57" s="655"/>
      <c r="R57" s="570"/>
      <c r="S57" s="570"/>
    </row>
    <row r="58" s="10" customFormat="1" ht="33" spans="1:19">
      <c r="A58" s="540"/>
      <c r="B58" s="541"/>
      <c r="C58" s="556"/>
      <c r="D58" s="557"/>
      <c r="E58" s="673" t="s">
        <v>1542</v>
      </c>
      <c r="F58" s="673" t="s">
        <v>3716</v>
      </c>
      <c r="G58" s="674">
        <v>60000</v>
      </c>
      <c r="H58" s="616"/>
      <c r="I58" s="683"/>
      <c r="J58" s="683"/>
      <c r="K58" s="597"/>
      <c r="L58" s="683"/>
      <c r="M58" s="683"/>
      <c r="N58" s="694"/>
      <c r="O58" s="628" t="s">
        <v>3717</v>
      </c>
      <c r="P58" s="695" t="s">
        <v>3718</v>
      </c>
      <c r="Q58" s="655" t="s">
        <v>1671</v>
      </c>
      <c r="R58" s="570"/>
      <c r="S58" s="570"/>
    </row>
    <row r="59" s="10" customFormat="1" ht="15.45" customHeight="1" spans="1:19">
      <c r="A59" s="540"/>
      <c r="B59" s="541"/>
      <c r="C59" s="556"/>
      <c r="D59" s="557"/>
      <c r="E59" s="673" t="s">
        <v>3719</v>
      </c>
      <c r="F59" s="673" t="s">
        <v>3720</v>
      </c>
      <c r="G59" s="674"/>
      <c r="H59" s="616"/>
      <c r="I59" s="683"/>
      <c r="J59" s="683"/>
      <c r="K59" s="597"/>
      <c r="L59" s="683"/>
      <c r="M59" s="683"/>
      <c r="N59" s="694"/>
      <c r="O59" s="628" t="s">
        <v>3721</v>
      </c>
      <c r="P59" s="695" t="s">
        <v>3722</v>
      </c>
      <c r="Q59" s="655" t="s">
        <v>2131</v>
      </c>
      <c r="R59" s="570"/>
      <c r="S59" s="570"/>
    </row>
    <row r="60" s="10" customFormat="1" ht="15.5" customHeight="1" spans="1:19">
      <c r="A60" s="540"/>
      <c r="B60" s="669"/>
      <c r="C60" s="556"/>
      <c r="D60" s="557"/>
      <c r="E60" s="564" t="s">
        <v>145</v>
      </c>
      <c r="F60" s="564" t="s">
        <v>3723</v>
      </c>
      <c r="G60" s="576">
        <v>2500</v>
      </c>
      <c r="H60" s="592">
        <f>G60*K60</f>
        <v>17764.75</v>
      </c>
      <c r="I60" s="605"/>
      <c r="J60" s="592"/>
      <c r="K60" s="597">
        <v>7.1059</v>
      </c>
      <c r="L60" s="625"/>
      <c r="M60" s="625"/>
      <c r="N60" s="625"/>
      <c r="O60" s="639" t="s">
        <v>3724</v>
      </c>
      <c r="P60" s="642"/>
      <c r="Q60" s="655"/>
      <c r="R60" s="656"/>
      <c r="S60" s="657"/>
    </row>
    <row r="61" s="10" customFormat="1" ht="49.5" spans="1:19">
      <c r="A61" s="540"/>
      <c r="B61" s="669"/>
      <c r="C61" s="556"/>
      <c r="D61" s="557"/>
      <c r="E61" s="250" t="s">
        <v>1907</v>
      </c>
      <c r="F61" s="562" t="s">
        <v>1908</v>
      </c>
      <c r="G61" s="562">
        <v>50687</v>
      </c>
      <c r="H61" s="567"/>
      <c r="I61" s="600"/>
      <c r="J61" s="602"/>
      <c r="K61" s="597">
        <v>7.1059</v>
      </c>
      <c r="L61" s="707"/>
      <c r="M61" s="645"/>
      <c r="N61" s="645"/>
      <c r="O61" s="687" t="s">
        <v>3725</v>
      </c>
      <c r="P61" s="642" t="s">
        <v>2430</v>
      </c>
      <c r="Q61" s="655" t="s">
        <v>1671</v>
      </c>
      <c r="R61" s="656"/>
      <c r="S61" s="602"/>
    </row>
    <row r="62" s="10" customFormat="1" ht="29.65" customHeight="1" spans="1:19">
      <c r="A62" s="540"/>
      <c r="B62" s="669"/>
      <c r="C62" s="556"/>
      <c r="D62" s="557"/>
      <c r="E62" s="250" t="s">
        <v>2401</v>
      </c>
      <c r="F62" s="576" t="s">
        <v>3726</v>
      </c>
      <c r="G62" s="562"/>
      <c r="H62" s="592"/>
      <c r="I62" s="600"/>
      <c r="J62" s="602"/>
      <c r="K62" s="597"/>
      <c r="L62" s="707"/>
      <c r="M62" s="644"/>
      <c r="N62" s="709"/>
      <c r="O62" s="687" t="s">
        <v>3727</v>
      </c>
      <c r="P62" s="640"/>
      <c r="Q62" s="655"/>
      <c r="R62" s="656"/>
      <c r="S62" s="602"/>
    </row>
    <row r="63" s="10" customFormat="1" ht="33" spans="1:19">
      <c r="A63" s="540"/>
      <c r="B63" s="669"/>
      <c r="C63" s="556"/>
      <c r="D63" s="557"/>
      <c r="E63" s="250" t="s">
        <v>2977</v>
      </c>
      <c r="F63" s="568" t="s">
        <v>3728</v>
      </c>
      <c r="G63" s="562">
        <v>70000</v>
      </c>
      <c r="H63" s="569"/>
      <c r="I63" s="603"/>
      <c r="J63" s="567"/>
      <c r="K63" s="597">
        <v>7.1059</v>
      </c>
      <c r="L63" s="598"/>
      <c r="M63" s="633"/>
      <c r="N63" s="636"/>
      <c r="O63" s="687" t="s">
        <v>3729</v>
      </c>
      <c r="P63" s="640"/>
      <c r="Q63" s="655"/>
      <c r="R63" s="656"/>
      <c r="S63" s="602"/>
    </row>
    <row r="64" s="10" customFormat="1" ht="99" spans="1:19">
      <c r="A64" s="540"/>
      <c r="B64" s="669"/>
      <c r="C64" s="556"/>
      <c r="D64" s="557"/>
      <c r="E64" s="673" t="s">
        <v>2050</v>
      </c>
      <c r="F64" s="673" t="s">
        <v>3730</v>
      </c>
      <c r="G64" s="683"/>
      <c r="H64" s="616"/>
      <c r="I64" s="683"/>
      <c r="J64" s="683"/>
      <c r="K64" s="597">
        <v>7.1059</v>
      </c>
      <c r="L64" s="683"/>
      <c r="M64" s="683"/>
      <c r="N64" s="694"/>
      <c r="O64" s="628" t="s">
        <v>3731</v>
      </c>
      <c r="P64" s="695" t="s">
        <v>3732</v>
      </c>
      <c r="Q64" s="655" t="s">
        <v>1671</v>
      </c>
      <c r="R64" s="656"/>
      <c r="S64" s="602"/>
    </row>
    <row r="65" s="10" customFormat="1" ht="15.5" customHeight="1" spans="1:19">
      <c r="A65" s="540"/>
      <c r="B65" s="669"/>
      <c r="C65" s="556"/>
      <c r="D65" s="557"/>
      <c r="E65" s="673" t="s">
        <v>201</v>
      </c>
      <c r="F65" s="673" t="s">
        <v>585</v>
      </c>
      <c r="G65" s="683"/>
      <c r="H65" s="616"/>
      <c r="I65" s="683"/>
      <c r="J65" s="683"/>
      <c r="K65" s="597">
        <v>7.1059</v>
      </c>
      <c r="L65" s="683"/>
      <c r="M65" s="683"/>
      <c r="N65" s="694"/>
      <c r="O65" s="628" t="s">
        <v>3733</v>
      </c>
      <c r="P65" s="695" t="s">
        <v>3732</v>
      </c>
      <c r="Q65" s="655" t="s">
        <v>1671</v>
      </c>
      <c r="R65" s="656"/>
      <c r="S65" s="602"/>
    </row>
    <row r="66" s="10" customFormat="1" ht="15.5" customHeight="1" spans="1:19">
      <c r="A66" s="540"/>
      <c r="B66" s="669"/>
      <c r="C66" s="556"/>
      <c r="D66" s="557"/>
      <c r="E66" s="673" t="s">
        <v>3734</v>
      </c>
      <c r="F66" s="673" t="s">
        <v>3735</v>
      </c>
      <c r="G66" s="683"/>
      <c r="H66" s="616"/>
      <c r="I66" s="683"/>
      <c r="J66" s="683"/>
      <c r="K66" s="597">
        <v>7.1059</v>
      </c>
      <c r="L66" s="683"/>
      <c r="M66" s="683"/>
      <c r="N66" s="694"/>
      <c r="O66" s="710" t="s">
        <v>3736</v>
      </c>
      <c r="P66" s="695" t="s">
        <v>3737</v>
      </c>
      <c r="Q66" s="655" t="s">
        <v>1671</v>
      </c>
      <c r="R66" s="656"/>
      <c r="S66" s="602"/>
    </row>
    <row r="67" s="10" customFormat="1" ht="16.5" spans="1:19">
      <c r="A67" s="540"/>
      <c r="B67" s="669"/>
      <c r="C67" s="556"/>
      <c r="D67" s="557"/>
      <c r="E67" s="250" t="s">
        <v>3738</v>
      </c>
      <c r="F67" s="568" t="s">
        <v>3739</v>
      </c>
      <c r="G67" s="562"/>
      <c r="H67" s="592"/>
      <c r="I67" s="603"/>
      <c r="J67" s="567"/>
      <c r="K67" s="597">
        <v>7.1059</v>
      </c>
      <c r="L67" s="598"/>
      <c r="M67" s="633"/>
      <c r="N67" s="636"/>
      <c r="O67" s="687" t="s">
        <v>3740</v>
      </c>
      <c r="P67" s="640"/>
      <c r="Q67" s="663"/>
      <c r="R67" s="656"/>
      <c r="S67" s="602"/>
    </row>
    <row r="68" s="10" customFormat="1" ht="17.65" customHeight="1" spans="1:20">
      <c r="A68" s="540"/>
      <c r="B68" s="669"/>
      <c r="C68" s="556"/>
      <c r="D68" s="557"/>
      <c r="E68" s="572" t="s">
        <v>2126</v>
      </c>
      <c r="F68" s="250" t="s">
        <v>3741</v>
      </c>
      <c r="G68" s="576"/>
      <c r="H68" s="567"/>
      <c r="I68" s="603"/>
      <c r="J68" s="567"/>
      <c r="K68" s="597">
        <v>7.1059</v>
      </c>
      <c r="L68" s="625"/>
      <c r="M68" s="625"/>
      <c r="N68" s="625"/>
      <c r="O68" s="687" t="s">
        <v>3742</v>
      </c>
      <c r="P68" s="642"/>
      <c r="Q68" s="655"/>
      <c r="R68" s="659"/>
      <c r="S68" s="657"/>
      <c r="T68" s="10" t="str">
        <f>_xlfn.DISPIMG("ID_4E2414E2E4DE41F6BB489A61F6336261",1)</f>
        <v>=DISPIMG("ID_4E2414E2E4DE41F6BB489A61F6336261",1)</v>
      </c>
    </row>
    <row r="69" s="10" customFormat="1" ht="33" spans="1:19">
      <c r="A69" s="540"/>
      <c r="B69" s="669"/>
      <c r="C69" s="670"/>
      <c r="D69" s="557"/>
      <c r="E69" s="673" t="s">
        <v>2425</v>
      </c>
      <c r="F69" s="672" t="s">
        <v>2426</v>
      </c>
      <c r="G69" s="674"/>
      <c r="H69" s="915"/>
      <c r="I69" s="680"/>
      <c r="J69" s="681"/>
      <c r="K69" s="806">
        <v>7.1059</v>
      </c>
      <c r="L69" s="610"/>
      <c r="M69" s="633"/>
      <c r="N69" s="636"/>
      <c r="O69" s="637" t="s">
        <v>3743</v>
      </c>
      <c r="P69" s="640" t="s">
        <v>2428</v>
      </c>
      <c r="Q69" s="663"/>
      <c r="R69" s="919"/>
      <c r="S69" s="766"/>
    </row>
    <row r="70" s="10" customFormat="1" ht="16.5" spans="1:19">
      <c r="A70" s="540"/>
      <c r="B70" s="541"/>
      <c r="C70" s="671" t="s">
        <v>2382</v>
      </c>
      <c r="D70" s="557"/>
      <c r="E70" s="572" t="s">
        <v>2404</v>
      </c>
      <c r="F70" s="568" t="s">
        <v>2405</v>
      </c>
      <c r="G70" s="591"/>
      <c r="H70" s="570"/>
      <c r="I70" s="603"/>
      <c r="J70" s="567"/>
      <c r="K70" s="597">
        <v>7.1059</v>
      </c>
      <c r="L70" s="708"/>
      <c r="M70" s="644"/>
      <c r="N70" s="644"/>
      <c r="O70" s="639" t="s">
        <v>3744</v>
      </c>
      <c r="P70" s="642"/>
      <c r="Q70" s="655"/>
      <c r="R70" s="656"/>
      <c r="S70" s="602"/>
    </row>
    <row r="71" s="10" customFormat="1" ht="15" customHeight="1" spans="1:19">
      <c r="A71" s="699"/>
      <c r="B71" s="541"/>
      <c r="C71" s="671"/>
      <c r="D71" s="557"/>
      <c r="E71" s="572" t="s">
        <v>3745</v>
      </c>
      <c r="F71" s="568" t="s">
        <v>3746</v>
      </c>
      <c r="G71" s="591"/>
      <c r="H71" s="570"/>
      <c r="I71" s="603"/>
      <c r="J71" s="567"/>
      <c r="K71" s="597">
        <v>7.1059</v>
      </c>
      <c r="L71" s="708"/>
      <c r="M71" s="644"/>
      <c r="N71" s="644"/>
      <c r="O71" s="689" t="s">
        <v>3747</v>
      </c>
      <c r="P71" s="642"/>
      <c r="Q71" s="655"/>
      <c r="R71" s="656"/>
      <c r="S71" s="602"/>
    </row>
    <row r="72" s="10" customFormat="1" ht="16.5" spans="1:19">
      <c r="A72" s="699"/>
      <c r="B72" s="541"/>
      <c r="C72" s="700" t="s">
        <v>3748</v>
      </c>
      <c r="D72" s="701"/>
      <c r="E72" s="250" t="s">
        <v>3177</v>
      </c>
      <c r="F72" s="568" t="s">
        <v>3749</v>
      </c>
      <c r="G72" s="562"/>
      <c r="H72" s="592"/>
      <c r="I72" s="603"/>
      <c r="J72" s="567"/>
      <c r="K72" s="597">
        <v>7.1059</v>
      </c>
      <c r="L72" s="598"/>
      <c r="M72" s="633"/>
      <c r="N72" s="636"/>
      <c r="O72" s="687" t="s">
        <v>3750</v>
      </c>
      <c r="P72" s="642"/>
      <c r="Q72" s="655"/>
      <c r="R72" s="664"/>
      <c r="S72" s="602"/>
    </row>
    <row r="73" s="10" customFormat="1" ht="16.5" spans="1:19">
      <c r="A73" s="699"/>
      <c r="B73" s="541"/>
      <c r="C73" s="702"/>
      <c r="D73" s="701"/>
      <c r="E73" s="706" t="s">
        <v>3751</v>
      </c>
      <c r="F73" s="705"/>
      <c r="G73" s="593"/>
      <c r="H73" s="592"/>
      <c r="I73" s="603"/>
      <c r="J73" s="567"/>
      <c r="K73" s="597">
        <v>7.1059</v>
      </c>
      <c r="L73" s="598"/>
      <c r="M73" s="633"/>
      <c r="N73" s="636"/>
      <c r="O73" s="639" t="s">
        <v>3752</v>
      </c>
      <c r="P73" s="642"/>
      <c r="Q73" s="655"/>
      <c r="R73" s="664"/>
      <c r="S73" s="602" t="s">
        <v>3753</v>
      </c>
    </row>
    <row r="74" s="10" customFormat="1" ht="33" spans="1:19">
      <c r="A74" s="699"/>
      <c r="B74" s="541"/>
      <c r="C74" s="702"/>
      <c r="D74" s="701"/>
      <c r="E74" s="250" t="s">
        <v>3754</v>
      </c>
      <c r="F74" s="705"/>
      <c r="G74" s="593"/>
      <c r="H74" s="592"/>
      <c r="I74" s="603"/>
      <c r="J74" s="567"/>
      <c r="K74" s="597"/>
      <c r="L74" s="598"/>
      <c r="M74" s="633"/>
      <c r="N74" s="636"/>
      <c r="O74" s="639" t="s">
        <v>3755</v>
      </c>
      <c r="P74" s="642"/>
      <c r="Q74" s="655"/>
      <c r="R74" s="664"/>
      <c r="S74" s="602"/>
    </row>
    <row r="75" s="10" customFormat="1" ht="33" spans="1:19">
      <c r="A75" s="699"/>
      <c r="B75" s="541"/>
      <c r="C75" s="702"/>
      <c r="D75" s="701"/>
      <c r="E75" s="706" t="s">
        <v>3756</v>
      </c>
      <c r="F75" s="705"/>
      <c r="G75" s="593"/>
      <c r="H75" s="592"/>
      <c r="I75" s="603"/>
      <c r="J75" s="567"/>
      <c r="K75" s="597"/>
      <c r="L75" s="598"/>
      <c r="M75" s="633"/>
      <c r="N75" s="636"/>
      <c r="O75" s="639" t="s">
        <v>3757</v>
      </c>
      <c r="P75" s="642"/>
      <c r="Q75" s="655"/>
      <c r="R75" s="664"/>
      <c r="S75" s="602"/>
    </row>
    <row r="76" s="10" customFormat="1" ht="27.75" customHeight="1" spans="1:19">
      <c r="A76" s="699"/>
      <c r="B76" s="541"/>
      <c r="C76" s="702"/>
      <c r="D76" s="701"/>
      <c r="E76" s="250" t="s">
        <v>3758</v>
      </c>
      <c r="F76" s="712"/>
      <c r="G76" s="712"/>
      <c r="H76" s="675"/>
      <c r="I76" s="732"/>
      <c r="J76" s="732"/>
      <c r="K76" s="597">
        <v>7.1059</v>
      </c>
      <c r="L76" s="598"/>
      <c r="M76" s="645"/>
      <c r="N76" s="645"/>
      <c r="O76" s="624" t="s">
        <v>3759</v>
      </c>
      <c r="P76" s="642"/>
      <c r="Q76" s="655"/>
      <c r="R76" s="664"/>
      <c r="S76" s="745" t="s">
        <v>3760</v>
      </c>
    </row>
    <row r="77" s="10" customFormat="1" ht="33" customHeight="1" spans="1:19">
      <c r="A77" s="699"/>
      <c r="B77" s="541"/>
      <c r="C77" s="700" t="s">
        <v>3761</v>
      </c>
      <c r="D77" s="701"/>
      <c r="E77" s="574" t="s">
        <v>3762</v>
      </c>
      <c r="F77" s="712"/>
      <c r="G77" s="712"/>
      <c r="H77" s="675"/>
      <c r="I77" s="732"/>
      <c r="J77" s="732"/>
      <c r="K77" s="597">
        <v>7.1059</v>
      </c>
      <c r="L77" s="598"/>
      <c r="M77" s="645"/>
      <c r="N77" s="645"/>
      <c r="O77" s="624" t="s">
        <v>3763</v>
      </c>
      <c r="P77" s="642"/>
      <c r="Q77" s="655"/>
      <c r="R77" s="664"/>
      <c r="S77" s="602"/>
    </row>
    <row r="78" s="10" customFormat="1" ht="16.5" spans="1:19">
      <c r="A78" s="699"/>
      <c r="B78" s="541"/>
      <c r="C78" s="712" t="s">
        <v>1874</v>
      </c>
      <c r="D78" s="712"/>
      <c r="E78" s="712"/>
      <c r="F78" s="712"/>
      <c r="G78" s="712"/>
      <c r="H78" s="675">
        <f>SUM(H32:H71)</f>
        <v>2753536.25</v>
      </c>
      <c r="I78" s="732"/>
      <c r="J78" s="732"/>
      <c r="K78" s="733"/>
      <c r="L78" s="598"/>
      <c r="M78" s="645"/>
      <c r="N78" s="645"/>
      <c r="O78" s="622"/>
      <c r="P78" s="642"/>
      <c r="Q78" s="655"/>
      <c r="R78" s="664"/>
      <c r="S78" s="602"/>
    </row>
    <row r="79" s="10" customFormat="1" ht="33.55" customHeight="1" spans="1:19">
      <c r="A79" s="537" t="s">
        <v>1092</v>
      </c>
      <c r="B79" s="537" t="s">
        <v>1820</v>
      </c>
      <c r="C79" s="538" t="s">
        <v>1946</v>
      </c>
      <c r="D79" s="539" t="s">
        <v>3764</v>
      </c>
      <c r="E79" s="539" t="s">
        <v>1822</v>
      </c>
      <c r="F79" s="558" t="s">
        <v>1095</v>
      </c>
      <c r="G79" s="559" t="s">
        <v>362</v>
      </c>
      <c r="H79" s="560" t="s">
        <v>1716</v>
      </c>
      <c r="I79" s="560" t="s">
        <v>1717</v>
      </c>
      <c r="J79" s="560" t="s">
        <v>1718</v>
      </c>
      <c r="K79" s="594" t="s">
        <v>1866</v>
      </c>
      <c r="L79" s="595" t="s">
        <v>1098</v>
      </c>
      <c r="M79" s="619" t="s">
        <v>3620</v>
      </c>
      <c r="N79" s="619" t="s">
        <v>1214</v>
      </c>
      <c r="O79" s="620" t="s">
        <v>1215</v>
      </c>
      <c r="P79" s="621" t="s">
        <v>7</v>
      </c>
      <c r="Q79" s="746" t="s">
        <v>8</v>
      </c>
      <c r="R79" s="747" t="s">
        <v>9</v>
      </c>
      <c r="S79" s="654" t="s">
        <v>1291</v>
      </c>
    </row>
    <row r="80" s="10" customFormat="1" ht="16.5" spans="1:19">
      <c r="A80" s="713" t="s">
        <v>1913</v>
      </c>
      <c r="B80" s="541" t="s">
        <v>1824</v>
      </c>
      <c r="C80" s="556" t="s">
        <v>1248</v>
      </c>
      <c r="D80" s="557">
        <v>315</v>
      </c>
      <c r="E80" s="541" t="s">
        <v>299</v>
      </c>
      <c r="F80" s="572" t="s">
        <v>2504</v>
      </c>
      <c r="G80" s="722">
        <v>12079</v>
      </c>
      <c r="H80" s="567">
        <f>G80*K80</f>
        <v>85832.1661</v>
      </c>
      <c r="I80" s="567">
        <v>85832.1661</v>
      </c>
      <c r="J80" s="735"/>
      <c r="K80" s="597">
        <v>7.1059</v>
      </c>
      <c r="L80" s="598">
        <v>45364</v>
      </c>
      <c r="M80" s="598">
        <v>45378</v>
      </c>
      <c r="N80" s="598">
        <v>45381</v>
      </c>
      <c r="O80" s="740" t="s">
        <v>3765</v>
      </c>
      <c r="P80" s="673"/>
      <c r="Q80" s="748"/>
      <c r="R80" s="749"/>
      <c r="S80" s="750"/>
    </row>
    <row r="81" s="10" customFormat="1" ht="16.5" spans="1:19">
      <c r="A81" s="713"/>
      <c r="B81" s="541"/>
      <c r="C81" s="556"/>
      <c r="D81" s="557"/>
      <c r="E81" s="568" t="s">
        <v>274</v>
      </c>
      <c r="F81" s="572" t="s">
        <v>3766</v>
      </c>
      <c r="G81" s="722">
        <v>3418</v>
      </c>
      <c r="H81" s="567">
        <f>G81*K81</f>
        <v>24287.9662</v>
      </c>
      <c r="I81" s="567">
        <f>H81</f>
        <v>24287.9662</v>
      </c>
      <c r="J81" s="735">
        <f>I81</f>
        <v>24287.9662</v>
      </c>
      <c r="K81" s="597">
        <v>7.1059</v>
      </c>
      <c r="L81" s="598" t="s">
        <v>1218</v>
      </c>
      <c r="M81" s="598">
        <v>45358</v>
      </c>
      <c r="N81" s="625">
        <v>45363</v>
      </c>
      <c r="O81" s="740" t="s">
        <v>3767</v>
      </c>
      <c r="P81" s="673"/>
      <c r="Q81" s="748"/>
      <c r="R81" s="749"/>
      <c r="S81" s="750"/>
    </row>
    <row r="82" s="10" customFormat="1" ht="16.5" spans="1:19">
      <c r="A82" s="713"/>
      <c r="B82" s="541"/>
      <c r="C82" s="913"/>
      <c r="D82" s="557"/>
      <c r="E82" s="903" t="s">
        <v>1340</v>
      </c>
      <c r="F82" s="568" t="s">
        <v>3561</v>
      </c>
      <c r="G82" s="725">
        <v>33488</v>
      </c>
      <c r="H82" s="567">
        <f>G82*K82</f>
        <v>237962.3792</v>
      </c>
      <c r="I82" s="567">
        <v>237962.3792</v>
      </c>
      <c r="J82" s="577"/>
      <c r="K82" s="597">
        <v>7.1059</v>
      </c>
      <c r="L82" s="598" t="s">
        <v>2437</v>
      </c>
      <c r="M82" s="625">
        <v>45381</v>
      </c>
      <c r="N82" s="625" t="s">
        <v>2219</v>
      </c>
      <c r="O82" s="743" t="s">
        <v>3768</v>
      </c>
      <c r="P82" s="250"/>
      <c r="Q82" s="751"/>
      <c r="R82" s="752"/>
      <c r="S82" s="750"/>
    </row>
    <row r="83" s="10" customFormat="1" ht="16.5" spans="1:19">
      <c r="A83" s="713"/>
      <c r="B83" s="541"/>
      <c r="C83" s="913"/>
      <c r="D83" s="557"/>
      <c r="E83" s="568" t="s">
        <v>165</v>
      </c>
      <c r="F83" s="568" t="s">
        <v>2517</v>
      </c>
      <c r="G83" s="576">
        <v>14790</v>
      </c>
      <c r="H83" s="567"/>
      <c r="I83" s="567"/>
      <c r="J83" s="734">
        <v>105096.26</v>
      </c>
      <c r="K83" s="597">
        <v>7.1049</v>
      </c>
      <c r="L83" s="598" t="s">
        <v>1218</v>
      </c>
      <c r="M83" s="625">
        <v>45350</v>
      </c>
      <c r="N83" s="625">
        <v>45354</v>
      </c>
      <c r="O83" s="740" t="s">
        <v>3769</v>
      </c>
      <c r="P83" s="250"/>
      <c r="Q83" s="751"/>
      <c r="R83" s="752"/>
      <c r="S83" s="750"/>
    </row>
    <row r="84" s="10" customFormat="1" ht="16.5" spans="1:19">
      <c r="A84" s="713"/>
      <c r="B84" s="541"/>
      <c r="C84" s="913"/>
      <c r="D84" s="557"/>
      <c r="E84" s="568" t="s">
        <v>324</v>
      </c>
      <c r="F84" s="571" t="s">
        <v>3770</v>
      </c>
      <c r="G84" s="576">
        <v>11556</v>
      </c>
      <c r="H84" s="567">
        <f>G84*K84</f>
        <v>82115.7804</v>
      </c>
      <c r="I84" s="567">
        <f>H84</f>
        <v>82115.7804</v>
      </c>
      <c r="J84" s="735"/>
      <c r="K84" s="597">
        <v>7.1059</v>
      </c>
      <c r="L84" s="625">
        <v>45379</v>
      </c>
      <c r="M84" s="625">
        <v>45379</v>
      </c>
      <c r="N84" s="625">
        <v>45383</v>
      </c>
      <c r="O84" s="740" t="s">
        <v>3771</v>
      </c>
      <c r="P84" s="250"/>
      <c r="Q84" s="751"/>
      <c r="R84" s="752"/>
      <c r="S84" s="750"/>
    </row>
    <row r="85" s="10" customFormat="1" ht="16.5" spans="1:19">
      <c r="A85" s="713"/>
      <c r="B85" s="541"/>
      <c r="C85" s="913"/>
      <c r="D85" s="557"/>
      <c r="E85" s="568" t="s">
        <v>247</v>
      </c>
      <c r="F85" s="571" t="s">
        <v>3772</v>
      </c>
      <c r="G85" s="576">
        <v>41315</v>
      </c>
      <c r="H85" s="567">
        <f t="shared" ref="H85:H90" si="2">G85*K85</f>
        <v>293580.2585</v>
      </c>
      <c r="I85" s="567">
        <f>H85</f>
        <v>293580.2585</v>
      </c>
      <c r="J85" s="735">
        <f>I85</f>
        <v>293580.2585</v>
      </c>
      <c r="K85" s="597">
        <v>7.1059</v>
      </c>
      <c r="L85" s="598" t="s">
        <v>1218</v>
      </c>
      <c r="M85" s="625">
        <v>45373</v>
      </c>
      <c r="N85" s="625">
        <v>45377</v>
      </c>
      <c r="O85" s="740" t="s">
        <v>3773</v>
      </c>
      <c r="P85" s="250"/>
      <c r="Q85" s="751"/>
      <c r="R85" s="752"/>
      <c r="S85" s="750"/>
    </row>
    <row r="86" s="10" customFormat="1" ht="16.5" spans="1:19">
      <c r="A86" s="713"/>
      <c r="B86" s="541"/>
      <c r="C86" s="913"/>
      <c r="D86" s="557"/>
      <c r="E86" s="571" t="s">
        <v>174</v>
      </c>
      <c r="F86" s="724" t="s">
        <v>3774</v>
      </c>
      <c r="G86" s="576">
        <v>32599</v>
      </c>
      <c r="H86" s="567">
        <f t="shared" si="2"/>
        <v>231645.2341</v>
      </c>
      <c r="I86" s="567">
        <f>H86</f>
        <v>231645.2341</v>
      </c>
      <c r="J86" s="735"/>
      <c r="K86" s="597">
        <v>7.1059</v>
      </c>
      <c r="L86" s="625">
        <v>45377</v>
      </c>
      <c r="M86" s="625">
        <v>45380</v>
      </c>
      <c r="N86" s="625">
        <v>45386</v>
      </c>
      <c r="O86" s="740" t="s">
        <v>3775</v>
      </c>
      <c r="P86" s="250"/>
      <c r="Q86" s="751"/>
      <c r="R86" s="752"/>
      <c r="S86" s="750"/>
    </row>
    <row r="87" s="10" customFormat="1" ht="16.5" spans="1:19">
      <c r="A87" s="713"/>
      <c r="B87" s="541"/>
      <c r="C87" s="913"/>
      <c r="D87" s="557"/>
      <c r="E87" s="568" t="s">
        <v>1405</v>
      </c>
      <c r="F87" s="568" t="s">
        <v>1962</v>
      </c>
      <c r="G87" s="722">
        <v>33343</v>
      </c>
      <c r="H87" s="567">
        <f t="shared" si="2"/>
        <v>236932.0237</v>
      </c>
      <c r="I87" s="567">
        <f>H87</f>
        <v>236932.0237</v>
      </c>
      <c r="J87" s="735"/>
      <c r="K87" s="597">
        <v>7.1059</v>
      </c>
      <c r="L87" s="598" t="s">
        <v>1218</v>
      </c>
      <c r="M87" s="625">
        <v>45380</v>
      </c>
      <c r="N87" s="625">
        <v>45383</v>
      </c>
      <c r="O87" s="740" t="s">
        <v>3776</v>
      </c>
      <c r="P87" s="250"/>
      <c r="Q87" s="751"/>
      <c r="R87" s="752"/>
      <c r="S87" s="750"/>
    </row>
    <row r="88" s="10" customFormat="1" ht="16.5" spans="1:19">
      <c r="A88" s="713"/>
      <c r="B88" s="541"/>
      <c r="C88" s="913"/>
      <c r="D88" s="557"/>
      <c r="E88" s="705" t="s">
        <v>2496</v>
      </c>
      <c r="F88" s="568" t="s">
        <v>3777</v>
      </c>
      <c r="G88" s="722">
        <v>69583</v>
      </c>
      <c r="H88" s="567">
        <f t="shared" si="2"/>
        <v>494449.8397</v>
      </c>
      <c r="I88" s="567">
        <v>494449.8397</v>
      </c>
      <c r="J88" s="735"/>
      <c r="K88" s="597">
        <v>7.1059</v>
      </c>
      <c r="L88" s="598" t="s">
        <v>1218</v>
      </c>
      <c r="M88" s="625">
        <v>45381</v>
      </c>
      <c r="N88" s="625">
        <v>45385</v>
      </c>
      <c r="O88" s="916" t="s">
        <v>3778</v>
      </c>
      <c r="P88" s="917"/>
      <c r="Q88" s="751"/>
      <c r="R88" s="752"/>
      <c r="S88" s="750"/>
    </row>
    <row r="89" s="10" customFormat="1" ht="16.5" spans="1:19">
      <c r="A89" s="713"/>
      <c r="B89" s="541"/>
      <c r="C89" s="913"/>
      <c r="D89" s="557"/>
      <c r="E89" s="568" t="s">
        <v>1408</v>
      </c>
      <c r="F89" s="568" t="s">
        <v>3779</v>
      </c>
      <c r="G89" s="841">
        <v>31658</v>
      </c>
      <c r="H89" s="567">
        <f t="shared" si="2"/>
        <v>224958.5822</v>
      </c>
      <c r="I89" s="567">
        <f>H89</f>
        <v>224958.5822</v>
      </c>
      <c r="J89" s="735">
        <f>I89</f>
        <v>224958.5822</v>
      </c>
      <c r="K89" s="597">
        <v>7.1059</v>
      </c>
      <c r="L89" s="598" t="s">
        <v>1218</v>
      </c>
      <c r="M89" s="625">
        <v>45369</v>
      </c>
      <c r="N89" s="625">
        <v>45372</v>
      </c>
      <c r="O89" s="743" t="s">
        <v>3780</v>
      </c>
      <c r="P89" s="250"/>
      <c r="Q89" s="751"/>
      <c r="R89" s="752"/>
      <c r="S89" s="750"/>
    </row>
    <row r="90" s="10" customFormat="1" ht="16.5" spans="1:19">
      <c r="A90" s="713"/>
      <c r="B90" s="541"/>
      <c r="C90" s="914"/>
      <c r="D90" s="557"/>
      <c r="E90" s="568" t="s">
        <v>133</v>
      </c>
      <c r="F90" s="672" t="s">
        <v>3781</v>
      </c>
      <c r="G90" s="576">
        <v>1000</v>
      </c>
      <c r="H90" s="567">
        <f t="shared" si="2"/>
        <v>7105.9</v>
      </c>
      <c r="I90" s="567">
        <v>7105.9</v>
      </c>
      <c r="J90" s="735"/>
      <c r="K90" s="597">
        <v>7.1059</v>
      </c>
      <c r="L90" s="598" t="s">
        <v>1218</v>
      </c>
      <c r="M90" s="625">
        <v>45381</v>
      </c>
      <c r="N90" s="625" t="s">
        <v>1125</v>
      </c>
      <c r="O90" s="740" t="s">
        <v>3782</v>
      </c>
      <c r="P90" s="250"/>
      <c r="Q90" s="751"/>
      <c r="R90" s="752"/>
      <c r="S90" s="750"/>
    </row>
    <row r="91" s="10" customFormat="1" ht="16.5" spans="1:19">
      <c r="A91" s="713"/>
      <c r="B91" s="541"/>
      <c r="C91" s="544" t="s">
        <v>209</v>
      </c>
      <c r="D91" s="716">
        <v>70</v>
      </c>
      <c r="E91" s="568" t="s">
        <v>243</v>
      </c>
      <c r="F91" s="672" t="s">
        <v>2528</v>
      </c>
      <c r="G91" s="576">
        <v>14000</v>
      </c>
      <c r="H91" s="567"/>
      <c r="I91" s="567"/>
      <c r="J91" s="735">
        <v>95162.2</v>
      </c>
      <c r="K91" s="597">
        <v>7.1049</v>
      </c>
      <c r="L91" s="598" t="s">
        <v>1218</v>
      </c>
      <c r="M91" s="918">
        <v>45350</v>
      </c>
      <c r="N91" s="918">
        <v>45357</v>
      </c>
      <c r="O91" s="740" t="s">
        <v>3783</v>
      </c>
      <c r="P91" s="572"/>
      <c r="Q91" s="572"/>
      <c r="R91" s="752"/>
      <c r="S91" s="753"/>
    </row>
    <row r="92" s="10" customFormat="1" ht="18.75" customHeight="1" spans="1:19">
      <c r="A92" s="713"/>
      <c r="B92" s="721"/>
      <c r="C92" s="715"/>
      <c r="D92" s="545"/>
      <c r="E92" s="568" t="s">
        <v>167</v>
      </c>
      <c r="F92" s="568" t="s">
        <v>3784</v>
      </c>
      <c r="G92" s="576">
        <v>4543</v>
      </c>
      <c r="H92" s="567">
        <f>G92*K92</f>
        <v>32282.1037</v>
      </c>
      <c r="I92" s="567">
        <f t="shared" ref="I92:I96" si="3">H92</f>
        <v>32282.1037</v>
      </c>
      <c r="J92" s="735">
        <v>32282.1037</v>
      </c>
      <c r="K92" s="597">
        <v>7.1059</v>
      </c>
      <c r="L92" s="598" t="s">
        <v>1218</v>
      </c>
      <c r="M92" s="625">
        <v>45363</v>
      </c>
      <c r="N92" s="625">
        <v>45370</v>
      </c>
      <c r="O92" s="740" t="s">
        <v>3785</v>
      </c>
      <c r="P92" s="250"/>
      <c r="Q92" s="751"/>
      <c r="R92" s="755"/>
      <c r="S92" s="756"/>
    </row>
    <row r="93" s="10" customFormat="1" ht="16.5" spans="1:19">
      <c r="A93" s="713"/>
      <c r="B93" s="541"/>
      <c r="C93" s="715"/>
      <c r="D93" s="545"/>
      <c r="E93" s="723" t="s">
        <v>175</v>
      </c>
      <c r="F93" s="568" t="s">
        <v>3786</v>
      </c>
      <c r="G93" s="576">
        <v>27508</v>
      </c>
      <c r="H93" s="567">
        <f>G93*K93</f>
        <v>195469.0972</v>
      </c>
      <c r="I93" s="567">
        <f t="shared" si="3"/>
        <v>195469.0972</v>
      </c>
      <c r="J93" s="735">
        <v>192701</v>
      </c>
      <c r="K93" s="597">
        <v>7.1059</v>
      </c>
      <c r="L93" s="598" t="s">
        <v>1218</v>
      </c>
      <c r="M93" s="625">
        <v>45379</v>
      </c>
      <c r="N93" s="625" t="s">
        <v>1125</v>
      </c>
      <c r="O93" s="740" t="s">
        <v>3787</v>
      </c>
      <c r="P93" s="572"/>
      <c r="Q93" s="572"/>
      <c r="R93" s="752"/>
      <c r="S93" s="753"/>
    </row>
    <row r="94" s="10" customFormat="1" ht="16.5" spans="1:19">
      <c r="A94" s="713"/>
      <c r="B94" s="541"/>
      <c r="C94" s="715"/>
      <c r="D94" s="545"/>
      <c r="E94" s="903"/>
      <c r="F94" s="571" t="s">
        <v>3788</v>
      </c>
      <c r="G94" s="576">
        <v>26600</v>
      </c>
      <c r="H94" s="567">
        <f>G94*K94</f>
        <v>189016.94</v>
      </c>
      <c r="I94" s="567">
        <f t="shared" si="3"/>
        <v>189016.94</v>
      </c>
      <c r="J94" s="735"/>
      <c r="K94" s="597">
        <v>7.1059</v>
      </c>
      <c r="L94" s="598" t="s">
        <v>1218</v>
      </c>
      <c r="M94" s="625">
        <v>45380</v>
      </c>
      <c r="N94" s="625">
        <v>45384</v>
      </c>
      <c r="O94" s="740" t="s">
        <v>3789</v>
      </c>
      <c r="P94" s="572"/>
      <c r="Q94" s="572"/>
      <c r="R94" s="752"/>
      <c r="S94" s="753"/>
    </row>
    <row r="95" s="10" customFormat="1" ht="16.5" spans="1:19">
      <c r="A95" s="713"/>
      <c r="B95" s="541"/>
      <c r="C95" s="715"/>
      <c r="D95" s="547"/>
      <c r="E95" s="568" t="s">
        <v>287</v>
      </c>
      <c r="F95" s="568" t="s">
        <v>3790</v>
      </c>
      <c r="G95" s="576">
        <v>8264.5</v>
      </c>
      <c r="H95" s="567">
        <f>G95*K95</f>
        <v>58726.71055</v>
      </c>
      <c r="I95" s="567">
        <f t="shared" si="3"/>
        <v>58726.71055</v>
      </c>
      <c r="J95" s="735">
        <f>I95</f>
        <v>58726.71055</v>
      </c>
      <c r="K95" s="597">
        <v>7.1059</v>
      </c>
      <c r="L95" s="598" t="s">
        <v>1218</v>
      </c>
      <c r="M95" s="625">
        <v>45370</v>
      </c>
      <c r="N95" s="625" t="s">
        <v>1125</v>
      </c>
      <c r="O95" s="743" t="s">
        <v>3791</v>
      </c>
      <c r="P95" s="572"/>
      <c r="Q95" s="572"/>
      <c r="R95" s="752"/>
      <c r="S95" s="753"/>
    </row>
    <row r="96" s="10" customFormat="1" ht="16.5" spans="1:19">
      <c r="A96" s="713"/>
      <c r="B96" s="541"/>
      <c r="C96" s="666" t="s">
        <v>1437</v>
      </c>
      <c r="D96" s="759">
        <v>0</v>
      </c>
      <c r="E96" s="568" t="s">
        <v>1974</v>
      </c>
      <c r="F96" s="568" t="s">
        <v>3792</v>
      </c>
      <c r="G96" s="725">
        <v>106190</v>
      </c>
      <c r="H96" s="567">
        <f>G96*K96</f>
        <v>754575.521</v>
      </c>
      <c r="I96" s="567">
        <v>754575.521</v>
      </c>
      <c r="J96" s="735"/>
      <c r="K96" s="597">
        <v>7.1059</v>
      </c>
      <c r="L96" s="625">
        <v>45381</v>
      </c>
      <c r="M96" s="625">
        <v>45381</v>
      </c>
      <c r="N96" s="625">
        <v>45386</v>
      </c>
      <c r="O96" s="740" t="s">
        <v>3793</v>
      </c>
      <c r="P96" s="572"/>
      <c r="Q96" s="572"/>
      <c r="R96" s="752"/>
      <c r="S96" s="753"/>
    </row>
    <row r="97" s="10" customFormat="1" ht="18.75" customHeight="1" spans="1:19">
      <c r="A97" s="713"/>
      <c r="B97" s="541"/>
      <c r="C97" s="583" t="s">
        <v>3648</v>
      </c>
      <c r="D97" s="552">
        <v>4500000</v>
      </c>
      <c r="E97" s="715"/>
      <c r="F97" s="586"/>
      <c r="G97" s="726" t="s">
        <v>1235</v>
      </c>
      <c r="H97" s="675">
        <f>SUM(H80:H96)</f>
        <v>3148940.50255</v>
      </c>
      <c r="I97" s="675">
        <f>SUM(I80:I96)</f>
        <v>3148940.50255</v>
      </c>
      <c r="J97" s="675">
        <f>SUM(J80:J96)</f>
        <v>1026795.08115</v>
      </c>
      <c r="K97" s="597"/>
      <c r="L97" s="598"/>
      <c r="M97" s="644"/>
      <c r="N97" s="644"/>
      <c r="O97" s="740"/>
      <c r="P97" s="572"/>
      <c r="Q97" s="572"/>
      <c r="R97" s="752"/>
      <c r="S97" s="753"/>
    </row>
    <row r="98" s="10" customFormat="1" ht="18.75" customHeight="1" spans="1:19">
      <c r="A98" s="713"/>
      <c r="B98" s="541"/>
      <c r="C98" s="717"/>
      <c r="D98" s="581"/>
      <c r="E98" s="727" t="s">
        <v>3794</v>
      </c>
      <c r="F98" s="552" t="e">
        <f>#REF!+#REF!+H97</f>
        <v>#REF!</v>
      </c>
      <c r="G98" s="726" t="s">
        <v>3649</v>
      </c>
      <c r="H98" s="728">
        <f>H97/4500000</f>
        <v>0.699764556122222</v>
      </c>
      <c r="I98" s="728">
        <f>I97/4500000</f>
        <v>0.699764556122222</v>
      </c>
      <c r="J98" s="728">
        <f>J97/4500000</f>
        <v>0.2281766847</v>
      </c>
      <c r="K98" s="614"/>
      <c r="L98" s="598"/>
      <c r="M98" s="644"/>
      <c r="N98" s="644"/>
      <c r="O98" s="740"/>
      <c r="P98" s="572"/>
      <c r="Q98" s="572"/>
      <c r="R98" s="752"/>
      <c r="S98" s="753"/>
    </row>
    <row r="99" s="536" customFormat="1" ht="16.5" spans="1:19">
      <c r="A99" s="718"/>
      <c r="B99" s="541"/>
      <c r="C99" s="719" t="s">
        <v>3650</v>
      </c>
      <c r="D99" s="720">
        <v>11650000</v>
      </c>
      <c r="E99" s="729" t="s">
        <v>3651</v>
      </c>
      <c r="F99" s="552" t="e">
        <f>D99-F98</f>
        <v>#REF!</v>
      </c>
      <c r="G99" s="653" t="s">
        <v>3652</v>
      </c>
      <c r="H99" s="730" t="e">
        <f>(D99-F99)/D99</f>
        <v>#REF!</v>
      </c>
      <c r="I99" s="738"/>
      <c r="J99" s="738"/>
      <c r="K99" s="738"/>
      <c r="L99" s="739"/>
      <c r="M99" s="738"/>
      <c r="N99" s="738"/>
      <c r="O99" s="740"/>
      <c r="P99" s="744"/>
      <c r="Q99" s="250"/>
      <c r="R99" s="744"/>
      <c r="S99" s="754"/>
    </row>
    <row r="100" s="10" customFormat="1" ht="30" spans="1:19">
      <c r="A100" s="718"/>
      <c r="B100" s="553" t="s">
        <v>1820</v>
      </c>
      <c r="C100" s="554" t="s">
        <v>1946</v>
      </c>
      <c r="D100" s="555" t="s">
        <v>1821</v>
      </c>
      <c r="E100" s="555" t="s">
        <v>1822</v>
      </c>
      <c r="F100" s="588" t="s">
        <v>1095</v>
      </c>
      <c r="G100" s="589" t="s">
        <v>362</v>
      </c>
      <c r="H100" s="590" t="s">
        <v>1865</v>
      </c>
      <c r="I100" s="590"/>
      <c r="J100" s="590"/>
      <c r="K100" s="590" t="s">
        <v>1866</v>
      </c>
      <c r="L100" s="615" t="s">
        <v>1098</v>
      </c>
      <c r="M100" s="590" t="s">
        <v>1867</v>
      </c>
      <c r="N100" s="646"/>
      <c r="O100" s="740"/>
      <c r="P100" s="744"/>
      <c r="Q100" s="572"/>
      <c r="R100" s="744"/>
      <c r="S100" s="754"/>
    </row>
    <row r="101" s="10" customFormat="1" ht="16.5" spans="1:19">
      <c r="A101" s="718"/>
      <c r="B101" s="541" t="s">
        <v>1947</v>
      </c>
      <c r="C101" s="542" t="s">
        <v>1248</v>
      </c>
      <c r="D101" s="543" t="s">
        <v>1125</v>
      </c>
      <c r="E101" s="568"/>
      <c r="F101" s="579"/>
      <c r="G101" s="722"/>
      <c r="H101" s="567"/>
      <c r="I101" s="735"/>
      <c r="J101" s="735"/>
      <c r="K101" s="597"/>
      <c r="L101" s="598"/>
      <c r="M101" s="625"/>
      <c r="N101" s="625"/>
      <c r="O101" s="740"/>
      <c r="P101" s="744"/>
      <c r="Q101" s="572"/>
      <c r="R101" s="744"/>
      <c r="S101" s="754"/>
    </row>
    <row r="102" s="10" customFormat="1" ht="16.5" spans="1:19">
      <c r="A102" s="718"/>
      <c r="B102" s="541"/>
      <c r="C102" s="542" t="s">
        <v>1922</v>
      </c>
      <c r="D102" s="545"/>
      <c r="E102" s="568" t="s">
        <v>1340</v>
      </c>
      <c r="F102" s="568" t="s">
        <v>3561</v>
      </c>
      <c r="G102" s="725">
        <v>33979</v>
      </c>
      <c r="H102" s="567">
        <f t="shared" ref="H102:H106" si="4">G102*K102</f>
        <v>241451.3761</v>
      </c>
      <c r="I102" s="570"/>
      <c r="J102" s="577"/>
      <c r="K102" s="597">
        <v>7.1059</v>
      </c>
      <c r="L102" s="598" t="s">
        <v>2437</v>
      </c>
      <c r="M102" s="625" t="s">
        <v>2219</v>
      </c>
      <c r="N102" s="625"/>
      <c r="O102" s="743" t="s">
        <v>3795</v>
      </c>
      <c r="P102" s="250"/>
      <c r="Q102" s="572"/>
      <c r="R102" s="744"/>
      <c r="S102" s="754"/>
    </row>
    <row r="103" s="10" customFormat="1" ht="18.75" customHeight="1" spans="1:19">
      <c r="A103" s="713"/>
      <c r="B103" s="721"/>
      <c r="C103" s="544"/>
      <c r="D103" s="557"/>
      <c r="E103" s="568" t="s">
        <v>324</v>
      </c>
      <c r="F103" s="571" t="s">
        <v>3796</v>
      </c>
      <c r="G103" s="576">
        <v>11556</v>
      </c>
      <c r="H103" s="567">
        <f t="shared" si="4"/>
        <v>82115.7804</v>
      </c>
      <c r="I103" s="570"/>
      <c r="J103" s="577"/>
      <c r="K103" s="597">
        <v>7.1059</v>
      </c>
      <c r="L103" s="625">
        <v>45381</v>
      </c>
      <c r="M103" s="625" t="s">
        <v>2792</v>
      </c>
      <c r="N103" s="625"/>
      <c r="O103" s="740" t="s">
        <v>3797</v>
      </c>
      <c r="P103" s="250"/>
      <c r="Q103" s="751"/>
      <c r="R103" s="755"/>
      <c r="S103" s="756"/>
    </row>
    <row r="104" s="10" customFormat="1" ht="18.75" customHeight="1" spans="1:19">
      <c r="A104" s="713"/>
      <c r="B104" s="721"/>
      <c r="C104" s="544"/>
      <c r="D104" s="557"/>
      <c r="E104" s="705" t="s">
        <v>97</v>
      </c>
      <c r="F104" s="571" t="s">
        <v>3798</v>
      </c>
      <c r="G104" s="576">
        <v>15500</v>
      </c>
      <c r="H104" s="567">
        <f t="shared" si="4"/>
        <v>110141.45</v>
      </c>
      <c r="I104" s="570"/>
      <c r="J104" s="577"/>
      <c r="K104" s="597">
        <v>7.1059</v>
      </c>
      <c r="L104" s="736">
        <v>45402</v>
      </c>
      <c r="M104" s="625" t="s">
        <v>2219</v>
      </c>
      <c r="N104" s="625"/>
      <c r="O104" s="740" t="s">
        <v>3799</v>
      </c>
      <c r="P104" s="250"/>
      <c r="Q104" s="751"/>
      <c r="R104" s="755"/>
      <c r="S104" s="756"/>
    </row>
    <row r="105" s="10" customFormat="1" ht="18.75" customHeight="1" spans="1:19">
      <c r="A105" s="713"/>
      <c r="B105" s="721"/>
      <c r="C105" s="544"/>
      <c r="D105" s="557"/>
      <c r="E105" s="672"/>
      <c r="F105" s="571" t="s">
        <v>3800</v>
      </c>
      <c r="G105" s="576">
        <v>15500</v>
      </c>
      <c r="H105" s="567">
        <f t="shared" si="4"/>
        <v>110141.45</v>
      </c>
      <c r="I105" s="570"/>
      <c r="J105" s="577"/>
      <c r="K105" s="597">
        <v>7.1059</v>
      </c>
      <c r="L105" s="736">
        <v>45402</v>
      </c>
      <c r="M105" s="625" t="s">
        <v>2792</v>
      </c>
      <c r="N105" s="625"/>
      <c r="O105" s="740" t="s">
        <v>3799</v>
      </c>
      <c r="P105" s="250"/>
      <c r="Q105" s="751"/>
      <c r="R105" s="755"/>
      <c r="S105" s="756"/>
    </row>
    <row r="106" s="10" customFormat="1" ht="18.75" customHeight="1" spans="1:19">
      <c r="A106" s="713"/>
      <c r="B106" s="721"/>
      <c r="C106" s="544"/>
      <c r="D106" s="557"/>
      <c r="E106" s="571" t="s">
        <v>174</v>
      </c>
      <c r="F106" s="724" t="s">
        <v>3801</v>
      </c>
      <c r="G106" s="576">
        <v>42740</v>
      </c>
      <c r="H106" s="567">
        <f t="shared" si="4"/>
        <v>303706.166</v>
      </c>
      <c r="I106" s="570"/>
      <c r="J106" s="735"/>
      <c r="K106" s="597">
        <v>7.1059</v>
      </c>
      <c r="L106" s="625">
        <v>45427</v>
      </c>
      <c r="M106" s="625" t="s">
        <v>2805</v>
      </c>
      <c r="N106" s="625"/>
      <c r="O106" s="740" t="s">
        <v>3802</v>
      </c>
      <c r="P106" s="250"/>
      <c r="Q106" s="751"/>
      <c r="R106" s="755"/>
      <c r="S106" s="756"/>
    </row>
    <row r="107" s="10" customFormat="1" ht="18.75" customHeight="1" spans="1:19">
      <c r="A107" s="713"/>
      <c r="B107" s="721"/>
      <c r="C107" s="664" t="s">
        <v>209</v>
      </c>
      <c r="D107" s="557"/>
      <c r="E107" s="571"/>
      <c r="F107" s="731"/>
      <c r="G107" s="576"/>
      <c r="H107" s="567"/>
      <c r="I107" s="735"/>
      <c r="J107" s="735"/>
      <c r="K107" s="597"/>
      <c r="L107" s="598"/>
      <c r="M107" s="625"/>
      <c r="N107" s="625"/>
      <c r="O107" s="740"/>
      <c r="P107" s="250"/>
      <c r="Q107" s="751"/>
      <c r="R107" s="755"/>
      <c r="S107" s="756"/>
    </row>
    <row r="108" s="10" customFormat="1" ht="18.75" customHeight="1" spans="1:19">
      <c r="A108" s="713"/>
      <c r="B108" s="541"/>
      <c r="C108" s="568" t="s">
        <v>1437</v>
      </c>
      <c r="D108" s="547"/>
      <c r="E108" s="568"/>
      <c r="F108" s="568"/>
      <c r="G108" s="576"/>
      <c r="H108" s="567"/>
      <c r="I108" s="735"/>
      <c r="J108" s="735"/>
      <c r="K108" s="597"/>
      <c r="L108" s="598"/>
      <c r="M108" s="625"/>
      <c r="N108" s="625"/>
      <c r="O108" s="740"/>
      <c r="P108" s="250"/>
      <c r="Q108" s="751"/>
      <c r="R108" s="755"/>
      <c r="S108" s="756"/>
    </row>
    <row r="109" s="10" customFormat="1" ht="18.75" customHeight="1" spans="1:19">
      <c r="A109" s="713"/>
      <c r="B109" s="672"/>
      <c r="C109" s="757" t="s">
        <v>1874</v>
      </c>
      <c r="D109" s="758"/>
      <c r="E109" s="758"/>
      <c r="F109" s="758"/>
      <c r="G109" s="760"/>
      <c r="H109" s="761">
        <f>SUM(H101:H108)</f>
        <v>847556.2225</v>
      </c>
      <c r="I109" s="766"/>
      <c r="J109" s="766"/>
      <c r="K109" s="597"/>
      <c r="L109" s="598"/>
      <c r="M109" s="598"/>
      <c r="N109" s="598"/>
      <c r="O109" s="740"/>
      <c r="P109" s="250"/>
      <c r="Q109" s="751"/>
      <c r="R109" s="755"/>
      <c r="S109" s="756"/>
    </row>
    <row r="110" s="10" customFormat="1" ht="16.5" spans="1:19">
      <c r="A110" s="713"/>
      <c r="B110" s="564" t="s">
        <v>1875</v>
      </c>
      <c r="C110" s="666" t="s">
        <v>1248</v>
      </c>
      <c r="D110" s="759" t="s">
        <v>1125</v>
      </c>
      <c r="E110" s="705" t="s">
        <v>299</v>
      </c>
      <c r="F110" s="723" t="s">
        <v>3803</v>
      </c>
      <c r="G110" s="762">
        <v>31850</v>
      </c>
      <c r="H110" s="567">
        <f>G110*K110</f>
        <v>226322.915</v>
      </c>
      <c r="I110" s="570"/>
      <c r="J110" s="570"/>
      <c r="K110" s="597">
        <v>7.1059</v>
      </c>
      <c r="L110" s="736">
        <v>45377</v>
      </c>
      <c r="M110" s="625" t="s">
        <v>621</v>
      </c>
      <c r="N110" s="625"/>
      <c r="O110" s="768" t="s">
        <v>3804</v>
      </c>
      <c r="P110" s="250"/>
      <c r="Q110" s="751"/>
      <c r="R110" s="755"/>
      <c r="S110" s="756"/>
    </row>
    <row r="111" s="10" customFormat="1" ht="16.5" spans="1:19">
      <c r="A111" s="713"/>
      <c r="B111" s="721"/>
      <c r="C111" s="556"/>
      <c r="D111" s="557"/>
      <c r="E111" s="541"/>
      <c r="F111" s="723" t="s">
        <v>3805</v>
      </c>
      <c r="G111" s="762">
        <v>31850</v>
      </c>
      <c r="H111" s="567">
        <f>G111*K111</f>
        <v>226322.915</v>
      </c>
      <c r="I111" s="570"/>
      <c r="J111" s="570"/>
      <c r="K111" s="597">
        <v>7.1059</v>
      </c>
      <c r="L111" s="767"/>
      <c r="M111" s="625" t="s">
        <v>621</v>
      </c>
      <c r="N111" s="625"/>
      <c r="O111" s="769"/>
      <c r="P111" s="250"/>
      <c r="Q111" s="751"/>
      <c r="R111" s="755"/>
      <c r="S111" s="756"/>
    </row>
    <row r="112" s="10" customFormat="1" ht="16.5" spans="1:19">
      <c r="A112" s="713"/>
      <c r="B112" s="721"/>
      <c r="C112" s="556"/>
      <c r="D112" s="557"/>
      <c r="E112" s="541"/>
      <c r="F112" s="723" t="s">
        <v>3806</v>
      </c>
      <c r="G112" s="762">
        <v>31850</v>
      </c>
      <c r="H112" s="567">
        <f>G112*K112</f>
        <v>226322.915</v>
      </c>
      <c r="I112" s="570"/>
      <c r="J112" s="570"/>
      <c r="K112" s="597">
        <v>7.1059</v>
      </c>
      <c r="L112" s="633"/>
      <c r="M112" s="625" t="s">
        <v>621</v>
      </c>
      <c r="N112" s="625"/>
      <c r="O112" s="770"/>
      <c r="P112" s="250"/>
      <c r="Q112" s="751"/>
      <c r="R112" s="755"/>
      <c r="S112" s="756"/>
    </row>
    <row r="113" s="10" customFormat="1" ht="16.5" spans="1:19">
      <c r="A113" s="713"/>
      <c r="B113" s="721"/>
      <c r="C113" s="556"/>
      <c r="D113" s="557"/>
      <c r="E113" s="672"/>
      <c r="F113" s="723" t="s">
        <v>3807</v>
      </c>
      <c r="G113" s="576">
        <v>38500</v>
      </c>
      <c r="H113" s="567">
        <f>G113*K113</f>
        <v>273577.15</v>
      </c>
      <c r="I113" s="570"/>
      <c r="J113" s="570"/>
      <c r="K113" s="597">
        <v>7.1059</v>
      </c>
      <c r="L113" s="610">
        <v>45342</v>
      </c>
      <c r="M113" s="625" t="s">
        <v>621</v>
      </c>
      <c r="N113" s="625"/>
      <c r="O113" s="771" t="s">
        <v>3808</v>
      </c>
      <c r="P113" s="250"/>
      <c r="Q113" s="751"/>
      <c r="R113" s="755"/>
      <c r="S113" s="756"/>
    </row>
    <row r="114" s="10" customFormat="1" ht="33" spans="1:19">
      <c r="A114" s="713"/>
      <c r="B114" s="721"/>
      <c r="C114" s="556"/>
      <c r="D114" s="557"/>
      <c r="E114" s="568" t="s">
        <v>1934</v>
      </c>
      <c r="F114" s="561" t="s">
        <v>3809</v>
      </c>
      <c r="G114" s="576">
        <v>60000</v>
      </c>
      <c r="H114" s="567"/>
      <c r="I114" s="567"/>
      <c r="J114" s="735"/>
      <c r="K114" s="597">
        <v>7.1059</v>
      </c>
      <c r="L114" s="598" t="s">
        <v>1218</v>
      </c>
      <c r="M114" s="598">
        <v>45379</v>
      </c>
      <c r="N114" s="625">
        <v>45384</v>
      </c>
      <c r="O114" s="772" t="s">
        <v>3810</v>
      </c>
      <c r="P114" s="250"/>
      <c r="Q114" s="751"/>
      <c r="R114" s="755"/>
      <c r="S114" s="756"/>
    </row>
    <row r="115" s="10" customFormat="1" ht="21" customHeight="1" spans="1:19">
      <c r="A115" s="713"/>
      <c r="B115" s="721"/>
      <c r="C115" s="556"/>
      <c r="D115" s="557"/>
      <c r="E115" s="568" t="s">
        <v>274</v>
      </c>
      <c r="F115" s="723" t="s">
        <v>3811</v>
      </c>
      <c r="G115" s="576"/>
      <c r="H115" s="567"/>
      <c r="I115" s="570"/>
      <c r="J115" s="570"/>
      <c r="K115" s="597">
        <v>7.1059</v>
      </c>
      <c r="L115" s="598" t="s">
        <v>1218</v>
      </c>
      <c r="M115" s="625" t="s">
        <v>621</v>
      </c>
      <c r="N115" s="625"/>
      <c r="O115" s="740" t="s">
        <v>3812</v>
      </c>
      <c r="P115" s="250"/>
      <c r="Q115" s="751"/>
      <c r="R115" s="755"/>
      <c r="S115" s="756"/>
    </row>
    <row r="116" s="10" customFormat="1" ht="33" spans="1:19">
      <c r="A116" s="713"/>
      <c r="B116" s="721"/>
      <c r="C116" s="666" t="s">
        <v>1922</v>
      </c>
      <c r="D116" s="557"/>
      <c r="E116" s="568" t="s">
        <v>3813</v>
      </c>
      <c r="F116" s="723"/>
      <c r="G116" s="576"/>
      <c r="H116" s="567"/>
      <c r="I116" s="570"/>
      <c r="J116" s="570"/>
      <c r="K116" s="597">
        <v>7.1059</v>
      </c>
      <c r="L116" s="598" t="s">
        <v>1218</v>
      </c>
      <c r="M116" s="625" t="s">
        <v>621</v>
      </c>
      <c r="N116" s="625"/>
      <c r="O116" s="740" t="s">
        <v>3814</v>
      </c>
      <c r="P116" s="250"/>
      <c r="Q116" s="751"/>
      <c r="R116" s="755"/>
      <c r="S116" s="756"/>
    </row>
    <row r="117" s="10" customFormat="1" ht="34.5" customHeight="1" spans="1:19">
      <c r="A117" s="713"/>
      <c r="B117" s="721"/>
      <c r="C117" s="556"/>
      <c r="D117" s="557"/>
      <c r="E117" s="568" t="s">
        <v>2509</v>
      </c>
      <c r="F117" s="723" t="s">
        <v>3815</v>
      </c>
      <c r="G117" s="576">
        <v>120000</v>
      </c>
      <c r="H117" s="567"/>
      <c r="I117" s="570"/>
      <c r="J117" s="570"/>
      <c r="K117" s="597">
        <v>7.1059</v>
      </c>
      <c r="L117" s="598"/>
      <c r="M117" s="625" t="s">
        <v>621</v>
      </c>
      <c r="N117" s="625"/>
      <c r="O117" s="740" t="s">
        <v>3816</v>
      </c>
      <c r="P117" s="250"/>
      <c r="Q117" s="751"/>
      <c r="R117" s="755"/>
      <c r="S117" s="756"/>
    </row>
    <row r="118" s="10" customFormat="1" ht="18.75" customHeight="1" spans="1:19">
      <c r="A118" s="713"/>
      <c r="B118" s="721"/>
      <c r="C118" s="556"/>
      <c r="D118" s="557"/>
      <c r="E118" s="568" t="s">
        <v>3817</v>
      </c>
      <c r="F118" s="763"/>
      <c r="G118" s="576"/>
      <c r="H118" s="567"/>
      <c r="I118" s="570"/>
      <c r="J118" s="570"/>
      <c r="K118" s="597">
        <v>7.1059</v>
      </c>
      <c r="L118" s="598"/>
      <c r="M118" s="625"/>
      <c r="N118" s="625"/>
      <c r="O118" s="740" t="s">
        <v>3818</v>
      </c>
      <c r="P118" s="250"/>
      <c r="Q118" s="751"/>
      <c r="R118" s="755"/>
      <c r="S118" s="756"/>
    </row>
    <row r="119" s="10" customFormat="1" ht="18.75" customHeight="1" spans="1:19">
      <c r="A119" s="713"/>
      <c r="B119" s="721"/>
      <c r="C119" s="556"/>
      <c r="D119" s="557"/>
      <c r="E119" s="568" t="s">
        <v>133</v>
      </c>
      <c r="F119" s="763"/>
      <c r="G119" s="576"/>
      <c r="H119" s="567"/>
      <c r="I119" s="570"/>
      <c r="J119" s="570"/>
      <c r="K119" s="597">
        <v>7.1059</v>
      </c>
      <c r="L119" s="598"/>
      <c r="M119" s="625"/>
      <c r="N119" s="625"/>
      <c r="O119" s="740" t="s">
        <v>3819</v>
      </c>
      <c r="P119" s="250"/>
      <c r="Q119" s="751"/>
      <c r="R119" s="755"/>
      <c r="S119" s="756"/>
    </row>
    <row r="120" s="10" customFormat="1" ht="18.75" customHeight="1" spans="1:19">
      <c r="A120" s="713"/>
      <c r="B120" s="721"/>
      <c r="C120" s="556"/>
      <c r="D120" s="557"/>
      <c r="E120" s="568" t="s">
        <v>917</v>
      </c>
      <c r="F120" s="763"/>
      <c r="G120" s="576"/>
      <c r="H120" s="567"/>
      <c r="I120" s="570"/>
      <c r="J120" s="570"/>
      <c r="K120" s="597">
        <v>7.1059</v>
      </c>
      <c r="L120" s="598"/>
      <c r="M120" s="625"/>
      <c r="N120" s="625"/>
      <c r="O120" s="740" t="s">
        <v>3820</v>
      </c>
      <c r="P120" s="250"/>
      <c r="Q120" s="751"/>
      <c r="R120" s="755"/>
      <c r="S120" s="756"/>
    </row>
    <row r="121" s="10" customFormat="1" ht="18.75" customHeight="1" spans="1:19">
      <c r="A121" s="713"/>
      <c r="B121" s="721"/>
      <c r="C121" s="556"/>
      <c r="D121" s="557"/>
      <c r="E121" s="568" t="s">
        <v>3821</v>
      </c>
      <c r="F121" s="764"/>
      <c r="G121" s="576"/>
      <c r="H121" s="567"/>
      <c r="I121" s="570"/>
      <c r="J121" s="570"/>
      <c r="K121" s="597">
        <v>7.1059</v>
      </c>
      <c r="L121" s="598" t="s">
        <v>1218</v>
      </c>
      <c r="M121" s="625" t="s">
        <v>621</v>
      </c>
      <c r="N121" s="625"/>
      <c r="O121" s="740" t="s">
        <v>3822</v>
      </c>
      <c r="P121" s="250"/>
      <c r="Q121" s="751"/>
      <c r="R121" s="755"/>
      <c r="S121" s="756"/>
    </row>
    <row r="122" s="10" customFormat="1" ht="18.75" customHeight="1" spans="1:19">
      <c r="A122" s="713"/>
      <c r="B122" s="721"/>
      <c r="C122" s="556"/>
      <c r="D122" s="557"/>
      <c r="E122" s="568" t="s">
        <v>165</v>
      </c>
      <c r="F122" s="571" t="s">
        <v>2519</v>
      </c>
      <c r="G122" s="576">
        <v>12945</v>
      </c>
      <c r="H122" s="567"/>
      <c r="I122" s="567"/>
      <c r="J122" s="735"/>
      <c r="K122" s="597">
        <v>7.1059</v>
      </c>
      <c r="L122" s="598" t="s">
        <v>1218</v>
      </c>
      <c r="M122" s="598" t="s">
        <v>2219</v>
      </c>
      <c r="N122" s="645"/>
      <c r="O122" s="740" t="s">
        <v>3823</v>
      </c>
      <c r="P122" s="250"/>
      <c r="Q122" s="751"/>
      <c r="R122" s="755"/>
      <c r="S122" s="756"/>
    </row>
    <row r="123" s="10" customFormat="1" ht="18.75" customHeight="1" spans="1:19">
      <c r="A123" s="713"/>
      <c r="B123" s="721"/>
      <c r="C123" s="556"/>
      <c r="D123" s="557"/>
      <c r="E123" s="571" t="s">
        <v>247</v>
      </c>
      <c r="F123" s="561" t="s">
        <v>3824</v>
      </c>
      <c r="G123" s="576">
        <v>30000</v>
      </c>
      <c r="H123" s="567"/>
      <c r="I123" s="570"/>
      <c r="J123" s="577"/>
      <c r="K123" s="597">
        <v>7.1059</v>
      </c>
      <c r="L123" s="598" t="s">
        <v>1218</v>
      </c>
      <c r="M123" s="625" t="s">
        <v>621</v>
      </c>
      <c r="N123" s="625"/>
      <c r="O123" s="740" t="s">
        <v>3825</v>
      </c>
      <c r="P123" s="250"/>
      <c r="Q123" s="751"/>
      <c r="R123" s="755"/>
      <c r="S123" s="756"/>
    </row>
    <row r="124" s="10" customFormat="1" ht="18.75" customHeight="1" spans="1:19">
      <c r="A124" s="713"/>
      <c r="B124" s="721"/>
      <c r="C124" s="670"/>
      <c r="D124" s="557"/>
      <c r="E124" s="568" t="s">
        <v>2147</v>
      </c>
      <c r="F124" s="568" t="s">
        <v>3826</v>
      </c>
      <c r="G124" s="722">
        <v>20000</v>
      </c>
      <c r="H124" s="567"/>
      <c r="I124" s="570"/>
      <c r="J124" s="577"/>
      <c r="K124" s="597">
        <v>7.1059</v>
      </c>
      <c r="L124" s="598" t="s">
        <v>1218</v>
      </c>
      <c r="M124" s="625" t="s">
        <v>621</v>
      </c>
      <c r="N124" s="625"/>
      <c r="O124" s="740" t="s">
        <v>3827</v>
      </c>
      <c r="P124" s="250"/>
      <c r="Q124" s="751"/>
      <c r="R124" s="755"/>
      <c r="S124" s="756"/>
    </row>
    <row r="125" s="10" customFormat="1" ht="18.75" customHeight="1" spans="1:19">
      <c r="A125" s="713"/>
      <c r="B125" s="721"/>
      <c r="C125" s="544" t="s">
        <v>209</v>
      </c>
      <c r="D125" s="557"/>
      <c r="E125" s="568" t="s">
        <v>1169</v>
      </c>
      <c r="F125" s="571" t="s">
        <v>2520</v>
      </c>
      <c r="G125" s="576">
        <v>30000</v>
      </c>
      <c r="H125" s="567"/>
      <c r="I125" s="570"/>
      <c r="J125" s="577"/>
      <c r="K125" s="597">
        <v>7.1059</v>
      </c>
      <c r="L125" s="598" t="s">
        <v>1218</v>
      </c>
      <c r="M125" s="625" t="s">
        <v>621</v>
      </c>
      <c r="N125" s="625"/>
      <c r="O125" s="740" t="s">
        <v>3828</v>
      </c>
      <c r="P125" s="250"/>
      <c r="Q125" s="751"/>
      <c r="R125" s="755"/>
      <c r="S125" s="756"/>
    </row>
    <row r="126" s="10" customFormat="1" ht="18.75" customHeight="1" spans="1:19">
      <c r="A126" s="713"/>
      <c r="B126" s="721"/>
      <c r="C126" s="544"/>
      <c r="D126" s="557"/>
      <c r="E126" s="568" t="s">
        <v>256</v>
      </c>
      <c r="F126" s="571"/>
      <c r="G126" s="576">
        <v>30000</v>
      </c>
      <c r="H126" s="567"/>
      <c r="I126" s="570"/>
      <c r="J126" s="577"/>
      <c r="K126" s="597">
        <v>7.1059</v>
      </c>
      <c r="L126" s="598" t="s">
        <v>1218</v>
      </c>
      <c r="M126" s="625" t="s">
        <v>621</v>
      </c>
      <c r="N126" s="625"/>
      <c r="O126" s="740"/>
      <c r="P126" s="250"/>
      <c r="Q126" s="751"/>
      <c r="R126" s="755"/>
      <c r="S126" s="756"/>
    </row>
    <row r="127" s="10" customFormat="1" ht="18.75" customHeight="1" spans="1:19">
      <c r="A127" s="713"/>
      <c r="B127" s="721"/>
      <c r="C127" s="544"/>
      <c r="D127" s="557"/>
      <c r="E127" s="568" t="s">
        <v>243</v>
      </c>
      <c r="F127" s="571" t="s">
        <v>3829</v>
      </c>
      <c r="G127" s="576">
        <v>12000</v>
      </c>
      <c r="H127" s="567">
        <f>G127*K127</f>
        <v>85270.8</v>
      </c>
      <c r="I127" s="570"/>
      <c r="J127" s="577"/>
      <c r="K127" s="597">
        <v>7.1059</v>
      </c>
      <c r="L127" s="598" t="s">
        <v>1218</v>
      </c>
      <c r="M127" s="625" t="s">
        <v>621</v>
      </c>
      <c r="N127" s="625"/>
      <c r="O127" s="740" t="s">
        <v>3830</v>
      </c>
      <c r="P127" s="250"/>
      <c r="Q127" s="751"/>
      <c r="R127" s="755"/>
      <c r="S127" s="756"/>
    </row>
    <row r="128" s="10" customFormat="1" ht="18.75" customHeight="1" spans="1:19">
      <c r="A128" s="713"/>
      <c r="B128" s="721"/>
      <c r="C128" s="544"/>
      <c r="D128" s="557"/>
      <c r="E128" s="568" t="s">
        <v>287</v>
      </c>
      <c r="F128" s="568" t="s">
        <v>2522</v>
      </c>
      <c r="G128" s="576">
        <v>47452</v>
      </c>
      <c r="H128" s="567"/>
      <c r="I128" s="577"/>
      <c r="J128" s="577"/>
      <c r="K128" s="597">
        <v>7.1059</v>
      </c>
      <c r="L128" s="598" t="s">
        <v>1218</v>
      </c>
      <c r="M128" s="625" t="s">
        <v>621</v>
      </c>
      <c r="N128" s="625"/>
      <c r="O128" s="740" t="s">
        <v>3831</v>
      </c>
      <c r="P128" s="250"/>
      <c r="Q128" s="751"/>
      <c r="R128" s="755"/>
      <c r="S128" s="756"/>
    </row>
    <row r="129" s="10" customFormat="1" ht="18.75" customHeight="1" spans="1:19">
      <c r="A129" s="713"/>
      <c r="B129" s="721"/>
      <c r="C129" s="544"/>
      <c r="D129" s="557"/>
      <c r="E129" s="561"/>
      <c r="F129" s="568"/>
      <c r="G129" s="576"/>
      <c r="H129" s="567"/>
      <c r="I129" s="577"/>
      <c r="J129" s="577"/>
      <c r="K129" s="597">
        <v>7.1059</v>
      </c>
      <c r="L129" s="598"/>
      <c r="M129" s="625"/>
      <c r="N129" s="625"/>
      <c r="O129" s="740" t="s">
        <v>3832</v>
      </c>
      <c r="P129" s="250"/>
      <c r="Q129" s="751"/>
      <c r="R129" s="755"/>
      <c r="S129" s="756"/>
    </row>
    <row r="130" s="10" customFormat="1" ht="33" spans="1:19">
      <c r="A130" s="713"/>
      <c r="B130" s="721"/>
      <c r="C130" s="561" t="s">
        <v>1437</v>
      </c>
      <c r="D130" s="557"/>
      <c r="E130" s="568" t="s">
        <v>3833</v>
      </c>
      <c r="F130" s="764"/>
      <c r="G130" s="576"/>
      <c r="H130" s="567"/>
      <c r="I130" s="570"/>
      <c r="J130" s="577"/>
      <c r="K130" s="597">
        <v>7.1059</v>
      </c>
      <c r="L130" s="598"/>
      <c r="M130" s="625"/>
      <c r="N130" s="625"/>
      <c r="O130" s="740" t="s">
        <v>3834</v>
      </c>
      <c r="P130" s="623"/>
      <c r="Q130" s="655"/>
      <c r="R130" s="656"/>
      <c r="S130" s="754"/>
    </row>
    <row r="131" s="10" customFormat="1" ht="33" spans="1:19">
      <c r="A131" s="713"/>
      <c r="B131" s="721"/>
      <c r="C131" s="716"/>
      <c r="D131" s="557"/>
      <c r="E131" s="716" t="s">
        <v>3835</v>
      </c>
      <c r="F131" s="764"/>
      <c r="G131" s="722"/>
      <c r="H131" s="567"/>
      <c r="I131" s="577"/>
      <c r="J131" s="764"/>
      <c r="K131" s="597">
        <v>7.1059</v>
      </c>
      <c r="L131" s="598"/>
      <c r="M131" s="625"/>
      <c r="N131" s="625"/>
      <c r="O131" s="740" t="s">
        <v>3836</v>
      </c>
      <c r="P131" s="623"/>
      <c r="Q131" s="655"/>
      <c r="R131" s="656"/>
      <c r="S131" s="754"/>
    </row>
    <row r="132" s="10" customFormat="1" ht="16.5" spans="1:19">
      <c r="A132" s="713"/>
      <c r="B132" s="673"/>
      <c r="C132" s="652" t="s">
        <v>1874</v>
      </c>
      <c r="D132" s="652"/>
      <c r="E132" s="652"/>
      <c r="F132" s="652"/>
      <c r="G132" s="652"/>
      <c r="H132" s="782">
        <f>SUM(H110:H131)</f>
        <v>1037816.695</v>
      </c>
      <c r="I132" s="782"/>
      <c r="J132" s="782"/>
      <c r="K132" s="614"/>
      <c r="L132" s="610"/>
      <c r="M132" s="644"/>
      <c r="N132" s="644"/>
      <c r="O132" s="740"/>
      <c r="P132" s="623"/>
      <c r="Q132" s="655"/>
      <c r="R132" s="656"/>
      <c r="S132" s="754"/>
    </row>
    <row r="133" s="536" customFormat="1" ht="38.95" customHeight="1" spans="1:19">
      <c r="A133" s="537" t="s">
        <v>1092</v>
      </c>
      <c r="B133" s="537" t="s">
        <v>1820</v>
      </c>
      <c r="C133" s="538" t="s">
        <v>1946</v>
      </c>
      <c r="D133" s="539" t="s">
        <v>3619</v>
      </c>
      <c r="E133" s="539" t="s">
        <v>1822</v>
      </c>
      <c r="F133" s="558" t="s">
        <v>1095</v>
      </c>
      <c r="G133" s="559" t="s">
        <v>362</v>
      </c>
      <c r="H133" s="560" t="s">
        <v>1716</v>
      </c>
      <c r="I133" s="560" t="s">
        <v>1717</v>
      </c>
      <c r="J133" s="560" t="s">
        <v>1718</v>
      </c>
      <c r="K133" s="594" t="s">
        <v>1866</v>
      </c>
      <c r="L133" s="595" t="s">
        <v>1098</v>
      </c>
      <c r="M133" s="619" t="s">
        <v>3620</v>
      </c>
      <c r="N133" s="619" t="s">
        <v>1214</v>
      </c>
      <c r="O133" s="812" t="s">
        <v>1215</v>
      </c>
      <c r="P133" s="621" t="s">
        <v>7</v>
      </c>
      <c r="Q133" s="652" t="s">
        <v>8</v>
      </c>
      <c r="R133" s="653" t="s">
        <v>9</v>
      </c>
      <c r="S133" s="654" t="s">
        <v>1291</v>
      </c>
    </row>
    <row r="134" s="536" customFormat="1" ht="18" customHeight="1" spans="1:19">
      <c r="A134" s="773" t="s">
        <v>3837</v>
      </c>
      <c r="B134" s="568" t="s">
        <v>1824</v>
      </c>
      <c r="C134" s="666" t="s">
        <v>1120</v>
      </c>
      <c r="D134" s="759">
        <v>108</v>
      </c>
      <c r="E134" s="673" t="s">
        <v>2000</v>
      </c>
      <c r="F134" s="673" t="s">
        <v>3838</v>
      </c>
      <c r="G134" s="784">
        <v>63489</v>
      </c>
      <c r="H134" s="596">
        <f t="shared" ref="H134:H137" si="5">G134*K134</f>
        <v>451082.9961</v>
      </c>
      <c r="I134" s="577">
        <f>G134*K134</f>
        <v>451082.9961</v>
      </c>
      <c r="J134" s="603">
        <f>I134</f>
        <v>451082.9961</v>
      </c>
      <c r="K134" s="597">
        <v>7.1049</v>
      </c>
      <c r="L134" s="598" t="s">
        <v>1218</v>
      </c>
      <c r="M134" s="598">
        <v>45376</v>
      </c>
      <c r="N134" s="625">
        <v>45379</v>
      </c>
      <c r="O134" s="813" t="s">
        <v>3839</v>
      </c>
      <c r="P134" s="814"/>
      <c r="Q134" s="655"/>
      <c r="R134" s="664"/>
      <c r="S134" s="577"/>
    </row>
    <row r="135" s="536" customFormat="1" ht="18" customHeight="1" spans="1:19">
      <c r="A135" s="773"/>
      <c r="B135" s="568"/>
      <c r="C135" s="666"/>
      <c r="D135" s="759"/>
      <c r="E135" s="787" t="s">
        <v>143</v>
      </c>
      <c r="F135" s="788" t="s">
        <v>3840</v>
      </c>
      <c r="G135" s="722">
        <v>56000</v>
      </c>
      <c r="H135" s="596">
        <f t="shared" si="5"/>
        <v>397874.4</v>
      </c>
      <c r="I135" s="787">
        <f>H135</f>
        <v>397874.4</v>
      </c>
      <c r="J135" s="788">
        <f>I135</f>
        <v>397874.4</v>
      </c>
      <c r="K135" s="597">
        <v>7.1049</v>
      </c>
      <c r="L135" s="598" t="s">
        <v>1218</v>
      </c>
      <c r="M135" s="598">
        <v>45373</v>
      </c>
      <c r="N135" s="625">
        <v>45377</v>
      </c>
      <c r="O135" s="626" t="s">
        <v>228</v>
      </c>
      <c r="P135" s="814"/>
      <c r="Q135" s="655"/>
      <c r="R135" s="664"/>
      <c r="S135" s="577"/>
    </row>
    <row r="136" s="10" customFormat="1" ht="18" customHeight="1" spans="1:19">
      <c r="A136" s="775"/>
      <c r="B136" s="721"/>
      <c r="C136" s="721"/>
      <c r="D136" s="545"/>
      <c r="E136" s="785" t="s">
        <v>143</v>
      </c>
      <c r="F136" s="785" t="s">
        <v>3841</v>
      </c>
      <c r="G136" s="786">
        <v>15000</v>
      </c>
      <c r="H136" s="596">
        <f t="shared" si="5"/>
        <v>106573.5</v>
      </c>
      <c r="I136" s="787">
        <f>H136</f>
        <v>106573.5</v>
      </c>
      <c r="J136" s="788"/>
      <c r="K136" s="597">
        <v>7.1049</v>
      </c>
      <c r="L136" s="598"/>
      <c r="M136" s="598"/>
      <c r="N136" s="625">
        <v>45387</v>
      </c>
      <c r="O136" s="639"/>
      <c r="P136" s="620"/>
      <c r="Q136" s="652"/>
      <c r="R136" s="727"/>
      <c r="S136" s="727"/>
    </row>
    <row r="137" s="10" customFormat="1" ht="18" customHeight="1" spans="1:19">
      <c r="A137" s="775"/>
      <c r="B137" s="721"/>
      <c r="C137" s="721"/>
      <c r="D137" s="545"/>
      <c r="E137" s="673" t="s">
        <v>143</v>
      </c>
      <c r="F137" s="673" t="s">
        <v>2584</v>
      </c>
      <c r="G137" s="784">
        <v>40000</v>
      </c>
      <c r="H137" s="596">
        <f t="shared" si="5"/>
        <v>284196</v>
      </c>
      <c r="I137" s="787">
        <f>H137</f>
        <v>284196</v>
      </c>
      <c r="J137" s="567"/>
      <c r="K137" s="597">
        <v>7.1049</v>
      </c>
      <c r="L137" s="598" t="s">
        <v>1218</v>
      </c>
      <c r="M137" s="598">
        <v>45379</v>
      </c>
      <c r="N137" s="598">
        <v>45385</v>
      </c>
      <c r="O137" s="639" t="s">
        <v>3842</v>
      </c>
      <c r="P137" s="620"/>
      <c r="Q137" s="652"/>
      <c r="R137" s="727"/>
      <c r="S137" s="727"/>
    </row>
    <row r="138" s="10" customFormat="1" ht="18" customHeight="1" spans="1:19">
      <c r="A138" s="775"/>
      <c r="B138" s="721"/>
      <c r="C138" s="250"/>
      <c r="D138" s="545"/>
      <c r="E138" s="673"/>
      <c r="F138" s="673"/>
      <c r="G138" s="673"/>
      <c r="H138" s="596"/>
      <c r="I138" s="787"/>
      <c r="J138" s="567"/>
      <c r="K138" s="597"/>
      <c r="L138" s="625"/>
      <c r="M138" s="598"/>
      <c r="N138" s="598"/>
      <c r="O138" s="639"/>
      <c r="P138" s="620"/>
      <c r="Q138" s="652"/>
      <c r="R138" s="727"/>
      <c r="S138" s="727"/>
    </row>
    <row r="139" s="10" customFormat="1" ht="18" customHeight="1" spans="1:19">
      <c r="A139" s="775"/>
      <c r="B139" s="776"/>
      <c r="C139" s="664" t="s">
        <v>509</v>
      </c>
      <c r="D139" s="655">
        <v>86</v>
      </c>
      <c r="E139" s="788" t="s">
        <v>146</v>
      </c>
      <c r="F139" s="788" t="s">
        <v>3843</v>
      </c>
      <c r="G139" s="567">
        <v>343188</v>
      </c>
      <c r="H139" s="567">
        <f>G139</f>
        <v>343188</v>
      </c>
      <c r="I139" s="567">
        <f>H139</f>
        <v>343188</v>
      </c>
      <c r="J139" s="567"/>
      <c r="K139" s="597">
        <v>7.1049</v>
      </c>
      <c r="L139" s="598" t="s">
        <v>1218</v>
      </c>
      <c r="M139" s="818">
        <v>0.107142857142857</v>
      </c>
      <c r="N139" s="598">
        <v>45388</v>
      </c>
      <c r="O139" s="815" t="s">
        <v>3844</v>
      </c>
      <c r="P139" s="816"/>
      <c r="Q139" s="655"/>
      <c r="R139" s="664"/>
      <c r="S139" s="577"/>
    </row>
    <row r="140" s="10" customFormat="1" ht="18" customHeight="1" spans="1:19">
      <c r="A140" s="775"/>
      <c r="B140" s="669"/>
      <c r="C140" s="721"/>
      <c r="D140" s="545"/>
      <c r="E140" s="617" t="s">
        <v>2099</v>
      </c>
      <c r="F140" s="790" t="s">
        <v>3845</v>
      </c>
      <c r="G140" s="567">
        <v>244125</v>
      </c>
      <c r="H140" s="567">
        <f>G140</f>
        <v>244125</v>
      </c>
      <c r="I140" s="567">
        <f>H140</f>
        <v>244125</v>
      </c>
      <c r="J140" s="567"/>
      <c r="K140" s="617">
        <v>7.1049</v>
      </c>
      <c r="L140" s="618" t="s">
        <v>1218</v>
      </c>
      <c r="M140" s="818">
        <v>0.107142857142857</v>
      </c>
      <c r="N140" s="598">
        <v>45388</v>
      </c>
      <c r="O140" s="815" t="s">
        <v>3844</v>
      </c>
      <c r="P140" s="620"/>
      <c r="Q140" s="652"/>
      <c r="R140" s="727"/>
      <c r="S140" s="727"/>
    </row>
    <row r="141" s="10" customFormat="1" ht="18" customHeight="1" spans="1:19">
      <c r="A141" s="775"/>
      <c r="B141" s="669"/>
      <c r="C141" s="721"/>
      <c r="D141" s="545"/>
      <c r="E141" s="570"/>
      <c r="F141" s="570"/>
      <c r="G141" s="567"/>
      <c r="H141" s="567"/>
      <c r="I141" s="567"/>
      <c r="J141" s="570"/>
      <c r="K141" s="570"/>
      <c r="L141" s="570"/>
      <c r="M141" s="570"/>
      <c r="N141" s="570"/>
      <c r="O141" s="570"/>
      <c r="P141" s="620"/>
      <c r="Q141" s="652"/>
      <c r="R141" s="727"/>
      <c r="S141" s="727"/>
    </row>
    <row r="142" s="10" customFormat="1" ht="18" customHeight="1" spans="1:19">
      <c r="A142" s="775"/>
      <c r="B142" s="776"/>
      <c r="C142" s="664" t="s">
        <v>1393</v>
      </c>
      <c r="D142" s="655">
        <v>56</v>
      </c>
      <c r="E142" s="673" t="s">
        <v>261</v>
      </c>
      <c r="F142" s="607" t="s">
        <v>2609</v>
      </c>
      <c r="G142" s="786">
        <v>25813</v>
      </c>
      <c r="H142" s="681">
        <f t="shared" ref="H142:H144" si="6">G142*K142</f>
        <v>183398.7837</v>
      </c>
      <c r="I142" s="681">
        <f t="shared" ref="I142:I144" si="7">G142*K142</f>
        <v>183398.7837</v>
      </c>
      <c r="J142" s="922">
        <v>183424</v>
      </c>
      <c r="K142" s="597">
        <v>7.1049</v>
      </c>
      <c r="L142" s="610" t="s">
        <v>1530</v>
      </c>
      <c r="M142" s="923">
        <v>0.428571428571429</v>
      </c>
      <c r="N142" s="598">
        <v>45360</v>
      </c>
      <c r="O142" s="924" t="s">
        <v>3846</v>
      </c>
      <c r="P142" s="820"/>
      <c r="Q142" s="824"/>
      <c r="R142" s="664"/>
      <c r="S142" s="577"/>
    </row>
    <row r="143" s="10" customFormat="1" ht="18" customHeight="1" spans="1:19">
      <c r="A143" s="775"/>
      <c r="B143" s="776"/>
      <c r="C143" s="664"/>
      <c r="D143" s="655"/>
      <c r="E143" s="250" t="s">
        <v>1563</v>
      </c>
      <c r="F143" s="250" t="s">
        <v>2598</v>
      </c>
      <c r="G143" s="921">
        <v>32915</v>
      </c>
      <c r="H143" s="567">
        <f t="shared" si="6"/>
        <v>233857.7835</v>
      </c>
      <c r="I143" s="602">
        <f t="shared" si="7"/>
        <v>233857.7835</v>
      </c>
      <c r="J143" s="922">
        <f t="shared" ref="J142:J144" si="8">G143*K143</f>
        <v>233857.7835</v>
      </c>
      <c r="K143" s="597">
        <v>7.1049</v>
      </c>
      <c r="L143" s="610" t="s">
        <v>1530</v>
      </c>
      <c r="M143" s="598">
        <v>45364</v>
      </c>
      <c r="N143" s="598">
        <v>45367</v>
      </c>
      <c r="O143" s="743" t="s">
        <v>3847</v>
      </c>
      <c r="P143" s="820"/>
      <c r="Q143" s="826"/>
      <c r="R143" s="825"/>
      <c r="S143" s="577"/>
    </row>
    <row r="144" s="10" customFormat="1" ht="18" customHeight="1" spans="1:19">
      <c r="A144" s="713"/>
      <c r="B144" s="541"/>
      <c r="C144" s="250"/>
      <c r="D144" s="716"/>
      <c r="E144" s="716" t="s">
        <v>454</v>
      </c>
      <c r="F144" s="716" t="s">
        <v>3848</v>
      </c>
      <c r="G144" s="576">
        <v>48944</v>
      </c>
      <c r="H144" s="567">
        <f t="shared" si="6"/>
        <v>347742.2256</v>
      </c>
      <c r="I144" s="602">
        <f t="shared" si="7"/>
        <v>347742.2256</v>
      </c>
      <c r="J144" s="602"/>
      <c r="K144" s="597">
        <v>7.1049</v>
      </c>
      <c r="L144" s="610" t="s">
        <v>1530</v>
      </c>
      <c r="M144" s="598">
        <v>45376</v>
      </c>
      <c r="N144" s="598">
        <v>45382</v>
      </c>
      <c r="O144" s="743" t="s">
        <v>3849</v>
      </c>
      <c r="P144" s="620"/>
      <c r="Q144" s="652"/>
      <c r="R144" s="727"/>
      <c r="S144" s="727"/>
    </row>
    <row r="145" s="10" customFormat="1" ht="18" customHeight="1" spans="1:19">
      <c r="A145" s="775"/>
      <c r="B145" s="568"/>
      <c r="C145" s="777" t="s">
        <v>1124</v>
      </c>
      <c r="D145" s="920">
        <v>250</v>
      </c>
      <c r="E145" s="794"/>
      <c r="F145" s="719"/>
      <c r="G145" s="791" t="s">
        <v>1235</v>
      </c>
      <c r="H145" s="792">
        <f>SUM(H134:H144)</f>
        <v>2592038.6889</v>
      </c>
      <c r="I145" s="792">
        <f>SUM(I134:I144)</f>
        <v>2592038.6889</v>
      </c>
      <c r="J145" s="792">
        <f>SUM(J134:J144)</f>
        <v>1266239.1796</v>
      </c>
      <c r="K145" s="806"/>
      <c r="L145" s="807"/>
      <c r="M145" s="821"/>
      <c r="N145" s="821"/>
      <c r="O145" s="647"/>
      <c r="P145" s="620"/>
      <c r="Q145" s="652"/>
      <c r="R145" s="653"/>
      <c r="S145" s="809"/>
    </row>
    <row r="146" s="10" customFormat="1" ht="18" customHeight="1" spans="1:19">
      <c r="A146" s="775"/>
      <c r="B146" s="568"/>
      <c r="C146" s="779"/>
      <c r="D146" s="782"/>
      <c r="E146" s="652"/>
      <c r="F146" s="727"/>
      <c r="G146" s="795" t="s">
        <v>3649</v>
      </c>
      <c r="H146" s="796">
        <f>H145/2500000</f>
        <v>1.03681547556</v>
      </c>
      <c r="I146" s="796">
        <f>I145/2500000</f>
        <v>1.03681547556</v>
      </c>
      <c r="J146" s="796">
        <f>J145/2500000</f>
        <v>0.50649567184</v>
      </c>
      <c r="K146" s="808"/>
      <c r="L146" s="809"/>
      <c r="M146" s="821"/>
      <c r="N146" s="821"/>
      <c r="O146" s="647"/>
      <c r="P146" s="620"/>
      <c r="Q146" s="652"/>
      <c r="R146" s="653"/>
      <c r="S146" s="809"/>
    </row>
    <row r="147" s="10" customFormat="1" ht="18" customHeight="1" spans="1:19">
      <c r="A147" s="775"/>
      <c r="B147" s="780"/>
      <c r="C147" s="779" t="s">
        <v>3650</v>
      </c>
      <c r="D147" s="781">
        <v>7250000</v>
      </c>
      <c r="E147" s="729" t="s">
        <v>3651</v>
      </c>
      <c r="F147" s="586" t="e">
        <f>D147-H145-#REF!-#REF!</f>
        <v>#REF!</v>
      </c>
      <c r="G147" s="653" t="s">
        <v>3652</v>
      </c>
      <c r="H147" s="797" t="e">
        <f>(D147-F147)/D147</f>
        <v>#REF!</v>
      </c>
      <c r="I147" s="804"/>
      <c r="J147" s="804"/>
      <c r="K147" s="758"/>
      <c r="L147" s="739"/>
      <c r="M147" s="738"/>
      <c r="N147" s="738"/>
      <c r="O147" s="812"/>
      <c r="P147" s="620"/>
      <c r="Q147" s="652"/>
      <c r="R147" s="727"/>
      <c r="S147" s="727"/>
    </row>
    <row r="148" s="10" customFormat="1" ht="18" customHeight="1" spans="1:19">
      <c r="A148" s="775"/>
      <c r="B148" s="553" t="s">
        <v>1820</v>
      </c>
      <c r="C148" s="554" t="s">
        <v>1946</v>
      </c>
      <c r="D148" s="555" t="s">
        <v>1821</v>
      </c>
      <c r="E148" s="555" t="s">
        <v>1822</v>
      </c>
      <c r="F148" s="588" t="s">
        <v>1095</v>
      </c>
      <c r="G148" s="589" t="s">
        <v>362</v>
      </c>
      <c r="H148" s="590" t="s">
        <v>1865</v>
      </c>
      <c r="I148" s="810" t="s">
        <v>1717</v>
      </c>
      <c r="J148" s="810" t="s">
        <v>1718</v>
      </c>
      <c r="K148" s="590" t="s">
        <v>1866</v>
      </c>
      <c r="L148" s="615" t="s">
        <v>1098</v>
      </c>
      <c r="M148" s="590" t="s">
        <v>1867</v>
      </c>
      <c r="N148" s="646"/>
      <c r="O148" s="822"/>
      <c r="P148" s="620"/>
      <c r="Q148" s="652"/>
      <c r="R148" s="727"/>
      <c r="S148" s="727"/>
    </row>
    <row r="149" s="10" customFormat="1" ht="18" customHeight="1" spans="1:19">
      <c r="A149" s="718"/>
      <c r="B149" s="541" t="s">
        <v>2386</v>
      </c>
      <c r="C149" s="564" t="s">
        <v>1120</v>
      </c>
      <c r="D149" s="716"/>
      <c r="E149" s="572" t="s">
        <v>660</v>
      </c>
      <c r="F149" s="250" t="s">
        <v>3850</v>
      </c>
      <c r="G149" s="725">
        <v>21539</v>
      </c>
      <c r="H149" s="577"/>
      <c r="I149" s="570"/>
      <c r="J149" s="567"/>
      <c r="K149" s="597">
        <v>7.1049</v>
      </c>
      <c r="L149" s="625"/>
      <c r="M149" s="598"/>
      <c r="N149" s="598"/>
      <c r="O149" s="862"/>
      <c r="P149" s="620"/>
      <c r="Q149" s="652"/>
      <c r="R149" s="727"/>
      <c r="S149" s="727"/>
    </row>
    <row r="150" s="536" customFormat="1" ht="18" customHeight="1" spans="1:19">
      <c r="A150" s="773"/>
      <c r="B150" s="568"/>
      <c r="C150" s="666"/>
      <c r="D150" s="759"/>
      <c r="E150" s="250" t="s">
        <v>660</v>
      </c>
      <c r="F150" s="250" t="s">
        <v>1652</v>
      </c>
      <c r="G150" s="725">
        <v>21539</v>
      </c>
      <c r="H150" s="596">
        <f>G150*K150</f>
        <v>153032.4411</v>
      </c>
      <c r="I150" s="567"/>
      <c r="J150" s="570"/>
      <c r="K150" s="597">
        <v>7.1049</v>
      </c>
      <c r="L150" s="625">
        <v>45397</v>
      </c>
      <c r="M150" s="598"/>
      <c r="N150" s="625"/>
      <c r="O150" s="813" t="s">
        <v>3851</v>
      </c>
      <c r="P150" s="814"/>
      <c r="Q150" s="655"/>
      <c r="R150" s="664"/>
      <c r="S150" s="577"/>
    </row>
    <row r="151" s="10" customFormat="1" ht="18" customHeight="1" spans="1:19">
      <c r="A151" s="775"/>
      <c r="B151" s="541"/>
      <c r="C151" s="673"/>
      <c r="D151" s="716"/>
      <c r="E151" s="572"/>
      <c r="F151" s="250"/>
      <c r="G151" s="725"/>
      <c r="H151" s="577"/>
      <c r="I151" s="570"/>
      <c r="J151" s="811"/>
      <c r="K151" s="597">
        <v>7.1049</v>
      </c>
      <c r="L151" s="625"/>
      <c r="M151" s="598"/>
      <c r="N151" s="598"/>
      <c r="O151" s="823"/>
      <c r="P151" s="620"/>
      <c r="Q151" s="652"/>
      <c r="R151" s="727"/>
      <c r="S151" s="727"/>
    </row>
    <row r="152" s="10" customFormat="1" ht="18" customHeight="1" spans="1:19">
      <c r="A152" s="775"/>
      <c r="B152" s="541"/>
      <c r="C152" s="250" t="s">
        <v>509</v>
      </c>
      <c r="D152" s="716"/>
      <c r="E152" s="787"/>
      <c r="F152" s="788"/>
      <c r="G152" s="722"/>
      <c r="H152" s="567"/>
      <c r="I152" s="787"/>
      <c r="J152" s="788"/>
      <c r="K152" s="597">
        <v>7.1049</v>
      </c>
      <c r="L152" s="598"/>
      <c r="M152" s="596"/>
      <c r="N152" s="603"/>
      <c r="O152" s="815"/>
      <c r="P152" s="620"/>
      <c r="Q152" s="652"/>
      <c r="R152" s="727"/>
      <c r="S152" s="727"/>
    </row>
    <row r="153" s="10" customFormat="1" ht="18" customHeight="1" spans="1:19">
      <c r="A153" s="775"/>
      <c r="B153" s="541"/>
      <c r="C153" s="250"/>
      <c r="D153" s="716"/>
      <c r="E153" s="787" t="s">
        <v>284</v>
      </c>
      <c r="F153" s="788" t="s">
        <v>2027</v>
      </c>
      <c r="G153" s="722">
        <v>98260</v>
      </c>
      <c r="H153" s="567">
        <f>G153*K153</f>
        <v>698127.474</v>
      </c>
      <c r="I153" s="787"/>
      <c r="J153" s="788"/>
      <c r="K153" s="597">
        <v>7.1049</v>
      </c>
      <c r="L153" s="598" t="s">
        <v>3852</v>
      </c>
      <c r="M153" s="596"/>
      <c r="N153" s="603"/>
      <c r="O153" s="815" t="s">
        <v>3853</v>
      </c>
      <c r="P153" s="620"/>
      <c r="Q153" s="652"/>
      <c r="R153" s="727"/>
      <c r="S153" s="727"/>
    </row>
    <row r="154" s="10" customFormat="1" ht="18" customHeight="1" spans="1:19">
      <c r="A154" s="775"/>
      <c r="B154" s="776"/>
      <c r="C154" s="721"/>
      <c r="D154" s="545"/>
      <c r="E154" s="788"/>
      <c r="F154" s="788"/>
      <c r="G154" s="570"/>
      <c r="H154" s="596"/>
      <c r="I154" s="851"/>
      <c r="J154" s="788"/>
      <c r="K154" s="597">
        <v>7.1049</v>
      </c>
      <c r="L154" s="598"/>
      <c r="M154" s="596"/>
      <c r="N154" s="625"/>
      <c r="O154" s="925"/>
      <c r="P154" s="816"/>
      <c r="Q154" s="655"/>
      <c r="R154" s="664"/>
      <c r="S154" s="577"/>
    </row>
    <row r="155" s="10" customFormat="1" ht="18" customHeight="1" spans="1:19">
      <c r="A155" s="775"/>
      <c r="B155" s="669"/>
      <c r="C155" s="721"/>
      <c r="D155" s="545"/>
      <c r="E155" s="788"/>
      <c r="F155" s="788"/>
      <c r="G155" s="616"/>
      <c r="H155" s="563"/>
      <c r="I155" s="852"/>
      <c r="J155" s="790"/>
      <c r="K155" s="597">
        <v>7.1049</v>
      </c>
      <c r="L155" s="618"/>
      <c r="M155" s="596"/>
      <c r="N155" s="736"/>
      <c r="O155" s="823"/>
      <c r="P155" s="816"/>
      <c r="Q155" s="655"/>
      <c r="R155" s="664"/>
      <c r="S155" s="577"/>
    </row>
    <row r="156" s="10" customFormat="1" ht="18" customHeight="1" spans="1:19">
      <c r="A156" s="713"/>
      <c r="B156" s="541"/>
      <c r="C156" s="250" t="s">
        <v>1393</v>
      </c>
      <c r="D156" s="716"/>
      <c r="E156" s="716"/>
      <c r="F156" s="716"/>
      <c r="G156" s="576"/>
      <c r="H156" s="567"/>
      <c r="I156" s="853"/>
      <c r="J156" s="804"/>
      <c r="K156" s="597">
        <v>7.1049</v>
      </c>
      <c r="L156" s="854"/>
      <c r="M156" s="854"/>
      <c r="N156" s="854"/>
      <c r="O156" s="740"/>
      <c r="P156" s="620"/>
      <c r="Q156" s="652"/>
      <c r="R156" s="727"/>
      <c r="S156" s="727"/>
    </row>
    <row r="157" s="10" customFormat="1" ht="19.6" customHeight="1" spans="1:19">
      <c r="A157" s="775"/>
      <c r="B157" s="776"/>
      <c r="C157" s="664"/>
      <c r="D157" s="655"/>
      <c r="E157" s="716"/>
      <c r="F157" s="716"/>
      <c r="G157" s="576"/>
      <c r="H157" s="567"/>
      <c r="I157" s="853"/>
      <c r="J157" s="804"/>
      <c r="K157" s="597">
        <v>7.1049</v>
      </c>
      <c r="L157" s="598"/>
      <c r="M157" s="854"/>
      <c r="N157" s="618"/>
      <c r="O157" s="926"/>
      <c r="P157" s="859"/>
      <c r="Q157" s="859"/>
      <c r="R157" s="872"/>
      <c r="S157" s="577"/>
    </row>
    <row r="158" s="10" customFormat="1" ht="18" customHeight="1" spans="1:19">
      <c r="A158" s="775"/>
      <c r="B158" s="721"/>
      <c r="C158" s="721"/>
      <c r="D158" s="545"/>
      <c r="E158" s="716" t="s">
        <v>150</v>
      </c>
      <c r="F158" s="716" t="s">
        <v>3854</v>
      </c>
      <c r="G158" s="722">
        <v>200940</v>
      </c>
      <c r="H158" s="567">
        <v>1400000</v>
      </c>
      <c r="I158" s="838"/>
      <c r="J158" s="785"/>
      <c r="K158" s="597">
        <v>7.1049</v>
      </c>
      <c r="L158" s="855"/>
      <c r="M158" s="860"/>
      <c r="N158" s="603"/>
      <c r="O158" s="861" t="s">
        <v>3855</v>
      </c>
      <c r="P158" s="620"/>
      <c r="Q158" s="652"/>
      <c r="R158" s="727"/>
      <c r="S158" s="727"/>
    </row>
    <row r="159" s="10" customFormat="1" ht="18" customHeight="1" spans="1:19">
      <c r="A159" s="718"/>
      <c r="B159" s="721"/>
      <c r="C159" s="250"/>
      <c r="D159" s="716"/>
      <c r="E159" s="244"/>
      <c r="F159" s="787"/>
      <c r="G159" s="722"/>
      <c r="H159" s="567"/>
      <c r="I159" s="839"/>
      <c r="J159" s="597"/>
      <c r="K159" s="597">
        <v>7.1049</v>
      </c>
      <c r="L159" s="598"/>
      <c r="M159" s="854"/>
      <c r="N159" s="570"/>
      <c r="O159" s="862"/>
      <c r="P159" s="620"/>
      <c r="Q159" s="652"/>
      <c r="R159" s="727"/>
      <c r="S159" s="727"/>
    </row>
    <row r="160" s="10" customFormat="1" ht="18" customHeight="1" spans="1:19">
      <c r="A160" s="775"/>
      <c r="B160" s="672"/>
      <c r="C160" s="652" t="s">
        <v>1874</v>
      </c>
      <c r="D160" s="652"/>
      <c r="E160" s="652"/>
      <c r="F160" s="652"/>
      <c r="G160" s="652"/>
      <c r="H160" s="804">
        <f>SUM(H149:H159)</f>
        <v>2251159.9151</v>
      </c>
      <c r="I160" s="839"/>
      <c r="J160" s="839"/>
      <c r="K160" s="597">
        <v>7.1049</v>
      </c>
      <c r="L160" s="598"/>
      <c r="M160" s="598"/>
      <c r="N160" s="863"/>
      <c r="O160" s="864"/>
      <c r="P160" s="620"/>
      <c r="Q160" s="652"/>
      <c r="R160" s="727"/>
      <c r="S160" s="727"/>
    </row>
    <row r="161" s="10" customFormat="1" ht="18" customHeight="1" spans="1:19">
      <c r="A161" s="718"/>
      <c r="B161" s="721" t="s">
        <v>1875</v>
      </c>
      <c r="C161" s="564" t="s">
        <v>1120</v>
      </c>
      <c r="D161" s="545"/>
      <c r="E161" s="673" t="s">
        <v>2000</v>
      </c>
      <c r="F161" s="673" t="s">
        <v>3856</v>
      </c>
      <c r="G161" s="784">
        <v>140000</v>
      </c>
      <c r="H161" s="596">
        <v>980000</v>
      </c>
      <c r="I161" s="577"/>
      <c r="J161" s="603"/>
      <c r="K161" s="597">
        <v>7.1049</v>
      </c>
      <c r="L161" s="598" t="s">
        <v>1218</v>
      </c>
      <c r="M161" s="598">
        <v>45458</v>
      </c>
      <c r="N161" s="863"/>
      <c r="O161" s="626"/>
      <c r="P161" s="620"/>
      <c r="Q161" s="652"/>
      <c r="R161" s="727"/>
      <c r="S161" s="727"/>
    </row>
    <row r="162" s="10" customFormat="1" ht="18" customHeight="1" spans="1:19">
      <c r="A162" s="775"/>
      <c r="B162" s="721"/>
      <c r="C162" s="721"/>
      <c r="D162" s="545"/>
      <c r="E162" s="838"/>
      <c r="F162" s="785"/>
      <c r="G162" s="786"/>
      <c r="H162" s="567"/>
      <c r="I162" s="787"/>
      <c r="J162" s="788"/>
      <c r="K162" s="597"/>
      <c r="L162" s="856"/>
      <c r="M162" s="596"/>
      <c r="N162" s="605"/>
      <c r="O162" s="626"/>
      <c r="P162" s="620"/>
      <c r="Q162" s="652"/>
      <c r="R162" s="727"/>
      <c r="S162" s="727"/>
    </row>
    <row r="163" s="10" customFormat="1" ht="18" customHeight="1" spans="1:19">
      <c r="A163" s="775"/>
      <c r="B163" s="721"/>
      <c r="C163" s="250" t="s">
        <v>509</v>
      </c>
      <c r="D163" s="545"/>
      <c r="E163" s="597" t="s">
        <v>2099</v>
      </c>
      <c r="F163" s="790" t="s">
        <v>3857</v>
      </c>
      <c r="G163" s="927">
        <v>370000</v>
      </c>
      <c r="H163" s="790"/>
      <c r="I163" s="570"/>
      <c r="J163" s="570"/>
      <c r="K163" s="597">
        <v>7.1049</v>
      </c>
      <c r="L163" s="598" t="s">
        <v>1218</v>
      </c>
      <c r="M163" s="570"/>
      <c r="N163" s="570"/>
      <c r="O163" s="691" t="s">
        <v>3858</v>
      </c>
      <c r="P163" s="620"/>
      <c r="Q163" s="652"/>
      <c r="R163" s="727"/>
      <c r="S163" s="727"/>
    </row>
    <row r="164" s="10" customFormat="1" ht="18" customHeight="1" spans="1:19">
      <c r="A164" s="775"/>
      <c r="B164" s="721"/>
      <c r="C164" s="250"/>
      <c r="D164" s="545"/>
      <c r="E164" s="597" t="s">
        <v>2099</v>
      </c>
      <c r="F164" s="790" t="s">
        <v>3859</v>
      </c>
      <c r="G164" s="927">
        <v>240000</v>
      </c>
      <c r="H164" s="790"/>
      <c r="I164" s="616"/>
      <c r="J164" s="616"/>
      <c r="K164" s="597">
        <v>7.1049</v>
      </c>
      <c r="L164" s="598" t="s">
        <v>1218</v>
      </c>
      <c r="M164" s="616"/>
      <c r="N164" s="616"/>
      <c r="O164" s="817" t="s">
        <v>3860</v>
      </c>
      <c r="P164" s="620"/>
      <c r="Q164" s="652"/>
      <c r="R164" s="727"/>
      <c r="S164" s="727"/>
    </row>
    <row r="165" s="10" customFormat="1" ht="18" customHeight="1" spans="1:19">
      <c r="A165" s="775"/>
      <c r="B165" s="721"/>
      <c r="C165" s="250"/>
      <c r="D165" s="545"/>
      <c r="E165" s="564" t="s">
        <v>2009</v>
      </c>
      <c r="F165" s="790" t="s">
        <v>3861</v>
      </c>
      <c r="G165" s="927">
        <v>5437732</v>
      </c>
      <c r="H165" s="790"/>
      <c r="I165" s="616"/>
      <c r="J165" s="616"/>
      <c r="K165" s="597"/>
      <c r="L165" s="618"/>
      <c r="M165" s="616"/>
      <c r="N165" s="616"/>
      <c r="O165" s="817" t="s">
        <v>3862</v>
      </c>
      <c r="P165" s="620"/>
      <c r="Q165" s="652"/>
      <c r="R165" s="727"/>
      <c r="S165" s="727"/>
    </row>
    <row r="166" s="10" customFormat="1" ht="18" customHeight="1" spans="1:19">
      <c r="A166" s="775"/>
      <c r="B166" s="721"/>
      <c r="C166" s="250"/>
      <c r="D166" s="545"/>
      <c r="E166" s="564" t="s">
        <v>1313</v>
      </c>
      <c r="F166" s="790" t="s">
        <v>3863</v>
      </c>
      <c r="G166" s="927"/>
      <c r="H166" s="790"/>
      <c r="I166" s="616"/>
      <c r="J166" s="616"/>
      <c r="K166" s="597">
        <v>7.1049</v>
      </c>
      <c r="L166" s="618"/>
      <c r="M166" s="616"/>
      <c r="N166" s="616"/>
      <c r="O166" s="817" t="s">
        <v>3864</v>
      </c>
      <c r="P166" s="620"/>
      <c r="Q166" s="652"/>
      <c r="R166" s="727"/>
      <c r="S166" s="727"/>
    </row>
    <row r="167" s="10" customFormat="1" ht="18" customHeight="1" spans="1:19">
      <c r="A167" s="775"/>
      <c r="B167" s="721"/>
      <c r="C167" s="250"/>
      <c r="D167" s="545"/>
      <c r="E167" s="574" t="s">
        <v>3865</v>
      </c>
      <c r="F167" s="790" t="s">
        <v>3866</v>
      </c>
      <c r="G167" s="927">
        <v>395678</v>
      </c>
      <c r="H167" s="592"/>
      <c r="I167" s="616"/>
      <c r="J167" s="616"/>
      <c r="K167" s="597">
        <v>7.1049</v>
      </c>
      <c r="L167" s="616"/>
      <c r="M167" s="616"/>
      <c r="N167" s="616"/>
      <c r="O167" s="865" t="s">
        <v>3867</v>
      </c>
      <c r="P167" s="620"/>
      <c r="Q167" s="652"/>
      <c r="R167" s="727"/>
      <c r="S167" s="727"/>
    </row>
    <row r="168" s="10" customFormat="1" ht="18" customHeight="1" spans="1:19">
      <c r="A168" s="775"/>
      <c r="B168" s="721"/>
      <c r="C168" s="250"/>
      <c r="D168" s="545"/>
      <c r="E168" s="250" t="s">
        <v>3868</v>
      </c>
      <c r="F168" s="244"/>
      <c r="G168" s="567"/>
      <c r="H168" s="567"/>
      <c r="I168" s="570"/>
      <c r="J168" s="570"/>
      <c r="K168" s="597">
        <v>7.1049</v>
      </c>
      <c r="L168" s="570"/>
      <c r="M168" s="570"/>
      <c r="N168" s="570"/>
      <c r="O168" s="628" t="s">
        <v>3869</v>
      </c>
      <c r="P168" s="620"/>
      <c r="Q168" s="652"/>
      <c r="R168" s="727"/>
      <c r="S168" s="727"/>
    </row>
    <row r="169" s="536" customFormat="1" ht="18" customHeight="1" spans="1:19">
      <c r="A169" s="775"/>
      <c r="B169" s="776"/>
      <c r="C169" s="721" t="s">
        <v>1393</v>
      </c>
      <c r="D169" s="545"/>
      <c r="E169" s="250" t="s">
        <v>3870</v>
      </c>
      <c r="F169" s="244" t="s">
        <v>3871</v>
      </c>
      <c r="G169" s="576">
        <v>45000</v>
      </c>
      <c r="H169" s="567"/>
      <c r="I169" s="602"/>
      <c r="J169" s="596"/>
      <c r="K169" s="597">
        <v>7.1049</v>
      </c>
      <c r="L169" s="598"/>
      <c r="M169" s="854"/>
      <c r="N169" s="618"/>
      <c r="O169" s="861" t="s">
        <v>3872</v>
      </c>
      <c r="P169" s="866"/>
      <c r="Q169" s="873"/>
      <c r="R169" s="715"/>
      <c r="S169" s="602"/>
    </row>
    <row r="170" s="10" customFormat="1" ht="23.35" customHeight="1" spans="1:19">
      <c r="A170" s="775"/>
      <c r="B170" s="776"/>
      <c r="C170" s="721"/>
      <c r="D170" s="545"/>
      <c r="E170" s="716" t="s">
        <v>3873</v>
      </c>
      <c r="F170" s="716"/>
      <c r="G170" s="722"/>
      <c r="H170" s="567"/>
      <c r="J170" s="839"/>
      <c r="K170" s="597">
        <v>7.1049</v>
      </c>
      <c r="L170" s="598"/>
      <c r="M170" s="598"/>
      <c r="N170" s="618"/>
      <c r="O170" s="916" t="s">
        <v>3874</v>
      </c>
      <c r="P170" s="571"/>
      <c r="Q170" s="874"/>
      <c r="R170" s="664"/>
      <c r="S170" s="577"/>
    </row>
    <row r="171" s="10" customFormat="1" ht="23.35" customHeight="1" spans="1:19">
      <c r="A171" s="775"/>
      <c r="B171" s="776"/>
      <c r="C171" s="721"/>
      <c r="D171" s="545"/>
      <c r="E171" s="673" t="s">
        <v>3875</v>
      </c>
      <c r="F171" s="244" t="s">
        <v>3876</v>
      </c>
      <c r="G171" s="576">
        <v>39144</v>
      </c>
      <c r="H171" s="567"/>
      <c r="I171" s="567"/>
      <c r="J171" s="570"/>
      <c r="K171" s="597">
        <v>7.1049</v>
      </c>
      <c r="L171" s="598"/>
      <c r="M171" s="867"/>
      <c r="N171" s="628"/>
      <c r="O171" s="628" t="s">
        <v>3877</v>
      </c>
      <c r="P171" s="571"/>
      <c r="Q171" s="874"/>
      <c r="R171" s="664"/>
      <c r="S171" s="577"/>
    </row>
    <row r="172" s="10" customFormat="1" ht="23.35" customHeight="1" spans="1:19">
      <c r="A172" s="775"/>
      <c r="B172" s="669"/>
      <c r="C172" s="721"/>
      <c r="D172" s="545"/>
      <c r="E172" s="673" t="s">
        <v>3878</v>
      </c>
      <c r="F172" s="244" t="s">
        <v>3879</v>
      </c>
      <c r="G172" s="576">
        <v>30000</v>
      </c>
      <c r="H172" s="567"/>
      <c r="I172" s="567"/>
      <c r="J172" s="570"/>
      <c r="K172" s="597"/>
      <c r="L172" s="598"/>
      <c r="M172" s="867"/>
      <c r="N172" s="628"/>
      <c r="O172" s="628" t="s">
        <v>3880</v>
      </c>
      <c r="P172" s="571"/>
      <c r="Q172" s="874"/>
      <c r="R172" s="664"/>
      <c r="S172" s="577"/>
    </row>
    <row r="173" s="10" customFormat="1" ht="23.35" customHeight="1" spans="1:19">
      <c r="A173" s="775"/>
      <c r="B173" s="669"/>
      <c r="C173" s="721"/>
      <c r="D173" s="545"/>
      <c r="E173" s="673" t="s">
        <v>3881</v>
      </c>
      <c r="F173" s="244"/>
      <c r="G173" s="576"/>
      <c r="H173" s="567"/>
      <c r="I173" s="567"/>
      <c r="J173" s="570"/>
      <c r="K173" s="597"/>
      <c r="L173" s="598"/>
      <c r="M173" s="867"/>
      <c r="N173" s="628"/>
      <c r="O173" s="628" t="s">
        <v>3882</v>
      </c>
      <c r="P173" s="571"/>
      <c r="Q173" s="874"/>
      <c r="R173" s="664"/>
      <c r="S173" s="577"/>
    </row>
    <row r="174" s="10" customFormat="1" ht="23.35" customHeight="1" spans="1:19">
      <c r="A174" s="775"/>
      <c r="B174" s="669"/>
      <c r="C174" s="721"/>
      <c r="D174" s="545"/>
      <c r="E174" s="787" t="s">
        <v>1224</v>
      </c>
      <c r="F174" s="787"/>
      <c r="G174" s="576">
        <v>1098896</v>
      </c>
      <c r="H174" s="567"/>
      <c r="I174" s="570"/>
      <c r="J174" s="570"/>
      <c r="K174" s="597">
        <v>7.1049</v>
      </c>
      <c r="L174" s="570"/>
      <c r="M174" s="570"/>
      <c r="N174" s="570"/>
      <c r="O174" s="628" t="s">
        <v>3883</v>
      </c>
      <c r="P174" s="620"/>
      <c r="Q174" s="874"/>
      <c r="R174" s="664"/>
      <c r="S174" s="577"/>
    </row>
    <row r="175" s="10" customFormat="1" ht="16.5" spans="1:19">
      <c r="A175" s="828"/>
      <c r="B175" s="673"/>
      <c r="C175" s="652" t="s">
        <v>1874</v>
      </c>
      <c r="D175" s="652"/>
      <c r="E175" s="652"/>
      <c r="F175" s="652"/>
      <c r="G175" s="652"/>
      <c r="H175" s="804">
        <f>SUM(H161:H174)</f>
        <v>980000</v>
      </c>
      <c r="I175" s="804"/>
      <c r="J175" s="804"/>
      <c r="K175" s="928"/>
      <c r="L175" s="854"/>
      <c r="M175" s="854"/>
      <c r="N175" s="863"/>
      <c r="O175" s="929"/>
      <c r="P175" s="620"/>
      <c r="Q175" s="652"/>
      <c r="R175" s="727"/>
      <c r="S175" s="727"/>
    </row>
    <row r="176" s="536" customFormat="1" ht="13.2" customHeight="1" spans="1:19">
      <c r="A176" s="829"/>
      <c r="B176" s="830"/>
      <c r="C176" s="831"/>
      <c r="D176" s="832"/>
      <c r="E176" s="832"/>
      <c r="F176" s="844"/>
      <c r="G176" s="844"/>
      <c r="H176" s="845"/>
      <c r="I176" s="845"/>
      <c r="J176" s="845"/>
      <c r="K176" s="844"/>
      <c r="L176" s="844"/>
      <c r="M176" s="868"/>
      <c r="N176" s="869"/>
      <c r="O176" s="822"/>
      <c r="P176" s="620"/>
      <c r="Q176" s="652"/>
      <c r="R176" s="727"/>
      <c r="S176" s="727"/>
    </row>
    <row r="177" s="10" customFormat="1" ht="16.5" spans="1:19">
      <c r="A177" s="833" t="s">
        <v>3884</v>
      </c>
      <c r="B177" s="833"/>
      <c r="C177" s="833"/>
      <c r="D177" s="739">
        <v>10000000</v>
      </c>
      <c r="E177" s="846"/>
      <c r="F177" s="727"/>
      <c r="G177" s="727" t="s">
        <v>3885</v>
      </c>
      <c r="H177" s="804">
        <f t="shared" ref="H177:J177" si="9">H17+H97+H145</f>
        <v>10739816.40575</v>
      </c>
      <c r="I177" s="804">
        <f t="shared" si="9"/>
        <v>10739816.15745</v>
      </c>
      <c r="J177" s="804">
        <f t="shared" si="9"/>
        <v>3047527.19075</v>
      </c>
      <c r="K177" s="727"/>
      <c r="L177" s="727"/>
      <c r="M177" s="854"/>
      <c r="N177" s="854"/>
      <c r="O177" s="812"/>
      <c r="P177" s="727"/>
      <c r="Q177" s="652"/>
      <c r="R177" s="727"/>
      <c r="S177" s="727"/>
    </row>
    <row r="178" s="10" customFormat="1" ht="16.5" spans="1:19">
      <c r="A178" s="834"/>
      <c r="B178" s="834"/>
      <c r="C178" s="834"/>
      <c r="D178" s="835"/>
      <c r="E178" s="847"/>
      <c r="F178" s="848"/>
      <c r="G178" s="848" t="s">
        <v>3649</v>
      </c>
      <c r="H178" s="849">
        <f>H177/D177</f>
        <v>1.073981640575</v>
      </c>
      <c r="I178" s="849">
        <f>I177/(D177*10000)</f>
        <v>0.0001073981615745</v>
      </c>
      <c r="J178" s="849">
        <f>J177/D177</f>
        <v>0.304752719075</v>
      </c>
      <c r="K178" s="848"/>
      <c r="L178" s="848"/>
      <c r="M178" s="863"/>
      <c r="N178" s="863"/>
      <c r="O178" s="864"/>
      <c r="P178" s="848"/>
      <c r="Q178" s="848"/>
      <c r="R178" s="848"/>
      <c r="S178" s="848"/>
    </row>
    <row r="179" s="10" customFormat="1" ht="16.5" spans="1:19">
      <c r="A179" s="757" t="s">
        <v>3886</v>
      </c>
      <c r="B179" s="758"/>
      <c r="C179" s="760"/>
      <c r="D179" s="739">
        <v>30000000</v>
      </c>
      <c r="E179" s="652" t="s">
        <v>3887</v>
      </c>
      <c r="F179" s="739" t="e">
        <f>D179-#REF!-#REF!-H177</f>
        <v>#REF!</v>
      </c>
      <c r="G179" s="727" t="s">
        <v>3652</v>
      </c>
      <c r="H179" s="796" t="e">
        <f>(D179-F179)/D179</f>
        <v>#REF!</v>
      </c>
      <c r="I179" s="804"/>
      <c r="J179" s="804"/>
      <c r="K179" s="727"/>
      <c r="L179" s="727"/>
      <c r="M179" s="598"/>
      <c r="N179" s="598"/>
      <c r="O179" s="740"/>
      <c r="P179" s="715"/>
      <c r="Q179" s="716"/>
      <c r="R179" s="715"/>
      <c r="S179" s="715"/>
    </row>
    <row r="180" s="10" customFormat="1" ht="16.5" spans="1:19">
      <c r="A180" s="536"/>
      <c r="B180" s="536"/>
      <c r="C180" s="836"/>
      <c r="D180" s="837"/>
      <c r="E180" s="837"/>
      <c r="F180" s="836"/>
      <c r="G180" s="836"/>
      <c r="H180" s="850"/>
      <c r="I180" s="850"/>
      <c r="J180" s="850"/>
      <c r="K180" s="836"/>
      <c r="L180" s="836"/>
      <c r="M180" s="870"/>
      <c r="N180" s="870"/>
      <c r="O180" s="871"/>
      <c r="P180" s="836"/>
      <c r="Q180" s="837"/>
      <c r="R180" s="836"/>
      <c r="S180" s="836"/>
    </row>
    <row r="181" s="10" customFormat="1" ht="16.5" spans="1:19">
      <c r="A181" s="536"/>
      <c r="B181" s="536"/>
      <c r="C181" s="836"/>
      <c r="D181" s="837"/>
      <c r="E181" s="837"/>
      <c r="F181" s="836"/>
      <c r="G181" s="836"/>
      <c r="H181" s="850"/>
      <c r="I181" s="850"/>
      <c r="J181" s="850"/>
      <c r="K181" s="836"/>
      <c r="L181" s="836"/>
      <c r="M181" s="870"/>
      <c r="N181" s="870"/>
      <c r="O181" s="871"/>
      <c r="P181" s="836"/>
      <c r="Q181" s="837"/>
      <c r="R181" s="836"/>
      <c r="S181" s="836"/>
    </row>
    <row r="182" s="10" customFormat="1" ht="16.5" spans="1:19">
      <c r="A182" s="536"/>
      <c r="B182" s="536"/>
      <c r="C182" s="836"/>
      <c r="D182" s="837"/>
      <c r="E182" s="837"/>
      <c r="F182" s="836"/>
      <c r="G182" s="836"/>
      <c r="H182" s="850"/>
      <c r="I182" s="850"/>
      <c r="J182" s="850"/>
      <c r="K182" s="836"/>
      <c r="L182" s="836"/>
      <c r="M182" s="870"/>
      <c r="N182" s="870"/>
      <c r="O182" s="871"/>
      <c r="P182" s="836"/>
      <c r="Q182" s="837"/>
      <c r="R182" s="836"/>
      <c r="S182" s="836"/>
    </row>
    <row r="183" s="10" customFormat="1" ht="16.5" spans="1:19">
      <c r="A183" s="536"/>
      <c r="B183" s="536"/>
      <c r="C183" s="836"/>
      <c r="D183" s="837"/>
      <c r="E183" s="837"/>
      <c r="F183" s="836"/>
      <c r="G183" s="836"/>
      <c r="H183" s="850"/>
      <c r="I183" s="850"/>
      <c r="J183" s="850"/>
      <c r="K183" s="836"/>
      <c r="L183" s="836"/>
      <c r="M183" s="870"/>
      <c r="N183" s="870"/>
      <c r="O183" s="871"/>
      <c r="P183" s="836"/>
      <c r="Q183" s="837"/>
      <c r="R183" s="836"/>
      <c r="S183" s="836"/>
    </row>
    <row r="184" s="10" customFormat="1" ht="16.5" spans="1:19">
      <c r="A184" s="536"/>
      <c r="B184" s="536"/>
      <c r="C184" s="836"/>
      <c r="D184" s="837"/>
      <c r="E184" s="837"/>
      <c r="F184" s="836"/>
      <c r="G184" s="836"/>
      <c r="H184" s="880"/>
      <c r="I184" s="880"/>
      <c r="J184" s="880"/>
      <c r="K184" s="836"/>
      <c r="L184" s="836"/>
      <c r="M184" s="870"/>
      <c r="N184" s="870"/>
      <c r="O184" s="871"/>
      <c r="P184" s="836"/>
      <c r="Q184" s="837"/>
      <c r="R184" s="836"/>
      <c r="S184" s="836"/>
    </row>
    <row r="185" s="10" customFormat="1" ht="16.5" spans="1:19">
      <c r="A185" s="875" t="s">
        <v>1814</v>
      </c>
      <c r="B185" s="875"/>
      <c r="C185" s="875"/>
      <c r="D185" s="875"/>
      <c r="E185" s="875"/>
      <c r="F185" s="881"/>
      <c r="G185" s="882"/>
      <c r="H185" s="850"/>
      <c r="I185" s="850"/>
      <c r="J185" s="892"/>
      <c r="K185" s="836"/>
      <c r="L185" s="836"/>
      <c r="M185" s="870"/>
      <c r="N185" s="870"/>
      <c r="O185" s="871"/>
      <c r="P185" s="894"/>
      <c r="Q185" s="837"/>
      <c r="R185" s="836"/>
      <c r="S185" s="836"/>
    </row>
    <row r="186" s="10" customFormat="1" ht="16.5" spans="1:19">
      <c r="A186" s="875" t="s">
        <v>2045</v>
      </c>
      <c r="B186" s="875"/>
      <c r="C186" s="875"/>
      <c r="D186" s="875"/>
      <c r="E186" s="875"/>
      <c r="F186" s="875"/>
      <c r="G186" s="882"/>
      <c r="H186" s="883"/>
      <c r="J186" s="328"/>
      <c r="K186" s="836"/>
      <c r="L186" s="836"/>
      <c r="M186" s="870"/>
      <c r="N186" s="870"/>
      <c r="O186" s="871"/>
      <c r="P186" s="894"/>
      <c r="Q186" s="837"/>
      <c r="R186" s="836"/>
      <c r="S186" s="836"/>
    </row>
    <row r="187" s="10" customFormat="1" ht="16.5" spans="1:19">
      <c r="A187" s="875" t="s">
        <v>2046</v>
      </c>
      <c r="B187" s="875"/>
      <c r="C187" s="875"/>
      <c r="D187" s="875"/>
      <c r="E187" s="875"/>
      <c r="F187" s="875"/>
      <c r="G187" s="882"/>
      <c r="H187" s="850"/>
      <c r="I187" s="850"/>
      <c r="J187" s="328"/>
      <c r="K187" s="892"/>
      <c r="L187" s="836"/>
      <c r="M187" s="870"/>
      <c r="N187" s="870"/>
      <c r="O187" s="871"/>
      <c r="P187" s="894"/>
      <c r="Q187" s="837"/>
      <c r="R187" s="836"/>
      <c r="S187" s="836"/>
    </row>
    <row r="188" s="10" customFormat="1" ht="16.5" spans="1:19">
      <c r="A188" s="875" t="s">
        <v>2047</v>
      </c>
      <c r="B188" s="875"/>
      <c r="C188" s="875"/>
      <c r="D188" s="875"/>
      <c r="E188" s="875"/>
      <c r="F188" s="875"/>
      <c r="G188" s="884"/>
      <c r="H188" s="850"/>
      <c r="I188" s="850"/>
      <c r="J188" s="892"/>
      <c r="K188" s="836"/>
      <c r="L188" s="836"/>
      <c r="M188" s="870"/>
      <c r="N188" s="870"/>
      <c r="O188" s="871"/>
      <c r="P188" s="894"/>
      <c r="Q188" s="837"/>
      <c r="R188" s="836"/>
      <c r="S188" s="836"/>
    </row>
    <row r="189" s="10" customFormat="1" ht="16.5" spans="1:19">
      <c r="A189" s="875"/>
      <c r="B189" s="875"/>
      <c r="C189" s="875"/>
      <c r="D189" s="875"/>
      <c r="E189" s="875"/>
      <c r="F189" s="875"/>
      <c r="G189" s="885"/>
      <c r="H189" s="850"/>
      <c r="I189" s="850"/>
      <c r="J189" s="892"/>
      <c r="K189" s="836"/>
      <c r="L189" s="836"/>
      <c r="M189" s="870"/>
      <c r="N189" s="870"/>
      <c r="O189" s="871"/>
      <c r="P189" s="894"/>
      <c r="Q189" s="837"/>
      <c r="R189" s="836"/>
      <c r="S189" s="836"/>
    </row>
    <row r="190" s="10" customFormat="1" ht="16.5" spans="1:19">
      <c r="A190" s="875"/>
      <c r="B190" s="875"/>
      <c r="C190" s="876"/>
      <c r="D190" s="876"/>
      <c r="E190" s="876"/>
      <c r="F190" s="876"/>
      <c r="G190" s="886"/>
      <c r="H190" s="850"/>
      <c r="I190" s="850"/>
      <c r="J190" s="328"/>
      <c r="K190" s="893"/>
      <c r="L190" s="893"/>
      <c r="M190" s="870"/>
      <c r="N190" s="870"/>
      <c r="O190" s="895"/>
      <c r="P190" s="894"/>
      <c r="Q190" s="837"/>
      <c r="R190" s="893"/>
      <c r="S190" s="893"/>
    </row>
    <row r="191" ht="16.5" spans="1:19">
      <c r="A191" s="875"/>
      <c r="B191" s="875"/>
      <c r="C191" s="876"/>
      <c r="D191" s="876"/>
      <c r="E191" s="876"/>
      <c r="F191" s="876"/>
      <c r="G191" s="886"/>
      <c r="H191" s="850"/>
      <c r="I191" s="850"/>
      <c r="J191" s="328"/>
      <c r="K191" s="877"/>
      <c r="L191" s="877"/>
      <c r="M191" s="896"/>
      <c r="N191" s="896"/>
      <c r="O191" s="897"/>
      <c r="P191" s="876"/>
      <c r="Q191" s="878"/>
      <c r="R191" s="877"/>
      <c r="S191" s="877"/>
    </row>
    <row r="192" ht="16.5" spans="1:19">
      <c r="A192" s="417"/>
      <c r="B192" s="417"/>
      <c r="C192" s="877"/>
      <c r="D192" s="878"/>
      <c r="E192" s="878"/>
      <c r="F192" s="877"/>
      <c r="G192" s="887"/>
      <c r="H192" s="850"/>
      <c r="J192" s="850"/>
      <c r="K192" s="877"/>
      <c r="L192" s="877"/>
      <c r="M192" s="896"/>
      <c r="N192" s="896"/>
      <c r="O192" s="897"/>
      <c r="P192" s="877"/>
      <c r="Q192" s="878"/>
      <c r="R192" s="877"/>
      <c r="S192" s="877"/>
    </row>
    <row r="193" ht="16.5" spans="1:19">
      <c r="A193" s="417"/>
      <c r="B193" s="417"/>
      <c r="C193" s="417"/>
      <c r="D193" s="879"/>
      <c r="E193" s="879"/>
      <c r="F193" s="417"/>
      <c r="G193" s="888"/>
      <c r="H193" s="880"/>
      <c r="I193" s="880"/>
      <c r="J193" s="880"/>
      <c r="K193" s="417"/>
      <c r="L193" s="417"/>
      <c r="M193" s="898"/>
      <c r="N193" s="898"/>
      <c r="O193" s="899"/>
      <c r="P193" s="417"/>
      <c r="Q193" s="900"/>
      <c r="R193" s="417"/>
      <c r="S193" s="417"/>
    </row>
    <row r="194" spans="7:7">
      <c r="G194" s="12"/>
    </row>
    <row r="195" spans="12:12">
      <c r="L195" s="265"/>
    </row>
    <row r="196" ht="20.85" customHeight="1" spans="5:8">
      <c r="E196" s="881"/>
      <c r="F196" s="881"/>
      <c r="G196" s="889"/>
      <c r="H196" s="889"/>
    </row>
    <row r="197" s="417" customFormat="1" ht="30.85" customHeight="1" spans="5:17">
      <c r="E197" s="890"/>
      <c r="F197" s="890"/>
      <c r="G197" s="891"/>
      <c r="H197" s="891"/>
      <c r="O197" s="899"/>
      <c r="Q197" s="901"/>
    </row>
  </sheetData>
  <sheetProtection formatCells="0" insertHyperlinks="0" autoFilter="0"/>
  <mergeCells count="83">
    <mergeCell ref="A1:R1"/>
    <mergeCell ref="I20:J20"/>
    <mergeCell ref="M20:N20"/>
    <mergeCell ref="C31:G31"/>
    <mergeCell ref="C78:G78"/>
    <mergeCell ref="I100:J100"/>
    <mergeCell ref="M100:N100"/>
    <mergeCell ref="C109:G109"/>
    <mergeCell ref="C132:G132"/>
    <mergeCell ref="M148:N148"/>
    <mergeCell ref="C160:G160"/>
    <mergeCell ref="C175:G175"/>
    <mergeCell ref="A179:C179"/>
    <mergeCell ref="A3:A78"/>
    <mergeCell ref="A80:A132"/>
    <mergeCell ref="A134:A175"/>
    <mergeCell ref="B3:B19"/>
    <mergeCell ref="B21:B31"/>
    <mergeCell ref="B32:B78"/>
    <mergeCell ref="B80:B99"/>
    <mergeCell ref="B101:B109"/>
    <mergeCell ref="B110:B132"/>
    <mergeCell ref="B134:B146"/>
    <mergeCell ref="B149:B160"/>
    <mergeCell ref="B161:B175"/>
    <mergeCell ref="C3:C4"/>
    <mergeCell ref="C5:C8"/>
    <mergeCell ref="C9:C13"/>
    <mergeCell ref="C14:C16"/>
    <mergeCell ref="C17:C18"/>
    <mergeCell ref="C21:C23"/>
    <mergeCell ref="C24:C26"/>
    <mergeCell ref="C29:C30"/>
    <mergeCell ref="C32:C39"/>
    <mergeCell ref="C40:C54"/>
    <mergeCell ref="C55:C69"/>
    <mergeCell ref="C70:C71"/>
    <mergeCell ref="C72:C76"/>
    <mergeCell ref="C80:C81"/>
    <mergeCell ref="C82:C90"/>
    <mergeCell ref="C91:C95"/>
    <mergeCell ref="C97:C98"/>
    <mergeCell ref="C102:C106"/>
    <mergeCell ref="C110:C112"/>
    <mergeCell ref="C116:C124"/>
    <mergeCell ref="C125:C129"/>
    <mergeCell ref="C130:C131"/>
    <mergeCell ref="C134:C138"/>
    <mergeCell ref="C139:C141"/>
    <mergeCell ref="C142:C144"/>
    <mergeCell ref="C145:C146"/>
    <mergeCell ref="C149:C151"/>
    <mergeCell ref="C152:C155"/>
    <mergeCell ref="C156:C159"/>
    <mergeCell ref="C161:C162"/>
    <mergeCell ref="C163:C168"/>
    <mergeCell ref="C169:C174"/>
    <mergeCell ref="D3:D4"/>
    <mergeCell ref="D5:D8"/>
    <mergeCell ref="D9:D13"/>
    <mergeCell ref="D14:D16"/>
    <mergeCell ref="D17:D18"/>
    <mergeCell ref="D21:D30"/>
    <mergeCell ref="D32:D71"/>
    <mergeCell ref="D80:D81"/>
    <mergeCell ref="D82:D90"/>
    <mergeCell ref="D91:D95"/>
    <mergeCell ref="D97:D98"/>
    <mergeCell ref="D101:D108"/>
    <mergeCell ref="D110:D131"/>
    <mergeCell ref="D134:D138"/>
    <mergeCell ref="D139:D141"/>
    <mergeCell ref="D142:D144"/>
    <mergeCell ref="D145:D146"/>
    <mergeCell ref="D149:D159"/>
    <mergeCell ref="D161:D174"/>
    <mergeCell ref="D177:D178"/>
    <mergeCell ref="E93:E94"/>
    <mergeCell ref="E104:E105"/>
    <mergeCell ref="E110:E113"/>
    <mergeCell ref="L110:L112"/>
    <mergeCell ref="O110:O112"/>
    <mergeCell ref="A177:C178"/>
  </mergeCells>
  <pageMargins left="0.75" right="0.75" top="1" bottom="1" header="0.5" footer="0.5"/>
  <headerFooter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5"/>
  <dimension ref="A1:T239"/>
  <sheetViews>
    <sheetView workbookViewId="0">
      <pane xSplit="7" ySplit="2" topLeftCell="H107" activePane="bottomRight" state="frozen"/>
      <selection/>
      <selection pane="topRight"/>
      <selection pane="bottomLeft"/>
      <selection pane="bottomRight" activeCell="H107" sqref="H107"/>
    </sheetView>
  </sheetViews>
  <sheetFormatPr defaultColWidth="9" defaultRowHeight="13.5"/>
  <cols>
    <col min="1" max="1" width="5.3" customWidth="1"/>
    <col min="2" max="2" width="10.4416666666667" customWidth="1"/>
    <col min="3" max="3" width="10" customWidth="1"/>
    <col min="4" max="4" width="13.625" customWidth="1"/>
    <col min="5" max="5" width="23.6083333333333" customWidth="1"/>
    <col min="6" max="10" width="15.375" customWidth="1"/>
    <col min="11" max="11" width="8.125" customWidth="1"/>
    <col min="12" max="14" width="8.875" customWidth="1"/>
    <col min="15" max="15" width="89.7166666666667" style="14" customWidth="1"/>
    <col min="16" max="16" width="21.0666666666667" customWidth="1"/>
    <col min="17" max="17" width="9" style="510"/>
    <col min="18" max="18" width="13.125"/>
    <col min="19" max="19" width="44.5666666666667" customWidth="1"/>
    <col min="20" max="20" width="12.5"/>
  </cols>
  <sheetData>
    <row r="1" s="10" customFormat="1" ht="33.2" customHeight="1" spans="1:19">
      <c r="A1" s="28" t="s">
        <v>3888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420"/>
      <c r="N1" s="420"/>
      <c r="O1" s="421"/>
      <c r="P1" s="28"/>
      <c r="Q1" s="28"/>
      <c r="R1" s="28"/>
      <c r="S1" s="651"/>
    </row>
    <row r="2" s="10" customFormat="1" ht="21.75" customHeight="1" spans="1:19">
      <c r="A2" s="537" t="s">
        <v>1092</v>
      </c>
      <c r="B2" s="537" t="s">
        <v>1820</v>
      </c>
      <c r="C2" s="538" t="s">
        <v>1946</v>
      </c>
      <c r="D2" s="539" t="s">
        <v>3619</v>
      </c>
      <c r="E2" s="539" t="s">
        <v>1822</v>
      </c>
      <c r="F2" s="558" t="s">
        <v>1095</v>
      </c>
      <c r="G2" s="559" t="s">
        <v>362</v>
      </c>
      <c r="H2" s="560" t="s">
        <v>1716</v>
      </c>
      <c r="I2" s="560" t="s">
        <v>1717</v>
      </c>
      <c r="J2" s="560" t="s">
        <v>1718</v>
      </c>
      <c r="K2" s="594" t="s">
        <v>1096</v>
      </c>
      <c r="L2" s="595" t="s">
        <v>1098</v>
      </c>
      <c r="M2" s="619" t="s">
        <v>3620</v>
      </c>
      <c r="N2" s="619" t="s">
        <v>1214</v>
      </c>
      <c r="O2" s="620" t="s">
        <v>3621</v>
      </c>
      <c r="P2" s="621" t="s">
        <v>7</v>
      </c>
      <c r="Q2" s="652" t="s">
        <v>8</v>
      </c>
      <c r="R2" s="653" t="s">
        <v>9</v>
      </c>
      <c r="S2" s="654" t="s">
        <v>1291</v>
      </c>
    </row>
    <row r="3" s="10" customFormat="1" ht="16.5" spans="1:19">
      <c r="A3" s="540" t="s">
        <v>1823</v>
      </c>
      <c r="B3" s="541" t="s">
        <v>3282</v>
      </c>
      <c r="C3" s="542" t="s">
        <v>1825</v>
      </c>
      <c r="D3" s="543">
        <v>75</v>
      </c>
      <c r="E3" s="250" t="s">
        <v>161</v>
      </c>
      <c r="F3" s="561" t="s">
        <v>3889</v>
      </c>
      <c r="G3" s="562">
        <v>24271.5</v>
      </c>
      <c r="H3" s="563">
        <f>G3*K3</f>
        <v>172177.1667</v>
      </c>
      <c r="I3" s="596">
        <v>172177</v>
      </c>
      <c r="J3" s="596"/>
      <c r="K3" s="597">
        <v>7.0938</v>
      </c>
      <c r="L3" s="598">
        <v>45392</v>
      </c>
      <c r="M3" s="598">
        <v>45408</v>
      </c>
      <c r="N3" s="598">
        <v>45419</v>
      </c>
      <c r="O3" s="622" t="s">
        <v>3890</v>
      </c>
      <c r="P3" s="623" t="s">
        <v>2175</v>
      </c>
      <c r="Q3" s="655" t="s">
        <v>1671</v>
      </c>
      <c r="R3" s="656"/>
      <c r="S3" s="657"/>
    </row>
    <row r="4" s="10" customFormat="1" ht="16.5" spans="1:19">
      <c r="A4" s="540"/>
      <c r="B4" s="541"/>
      <c r="C4" s="544"/>
      <c r="D4" s="545"/>
      <c r="E4" s="250" t="s">
        <v>161</v>
      </c>
      <c r="F4" s="561" t="s">
        <v>3891</v>
      </c>
      <c r="G4" s="562">
        <v>11032.5</v>
      </c>
      <c r="H4" s="563">
        <f>G4*K4</f>
        <v>78262.3485</v>
      </c>
      <c r="I4" s="596">
        <v>78262</v>
      </c>
      <c r="J4" s="596"/>
      <c r="K4" s="597">
        <v>7.0938</v>
      </c>
      <c r="L4" s="598">
        <v>45392</v>
      </c>
      <c r="M4" s="598">
        <v>45404</v>
      </c>
      <c r="N4" s="610" t="s">
        <v>3892</v>
      </c>
      <c r="O4" s="622" t="s">
        <v>3893</v>
      </c>
      <c r="P4" s="623"/>
      <c r="Q4" s="655"/>
      <c r="R4" s="656"/>
      <c r="S4" s="657"/>
    </row>
    <row r="5" s="10" customFormat="1" ht="16.5" spans="1:19">
      <c r="A5" s="540"/>
      <c r="B5" s="541"/>
      <c r="C5" s="544"/>
      <c r="D5" s="545"/>
      <c r="E5" s="564" t="s">
        <v>157</v>
      </c>
      <c r="F5" s="564" t="s">
        <v>3501</v>
      </c>
      <c r="G5" s="562">
        <v>42815</v>
      </c>
      <c r="H5" s="563">
        <f>G5*K5</f>
        <v>303721.047</v>
      </c>
      <c r="I5" s="596">
        <v>303721</v>
      </c>
      <c r="J5" s="599">
        <v>322932</v>
      </c>
      <c r="K5" s="597">
        <v>7.0938</v>
      </c>
      <c r="L5" s="598">
        <v>45392</v>
      </c>
      <c r="M5" s="598">
        <v>45392</v>
      </c>
      <c r="N5" s="598">
        <v>45396</v>
      </c>
      <c r="O5" s="624" t="s">
        <v>3894</v>
      </c>
      <c r="P5" s="623" t="s">
        <v>401</v>
      </c>
      <c r="Q5" s="655" t="s">
        <v>1671</v>
      </c>
      <c r="R5" s="656"/>
      <c r="S5" s="657"/>
    </row>
    <row r="6" s="10" customFormat="1" ht="16.5" spans="1:19">
      <c r="A6" s="540"/>
      <c r="B6" s="541"/>
      <c r="C6" s="544"/>
      <c r="D6" s="545"/>
      <c r="E6" s="250" t="s">
        <v>3622</v>
      </c>
      <c r="F6" s="565" t="s">
        <v>3895</v>
      </c>
      <c r="G6" s="562">
        <v>31000</v>
      </c>
      <c r="H6" s="563">
        <f>G6*K6</f>
        <v>219907.8</v>
      </c>
      <c r="I6" s="596">
        <v>219908</v>
      </c>
      <c r="J6" s="599">
        <v>194608</v>
      </c>
      <c r="K6" s="597">
        <v>7.0938</v>
      </c>
      <c r="L6" s="250" t="s">
        <v>1218</v>
      </c>
      <c r="M6" s="610" t="s">
        <v>2219</v>
      </c>
      <c r="N6" s="610" t="s">
        <v>2219</v>
      </c>
      <c r="O6" s="624" t="s">
        <v>3896</v>
      </c>
      <c r="P6" s="623"/>
      <c r="Q6" s="655"/>
      <c r="R6" s="656"/>
      <c r="S6" s="657"/>
    </row>
    <row r="7" s="10" customFormat="1" ht="15.5" customHeight="1" spans="1:19">
      <c r="A7" s="540"/>
      <c r="B7" s="541"/>
      <c r="C7" s="542" t="s">
        <v>224</v>
      </c>
      <c r="D7" s="543">
        <v>142</v>
      </c>
      <c r="E7" s="561" t="s">
        <v>3897</v>
      </c>
      <c r="F7" s="566" t="s">
        <v>3898</v>
      </c>
      <c r="G7" s="562">
        <v>33216</v>
      </c>
      <c r="H7" s="567">
        <f t="shared" ref="H7:H13" si="0">G7*K7</f>
        <v>235627.6608</v>
      </c>
      <c r="I7" s="600">
        <v>235627.6608</v>
      </c>
      <c r="J7" s="601">
        <v>235627.6608</v>
      </c>
      <c r="K7" s="597">
        <v>7.0938</v>
      </c>
      <c r="L7" s="244" t="s">
        <v>1218</v>
      </c>
      <c r="M7" s="625">
        <v>45407</v>
      </c>
      <c r="N7" s="625">
        <v>45411</v>
      </c>
      <c r="O7" s="626" t="s">
        <v>3899</v>
      </c>
      <c r="P7" s="627" t="s">
        <v>3900</v>
      </c>
      <c r="Q7" s="655" t="s">
        <v>1671</v>
      </c>
      <c r="R7" s="658"/>
      <c r="S7" s="628"/>
    </row>
    <row r="8" s="10" customFormat="1" ht="15.5" customHeight="1" spans="1:19">
      <c r="A8" s="540"/>
      <c r="B8" s="541"/>
      <c r="C8" s="544"/>
      <c r="D8" s="545"/>
      <c r="E8" s="561" t="s">
        <v>3682</v>
      </c>
      <c r="F8" s="566" t="s">
        <v>3901</v>
      </c>
      <c r="G8" s="562">
        <v>119942</v>
      </c>
      <c r="H8" s="567">
        <f t="shared" si="0"/>
        <v>850844.5596</v>
      </c>
      <c r="I8" s="600">
        <v>850845</v>
      </c>
      <c r="J8" s="570"/>
      <c r="K8" s="597">
        <v>7.0938</v>
      </c>
      <c r="L8" s="598">
        <v>45409</v>
      </c>
      <c r="M8" s="625">
        <v>45410</v>
      </c>
      <c r="N8" s="625">
        <v>45418</v>
      </c>
      <c r="O8" s="628" t="s">
        <v>3902</v>
      </c>
      <c r="P8" s="629"/>
      <c r="Q8" s="655" t="s">
        <v>3903</v>
      </c>
      <c r="R8" s="659"/>
      <c r="S8" s="660"/>
    </row>
    <row r="9" s="10" customFormat="1" ht="15.5" customHeight="1" spans="1:19">
      <c r="A9" s="540"/>
      <c r="B9" s="541"/>
      <c r="C9" s="544"/>
      <c r="D9" s="545"/>
      <c r="E9" s="561" t="s">
        <v>3682</v>
      </c>
      <c r="F9" s="566" t="s">
        <v>3904</v>
      </c>
      <c r="G9" s="562">
        <v>119942</v>
      </c>
      <c r="H9" s="567">
        <f t="shared" si="0"/>
        <v>850844.5596</v>
      </c>
      <c r="I9" s="600">
        <v>850845</v>
      </c>
      <c r="J9" s="570"/>
      <c r="K9" s="597">
        <v>7.0938</v>
      </c>
      <c r="L9" s="598">
        <v>45410</v>
      </c>
      <c r="M9" s="625">
        <v>45411</v>
      </c>
      <c r="N9" s="625">
        <v>45418</v>
      </c>
      <c r="O9" s="628" t="s">
        <v>3905</v>
      </c>
      <c r="P9" s="629"/>
      <c r="Q9" s="655" t="s">
        <v>3903</v>
      </c>
      <c r="R9" s="659"/>
      <c r="S9" s="660"/>
    </row>
    <row r="10" s="10" customFormat="1" ht="15.5" customHeight="1" spans="1:19">
      <c r="A10" s="540"/>
      <c r="B10" s="541"/>
      <c r="C10" s="544"/>
      <c r="D10" s="545"/>
      <c r="E10" s="561" t="s">
        <v>3682</v>
      </c>
      <c r="F10" s="566" t="s">
        <v>3906</v>
      </c>
      <c r="G10" s="562">
        <v>119942</v>
      </c>
      <c r="H10" s="567">
        <f t="shared" si="0"/>
        <v>850844.5596</v>
      </c>
      <c r="I10" s="600">
        <v>850845</v>
      </c>
      <c r="J10" s="570"/>
      <c r="K10" s="597">
        <v>7.0938</v>
      </c>
      <c r="L10" s="598">
        <v>45411</v>
      </c>
      <c r="M10" s="625">
        <v>45411</v>
      </c>
      <c r="N10" s="625">
        <v>45418</v>
      </c>
      <c r="O10" s="628" t="s">
        <v>3905</v>
      </c>
      <c r="P10" s="630" t="s">
        <v>3907</v>
      </c>
      <c r="Q10" s="655"/>
      <c r="R10" s="659"/>
      <c r="S10" s="660"/>
    </row>
    <row r="11" s="10" customFormat="1" ht="15.5" customHeight="1" spans="1:19">
      <c r="A11" s="540"/>
      <c r="B11" s="541"/>
      <c r="C11" s="544"/>
      <c r="D11" s="545"/>
      <c r="E11" s="561" t="s">
        <v>1904</v>
      </c>
      <c r="F11" s="568" t="s">
        <v>3908</v>
      </c>
      <c r="G11" s="562">
        <v>74795</v>
      </c>
      <c r="H11" s="567">
        <f t="shared" si="0"/>
        <v>530580.771</v>
      </c>
      <c r="I11" s="567">
        <f>H11</f>
        <v>530580.771</v>
      </c>
      <c r="J11" s="602"/>
      <c r="K11" s="597">
        <v>7.0938</v>
      </c>
      <c r="L11" s="598">
        <v>45412</v>
      </c>
      <c r="M11" s="631">
        <v>45412</v>
      </c>
      <c r="N11" s="631">
        <v>45417</v>
      </c>
      <c r="O11" s="628" t="s">
        <v>3909</v>
      </c>
      <c r="P11" s="630" t="s">
        <v>3910</v>
      </c>
      <c r="Q11" s="655" t="s">
        <v>2131</v>
      </c>
      <c r="R11" s="659"/>
      <c r="S11" s="660"/>
    </row>
    <row r="12" s="10" customFormat="1" ht="15.5" customHeight="1" spans="1:19">
      <c r="A12" s="540"/>
      <c r="B12" s="541"/>
      <c r="C12" s="544"/>
      <c r="D12" s="545"/>
      <c r="E12" s="561" t="s">
        <v>335</v>
      </c>
      <c r="F12" s="568" t="s">
        <v>3911</v>
      </c>
      <c r="G12" s="562">
        <v>40180</v>
      </c>
      <c r="H12" s="567">
        <f t="shared" si="0"/>
        <v>285028.884</v>
      </c>
      <c r="I12" s="603">
        <v>285028.884</v>
      </c>
      <c r="J12" s="601">
        <v>285029</v>
      </c>
      <c r="K12" s="597">
        <v>7.0938</v>
      </c>
      <c r="L12" s="244" t="s">
        <v>1218</v>
      </c>
      <c r="M12" s="598">
        <v>45407</v>
      </c>
      <c r="N12" s="598">
        <v>45411</v>
      </c>
      <c r="O12" s="628" t="s">
        <v>3912</v>
      </c>
      <c r="P12" s="632" t="s">
        <v>3913</v>
      </c>
      <c r="Q12" s="655" t="s">
        <v>1671</v>
      </c>
      <c r="R12" s="659"/>
      <c r="S12" s="660"/>
    </row>
    <row r="13" s="10" customFormat="1" ht="15.5" customHeight="1" spans="1:19">
      <c r="A13" s="540"/>
      <c r="B13" s="541"/>
      <c r="C13" s="544"/>
      <c r="D13" s="545"/>
      <c r="E13" s="561" t="s">
        <v>1904</v>
      </c>
      <c r="F13" s="568" t="s">
        <v>3631</v>
      </c>
      <c r="G13" s="562"/>
      <c r="H13" s="569"/>
      <c r="I13" s="567"/>
      <c r="J13" s="604">
        <v>2013400</v>
      </c>
      <c r="K13" s="597">
        <v>7.1059</v>
      </c>
      <c r="L13" s="244" t="s">
        <v>1218</v>
      </c>
      <c r="M13" s="633">
        <v>45374</v>
      </c>
      <c r="N13" s="625">
        <v>45388</v>
      </c>
      <c r="O13" s="622" t="s">
        <v>3629</v>
      </c>
      <c r="P13" s="632"/>
      <c r="Q13" s="661"/>
      <c r="R13" s="659"/>
      <c r="S13" s="660"/>
    </row>
    <row r="14" s="10" customFormat="1" ht="15.5" customHeight="1" spans="1:19">
      <c r="A14" s="540"/>
      <c r="B14" s="541"/>
      <c r="C14" s="544"/>
      <c r="D14" s="545"/>
      <c r="E14" s="561" t="s">
        <v>1904</v>
      </c>
      <c r="F14" s="568" t="s">
        <v>3635</v>
      </c>
      <c r="G14" s="570"/>
      <c r="H14" s="259"/>
      <c r="I14" s="259"/>
      <c r="J14" s="601">
        <v>622178</v>
      </c>
      <c r="K14" s="597">
        <v>7.1059</v>
      </c>
      <c r="L14" s="244" t="s">
        <v>1218</v>
      </c>
      <c r="M14" s="625">
        <v>45381</v>
      </c>
      <c r="N14" s="625">
        <v>45388</v>
      </c>
      <c r="O14" s="626" t="s">
        <v>3914</v>
      </c>
      <c r="P14" s="634" t="s">
        <v>3632</v>
      </c>
      <c r="R14" s="570"/>
      <c r="S14" s="662"/>
    </row>
    <row r="15" s="10" customFormat="1" ht="15.5" customHeight="1" spans="1:19">
      <c r="A15" s="540"/>
      <c r="B15" s="541"/>
      <c r="C15" s="544"/>
      <c r="D15" s="545"/>
      <c r="E15" s="250" t="s">
        <v>849</v>
      </c>
      <c r="F15" s="571" t="s">
        <v>3637</v>
      </c>
      <c r="G15" s="259"/>
      <c r="H15" s="259"/>
      <c r="I15" s="259"/>
      <c r="J15" s="604">
        <v>310812</v>
      </c>
      <c r="K15" s="597">
        <v>7.1059</v>
      </c>
      <c r="L15" s="244" t="s">
        <v>1218</v>
      </c>
      <c r="M15" s="625">
        <v>45378</v>
      </c>
      <c r="N15" s="625">
        <v>45383</v>
      </c>
      <c r="O15" s="626" t="s">
        <v>3914</v>
      </c>
      <c r="P15" s="634" t="s">
        <v>3639</v>
      </c>
      <c r="R15" s="570"/>
      <c r="S15" s="662"/>
    </row>
    <row r="16" s="10" customFormat="1" ht="15.5" customHeight="1" spans="1:19">
      <c r="A16" s="540"/>
      <c r="B16" s="541"/>
      <c r="C16" s="542" t="s">
        <v>2361</v>
      </c>
      <c r="D16" s="543">
        <v>98</v>
      </c>
      <c r="E16" s="250" t="s">
        <v>201</v>
      </c>
      <c r="F16" s="568" t="s">
        <v>3662</v>
      </c>
      <c r="G16" s="562">
        <v>47926</v>
      </c>
      <c r="H16" s="567">
        <f>G16*K16</f>
        <v>339977.4588</v>
      </c>
      <c r="I16" s="567">
        <v>339977.4588</v>
      </c>
      <c r="J16" s="567"/>
      <c r="K16" s="597">
        <v>7.0938</v>
      </c>
      <c r="L16" s="598">
        <v>45391</v>
      </c>
      <c r="M16" s="625">
        <v>45400</v>
      </c>
      <c r="N16" s="625">
        <v>45407</v>
      </c>
      <c r="O16" s="626" t="s">
        <v>3915</v>
      </c>
      <c r="P16" s="635" t="s">
        <v>3664</v>
      </c>
      <c r="Q16" s="663"/>
      <c r="R16" s="656"/>
      <c r="S16" s="602"/>
    </row>
    <row r="17" s="10" customFormat="1" ht="15.5" customHeight="1" spans="1:19">
      <c r="A17" s="540"/>
      <c r="B17" s="541"/>
      <c r="C17" s="544"/>
      <c r="D17" s="545"/>
      <c r="E17" s="250" t="s">
        <v>368</v>
      </c>
      <c r="F17" s="244" t="s">
        <v>3711</v>
      </c>
      <c r="G17" s="562">
        <v>29017</v>
      </c>
      <c r="H17" s="567">
        <f>G17*K17</f>
        <v>205840.7946</v>
      </c>
      <c r="I17" s="567">
        <v>205840.7946</v>
      </c>
      <c r="J17" s="570"/>
      <c r="K17" s="597">
        <v>7.0938</v>
      </c>
      <c r="L17" s="244" t="s">
        <v>1218</v>
      </c>
      <c r="M17" s="625">
        <v>45408</v>
      </c>
      <c r="N17" s="625">
        <v>45416</v>
      </c>
      <c r="O17" s="628" t="s">
        <v>3916</v>
      </c>
      <c r="P17" s="635"/>
      <c r="Q17" s="663"/>
      <c r="R17" s="656"/>
      <c r="S17" s="602"/>
    </row>
    <row r="18" s="10" customFormat="1" ht="15.5" customHeight="1" spans="1:19">
      <c r="A18" s="540"/>
      <c r="B18" s="541"/>
      <c r="C18" s="544"/>
      <c r="D18" s="545"/>
      <c r="E18" s="572" t="s">
        <v>145</v>
      </c>
      <c r="F18" s="244" t="s">
        <v>3917</v>
      </c>
      <c r="G18" s="573">
        <v>26180</v>
      </c>
      <c r="H18" s="567">
        <f>G18*K18</f>
        <v>185715.684</v>
      </c>
      <c r="I18" s="567">
        <v>185715.684</v>
      </c>
      <c r="J18" s="570"/>
      <c r="K18" s="597">
        <v>7.0938</v>
      </c>
      <c r="L18" s="244" t="s">
        <v>1218</v>
      </c>
      <c r="M18" s="625">
        <v>45410</v>
      </c>
      <c r="N18" s="625">
        <v>45414</v>
      </c>
      <c r="O18" s="626" t="s">
        <v>3918</v>
      </c>
      <c r="P18" s="635" t="s">
        <v>3919</v>
      </c>
      <c r="Q18" s="655" t="s">
        <v>1656</v>
      </c>
      <c r="R18" s="656"/>
      <c r="S18" s="602"/>
    </row>
    <row r="19" s="10" customFormat="1" ht="15.5" customHeight="1" spans="1:19">
      <c r="A19" s="540"/>
      <c r="B19" s="541"/>
      <c r="C19" s="544"/>
      <c r="D19" s="545"/>
      <c r="E19" s="574" t="s">
        <v>368</v>
      </c>
      <c r="F19" s="575" t="s">
        <v>3711</v>
      </c>
      <c r="G19" s="573"/>
      <c r="H19" s="567"/>
      <c r="I19" s="592"/>
      <c r="J19" s="601">
        <v>205840.76</v>
      </c>
      <c r="K19" s="597">
        <v>7.0994</v>
      </c>
      <c r="L19" s="598" t="s">
        <v>1218</v>
      </c>
      <c r="M19" s="633">
        <v>45408</v>
      </c>
      <c r="N19" s="636">
        <v>45411</v>
      </c>
      <c r="O19" s="637" t="s">
        <v>3920</v>
      </c>
      <c r="P19" s="635"/>
      <c r="Q19" s="655"/>
      <c r="R19" s="656"/>
      <c r="S19" s="602"/>
    </row>
    <row r="20" s="10" customFormat="1" ht="15.5" customHeight="1" spans="1:19">
      <c r="A20" s="540"/>
      <c r="B20" s="541"/>
      <c r="C20" s="544"/>
      <c r="D20" s="545"/>
      <c r="E20" s="564" t="s">
        <v>2383</v>
      </c>
      <c r="F20" s="564" t="s">
        <v>3640</v>
      </c>
      <c r="G20" s="576"/>
      <c r="H20" s="577"/>
      <c r="I20" s="605"/>
      <c r="J20" s="601">
        <v>410007.45</v>
      </c>
      <c r="K20" s="597">
        <v>7.0938</v>
      </c>
      <c r="L20" s="606">
        <v>45379</v>
      </c>
      <c r="M20" s="633">
        <v>45379</v>
      </c>
      <c r="N20" s="638">
        <v>45386</v>
      </c>
      <c r="O20" s="639" t="s">
        <v>2719</v>
      </c>
      <c r="P20" s="640"/>
      <c r="Q20" s="655"/>
      <c r="R20" s="591"/>
      <c r="S20" s="577"/>
    </row>
    <row r="21" s="10" customFormat="1" ht="15.5" customHeight="1" spans="1:19">
      <c r="A21" s="540"/>
      <c r="B21" s="541"/>
      <c r="C21" s="544"/>
      <c r="D21" s="545"/>
      <c r="E21" s="564" t="s">
        <v>283</v>
      </c>
      <c r="F21" s="564" t="s">
        <v>3643</v>
      </c>
      <c r="G21" s="576"/>
      <c r="H21" s="577"/>
      <c r="I21" s="605"/>
      <c r="J21" s="601">
        <v>302763.38</v>
      </c>
      <c r="K21" s="597">
        <v>7.0938</v>
      </c>
      <c r="L21" s="606">
        <v>45379</v>
      </c>
      <c r="M21" s="633">
        <v>45381</v>
      </c>
      <c r="N21" s="638">
        <v>45386</v>
      </c>
      <c r="O21" s="639" t="s">
        <v>2719</v>
      </c>
      <c r="P21" s="640"/>
      <c r="Q21" s="655"/>
      <c r="R21" s="591"/>
      <c r="S21" s="577"/>
    </row>
    <row r="22" s="10" customFormat="1" ht="15.5" customHeight="1" spans="1:19">
      <c r="A22" s="540"/>
      <c r="B22" s="541"/>
      <c r="C22" s="544"/>
      <c r="D22" s="545"/>
      <c r="E22" s="564" t="s">
        <v>1216</v>
      </c>
      <c r="F22" s="564" t="s">
        <v>3645</v>
      </c>
      <c r="G22" s="576"/>
      <c r="H22" s="577"/>
      <c r="I22" s="605"/>
      <c r="J22" s="601">
        <v>141993.34</v>
      </c>
      <c r="K22" s="597">
        <v>7.0938</v>
      </c>
      <c r="L22" s="606">
        <v>45378</v>
      </c>
      <c r="M22" s="633">
        <v>45380</v>
      </c>
      <c r="N22" s="638">
        <v>45385</v>
      </c>
      <c r="O22" s="639" t="s">
        <v>2719</v>
      </c>
      <c r="P22" s="640"/>
      <c r="Q22" s="655"/>
      <c r="R22" s="591"/>
      <c r="S22" s="577"/>
    </row>
    <row r="23" s="10" customFormat="1" ht="15.5" customHeight="1" spans="1:19">
      <c r="A23" s="540"/>
      <c r="B23" s="541"/>
      <c r="C23" s="544"/>
      <c r="D23" s="545"/>
      <c r="E23" s="564" t="s">
        <v>53</v>
      </c>
      <c r="F23" s="564" t="s">
        <v>3647</v>
      </c>
      <c r="G23" s="576"/>
      <c r="H23" s="577"/>
      <c r="I23" s="605"/>
      <c r="J23" s="601">
        <v>434062.53</v>
      </c>
      <c r="K23" s="597">
        <v>7.0938</v>
      </c>
      <c r="L23" s="607" t="s">
        <v>1218</v>
      </c>
      <c r="M23" s="633">
        <v>45379</v>
      </c>
      <c r="N23" s="638">
        <v>45385</v>
      </c>
      <c r="O23" s="639" t="s">
        <v>2719</v>
      </c>
      <c r="P23" s="640"/>
      <c r="Q23" s="655"/>
      <c r="R23" s="591"/>
      <c r="S23" s="577"/>
    </row>
    <row r="24" s="10" customFormat="1" ht="15.5" customHeight="1" spans="1:19">
      <c r="A24" s="540"/>
      <c r="B24" s="541"/>
      <c r="C24" s="542" t="s">
        <v>2382</v>
      </c>
      <c r="D24" s="543">
        <v>30</v>
      </c>
      <c r="E24" s="250"/>
      <c r="F24" s="574"/>
      <c r="G24" s="562"/>
      <c r="H24" s="577"/>
      <c r="I24" s="577"/>
      <c r="J24" s="577"/>
      <c r="K24" s="597"/>
      <c r="L24" s="598"/>
      <c r="M24" s="598"/>
      <c r="N24" s="598"/>
      <c r="O24" s="641"/>
      <c r="P24" s="642"/>
      <c r="Q24" s="655"/>
      <c r="R24" s="664"/>
      <c r="S24" s="665"/>
    </row>
    <row r="25" s="10" customFormat="1" ht="15.5" customHeight="1" spans="1:19">
      <c r="A25" s="540"/>
      <c r="B25" s="541"/>
      <c r="C25" s="546"/>
      <c r="D25" s="547"/>
      <c r="E25" s="572"/>
      <c r="F25" s="572"/>
      <c r="G25" s="562"/>
      <c r="H25" s="567"/>
      <c r="I25" s="600"/>
      <c r="J25" s="577"/>
      <c r="K25" s="250"/>
      <c r="L25" s="608"/>
      <c r="M25" s="244"/>
      <c r="N25" s="598"/>
      <c r="O25" s="624"/>
      <c r="P25" s="643"/>
      <c r="Q25" s="655"/>
      <c r="R25" s="666"/>
      <c r="S25" s="569"/>
    </row>
    <row r="26" s="10" customFormat="1" ht="15.5" customHeight="1" spans="1:19">
      <c r="A26" s="540"/>
      <c r="B26" s="541"/>
      <c r="C26" s="548" t="s">
        <v>3648</v>
      </c>
      <c r="D26" s="549">
        <v>3600000</v>
      </c>
      <c r="E26" s="578"/>
      <c r="F26" s="579"/>
      <c r="G26" s="580" t="s">
        <v>1235</v>
      </c>
      <c r="H26" s="581">
        <f>SUM(H3:H25)</f>
        <v>5109373.2942</v>
      </c>
      <c r="I26" s="581">
        <f>SUM(I3:I25)</f>
        <v>5109374.2532</v>
      </c>
      <c r="J26" s="581">
        <f>SUM(J3:J25)</f>
        <v>5479254.1208</v>
      </c>
      <c r="K26" s="609"/>
      <c r="L26" s="610"/>
      <c r="M26" s="644"/>
      <c r="N26" s="644"/>
      <c r="O26" s="622"/>
      <c r="P26" s="623"/>
      <c r="Q26" s="655"/>
      <c r="R26" s="656"/>
      <c r="S26" s="657"/>
    </row>
    <row r="27" s="10" customFormat="1" ht="15.5" customHeight="1" spans="1:19">
      <c r="A27" s="540"/>
      <c r="B27" s="541"/>
      <c r="C27" s="548"/>
      <c r="D27" s="550"/>
      <c r="E27" s="582"/>
      <c r="F27" s="583"/>
      <c r="G27" s="584" t="s">
        <v>3649</v>
      </c>
      <c r="H27" s="585">
        <f>H26/3600000</f>
        <v>1.4192703595</v>
      </c>
      <c r="I27" s="585">
        <f>I26/3600000</f>
        <v>1.41927062588889</v>
      </c>
      <c r="J27" s="585">
        <f>J26/3600000</f>
        <v>1.52201503355556</v>
      </c>
      <c r="K27" s="611"/>
      <c r="L27" s="612"/>
      <c r="M27" s="645"/>
      <c r="N27" s="645"/>
      <c r="O27" s="622"/>
      <c r="P27" s="623"/>
      <c r="Q27" s="655"/>
      <c r="R27" s="656"/>
      <c r="S27" s="657"/>
    </row>
    <row r="28" s="10" customFormat="1" ht="15.5" customHeight="1" spans="1:19">
      <c r="A28" s="540"/>
      <c r="B28" s="541"/>
      <c r="C28" s="551" t="s">
        <v>3650</v>
      </c>
      <c r="D28" s="552">
        <v>14700000</v>
      </c>
      <c r="E28" s="582" t="s">
        <v>3651</v>
      </c>
      <c r="F28" s="586" t="e">
        <f>D28-#REF!-#REF!-'2024.03'!H17-H26</f>
        <v>#REF!</v>
      </c>
      <c r="G28" s="584" t="s">
        <v>3652</v>
      </c>
      <c r="H28" s="587" t="e">
        <f>(D28-F28)/D28</f>
        <v>#REF!</v>
      </c>
      <c r="I28" s="613"/>
      <c r="J28" s="613"/>
      <c r="K28" s="614"/>
      <c r="L28" s="598"/>
      <c r="M28" s="645"/>
      <c r="N28" s="645"/>
      <c r="O28" s="622"/>
      <c r="P28" s="623"/>
      <c r="Q28" s="655"/>
      <c r="R28" s="656"/>
      <c r="S28" s="657"/>
    </row>
    <row r="29" s="10" customFormat="1" ht="15.5" customHeight="1" spans="1:19">
      <c r="A29" s="540"/>
      <c r="B29" s="553" t="s">
        <v>1820</v>
      </c>
      <c r="C29" s="554" t="s">
        <v>1946</v>
      </c>
      <c r="D29" s="555" t="s">
        <v>1821</v>
      </c>
      <c r="E29" s="555" t="s">
        <v>1822</v>
      </c>
      <c r="F29" s="588" t="s">
        <v>1095</v>
      </c>
      <c r="G29" s="589" t="s">
        <v>362</v>
      </c>
      <c r="H29" s="590" t="s">
        <v>1865</v>
      </c>
      <c r="I29" s="590"/>
      <c r="J29" s="590"/>
      <c r="K29" s="590" t="s">
        <v>1866</v>
      </c>
      <c r="L29" s="615" t="s">
        <v>1098</v>
      </c>
      <c r="M29" s="590" t="s">
        <v>1867</v>
      </c>
      <c r="N29" s="646"/>
      <c r="O29" s="647"/>
      <c r="P29" s="570"/>
      <c r="Q29" s="570"/>
      <c r="R29" s="656"/>
      <c r="S29" s="657"/>
    </row>
    <row r="30" s="10" customFormat="1" ht="15.5" customHeight="1" spans="1:19">
      <c r="A30" s="540"/>
      <c r="B30" s="541" t="s">
        <v>3248</v>
      </c>
      <c r="C30" s="556" t="s">
        <v>1825</v>
      </c>
      <c r="D30" s="557" t="s">
        <v>1125</v>
      </c>
      <c r="E30" s="250" t="s">
        <v>161</v>
      </c>
      <c r="F30" s="561" t="s">
        <v>3921</v>
      </c>
      <c r="G30" s="591">
        <v>39717</v>
      </c>
      <c r="H30" s="592">
        <f t="shared" ref="H30:H35" si="1">G30*K30</f>
        <v>281744.4546</v>
      </c>
      <c r="I30" s="603"/>
      <c r="J30" s="567"/>
      <c r="K30" s="597">
        <v>7.0938</v>
      </c>
      <c r="L30" s="598"/>
      <c r="M30" s="644"/>
      <c r="N30" s="644"/>
      <c r="O30" s="622" t="s">
        <v>3654</v>
      </c>
      <c r="P30" s="623" t="s">
        <v>2175</v>
      </c>
      <c r="Q30" s="655" t="s">
        <v>1671</v>
      </c>
      <c r="R30" s="656"/>
      <c r="S30" s="657"/>
    </row>
    <row r="31" s="10" customFormat="1" ht="15.5" customHeight="1" spans="1:19">
      <c r="A31" s="540"/>
      <c r="B31" s="541"/>
      <c r="C31" s="556"/>
      <c r="D31" s="557"/>
      <c r="E31" s="572" t="s">
        <v>3922</v>
      </c>
      <c r="F31" s="564" t="s">
        <v>3923</v>
      </c>
      <c r="G31" s="562">
        <v>4000</v>
      </c>
      <c r="H31" s="592">
        <f t="shared" si="1"/>
        <v>28375.2</v>
      </c>
      <c r="I31" s="616"/>
      <c r="J31" s="616"/>
      <c r="K31" s="597">
        <v>7.0938</v>
      </c>
      <c r="L31" s="570"/>
      <c r="M31" s="570"/>
      <c r="N31" s="648"/>
      <c r="O31" s="639" t="s">
        <v>3924</v>
      </c>
      <c r="P31" s="649" t="s">
        <v>3925</v>
      </c>
      <c r="Q31" s="655"/>
      <c r="R31" s="656"/>
      <c r="S31" s="657"/>
    </row>
    <row r="32" s="10" customFormat="1" ht="15.5" customHeight="1" spans="1:19">
      <c r="A32" s="540"/>
      <c r="B32" s="541"/>
      <c r="C32" s="556"/>
      <c r="D32" s="557"/>
      <c r="E32" s="564"/>
      <c r="F32" s="564"/>
      <c r="G32" s="593"/>
      <c r="H32" s="592"/>
      <c r="I32" s="605"/>
      <c r="J32" s="592"/>
      <c r="K32" s="617"/>
      <c r="L32" s="618"/>
      <c r="M32" s="618"/>
      <c r="N32" s="618"/>
      <c r="O32" s="639"/>
      <c r="P32" s="650"/>
      <c r="Q32" s="667"/>
      <c r="R32" s="659"/>
      <c r="S32" s="668"/>
    </row>
    <row r="33" s="10" customFormat="1" ht="16" customHeight="1" spans="1:19">
      <c r="A33" s="540"/>
      <c r="B33" s="541"/>
      <c r="C33" s="664" t="s">
        <v>224</v>
      </c>
      <c r="D33" s="557"/>
      <c r="E33" s="561" t="s">
        <v>3682</v>
      </c>
      <c r="F33" s="568" t="s">
        <v>3926</v>
      </c>
      <c r="G33" s="562">
        <v>59971</v>
      </c>
      <c r="H33" s="567">
        <f t="shared" si="1"/>
        <v>425422.2798</v>
      </c>
      <c r="I33" s="570"/>
      <c r="J33" s="570"/>
      <c r="K33" s="597">
        <v>7.0938</v>
      </c>
      <c r="L33" s="570"/>
      <c r="M33" s="684" t="s">
        <v>3927</v>
      </c>
      <c r="N33" s="684" t="s">
        <v>3927</v>
      </c>
      <c r="O33" s="628" t="s">
        <v>3928</v>
      </c>
      <c r="P33" s="570"/>
      <c r="Q33" s="655" t="s">
        <v>2131</v>
      </c>
      <c r="R33" s="570"/>
      <c r="S33" s="570"/>
    </row>
    <row r="34" s="10" customFormat="1" ht="16" customHeight="1" spans="1:19">
      <c r="A34" s="540"/>
      <c r="B34" s="541"/>
      <c r="C34" s="664"/>
      <c r="D34" s="557"/>
      <c r="E34" s="561" t="s">
        <v>3682</v>
      </c>
      <c r="F34" s="568" t="s">
        <v>3929</v>
      </c>
      <c r="G34" s="562">
        <v>479768</v>
      </c>
      <c r="H34" s="567">
        <f t="shared" si="1"/>
        <v>3403378.2384</v>
      </c>
      <c r="I34" s="570"/>
      <c r="J34" s="570"/>
      <c r="K34" s="597">
        <v>7.0938</v>
      </c>
      <c r="L34" s="570"/>
      <c r="M34" s="684" t="s">
        <v>3930</v>
      </c>
      <c r="N34" s="684" t="s">
        <v>3931</v>
      </c>
      <c r="O34" s="628" t="s">
        <v>3932</v>
      </c>
      <c r="P34" s="570"/>
      <c r="Q34" s="570"/>
      <c r="R34" s="570"/>
      <c r="S34" s="570"/>
    </row>
    <row r="35" s="10" customFormat="1" ht="16" customHeight="1" spans="1:19">
      <c r="A35" s="540"/>
      <c r="B35" s="541"/>
      <c r="C35" s="664"/>
      <c r="D35" s="557"/>
      <c r="E35" s="561" t="s">
        <v>3658</v>
      </c>
      <c r="F35" s="571" t="s">
        <v>3659</v>
      </c>
      <c r="G35" s="562">
        <v>44340</v>
      </c>
      <c r="H35" s="567">
        <f t="shared" si="1"/>
        <v>314539.092</v>
      </c>
      <c r="I35" s="570"/>
      <c r="J35" s="570"/>
      <c r="K35" s="597">
        <v>7.0938</v>
      </c>
      <c r="L35" s="570"/>
      <c r="M35" s="631">
        <v>45440</v>
      </c>
      <c r="N35" s="685">
        <v>45442</v>
      </c>
      <c r="O35" s="628" t="s">
        <v>3660</v>
      </c>
      <c r="P35" s="642" t="s">
        <v>3661</v>
      </c>
      <c r="Q35" s="655" t="s">
        <v>2131</v>
      </c>
      <c r="R35" s="658"/>
      <c r="S35" s="628"/>
    </row>
    <row r="36" s="10" customFormat="1" ht="15.5" customHeight="1" spans="1:19">
      <c r="A36" s="540"/>
      <c r="B36" s="541"/>
      <c r="C36" s="664"/>
      <c r="D36" s="557"/>
      <c r="E36" s="565" t="s">
        <v>408</v>
      </c>
      <c r="F36" s="568" t="s">
        <v>3933</v>
      </c>
      <c r="G36" s="562">
        <v>70000</v>
      </c>
      <c r="H36" s="592"/>
      <c r="I36" s="570"/>
      <c r="J36" s="570"/>
      <c r="K36" s="597"/>
      <c r="L36" s="570"/>
      <c r="M36" s="570"/>
      <c r="N36" s="648"/>
      <c r="O36" s="686" t="s">
        <v>3934</v>
      </c>
      <c r="P36" s="570"/>
      <c r="Q36" s="655"/>
      <c r="R36" s="659"/>
      <c r="S36" s="660"/>
    </row>
    <row r="37" s="10" customFormat="1" ht="15.5" customHeight="1" spans="1:19">
      <c r="A37" s="540"/>
      <c r="B37" s="541"/>
      <c r="C37" s="556"/>
      <c r="D37" s="557"/>
      <c r="E37" s="673" t="s">
        <v>201</v>
      </c>
      <c r="F37" s="672" t="s">
        <v>3935</v>
      </c>
      <c r="G37" s="674">
        <v>35568</v>
      </c>
      <c r="H37" s="567">
        <f>G37*K37</f>
        <v>252312.2784</v>
      </c>
      <c r="I37" s="680"/>
      <c r="J37" s="681"/>
      <c r="K37" s="597">
        <v>7.0938</v>
      </c>
      <c r="L37" s="598"/>
      <c r="M37" s="633" t="s">
        <v>3936</v>
      </c>
      <c r="N37" s="636"/>
      <c r="O37" s="637" t="s">
        <v>3937</v>
      </c>
      <c r="P37" s="640"/>
      <c r="Q37" s="663"/>
      <c r="R37" s="656"/>
      <c r="S37" s="602"/>
    </row>
    <row r="38" s="10" customFormat="1" ht="15.5" customHeight="1" spans="1:19">
      <c r="A38" s="540"/>
      <c r="B38" s="541"/>
      <c r="C38" s="556" t="s">
        <v>2361</v>
      </c>
      <c r="D38" s="557"/>
      <c r="E38" s="673" t="s">
        <v>3938</v>
      </c>
      <c r="F38" s="672" t="s">
        <v>2032</v>
      </c>
      <c r="G38" s="674">
        <v>53768</v>
      </c>
      <c r="H38" s="567">
        <f>G38*K38</f>
        <v>381419.4384</v>
      </c>
      <c r="I38" s="680"/>
      <c r="J38" s="681"/>
      <c r="K38" s="597">
        <v>7.0938</v>
      </c>
      <c r="L38" s="598"/>
      <c r="M38" s="633" t="s">
        <v>3936</v>
      </c>
      <c r="N38" s="636"/>
      <c r="O38" s="637" t="s">
        <v>3939</v>
      </c>
      <c r="P38" s="640"/>
      <c r="Q38" s="663"/>
      <c r="R38" s="656"/>
      <c r="S38" s="602"/>
    </row>
    <row r="39" s="10" customFormat="1" ht="15.5" customHeight="1" spans="1:19">
      <c r="A39" s="540"/>
      <c r="B39" s="669"/>
      <c r="C39" s="556"/>
      <c r="D39" s="557"/>
      <c r="E39" s="250"/>
      <c r="F39" s="568"/>
      <c r="G39" s="562"/>
      <c r="H39" s="592"/>
      <c r="I39" s="603"/>
      <c r="J39" s="567"/>
      <c r="K39" s="597"/>
      <c r="L39" s="598"/>
      <c r="M39" s="633"/>
      <c r="N39" s="636"/>
      <c r="O39" s="687"/>
      <c r="P39" s="642"/>
      <c r="Q39" s="655"/>
      <c r="R39" s="656"/>
      <c r="S39" s="602"/>
    </row>
    <row r="40" s="10" customFormat="1" ht="15.5" customHeight="1" spans="1:19">
      <c r="A40" s="540"/>
      <c r="B40" s="669"/>
      <c r="C40" s="556"/>
      <c r="D40" s="557"/>
      <c r="E40" s="250"/>
      <c r="F40" s="568"/>
      <c r="G40" s="562"/>
      <c r="H40" s="592"/>
      <c r="I40" s="603"/>
      <c r="J40" s="567"/>
      <c r="K40" s="597"/>
      <c r="L40" s="598"/>
      <c r="M40" s="633"/>
      <c r="N40" s="636"/>
      <c r="O40" s="687"/>
      <c r="P40" s="642"/>
      <c r="Q40" s="655"/>
      <c r="R40" s="656"/>
      <c r="S40" s="602"/>
    </row>
    <row r="41" s="10" customFormat="1" ht="15.5" customHeight="1" spans="1:19">
      <c r="A41" s="540"/>
      <c r="B41" s="541"/>
      <c r="C41" s="670"/>
      <c r="D41" s="557"/>
      <c r="E41" s="574"/>
      <c r="F41" s="574"/>
      <c r="G41" s="591"/>
      <c r="H41" s="567"/>
      <c r="I41" s="603"/>
      <c r="J41" s="567"/>
      <c r="K41" s="597"/>
      <c r="L41" s="598"/>
      <c r="M41" s="633"/>
      <c r="N41" s="633"/>
      <c r="O41" s="624"/>
      <c r="P41" s="623"/>
      <c r="Q41" s="655"/>
      <c r="R41" s="656"/>
      <c r="S41" s="657"/>
    </row>
    <row r="42" s="10" customFormat="1" ht="15.5" customHeight="1" spans="1:19">
      <c r="A42" s="540"/>
      <c r="B42" s="541"/>
      <c r="C42" s="671" t="s">
        <v>2382</v>
      </c>
      <c r="D42" s="557"/>
      <c r="E42" s="574" t="s">
        <v>1113</v>
      </c>
      <c r="F42" s="564" t="s">
        <v>2411</v>
      </c>
      <c r="G42" s="576"/>
      <c r="H42" s="592">
        <f>G42*K42</f>
        <v>0</v>
      </c>
      <c r="I42" s="605"/>
      <c r="J42" s="592"/>
      <c r="K42" s="597">
        <v>7.0938</v>
      </c>
      <c r="L42" s="625"/>
      <c r="M42" s="625"/>
      <c r="N42" s="625"/>
      <c r="O42" s="639" t="s">
        <v>3667</v>
      </c>
      <c r="P42" s="642"/>
      <c r="Q42" s="655"/>
      <c r="R42" s="659" t="s">
        <v>3668</v>
      </c>
      <c r="S42" s="657"/>
    </row>
    <row r="43" s="10" customFormat="1" ht="15.5" customHeight="1" spans="1:19">
      <c r="A43" s="540"/>
      <c r="B43" s="541"/>
      <c r="C43" s="671"/>
      <c r="D43" s="557"/>
      <c r="E43" s="561"/>
      <c r="F43" s="571"/>
      <c r="G43" s="576"/>
      <c r="H43" s="567"/>
      <c r="I43" s="603"/>
      <c r="J43" s="567"/>
      <c r="K43" s="597"/>
      <c r="L43" s="598"/>
      <c r="M43" s="625"/>
      <c r="N43" s="625"/>
      <c r="O43" s="624"/>
      <c r="P43" s="632"/>
      <c r="Q43" s="655"/>
      <c r="R43" s="656"/>
      <c r="S43" s="657"/>
    </row>
    <row r="44" s="10" customFormat="1" ht="15.5" customHeight="1" spans="1:19">
      <c r="A44" s="540"/>
      <c r="B44" s="672"/>
      <c r="C44" s="551" t="s">
        <v>1874</v>
      </c>
      <c r="D44" s="551"/>
      <c r="E44" s="551"/>
      <c r="F44" s="551"/>
      <c r="G44" s="551"/>
      <c r="H44" s="675">
        <f>SUM(H30:H43)</f>
        <v>5087190.9816</v>
      </c>
      <c r="I44" s="600"/>
      <c r="J44" s="602"/>
      <c r="K44" s="614"/>
      <c r="L44" s="682"/>
      <c r="M44" s="645"/>
      <c r="N44" s="645"/>
      <c r="O44" s="622"/>
      <c r="P44" s="570"/>
      <c r="Q44" s="570"/>
      <c r="R44" s="656"/>
      <c r="S44" s="657"/>
    </row>
    <row r="45" s="10" customFormat="1" ht="15.5" customHeight="1" spans="1:19">
      <c r="A45" s="540"/>
      <c r="B45" s="541" t="s">
        <v>1875</v>
      </c>
      <c r="C45" s="556" t="s">
        <v>1825</v>
      </c>
      <c r="D45" s="557"/>
      <c r="E45" s="564" t="s">
        <v>1884</v>
      </c>
      <c r="F45" s="564" t="s">
        <v>1885</v>
      </c>
      <c r="G45" s="576">
        <v>900</v>
      </c>
      <c r="H45" s="592"/>
      <c r="I45" s="605"/>
      <c r="J45" s="592"/>
      <c r="K45" s="597">
        <v>7.0938</v>
      </c>
      <c r="L45" s="625"/>
      <c r="M45" s="625"/>
      <c r="N45" s="625"/>
      <c r="O45" s="639" t="s">
        <v>3669</v>
      </c>
      <c r="P45" s="642"/>
      <c r="Q45" s="655"/>
      <c r="R45" s="656"/>
      <c r="S45" s="657"/>
    </row>
    <row r="46" s="10" customFormat="1" ht="15.5" customHeight="1" spans="1:19">
      <c r="A46" s="540"/>
      <c r="B46" s="541"/>
      <c r="C46" s="556"/>
      <c r="D46" s="557"/>
      <c r="E46" s="676" t="s">
        <v>2938</v>
      </c>
      <c r="F46" s="564"/>
      <c r="G46" s="576"/>
      <c r="H46" s="592"/>
      <c r="I46" s="605"/>
      <c r="J46" s="592"/>
      <c r="K46" s="597"/>
      <c r="L46" s="625"/>
      <c r="M46" s="625"/>
      <c r="N46" s="625"/>
      <c r="O46" s="639" t="s">
        <v>3940</v>
      </c>
      <c r="P46" s="688"/>
      <c r="Q46" s="655"/>
      <c r="R46" s="656"/>
      <c r="S46" s="688" t="s">
        <v>3671</v>
      </c>
    </row>
    <row r="47" s="10" customFormat="1" ht="15.5" customHeight="1" spans="1:19">
      <c r="A47" s="540"/>
      <c r="B47" s="541"/>
      <c r="C47" s="556"/>
      <c r="D47" s="557"/>
      <c r="E47" s="676" t="s">
        <v>3672</v>
      </c>
      <c r="F47" s="564"/>
      <c r="G47" s="576"/>
      <c r="H47" s="592"/>
      <c r="I47" s="605"/>
      <c r="J47" s="592"/>
      <c r="K47" s="597"/>
      <c r="L47" s="625"/>
      <c r="M47" s="625"/>
      <c r="N47" s="625"/>
      <c r="O47" s="639" t="s">
        <v>3941</v>
      </c>
      <c r="P47" s="642"/>
      <c r="Q47" s="655"/>
      <c r="R47" s="656"/>
      <c r="S47" s="657"/>
    </row>
    <row r="48" s="10" customFormat="1" ht="15.5" customHeight="1" spans="1:19">
      <c r="A48" s="540"/>
      <c r="B48" s="541"/>
      <c r="C48" s="556"/>
      <c r="D48" s="557"/>
      <c r="E48" s="564" t="s">
        <v>3942</v>
      </c>
      <c r="F48" s="564"/>
      <c r="G48" s="576"/>
      <c r="H48" s="592"/>
      <c r="I48" s="605"/>
      <c r="J48" s="592"/>
      <c r="K48" s="597"/>
      <c r="L48" s="625"/>
      <c r="M48" s="625"/>
      <c r="N48" s="625"/>
      <c r="O48" s="639"/>
      <c r="P48" s="642"/>
      <c r="Q48" s="655"/>
      <c r="R48" s="656"/>
      <c r="S48" s="657"/>
    </row>
    <row r="49" s="10" customFormat="1" ht="15.5" customHeight="1" spans="1:19">
      <c r="A49" s="540"/>
      <c r="B49" s="541"/>
      <c r="C49" s="556"/>
      <c r="D49" s="557"/>
      <c r="E49" s="565" t="s">
        <v>3674</v>
      </c>
      <c r="F49" s="564"/>
      <c r="G49" s="562"/>
      <c r="H49" s="592"/>
      <c r="I49" s="616"/>
      <c r="J49" s="616"/>
      <c r="K49" s="597"/>
      <c r="L49" s="570"/>
      <c r="M49" s="570"/>
      <c r="N49" s="648"/>
      <c r="O49" s="689" t="s">
        <v>3943</v>
      </c>
      <c r="P49" s="642"/>
      <c r="Q49" s="655"/>
      <c r="R49" s="656"/>
      <c r="S49" s="657"/>
    </row>
    <row r="50" s="10" customFormat="1" ht="15.5" customHeight="1" spans="1:19">
      <c r="A50" s="540"/>
      <c r="B50" s="541"/>
      <c r="C50" s="556"/>
      <c r="D50" s="557"/>
      <c r="E50" s="565" t="s">
        <v>2408</v>
      </c>
      <c r="F50" s="564"/>
      <c r="G50" s="562"/>
      <c r="H50" s="592"/>
      <c r="I50" s="616"/>
      <c r="J50" s="616"/>
      <c r="K50" s="597"/>
      <c r="L50" s="570"/>
      <c r="M50" s="570"/>
      <c r="N50" s="648"/>
      <c r="O50" s="689" t="s">
        <v>3944</v>
      </c>
      <c r="P50" s="642"/>
      <c r="Q50" s="655"/>
      <c r="R50" s="656"/>
      <c r="S50" s="657"/>
    </row>
    <row r="51" s="10" customFormat="1" ht="15.5" customHeight="1" spans="1:19">
      <c r="A51" s="540"/>
      <c r="B51" s="541"/>
      <c r="C51" s="556"/>
      <c r="D51" s="557"/>
      <c r="E51" s="572" t="s">
        <v>1869</v>
      </c>
      <c r="F51" s="564"/>
      <c r="G51" s="562"/>
      <c r="H51" s="592"/>
      <c r="I51" s="616"/>
      <c r="J51" s="616"/>
      <c r="K51" s="597"/>
      <c r="L51" s="570"/>
      <c r="M51" s="570"/>
      <c r="N51" s="648"/>
      <c r="O51" s="639" t="s">
        <v>3676</v>
      </c>
      <c r="P51" s="642"/>
      <c r="Q51" s="655"/>
      <c r="R51" s="656"/>
      <c r="S51" s="657"/>
    </row>
    <row r="52" s="10" customFormat="1" ht="15.5" customHeight="1" spans="1:19">
      <c r="A52" s="540"/>
      <c r="B52" s="541"/>
      <c r="C52" s="556"/>
      <c r="D52" s="557"/>
      <c r="E52" s="572" t="s">
        <v>3945</v>
      </c>
      <c r="F52" s="564"/>
      <c r="G52" s="562"/>
      <c r="H52" s="592"/>
      <c r="I52" s="616"/>
      <c r="J52" s="616"/>
      <c r="K52" s="597"/>
      <c r="L52" s="570"/>
      <c r="M52" s="570"/>
      <c r="N52" s="648"/>
      <c r="O52" s="639" t="s">
        <v>3946</v>
      </c>
      <c r="P52" s="642"/>
      <c r="Q52" s="655"/>
      <c r="R52" s="656"/>
      <c r="S52" s="657"/>
    </row>
    <row r="53" s="10" customFormat="1" ht="15.5" customHeight="1" spans="1:19">
      <c r="A53" s="540"/>
      <c r="B53" s="541"/>
      <c r="C53" s="556"/>
      <c r="D53" s="557"/>
      <c r="E53" s="572" t="s">
        <v>3947</v>
      </c>
      <c r="F53" s="564"/>
      <c r="G53" s="562"/>
      <c r="H53" s="592"/>
      <c r="I53" s="616"/>
      <c r="J53" s="616"/>
      <c r="K53" s="597"/>
      <c r="L53" s="570"/>
      <c r="M53" s="570"/>
      <c r="N53" s="648"/>
      <c r="O53" s="639" t="s">
        <v>3948</v>
      </c>
      <c r="P53" s="642"/>
      <c r="Q53" s="655"/>
      <c r="R53" s="656"/>
      <c r="S53" s="657"/>
    </row>
    <row r="54" s="10" customFormat="1" ht="15.5" customHeight="1" spans="1:19">
      <c r="A54" s="540"/>
      <c r="B54" s="541"/>
      <c r="C54" s="556"/>
      <c r="D54" s="557"/>
      <c r="E54" s="572"/>
      <c r="F54" s="250"/>
      <c r="G54" s="562"/>
      <c r="H54" s="592"/>
      <c r="I54" s="616"/>
      <c r="J54" s="616"/>
      <c r="K54" s="597"/>
      <c r="L54" s="570"/>
      <c r="M54" s="570"/>
      <c r="N54" s="648"/>
      <c r="O54" s="689"/>
      <c r="P54" s="642"/>
      <c r="Q54" s="655"/>
      <c r="R54" s="656"/>
      <c r="S54" s="697"/>
    </row>
    <row r="55" s="10" customFormat="1" ht="15.5" customHeight="1" spans="1:19">
      <c r="A55" s="540"/>
      <c r="B55" s="541"/>
      <c r="C55" s="666" t="s">
        <v>224</v>
      </c>
      <c r="D55" s="557"/>
      <c r="E55" s="561" t="s">
        <v>3682</v>
      </c>
      <c r="F55" s="568" t="s">
        <v>3926</v>
      </c>
      <c r="G55" s="562">
        <v>480000</v>
      </c>
      <c r="H55" s="592">
        <f>G55*K55</f>
        <v>3405024</v>
      </c>
      <c r="I55" s="570"/>
      <c r="J55" s="570"/>
      <c r="K55" s="597">
        <v>7.0938</v>
      </c>
      <c r="L55" s="570"/>
      <c r="M55" s="570"/>
      <c r="N55" s="570"/>
      <c r="O55" s="690" t="s">
        <v>3949</v>
      </c>
      <c r="P55" s="570"/>
      <c r="Q55" s="655"/>
      <c r="R55" s="656"/>
      <c r="S55" s="657"/>
    </row>
    <row r="56" s="10" customFormat="1" ht="15.5" customHeight="1" spans="1:19">
      <c r="A56" s="540"/>
      <c r="B56" s="541"/>
      <c r="C56" s="556"/>
      <c r="D56" s="557"/>
      <c r="E56" s="677" t="s">
        <v>2950</v>
      </c>
      <c r="F56" s="568" t="s">
        <v>3687</v>
      </c>
      <c r="G56" s="562">
        <v>11000</v>
      </c>
      <c r="H56" s="570"/>
      <c r="I56" s="570"/>
      <c r="J56" s="570"/>
      <c r="K56" s="597"/>
      <c r="L56" s="570"/>
      <c r="M56" s="570"/>
      <c r="N56" s="570"/>
      <c r="O56" s="628" t="s">
        <v>3688</v>
      </c>
      <c r="P56" s="691" t="s">
        <v>3689</v>
      </c>
      <c r="R56" s="656"/>
      <c r="S56" s="657"/>
    </row>
    <row r="57" s="10" customFormat="1" ht="15.5" customHeight="1" spans="1:19">
      <c r="A57" s="540"/>
      <c r="B57" s="541"/>
      <c r="C57" s="556"/>
      <c r="D57" s="557"/>
      <c r="E57" s="565" t="s">
        <v>479</v>
      </c>
      <c r="F57" s="568" t="s">
        <v>3691</v>
      </c>
      <c r="G57" s="674">
        <v>67000</v>
      </c>
      <c r="H57" s="592"/>
      <c r="I57" s="570"/>
      <c r="J57" s="570"/>
      <c r="K57" s="597"/>
      <c r="L57" s="683"/>
      <c r="M57" s="683"/>
      <c r="N57" s="692"/>
      <c r="O57" s="686" t="s">
        <v>3692</v>
      </c>
      <c r="P57" s="623" t="s">
        <v>3693</v>
      </c>
      <c r="Q57" s="655"/>
      <c r="R57" s="656"/>
      <c r="S57" s="657"/>
    </row>
    <row r="58" s="10" customFormat="1" ht="15.5" customHeight="1" spans="1:19">
      <c r="A58" s="540"/>
      <c r="B58" s="541"/>
      <c r="C58" s="556"/>
      <c r="D58" s="557"/>
      <c r="E58" s="678" t="s">
        <v>163</v>
      </c>
      <c r="F58" s="672" t="s">
        <v>3950</v>
      </c>
      <c r="G58" s="674">
        <v>50000</v>
      </c>
      <c r="H58" s="592"/>
      <c r="I58" s="683"/>
      <c r="J58" s="683"/>
      <c r="K58" s="597"/>
      <c r="L58" s="683"/>
      <c r="M58" s="683"/>
      <c r="N58" s="692"/>
      <c r="O58" s="689" t="s">
        <v>3951</v>
      </c>
      <c r="P58" s="693"/>
      <c r="Q58" s="655"/>
      <c r="R58" s="656"/>
      <c r="S58" s="657"/>
    </row>
    <row r="59" s="10" customFormat="1" ht="15.5" customHeight="1" spans="1:19">
      <c r="A59" s="540"/>
      <c r="B59" s="541"/>
      <c r="C59" s="556"/>
      <c r="D59" s="557"/>
      <c r="E59" s="678" t="s">
        <v>3952</v>
      </c>
      <c r="F59" s="672"/>
      <c r="G59" s="674"/>
      <c r="H59" s="592"/>
      <c r="I59" s="683"/>
      <c r="J59" s="683"/>
      <c r="K59" s="597"/>
      <c r="L59" s="683"/>
      <c r="M59" s="683"/>
      <c r="N59" s="692"/>
      <c r="O59" s="689" t="s">
        <v>3953</v>
      </c>
      <c r="P59" s="693"/>
      <c r="Q59" s="655"/>
      <c r="R59" s="656"/>
      <c r="S59" s="657"/>
    </row>
    <row r="60" s="10" customFormat="1" ht="15.5" customHeight="1" spans="1:19">
      <c r="A60" s="540"/>
      <c r="B60" s="541"/>
      <c r="C60" s="556"/>
      <c r="D60" s="557"/>
      <c r="E60" s="678" t="s">
        <v>3954</v>
      </c>
      <c r="F60" s="672"/>
      <c r="G60" s="674"/>
      <c r="H60" s="592"/>
      <c r="I60" s="683"/>
      <c r="J60" s="683"/>
      <c r="K60" s="597"/>
      <c r="L60" s="683"/>
      <c r="M60" s="683"/>
      <c r="N60" s="692"/>
      <c r="O60" s="689" t="s">
        <v>3955</v>
      </c>
      <c r="P60" s="693"/>
      <c r="Q60" s="655"/>
      <c r="R60" s="656"/>
      <c r="S60" s="657"/>
    </row>
    <row r="61" s="10" customFormat="1" ht="15.5" customHeight="1" spans="1:19">
      <c r="A61" s="540"/>
      <c r="B61" s="541"/>
      <c r="C61" s="556"/>
      <c r="D61" s="557"/>
      <c r="E61" s="678" t="s">
        <v>3956</v>
      </c>
      <c r="F61" s="672"/>
      <c r="G61" s="674"/>
      <c r="H61" s="592"/>
      <c r="I61" s="683"/>
      <c r="J61" s="683"/>
      <c r="K61" s="597"/>
      <c r="L61" s="683"/>
      <c r="M61" s="683"/>
      <c r="N61" s="692"/>
      <c r="O61" s="689" t="s">
        <v>3957</v>
      </c>
      <c r="P61" s="693"/>
      <c r="Q61" s="655"/>
      <c r="R61" s="656"/>
      <c r="S61" s="657"/>
    </row>
    <row r="62" s="10" customFormat="1" ht="15.5" customHeight="1" spans="1:19">
      <c r="A62" s="540"/>
      <c r="B62" s="541"/>
      <c r="C62" s="556"/>
      <c r="D62" s="557"/>
      <c r="E62" s="679" t="s">
        <v>3696</v>
      </c>
      <c r="F62" s="672"/>
      <c r="G62" s="674">
        <v>45000</v>
      </c>
      <c r="H62" s="616"/>
      <c r="I62" s="683"/>
      <c r="J62" s="683"/>
      <c r="K62" s="597"/>
      <c r="L62" s="683"/>
      <c r="M62" s="683"/>
      <c r="N62" s="694"/>
      <c r="O62" s="689" t="s">
        <v>3697</v>
      </c>
      <c r="P62" s="695" t="s">
        <v>3698</v>
      </c>
      <c r="Q62" s="691" t="s">
        <v>1671</v>
      </c>
      <c r="R62" s="656"/>
      <c r="S62" s="657"/>
    </row>
    <row r="63" s="10" customFormat="1" ht="15.5" customHeight="1" spans="1:19">
      <c r="A63" s="540"/>
      <c r="B63" s="541"/>
      <c r="C63" s="556"/>
      <c r="D63" s="557"/>
      <c r="E63" s="561" t="s">
        <v>1895</v>
      </c>
      <c r="F63" s="568" t="s">
        <v>1896</v>
      </c>
      <c r="G63" s="576">
        <v>260000</v>
      </c>
      <c r="H63" s="592">
        <f t="shared" ref="H63:H68" si="2">G63*K63</f>
        <v>1844388</v>
      </c>
      <c r="I63" s="600"/>
      <c r="J63" s="602"/>
      <c r="K63" s="597">
        <v>7.0938</v>
      </c>
      <c r="L63" s="598"/>
      <c r="M63" s="645"/>
      <c r="N63" s="645"/>
      <c r="O63" s="641" t="s">
        <v>3699</v>
      </c>
      <c r="P63" s="696"/>
      <c r="Q63" s="572"/>
      <c r="R63" s="656"/>
      <c r="S63" s="577"/>
    </row>
    <row r="64" s="10" customFormat="1" ht="15.5" customHeight="1" spans="1:19">
      <c r="A64" s="540"/>
      <c r="B64" s="541"/>
      <c r="C64" s="556"/>
      <c r="D64" s="557"/>
      <c r="E64" s="561" t="s">
        <v>400</v>
      </c>
      <c r="F64" s="568" t="s">
        <v>2421</v>
      </c>
      <c r="G64" s="576">
        <v>80000</v>
      </c>
      <c r="H64" s="567">
        <f t="shared" si="2"/>
        <v>567504</v>
      </c>
      <c r="I64" s="603"/>
      <c r="J64" s="567"/>
      <c r="K64" s="597">
        <v>7.0938</v>
      </c>
      <c r="L64" s="598"/>
      <c r="M64" s="645"/>
      <c r="N64" s="645"/>
      <c r="O64" s="622" t="s">
        <v>3700</v>
      </c>
      <c r="P64" s="696"/>
      <c r="Q64" s="698"/>
      <c r="R64" s="656"/>
      <c r="S64" s="577"/>
    </row>
    <row r="65" s="10" customFormat="1" ht="15.5" customHeight="1" spans="1:19">
      <c r="A65" s="540"/>
      <c r="B65" s="541"/>
      <c r="C65" s="556"/>
      <c r="D65" s="557"/>
      <c r="E65" s="250" t="s">
        <v>1901</v>
      </c>
      <c r="F65" s="568" t="s">
        <v>1902</v>
      </c>
      <c r="G65" s="562">
        <v>1000000</v>
      </c>
      <c r="H65" s="567"/>
      <c r="I65" s="600"/>
      <c r="J65" s="602"/>
      <c r="K65" s="597">
        <v>7.0938</v>
      </c>
      <c r="L65" s="707"/>
      <c r="M65" s="645"/>
      <c r="N65" s="645"/>
      <c r="O65" s="626" t="s">
        <v>3958</v>
      </c>
      <c r="P65" s="696"/>
      <c r="Q65" s="698"/>
      <c r="R65" s="656"/>
      <c r="S65" s="577"/>
    </row>
    <row r="66" s="10" customFormat="1" ht="15.5" customHeight="1" spans="1:19">
      <c r="A66" s="540"/>
      <c r="B66" s="541"/>
      <c r="C66" s="556"/>
      <c r="D66" s="557"/>
      <c r="E66" s="561" t="s">
        <v>3702</v>
      </c>
      <c r="F66" s="568"/>
      <c r="G66" s="562"/>
      <c r="H66" s="570"/>
      <c r="I66" s="570"/>
      <c r="J66" s="570"/>
      <c r="K66" s="597"/>
      <c r="L66" s="570"/>
      <c r="M66" s="570"/>
      <c r="N66" s="570"/>
      <c r="O66" s="628" t="s">
        <v>3703</v>
      </c>
      <c r="P66" s="570"/>
      <c r="Q66" s="698"/>
      <c r="R66" s="656"/>
      <c r="S66" s="577"/>
    </row>
    <row r="67" s="10" customFormat="1" ht="15.5" customHeight="1" spans="1:19">
      <c r="A67" s="540"/>
      <c r="B67" s="541"/>
      <c r="C67" s="556"/>
      <c r="D67" s="557"/>
      <c r="E67" s="561" t="s">
        <v>3704</v>
      </c>
      <c r="F67" s="568"/>
      <c r="G67" s="562">
        <v>15000</v>
      </c>
      <c r="H67" s="570"/>
      <c r="I67" s="600"/>
      <c r="J67" s="602"/>
      <c r="K67" s="597"/>
      <c r="L67" s="570"/>
      <c r="M67" s="570"/>
      <c r="N67" s="570"/>
      <c r="O67" s="628" t="s">
        <v>3705</v>
      </c>
      <c r="P67" s="642"/>
      <c r="Q67" s="711"/>
      <c r="R67" s="656"/>
      <c r="S67" s="577"/>
    </row>
    <row r="68" s="10" customFormat="1" ht="15.5" customHeight="1" spans="1:19">
      <c r="A68" s="540"/>
      <c r="B68" s="541"/>
      <c r="C68" s="556"/>
      <c r="D68" s="557"/>
      <c r="E68" s="250" t="s">
        <v>638</v>
      </c>
      <c r="F68" s="250" t="s">
        <v>2416</v>
      </c>
      <c r="G68" s="562">
        <v>45000</v>
      </c>
      <c r="H68" s="567">
        <f t="shared" si="2"/>
        <v>319221</v>
      </c>
      <c r="I68" s="570"/>
      <c r="J68" s="570"/>
      <c r="K68" s="597">
        <v>7.0938</v>
      </c>
      <c r="L68" s="570"/>
      <c r="M68" s="570"/>
      <c r="N68" s="648"/>
      <c r="O68" s="628" t="s">
        <v>3706</v>
      </c>
      <c r="P68" s="570"/>
      <c r="Q68" s="711"/>
      <c r="R68" s="658"/>
      <c r="S68" s="662"/>
    </row>
    <row r="69" s="10" customFormat="1" ht="15.5" customHeight="1" spans="1:19">
      <c r="A69" s="540"/>
      <c r="B69" s="541"/>
      <c r="C69" s="556"/>
      <c r="D69" s="557"/>
      <c r="E69" s="250" t="s">
        <v>3707</v>
      </c>
      <c r="F69" s="250"/>
      <c r="G69" s="570"/>
      <c r="H69" s="570"/>
      <c r="I69" s="570"/>
      <c r="J69" s="570"/>
      <c r="K69" s="597"/>
      <c r="L69" s="570"/>
      <c r="M69" s="570"/>
      <c r="N69" s="570"/>
      <c r="O69" s="628" t="s">
        <v>3708</v>
      </c>
      <c r="P69" s="691"/>
      <c r="Q69" s="711"/>
      <c r="R69" s="658"/>
      <c r="S69" s="662"/>
    </row>
    <row r="70" s="10" customFormat="1" ht="15.5" customHeight="1" spans="1:19">
      <c r="A70" s="540"/>
      <c r="B70" s="541"/>
      <c r="C70" s="556"/>
      <c r="D70" s="557"/>
      <c r="E70" s="250" t="s">
        <v>3709</v>
      </c>
      <c r="F70" s="250"/>
      <c r="G70" s="570"/>
      <c r="H70" s="570"/>
      <c r="I70" s="570"/>
      <c r="J70" s="570"/>
      <c r="K70" s="597"/>
      <c r="L70" s="570"/>
      <c r="M70" s="570"/>
      <c r="N70" s="570"/>
      <c r="O70" s="628" t="s">
        <v>3710</v>
      </c>
      <c r="P70" s="691"/>
      <c r="Q70" s="711"/>
      <c r="R70" s="570"/>
      <c r="S70" s="570"/>
    </row>
    <row r="71" s="10" customFormat="1" ht="15.5" customHeight="1" spans="1:19">
      <c r="A71" s="540"/>
      <c r="B71" s="541"/>
      <c r="C71" s="556"/>
      <c r="D71" s="557"/>
      <c r="E71" s="565" t="s">
        <v>3684</v>
      </c>
      <c r="F71" s="703"/>
      <c r="G71" s="570"/>
      <c r="H71" s="616"/>
      <c r="I71" s="570"/>
      <c r="J71" s="570"/>
      <c r="K71" s="597"/>
      <c r="L71" s="570"/>
      <c r="M71" s="570"/>
      <c r="N71" s="570"/>
      <c r="O71" s="690" t="s">
        <v>3959</v>
      </c>
      <c r="P71" s="691"/>
      <c r="Q71" s="711"/>
      <c r="R71" s="570"/>
      <c r="S71" s="570"/>
    </row>
    <row r="72" s="10" customFormat="1" ht="15.5" customHeight="1" spans="1:19">
      <c r="A72" s="540"/>
      <c r="B72" s="541"/>
      <c r="C72" s="670"/>
      <c r="D72" s="557"/>
      <c r="E72" s="561" t="s">
        <v>3682</v>
      </c>
      <c r="F72" s="704" t="s">
        <v>3960</v>
      </c>
      <c r="G72" s="562"/>
      <c r="H72" s="592">
        <f>G72*K72</f>
        <v>0</v>
      </c>
      <c r="I72" s="570"/>
      <c r="J72" s="570"/>
      <c r="K72" s="597">
        <v>7.0938</v>
      </c>
      <c r="L72" s="570"/>
      <c r="M72" s="631">
        <v>45432</v>
      </c>
      <c r="N72" s="631">
        <v>45437</v>
      </c>
      <c r="O72" s="690" t="s">
        <v>3961</v>
      </c>
      <c r="P72" s="570"/>
      <c r="Q72" s="570"/>
      <c r="R72" s="570"/>
      <c r="S72" s="570"/>
    </row>
    <row r="73" s="10" customFormat="1" ht="15.5" customHeight="1" spans="1:19">
      <c r="A73" s="540"/>
      <c r="B73" s="541"/>
      <c r="C73" s="556" t="s">
        <v>2361</v>
      </c>
      <c r="D73" s="557"/>
      <c r="E73" s="244" t="s">
        <v>840</v>
      </c>
      <c r="F73" s="244" t="s">
        <v>2061</v>
      </c>
      <c r="G73" s="562"/>
      <c r="H73" s="570"/>
      <c r="I73" s="570"/>
      <c r="J73" s="570"/>
      <c r="K73" s="597"/>
      <c r="L73" s="570"/>
      <c r="M73" s="570"/>
      <c r="N73" s="570"/>
      <c r="O73" s="628" t="s">
        <v>3962</v>
      </c>
      <c r="P73" s="691"/>
      <c r="Q73" s="711"/>
      <c r="R73" s="570"/>
      <c r="S73" s="570"/>
    </row>
    <row r="74" s="10" customFormat="1" ht="15.5" customHeight="1" spans="1:19">
      <c r="A74" s="540"/>
      <c r="B74" s="541"/>
      <c r="C74" s="556"/>
      <c r="D74" s="557"/>
      <c r="E74" s="250" t="s">
        <v>3963</v>
      </c>
      <c r="F74" s="568" t="s">
        <v>3964</v>
      </c>
      <c r="G74" s="562">
        <v>12000</v>
      </c>
      <c r="H74" s="567"/>
      <c r="I74" s="567"/>
      <c r="J74" s="567"/>
      <c r="K74" s="597">
        <v>7.0938</v>
      </c>
      <c r="L74" s="598"/>
      <c r="M74" s="625"/>
      <c r="N74" s="625"/>
      <c r="O74" s="626" t="s">
        <v>3965</v>
      </c>
      <c r="P74" s="635"/>
      <c r="Q74" s="663"/>
      <c r="R74" s="656"/>
      <c r="S74" s="602"/>
    </row>
    <row r="75" s="10" customFormat="1" ht="15.5" customHeight="1" spans="1:19">
      <c r="A75" s="540"/>
      <c r="B75" s="541"/>
      <c r="C75" s="556"/>
      <c r="D75" s="557"/>
      <c r="E75" s="244" t="s">
        <v>2731</v>
      </c>
      <c r="F75" s="244" t="s">
        <v>3966</v>
      </c>
      <c r="G75" s="573">
        <v>12000</v>
      </c>
      <c r="H75" s="567"/>
      <c r="I75" s="570"/>
      <c r="J75" s="570"/>
      <c r="K75" s="597">
        <v>7.0938</v>
      </c>
      <c r="L75" s="570"/>
      <c r="M75" s="570"/>
      <c r="N75" s="625">
        <v>45412</v>
      </c>
      <c r="O75" s="628" t="s">
        <v>3967</v>
      </c>
      <c r="P75" s="691"/>
      <c r="Q75" s="711"/>
      <c r="R75" s="570"/>
      <c r="S75" s="602"/>
    </row>
    <row r="76" s="10" customFormat="1" ht="15.5" customHeight="1" spans="1:19">
      <c r="A76" s="540"/>
      <c r="B76" s="541"/>
      <c r="C76" s="556"/>
      <c r="D76" s="557"/>
      <c r="E76" s="250" t="s">
        <v>1639</v>
      </c>
      <c r="F76" s="250" t="s">
        <v>3665</v>
      </c>
      <c r="G76" s="576">
        <v>40000</v>
      </c>
      <c r="H76" s="567"/>
      <c r="I76" s="603"/>
      <c r="J76" s="567"/>
      <c r="K76" s="597">
        <v>7.0938</v>
      </c>
      <c r="L76" s="244" t="s">
        <v>1218</v>
      </c>
      <c r="M76" s="625"/>
      <c r="N76" s="598"/>
      <c r="O76" s="626" t="s">
        <v>3968</v>
      </c>
      <c r="P76" s="695"/>
      <c r="Q76" s="711"/>
      <c r="R76" s="570"/>
      <c r="S76" s="602"/>
    </row>
    <row r="77" s="10" customFormat="1" ht="15.5" customHeight="1" spans="1:19">
      <c r="A77" s="540"/>
      <c r="B77" s="541"/>
      <c r="C77" s="556"/>
      <c r="D77" s="557"/>
      <c r="E77" s="244" t="s">
        <v>1639</v>
      </c>
      <c r="F77" s="244" t="s">
        <v>3714</v>
      </c>
      <c r="G77" s="562">
        <v>30000</v>
      </c>
      <c r="H77" s="570"/>
      <c r="I77" s="570"/>
      <c r="J77" s="570"/>
      <c r="K77" s="597"/>
      <c r="L77" s="570"/>
      <c r="M77" s="570"/>
      <c r="N77" s="570"/>
      <c r="O77" s="628" t="s">
        <v>3715</v>
      </c>
      <c r="P77" s="691"/>
      <c r="Q77" s="711"/>
      <c r="R77" s="570"/>
      <c r="S77" s="570"/>
    </row>
    <row r="78" s="10" customFormat="1" ht="33" spans="1:19">
      <c r="A78" s="540"/>
      <c r="B78" s="541"/>
      <c r="C78" s="556"/>
      <c r="D78" s="557"/>
      <c r="E78" s="244" t="s">
        <v>1542</v>
      </c>
      <c r="F78" s="250" t="s">
        <v>3716</v>
      </c>
      <c r="G78" s="562">
        <v>60000</v>
      </c>
      <c r="H78" s="570"/>
      <c r="I78" s="570"/>
      <c r="J78" s="570"/>
      <c r="K78" s="597"/>
      <c r="L78" s="570"/>
      <c r="M78" s="570"/>
      <c r="N78" s="570"/>
      <c r="O78" s="628" t="s">
        <v>3717</v>
      </c>
      <c r="P78" s="691" t="s">
        <v>3718</v>
      </c>
      <c r="Q78" s="711" t="s">
        <v>1671</v>
      </c>
      <c r="R78" s="570"/>
      <c r="S78" s="570"/>
    </row>
    <row r="79" s="10" customFormat="1" ht="15.45" customHeight="1" spans="1:19">
      <c r="A79" s="540"/>
      <c r="B79" s="541"/>
      <c r="C79" s="556"/>
      <c r="D79" s="557"/>
      <c r="E79" s="244" t="s">
        <v>3719</v>
      </c>
      <c r="F79" s="250" t="s">
        <v>3720</v>
      </c>
      <c r="G79" s="562"/>
      <c r="H79" s="570"/>
      <c r="I79" s="570"/>
      <c r="J79" s="570"/>
      <c r="K79" s="597"/>
      <c r="L79" s="570"/>
      <c r="M79" s="570"/>
      <c r="N79" s="570"/>
      <c r="O79" s="628" t="s">
        <v>3721</v>
      </c>
      <c r="P79" s="691" t="s">
        <v>3722</v>
      </c>
      <c r="Q79" s="711" t="s">
        <v>2131</v>
      </c>
      <c r="R79" s="570"/>
      <c r="S79" s="570"/>
    </row>
    <row r="80" s="10" customFormat="1" ht="33" spans="1:19">
      <c r="A80" s="540"/>
      <c r="B80" s="669"/>
      <c r="C80" s="556"/>
      <c r="D80" s="557"/>
      <c r="E80" s="250" t="s">
        <v>1907</v>
      </c>
      <c r="F80" s="562" t="s">
        <v>1908</v>
      </c>
      <c r="G80" s="562">
        <v>50687</v>
      </c>
      <c r="H80" s="567"/>
      <c r="I80" s="600"/>
      <c r="J80" s="602"/>
      <c r="K80" s="597">
        <v>7.0938</v>
      </c>
      <c r="L80" s="707"/>
      <c r="M80" s="645"/>
      <c r="N80" s="645"/>
      <c r="O80" s="687" t="s">
        <v>3969</v>
      </c>
      <c r="P80" s="642" t="s">
        <v>2430</v>
      </c>
      <c r="Q80" s="655" t="s">
        <v>1671</v>
      </c>
      <c r="R80" s="656"/>
      <c r="S80" s="602"/>
    </row>
    <row r="81" s="10" customFormat="1" ht="29.65" customHeight="1" spans="1:19">
      <c r="A81" s="540"/>
      <c r="B81" s="669"/>
      <c r="C81" s="556"/>
      <c r="D81" s="557"/>
      <c r="E81" s="250" t="s">
        <v>2401</v>
      </c>
      <c r="F81" s="576" t="s">
        <v>3726</v>
      </c>
      <c r="G81" s="562"/>
      <c r="H81" s="592"/>
      <c r="I81" s="600"/>
      <c r="J81" s="602"/>
      <c r="K81" s="597">
        <v>7.0938</v>
      </c>
      <c r="L81" s="707"/>
      <c r="M81" s="644"/>
      <c r="N81" s="709"/>
      <c r="O81" s="687" t="s">
        <v>3970</v>
      </c>
      <c r="P81" s="640"/>
      <c r="Q81" s="655"/>
      <c r="R81" s="656"/>
      <c r="S81" s="602"/>
    </row>
    <row r="82" s="10" customFormat="1" ht="33" spans="1:19">
      <c r="A82" s="540"/>
      <c r="B82" s="669"/>
      <c r="C82" s="556"/>
      <c r="D82" s="557"/>
      <c r="E82" s="565" t="s">
        <v>2977</v>
      </c>
      <c r="F82" s="568" t="s">
        <v>3728</v>
      </c>
      <c r="G82" s="562">
        <v>70000</v>
      </c>
      <c r="H82" s="569"/>
      <c r="I82" s="603"/>
      <c r="J82" s="567"/>
      <c r="K82" s="597">
        <v>7.0938</v>
      </c>
      <c r="L82" s="598"/>
      <c r="M82" s="633"/>
      <c r="N82" s="636"/>
      <c r="O82" s="687" t="s">
        <v>3729</v>
      </c>
      <c r="P82" s="640"/>
      <c r="Q82" s="655"/>
      <c r="R82" s="656"/>
      <c r="S82" s="602"/>
    </row>
    <row r="83" s="10" customFormat="1" ht="33" spans="1:19">
      <c r="A83" s="540"/>
      <c r="B83" s="669"/>
      <c r="C83" s="556"/>
      <c r="D83" s="557"/>
      <c r="E83" s="678" t="s">
        <v>2050</v>
      </c>
      <c r="F83" s="673" t="s">
        <v>3730</v>
      </c>
      <c r="G83" s="683"/>
      <c r="H83" s="616"/>
      <c r="I83" s="683"/>
      <c r="J83" s="683"/>
      <c r="K83" s="597">
        <v>7.0938</v>
      </c>
      <c r="L83" s="683"/>
      <c r="M83" s="683"/>
      <c r="N83" s="694"/>
      <c r="O83" s="628" t="s">
        <v>3971</v>
      </c>
      <c r="P83" s="695" t="s">
        <v>3732</v>
      </c>
      <c r="Q83" s="655" t="s">
        <v>1671</v>
      </c>
      <c r="R83" s="656"/>
      <c r="S83" s="602"/>
    </row>
    <row r="84" s="10" customFormat="1" ht="15.5" customHeight="1" spans="1:19">
      <c r="A84" s="540"/>
      <c r="B84" s="669"/>
      <c r="C84" s="556"/>
      <c r="D84" s="557"/>
      <c r="E84" s="607" t="s">
        <v>3734</v>
      </c>
      <c r="F84" s="673" t="s">
        <v>3735</v>
      </c>
      <c r="G84" s="683"/>
      <c r="H84" s="616"/>
      <c r="I84" s="683"/>
      <c r="J84" s="683"/>
      <c r="K84" s="597">
        <v>7.0938</v>
      </c>
      <c r="L84" s="683"/>
      <c r="M84" s="683"/>
      <c r="N84" s="694"/>
      <c r="O84" s="710" t="s">
        <v>3736</v>
      </c>
      <c r="P84" s="695" t="s">
        <v>3737</v>
      </c>
      <c r="Q84" s="655" t="s">
        <v>1671</v>
      </c>
      <c r="R84" s="656"/>
      <c r="S84" s="602"/>
    </row>
    <row r="85" s="10" customFormat="1" ht="15.5" customHeight="1" spans="1:19">
      <c r="A85" s="540"/>
      <c r="B85" s="669"/>
      <c r="C85" s="556"/>
      <c r="D85" s="557"/>
      <c r="E85" s="572" t="s">
        <v>3677</v>
      </c>
      <c r="F85" s="564"/>
      <c r="G85" s="562"/>
      <c r="H85" s="592"/>
      <c r="I85" s="616"/>
      <c r="J85" s="616"/>
      <c r="K85" s="597">
        <v>7.0938</v>
      </c>
      <c r="L85" s="570"/>
      <c r="M85" s="570"/>
      <c r="N85" s="648"/>
      <c r="O85" s="639" t="s">
        <v>3678</v>
      </c>
      <c r="P85" s="642"/>
      <c r="Q85" s="655"/>
      <c r="R85" s="656"/>
      <c r="S85" s="657"/>
    </row>
    <row r="86" s="10" customFormat="1" ht="15.5" customHeight="1" spans="1:19">
      <c r="A86" s="540"/>
      <c r="B86" s="669"/>
      <c r="C86" s="556"/>
      <c r="D86" s="557"/>
      <c r="E86" s="572" t="s">
        <v>3679</v>
      </c>
      <c r="F86" s="250"/>
      <c r="G86" s="562"/>
      <c r="H86" s="592"/>
      <c r="I86" s="616"/>
      <c r="J86" s="616"/>
      <c r="K86" s="597"/>
      <c r="L86" s="570"/>
      <c r="M86" s="570"/>
      <c r="N86" s="648"/>
      <c r="O86" s="689" t="s">
        <v>3680</v>
      </c>
      <c r="P86" s="642"/>
      <c r="Q86" s="655"/>
      <c r="R86" s="656"/>
      <c r="S86" s="697" t="s">
        <v>3681</v>
      </c>
    </row>
    <row r="87" s="10" customFormat="1" ht="24.75" customHeight="1" spans="1:20">
      <c r="A87" s="540"/>
      <c r="B87" s="669"/>
      <c r="C87" s="670"/>
      <c r="D87" s="557"/>
      <c r="E87" s="572" t="s">
        <v>2126</v>
      </c>
      <c r="F87" s="250" t="s">
        <v>3741</v>
      </c>
      <c r="G87" s="576"/>
      <c r="H87" s="567"/>
      <c r="I87" s="603"/>
      <c r="J87" s="567"/>
      <c r="K87" s="597">
        <v>7.0938</v>
      </c>
      <c r="L87" s="625"/>
      <c r="M87" s="625"/>
      <c r="N87" s="625"/>
      <c r="O87" s="687" t="s">
        <v>3742</v>
      </c>
      <c r="P87" s="642"/>
      <c r="Q87" s="655"/>
      <c r="R87" s="659"/>
      <c r="S87" s="657"/>
      <c r="T87" s="10" t="str">
        <f>_xlfn.DISPIMG("ID_4E2414E2E4DE41F6BB489A61F6336261",1)</f>
        <v>=DISPIMG("ID_4E2414E2E4DE41F6BB489A61F6336261",1)</v>
      </c>
    </row>
    <row r="88" s="10" customFormat="1" ht="16.5" spans="1:19">
      <c r="A88" s="540"/>
      <c r="B88" s="541"/>
      <c r="C88" s="671" t="s">
        <v>2382</v>
      </c>
      <c r="D88" s="557"/>
      <c r="E88" s="572" t="s">
        <v>2404</v>
      </c>
      <c r="F88" s="568" t="s">
        <v>2405</v>
      </c>
      <c r="G88" s="591"/>
      <c r="H88" s="570"/>
      <c r="I88" s="603"/>
      <c r="J88" s="567"/>
      <c r="K88" s="597">
        <v>7.0938</v>
      </c>
      <c r="L88" s="708"/>
      <c r="M88" s="644"/>
      <c r="N88" s="644"/>
      <c r="O88" s="639" t="s">
        <v>3744</v>
      </c>
      <c r="P88" s="642"/>
      <c r="Q88" s="655"/>
      <c r="R88" s="656"/>
      <c r="S88" s="602"/>
    </row>
    <row r="89" s="10" customFormat="1" ht="16.5" spans="1:19">
      <c r="A89" s="540"/>
      <c r="B89" s="541"/>
      <c r="C89" s="671"/>
      <c r="D89" s="557"/>
      <c r="E89" s="572" t="s">
        <v>3745</v>
      </c>
      <c r="F89" s="568" t="s">
        <v>3746</v>
      </c>
      <c r="G89" s="591"/>
      <c r="H89" s="570"/>
      <c r="I89" s="603"/>
      <c r="J89" s="567"/>
      <c r="K89" s="597">
        <v>7.0938</v>
      </c>
      <c r="L89" s="708"/>
      <c r="M89" s="644"/>
      <c r="N89" s="644"/>
      <c r="O89" s="689" t="s">
        <v>3747</v>
      </c>
      <c r="P89" s="642"/>
      <c r="Q89" s="655"/>
      <c r="R89" s="656"/>
      <c r="S89" s="602"/>
    </row>
    <row r="90" s="10" customFormat="1" ht="16.5" spans="1:19">
      <c r="A90" s="540"/>
      <c r="B90" s="541"/>
      <c r="C90" s="671"/>
      <c r="D90" s="557"/>
      <c r="E90" s="574"/>
      <c r="F90" s="705"/>
      <c r="G90" s="591"/>
      <c r="H90" s="616"/>
      <c r="I90" s="605"/>
      <c r="J90" s="592"/>
      <c r="K90" s="597"/>
      <c r="L90" s="708"/>
      <c r="M90" s="644"/>
      <c r="N90" s="644"/>
      <c r="O90" s="639"/>
      <c r="P90" s="642"/>
      <c r="Q90" s="655"/>
      <c r="R90" s="656"/>
      <c r="S90" s="602"/>
    </row>
    <row r="91" s="10" customFormat="1" ht="16.5" spans="1:19">
      <c r="A91" s="540"/>
      <c r="B91" s="541"/>
      <c r="C91" s="671"/>
      <c r="D91" s="557"/>
      <c r="E91" s="574" t="s">
        <v>1113</v>
      </c>
      <c r="F91" s="564" t="s">
        <v>2411</v>
      </c>
      <c r="G91" s="576"/>
      <c r="H91" s="592"/>
      <c r="I91" s="605"/>
      <c r="J91" s="592"/>
      <c r="K91" s="597">
        <v>7.0938</v>
      </c>
      <c r="L91" s="625"/>
      <c r="M91" s="625"/>
      <c r="N91" s="625"/>
      <c r="O91" s="639" t="s">
        <v>3667</v>
      </c>
      <c r="P91" s="642"/>
      <c r="Q91" s="655"/>
      <c r="R91" s="659" t="s">
        <v>3668</v>
      </c>
      <c r="S91" s="657"/>
    </row>
    <row r="92" s="10" customFormat="1" ht="15" customHeight="1" spans="1:19">
      <c r="A92" s="699"/>
      <c r="B92" s="541"/>
      <c r="C92" s="671"/>
      <c r="D92" s="557"/>
      <c r="E92" s="572"/>
      <c r="F92" s="568"/>
      <c r="G92" s="591"/>
      <c r="H92" s="570"/>
      <c r="I92" s="603"/>
      <c r="J92" s="567"/>
      <c r="K92" s="597"/>
      <c r="L92" s="708"/>
      <c r="M92" s="644"/>
      <c r="N92" s="644"/>
      <c r="O92" s="689"/>
      <c r="P92" s="642"/>
      <c r="Q92" s="655"/>
      <c r="R92" s="656"/>
      <c r="S92" s="602"/>
    </row>
    <row r="93" s="10" customFormat="1" ht="16.5" spans="1:19">
      <c r="A93" s="699"/>
      <c r="B93" s="541"/>
      <c r="C93" s="700" t="s">
        <v>3748</v>
      </c>
      <c r="D93" s="701"/>
      <c r="E93" s="250" t="s">
        <v>3177</v>
      </c>
      <c r="F93" s="568" t="s">
        <v>3749</v>
      </c>
      <c r="G93" s="562"/>
      <c r="H93" s="592"/>
      <c r="I93" s="603"/>
      <c r="J93" s="567"/>
      <c r="K93" s="597">
        <v>7.0938</v>
      </c>
      <c r="L93" s="598"/>
      <c r="M93" s="633"/>
      <c r="N93" s="636"/>
      <c r="O93" s="687" t="s">
        <v>3750</v>
      </c>
      <c r="P93" s="642"/>
      <c r="Q93" s="655"/>
      <c r="R93" s="664"/>
      <c r="S93" s="602"/>
    </row>
    <row r="94" s="10" customFormat="1" ht="16.5" spans="1:19">
      <c r="A94" s="699"/>
      <c r="B94" s="541"/>
      <c r="C94" s="702"/>
      <c r="D94" s="701"/>
      <c r="E94" s="706" t="s">
        <v>3751</v>
      </c>
      <c r="F94" s="705"/>
      <c r="G94" s="593"/>
      <c r="H94" s="592"/>
      <c r="I94" s="603"/>
      <c r="J94" s="567"/>
      <c r="K94" s="597">
        <v>7.0938</v>
      </c>
      <c r="L94" s="598"/>
      <c r="M94" s="633"/>
      <c r="N94" s="636"/>
      <c r="O94" s="639" t="s">
        <v>3752</v>
      </c>
      <c r="P94" s="642"/>
      <c r="Q94" s="655"/>
      <c r="R94" s="664"/>
      <c r="S94" s="602" t="s">
        <v>3753</v>
      </c>
    </row>
    <row r="95" s="10" customFormat="1" ht="33" spans="1:19">
      <c r="A95" s="699"/>
      <c r="B95" s="541"/>
      <c r="C95" s="702"/>
      <c r="D95" s="701"/>
      <c r="E95" s="250" t="s">
        <v>3754</v>
      </c>
      <c r="F95" s="705"/>
      <c r="G95" s="593"/>
      <c r="H95" s="592"/>
      <c r="I95" s="603"/>
      <c r="J95" s="567"/>
      <c r="K95" s="597">
        <v>7.0938</v>
      </c>
      <c r="L95" s="598"/>
      <c r="M95" s="633"/>
      <c r="N95" s="636"/>
      <c r="O95" s="639" t="s">
        <v>3755</v>
      </c>
      <c r="P95" s="642"/>
      <c r="Q95" s="655"/>
      <c r="R95" s="664"/>
      <c r="S95" s="602"/>
    </row>
    <row r="96" s="10" customFormat="1" ht="16.5" spans="1:19">
      <c r="A96" s="699"/>
      <c r="B96" s="541"/>
      <c r="C96" s="702"/>
      <c r="D96" s="701"/>
      <c r="E96" s="706" t="s">
        <v>3756</v>
      </c>
      <c r="F96" s="705"/>
      <c r="G96" s="593"/>
      <c r="H96" s="592"/>
      <c r="I96" s="603"/>
      <c r="J96" s="567"/>
      <c r="K96" s="597">
        <v>7.0938</v>
      </c>
      <c r="L96" s="598"/>
      <c r="M96" s="633"/>
      <c r="N96" s="636"/>
      <c r="O96" s="639" t="s">
        <v>3757</v>
      </c>
      <c r="P96" s="642"/>
      <c r="Q96" s="655"/>
      <c r="R96" s="664"/>
      <c r="S96" s="602"/>
    </row>
    <row r="97" s="10" customFormat="1" ht="25.5" customHeight="1" spans="1:19">
      <c r="A97" s="699"/>
      <c r="B97" s="541"/>
      <c r="C97" s="702"/>
      <c r="D97" s="701"/>
      <c r="E97" s="250" t="s">
        <v>3758</v>
      </c>
      <c r="F97" s="712"/>
      <c r="G97" s="712"/>
      <c r="H97" s="675"/>
      <c r="I97" s="732"/>
      <c r="J97" s="732"/>
      <c r="K97" s="597">
        <v>7.0938</v>
      </c>
      <c r="L97" s="598"/>
      <c r="M97" s="645"/>
      <c r="N97" s="645"/>
      <c r="O97" s="624" t="s">
        <v>3759</v>
      </c>
      <c r="P97" s="642"/>
      <c r="Q97" s="655"/>
      <c r="R97" s="664"/>
      <c r="S97" s="745" t="s">
        <v>3760</v>
      </c>
    </row>
    <row r="98" s="10" customFormat="1" ht="16.5" spans="1:19">
      <c r="A98" s="699"/>
      <c r="B98" s="541"/>
      <c r="C98" s="700" t="s">
        <v>3761</v>
      </c>
      <c r="D98" s="701"/>
      <c r="E98" s="676" t="s">
        <v>3762</v>
      </c>
      <c r="F98" s="712"/>
      <c r="G98" s="712"/>
      <c r="H98" s="675"/>
      <c r="I98" s="732"/>
      <c r="J98" s="732"/>
      <c r="K98" s="597">
        <v>7.0938</v>
      </c>
      <c r="L98" s="598"/>
      <c r="M98" s="645"/>
      <c r="N98" s="645"/>
      <c r="O98" s="624" t="s">
        <v>3763</v>
      </c>
      <c r="P98" s="642"/>
      <c r="Q98" s="655"/>
      <c r="R98" s="664"/>
      <c r="S98" s="602"/>
    </row>
    <row r="99" s="10" customFormat="1" ht="16.5" spans="1:19">
      <c r="A99" s="699"/>
      <c r="B99" s="541"/>
      <c r="C99" s="702"/>
      <c r="D99" s="701"/>
      <c r="E99" s="250" t="s">
        <v>3942</v>
      </c>
      <c r="F99" s="712"/>
      <c r="G99" s="712"/>
      <c r="H99" s="675"/>
      <c r="I99" s="732"/>
      <c r="J99" s="732"/>
      <c r="K99" s="733"/>
      <c r="L99" s="598"/>
      <c r="M99" s="645"/>
      <c r="N99" s="645"/>
      <c r="O99" s="624" t="s">
        <v>3972</v>
      </c>
      <c r="P99" s="642"/>
      <c r="Q99" s="655"/>
      <c r="R99" s="664"/>
      <c r="S99" s="602"/>
    </row>
    <row r="100" s="10" customFormat="1" ht="16.5" spans="1:19">
      <c r="A100" s="699"/>
      <c r="B100" s="541"/>
      <c r="C100" s="712" t="s">
        <v>1874</v>
      </c>
      <c r="D100" s="712"/>
      <c r="E100" s="712"/>
      <c r="F100" s="712"/>
      <c r="G100" s="712"/>
      <c r="H100" s="675">
        <f>SUM(H45:H92)</f>
        <v>6136137</v>
      </c>
      <c r="I100" s="732"/>
      <c r="J100" s="732"/>
      <c r="K100" s="733"/>
      <c r="L100" s="598"/>
      <c r="M100" s="645"/>
      <c r="N100" s="645"/>
      <c r="O100" s="622"/>
      <c r="P100" s="642"/>
      <c r="Q100" s="655"/>
      <c r="R100" s="664"/>
      <c r="S100" s="602"/>
    </row>
    <row r="101" s="10" customFormat="1" ht="33.55" customHeight="1" spans="1:19">
      <c r="A101" s="537" t="s">
        <v>1092</v>
      </c>
      <c r="B101" s="537" t="s">
        <v>1820</v>
      </c>
      <c r="C101" s="538" t="s">
        <v>1946</v>
      </c>
      <c r="D101" s="539" t="s">
        <v>3764</v>
      </c>
      <c r="E101" s="539" t="s">
        <v>1822</v>
      </c>
      <c r="F101" s="558" t="s">
        <v>1095</v>
      </c>
      <c r="G101" s="559" t="s">
        <v>362</v>
      </c>
      <c r="H101" s="560" t="s">
        <v>1716</v>
      </c>
      <c r="I101" s="560" t="s">
        <v>1717</v>
      </c>
      <c r="J101" s="560" t="s">
        <v>1718</v>
      </c>
      <c r="K101" s="594" t="s">
        <v>1866</v>
      </c>
      <c r="L101" s="595" t="s">
        <v>1098</v>
      </c>
      <c r="M101" s="619" t="s">
        <v>3620</v>
      </c>
      <c r="N101" s="619" t="s">
        <v>1214</v>
      </c>
      <c r="O101" s="620" t="s">
        <v>1215</v>
      </c>
      <c r="P101" s="621" t="s">
        <v>7</v>
      </c>
      <c r="Q101" s="746" t="s">
        <v>8</v>
      </c>
      <c r="R101" s="747" t="s">
        <v>9</v>
      </c>
      <c r="S101" s="654" t="s">
        <v>1291</v>
      </c>
    </row>
    <row r="102" s="10" customFormat="1" ht="16.5" spans="1:19">
      <c r="A102" s="713" t="s">
        <v>1913</v>
      </c>
      <c r="B102" s="541" t="s">
        <v>1824</v>
      </c>
      <c r="C102" s="556" t="s">
        <v>1248</v>
      </c>
      <c r="D102" s="557">
        <v>155</v>
      </c>
      <c r="E102" s="541" t="s">
        <v>299</v>
      </c>
      <c r="F102" s="572" t="s">
        <v>2504</v>
      </c>
      <c r="G102" s="722">
        <v>12079</v>
      </c>
      <c r="H102" s="567"/>
      <c r="I102" s="567"/>
      <c r="J102" s="734">
        <v>85686.02</v>
      </c>
      <c r="K102" s="597">
        <v>7.1059</v>
      </c>
      <c r="L102" s="598">
        <v>45364</v>
      </c>
      <c r="M102" s="598">
        <v>45378</v>
      </c>
      <c r="N102" s="598">
        <v>45384</v>
      </c>
      <c r="O102" s="740" t="s">
        <v>3973</v>
      </c>
      <c r="P102" s="673"/>
      <c r="Q102" s="748"/>
      <c r="R102" s="749"/>
      <c r="S102" s="750"/>
    </row>
    <row r="103" s="10" customFormat="1" ht="16.5" spans="1:19">
      <c r="A103" s="713"/>
      <c r="B103" s="541"/>
      <c r="C103" s="556"/>
      <c r="D103" s="557"/>
      <c r="E103" s="568" t="s">
        <v>274</v>
      </c>
      <c r="F103" s="723" t="s">
        <v>3811</v>
      </c>
      <c r="G103" s="576">
        <v>13769</v>
      </c>
      <c r="H103" s="567">
        <f>G103*K103</f>
        <v>97674.5322</v>
      </c>
      <c r="I103" s="577">
        <f>H103</f>
        <v>97674.5322</v>
      </c>
      <c r="J103" s="734">
        <v>14198.8</v>
      </c>
      <c r="K103" s="597">
        <v>7.0938</v>
      </c>
      <c r="L103" s="598" t="s">
        <v>1218</v>
      </c>
      <c r="M103" s="625">
        <v>45408</v>
      </c>
      <c r="N103" s="625">
        <v>45412</v>
      </c>
      <c r="O103" s="740" t="s">
        <v>3974</v>
      </c>
      <c r="P103" s="250"/>
      <c r="Q103" s="751"/>
      <c r="R103" s="752"/>
      <c r="S103" s="750"/>
    </row>
    <row r="104" s="10" customFormat="1" ht="16.5" spans="1:19">
      <c r="A104" s="713"/>
      <c r="B104" s="541"/>
      <c r="C104" s="714" t="s">
        <v>1922</v>
      </c>
      <c r="D104" s="655">
        <v>70</v>
      </c>
      <c r="E104" s="568" t="s">
        <v>324</v>
      </c>
      <c r="F104" s="571" t="s">
        <v>3770</v>
      </c>
      <c r="G104" s="576">
        <v>11556</v>
      </c>
      <c r="H104" s="567"/>
      <c r="I104" s="567"/>
      <c r="J104" s="734">
        <v>81975.95</v>
      </c>
      <c r="K104" s="597">
        <v>7.1059</v>
      </c>
      <c r="L104" s="625">
        <v>45379</v>
      </c>
      <c r="M104" s="625">
        <v>45379</v>
      </c>
      <c r="N104" s="625">
        <v>45383</v>
      </c>
      <c r="O104" s="740" t="s">
        <v>3975</v>
      </c>
      <c r="P104" s="250"/>
      <c r="Q104" s="751"/>
      <c r="R104" s="752"/>
      <c r="S104" s="750"/>
    </row>
    <row r="105" s="10" customFormat="1" ht="16.5" spans="1:19">
      <c r="A105" s="713"/>
      <c r="B105" s="541"/>
      <c r="C105" s="714"/>
      <c r="D105" s="655"/>
      <c r="E105" s="571" t="s">
        <v>174</v>
      </c>
      <c r="F105" s="724" t="s">
        <v>3774</v>
      </c>
      <c r="G105" s="576">
        <v>32599</v>
      </c>
      <c r="H105" s="567"/>
      <c r="I105" s="567"/>
      <c r="J105" s="734">
        <v>231250.78</v>
      </c>
      <c r="K105" s="597">
        <v>7.1059</v>
      </c>
      <c r="L105" s="625">
        <v>45377</v>
      </c>
      <c r="M105" s="625">
        <v>45380</v>
      </c>
      <c r="N105" s="625">
        <v>45386</v>
      </c>
      <c r="O105" s="740" t="s">
        <v>3975</v>
      </c>
      <c r="P105" s="250"/>
      <c r="Q105" s="751"/>
      <c r="R105" s="752"/>
      <c r="S105" s="750"/>
    </row>
    <row r="106" s="10" customFormat="1" ht="16.5" spans="1:19">
      <c r="A106" s="713"/>
      <c r="B106" s="541"/>
      <c r="C106" s="714"/>
      <c r="D106" s="655"/>
      <c r="E106" s="568" t="s">
        <v>1405</v>
      </c>
      <c r="F106" s="568" t="s">
        <v>1962</v>
      </c>
      <c r="G106" s="722">
        <v>33343</v>
      </c>
      <c r="H106" s="567"/>
      <c r="I106" s="567"/>
      <c r="J106" s="734">
        <v>236528.56</v>
      </c>
      <c r="K106" s="597">
        <v>7.1059</v>
      </c>
      <c r="L106" s="598" t="s">
        <v>1218</v>
      </c>
      <c r="M106" s="625">
        <v>45380</v>
      </c>
      <c r="N106" s="625">
        <v>45383</v>
      </c>
      <c r="O106" s="740" t="s">
        <v>3975</v>
      </c>
      <c r="P106" s="250"/>
      <c r="Q106" s="751"/>
      <c r="R106" s="752"/>
      <c r="S106" s="750"/>
    </row>
    <row r="107" s="10" customFormat="1" ht="16.5" spans="1:19">
      <c r="A107" s="713"/>
      <c r="B107" s="541"/>
      <c r="C107" s="714"/>
      <c r="D107" s="655"/>
      <c r="E107" s="568" t="s">
        <v>133</v>
      </c>
      <c r="F107" s="672" t="s">
        <v>3781</v>
      </c>
      <c r="G107" s="576">
        <v>1000</v>
      </c>
      <c r="H107" s="567"/>
      <c r="I107" s="567"/>
      <c r="J107" s="735"/>
      <c r="K107" s="597">
        <v>7.1059</v>
      </c>
      <c r="L107" s="598" t="s">
        <v>1218</v>
      </c>
      <c r="M107" s="625">
        <v>45381</v>
      </c>
      <c r="N107" s="741" t="s">
        <v>2805</v>
      </c>
      <c r="O107" s="740" t="s">
        <v>3976</v>
      </c>
      <c r="P107" s="250"/>
      <c r="Q107" s="751"/>
      <c r="R107" s="752"/>
      <c r="S107" s="750"/>
    </row>
    <row r="108" s="10" customFormat="1" ht="16.5" spans="1:19">
      <c r="A108" s="713"/>
      <c r="B108" s="541"/>
      <c r="C108" s="714"/>
      <c r="D108" s="655"/>
      <c r="E108" s="705" t="s">
        <v>2496</v>
      </c>
      <c r="F108" s="568" t="s">
        <v>3777</v>
      </c>
      <c r="G108" s="722">
        <v>69583</v>
      </c>
      <c r="H108" s="567"/>
      <c r="I108" s="567"/>
      <c r="J108" s="734">
        <v>493607.89</v>
      </c>
      <c r="K108" s="597">
        <v>7.1059</v>
      </c>
      <c r="L108" s="598" t="s">
        <v>1218</v>
      </c>
      <c r="M108" s="625">
        <v>45381</v>
      </c>
      <c r="N108" s="625">
        <v>45385</v>
      </c>
      <c r="O108" s="740" t="s">
        <v>3975</v>
      </c>
      <c r="P108" s="250"/>
      <c r="Q108" s="751"/>
      <c r="R108" s="752"/>
      <c r="S108" s="750"/>
    </row>
    <row r="109" s="10" customFormat="1" ht="16.5" spans="1:19">
      <c r="A109" s="713"/>
      <c r="B109" s="541"/>
      <c r="C109" s="714"/>
      <c r="D109" s="655"/>
      <c r="E109" s="244" t="s">
        <v>97</v>
      </c>
      <c r="F109" s="571" t="s">
        <v>3798</v>
      </c>
      <c r="G109" s="576">
        <v>15500</v>
      </c>
      <c r="H109" s="567">
        <f>G109*K109</f>
        <v>109953.9</v>
      </c>
      <c r="I109" s="577">
        <f>H109</f>
        <v>109953.9</v>
      </c>
      <c r="J109" s="577"/>
      <c r="K109" s="597">
        <v>7.0938</v>
      </c>
      <c r="L109" s="736">
        <v>45402</v>
      </c>
      <c r="M109" s="625">
        <v>45402</v>
      </c>
      <c r="N109" s="625">
        <v>45415</v>
      </c>
      <c r="O109" s="740" t="s">
        <v>3977</v>
      </c>
      <c r="P109" s="250"/>
      <c r="Q109" s="751"/>
      <c r="R109" s="752"/>
      <c r="S109" s="750"/>
    </row>
    <row r="110" s="10" customFormat="1" ht="16.5" spans="1:19">
      <c r="A110" s="713"/>
      <c r="B110" s="541"/>
      <c r="C110" s="714"/>
      <c r="D110" s="655"/>
      <c r="E110" s="568" t="s">
        <v>165</v>
      </c>
      <c r="F110" s="571" t="s">
        <v>2519</v>
      </c>
      <c r="G110" s="576">
        <v>12945</v>
      </c>
      <c r="H110" s="567">
        <f>G110*K110</f>
        <v>91829.241</v>
      </c>
      <c r="I110" s="577">
        <f>H110</f>
        <v>91829.241</v>
      </c>
      <c r="J110" s="735">
        <v>91829.241</v>
      </c>
      <c r="K110" s="597">
        <v>7.0938</v>
      </c>
      <c r="L110" s="598" t="s">
        <v>1218</v>
      </c>
      <c r="M110" s="625">
        <v>45402</v>
      </c>
      <c r="N110" s="645">
        <v>45409</v>
      </c>
      <c r="O110" s="740" t="s">
        <v>3978</v>
      </c>
      <c r="P110" s="250"/>
      <c r="Q110" s="751"/>
      <c r="R110" s="752"/>
      <c r="S110" s="750"/>
    </row>
    <row r="111" s="10" customFormat="1" ht="33" spans="1:19">
      <c r="A111" s="713"/>
      <c r="B111" s="541"/>
      <c r="C111" s="715" t="s">
        <v>209</v>
      </c>
      <c r="D111" s="716">
        <v>60</v>
      </c>
      <c r="E111" s="568" t="s">
        <v>256</v>
      </c>
      <c r="F111" s="571" t="s">
        <v>3979</v>
      </c>
      <c r="G111" s="576">
        <v>34714</v>
      </c>
      <c r="H111" s="567">
        <f>G111*K111</f>
        <v>246674.2126</v>
      </c>
      <c r="I111" s="577">
        <f>H111</f>
        <v>246674.2126</v>
      </c>
      <c r="J111" s="577">
        <v>252688.18</v>
      </c>
      <c r="K111" s="597">
        <v>7.1059</v>
      </c>
      <c r="L111" s="598" t="s">
        <v>1218</v>
      </c>
      <c r="M111" s="742">
        <v>45395</v>
      </c>
      <c r="N111" s="625">
        <v>45399</v>
      </c>
      <c r="O111" s="743" t="s">
        <v>3980</v>
      </c>
      <c r="P111" s="572"/>
      <c r="Q111" s="572"/>
      <c r="R111" s="752"/>
      <c r="S111" s="753"/>
    </row>
    <row r="112" s="10" customFormat="1" ht="33" spans="1:19">
      <c r="A112" s="713"/>
      <c r="B112" s="541"/>
      <c r="C112" s="544"/>
      <c r="D112" s="716"/>
      <c r="E112" s="568" t="s">
        <v>256</v>
      </c>
      <c r="F112" s="571" t="s">
        <v>3981</v>
      </c>
      <c r="G112" s="576">
        <v>28130</v>
      </c>
      <c r="H112" s="567">
        <f>G112*K112</f>
        <v>199548.594</v>
      </c>
      <c r="I112" s="577">
        <f>H112</f>
        <v>199548.594</v>
      </c>
      <c r="J112" s="577"/>
      <c r="K112" s="597">
        <v>7.0938</v>
      </c>
      <c r="L112" s="598" t="s">
        <v>1218</v>
      </c>
      <c r="M112" s="742">
        <v>45408</v>
      </c>
      <c r="N112" s="625">
        <v>45415</v>
      </c>
      <c r="O112" s="743" t="s">
        <v>3982</v>
      </c>
      <c r="P112" s="572"/>
      <c r="Q112" s="572"/>
      <c r="R112" s="752"/>
      <c r="S112" s="753"/>
    </row>
    <row r="113" s="10" customFormat="1" ht="16.5" spans="1:19">
      <c r="A113" s="713"/>
      <c r="B113" s="541"/>
      <c r="C113" s="544"/>
      <c r="D113" s="716"/>
      <c r="E113" s="568" t="s">
        <v>243</v>
      </c>
      <c r="F113" s="571" t="s">
        <v>3983</v>
      </c>
      <c r="G113" s="576">
        <v>500</v>
      </c>
      <c r="H113" s="567">
        <f>G113*K113</f>
        <v>3546.9</v>
      </c>
      <c r="I113" s="577">
        <f>H113</f>
        <v>3546.9</v>
      </c>
      <c r="J113" s="577">
        <v>3226.75</v>
      </c>
      <c r="K113" s="597">
        <v>7.0938</v>
      </c>
      <c r="L113" s="598" t="s">
        <v>1218</v>
      </c>
      <c r="M113" s="742">
        <v>45391</v>
      </c>
      <c r="N113" s="625" t="s">
        <v>1125</v>
      </c>
      <c r="O113" s="743" t="s">
        <v>3984</v>
      </c>
      <c r="P113" s="572"/>
      <c r="Q113" s="572"/>
      <c r="R113" s="752"/>
      <c r="S113" s="753"/>
    </row>
    <row r="114" s="10" customFormat="1" ht="16.5" spans="1:19">
      <c r="A114" s="713"/>
      <c r="B114" s="541"/>
      <c r="C114" s="715"/>
      <c r="D114" s="716"/>
      <c r="E114" s="561" t="s">
        <v>175</v>
      </c>
      <c r="F114" s="571" t="s">
        <v>3788</v>
      </c>
      <c r="G114" s="576">
        <v>26600</v>
      </c>
      <c r="I114" s="567"/>
      <c r="J114" s="577">
        <v>166470</v>
      </c>
      <c r="K114" s="597">
        <v>7.0938</v>
      </c>
      <c r="L114" s="598" t="s">
        <v>1218</v>
      </c>
      <c r="M114" s="742">
        <v>45380</v>
      </c>
      <c r="N114" s="625">
        <v>45384</v>
      </c>
      <c r="O114" s="740" t="s">
        <v>3975</v>
      </c>
      <c r="P114" s="572"/>
      <c r="Q114" s="572"/>
      <c r="R114" s="752"/>
      <c r="S114" s="753"/>
    </row>
    <row r="115" s="10" customFormat="1" ht="16.5" spans="1:19">
      <c r="A115" s="713"/>
      <c r="B115" s="541"/>
      <c r="C115" s="666" t="s">
        <v>3985</v>
      </c>
      <c r="D115" s="655">
        <v>30</v>
      </c>
      <c r="E115" s="259"/>
      <c r="F115" s="259"/>
      <c r="G115" s="259"/>
      <c r="H115" s="567"/>
      <c r="I115" s="259"/>
      <c r="J115" s="259"/>
      <c r="K115" s="259"/>
      <c r="L115" s="259"/>
      <c r="M115"/>
      <c r="N115"/>
      <c r="O115"/>
      <c r="P115" s="572"/>
      <c r="Q115" s="572"/>
      <c r="R115" s="752"/>
      <c r="S115" s="753"/>
    </row>
    <row r="116" s="10" customFormat="1" ht="16.5" spans="1:19">
      <c r="A116" s="713"/>
      <c r="B116" s="541"/>
      <c r="C116" s="666" t="s">
        <v>1437</v>
      </c>
      <c r="D116" s="655">
        <v>155</v>
      </c>
      <c r="E116" s="568" t="s">
        <v>1974</v>
      </c>
      <c r="F116" s="568" t="s">
        <v>3792</v>
      </c>
      <c r="G116" s="725">
        <v>106190</v>
      </c>
      <c r="H116" s="567"/>
      <c r="I116" s="567"/>
      <c r="J116" s="737">
        <v>753290.62</v>
      </c>
      <c r="K116" s="597">
        <v>7.1059</v>
      </c>
      <c r="L116" s="625">
        <v>45381</v>
      </c>
      <c r="M116" s="742">
        <v>45381</v>
      </c>
      <c r="N116" s="625">
        <v>45386</v>
      </c>
      <c r="O116" s="740" t="s">
        <v>3986</v>
      </c>
      <c r="P116" s="572"/>
      <c r="Q116" s="572"/>
      <c r="R116" s="752"/>
      <c r="S116" s="753"/>
    </row>
    <row r="117" s="10" customFormat="1" ht="18.75" customHeight="1" spans="1:19">
      <c r="A117" s="713"/>
      <c r="B117" s="541"/>
      <c r="C117" s="583" t="s">
        <v>3648</v>
      </c>
      <c r="D117" s="552">
        <v>4700000</v>
      </c>
      <c r="E117" s="715"/>
      <c r="F117" s="571"/>
      <c r="G117" s="726" t="s">
        <v>1235</v>
      </c>
      <c r="H117" s="675">
        <f>SUM(H102:H116)</f>
        <v>749227.3798</v>
      </c>
      <c r="I117" s="675">
        <f>SUM(I102:I116)</f>
        <v>749227.3798</v>
      </c>
      <c r="J117" s="675">
        <f>SUM(J102:J116)</f>
        <v>2410752.791</v>
      </c>
      <c r="K117" s="597"/>
      <c r="L117" s="598"/>
      <c r="M117" s="644"/>
      <c r="N117" s="644"/>
      <c r="O117" s="740"/>
      <c r="P117" s="572"/>
      <c r="Q117" s="572"/>
      <c r="R117" s="752"/>
      <c r="S117" s="753"/>
    </row>
    <row r="118" s="10" customFormat="1" ht="18.75" customHeight="1" spans="1:19">
      <c r="A118" s="713"/>
      <c r="B118" s="541"/>
      <c r="C118" s="717"/>
      <c r="D118" s="581"/>
      <c r="E118" s="727" t="s">
        <v>3794</v>
      </c>
      <c r="F118" s="552" t="e">
        <f>#REF!+#REF!+'2024.03'!I97+H117</f>
        <v>#REF!</v>
      </c>
      <c r="G118" s="726" t="s">
        <v>3649</v>
      </c>
      <c r="H118" s="728">
        <f>H117/4700000</f>
        <v>0.159410080808511</v>
      </c>
      <c r="I118" s="728">
        <f>I117/4700000</f>
        <v>0.159410080808511</v>
      </c>
      <c r="J118" s="728">
        <f>J117/4700000</f>
        <v>0.512926125744681</v>
      </c>
      <c r="K118" s="614"/>
      <c r="L118" s="598"/>
      <c r="M118" s="644"/>
      <c r="N118" s="644"/>
      <c r="O118" s="740"/>
      <c r="P118" s="572"/>
      <c r="Q118" s="572"/>
      <c r="R118" s="752"/>
      <c r="S118" s="753"/>
    </row>
    <row r="119" s="536" customFormat="1" ht="16.5" spans="1:19">
      <c r="A119" s="718"/>
      <c r="B119" s="541"/>
      <c r="C119" s="719" t="s">
        <v>3650</v>
      </c>
      <c r="D119" s="720" t="e">
        <f>#REF!+#REF!+'2024.03'!D97+D117</f>
        <v>#REF!</v>
      </c>
      <c r="E119" s="729" t="s">
        <v>3651</v>
      </c>
      <c r="F119" s="552" t="e">
        <f>D119-F118</f>
        <v>#REF!</v>
      </c>
      <c r="G119" s="653" t="s">
        <v>3652</v>
      </c>
      <c r="H119" s="730" t="e">
        <f>F118/D119</f>
        <v>#REF!</v>
      </c>
      <c r="I119" s="738"/>
      <c r="J119" s="738"/>
      <c r="K119" s="738"/>
      <c r="L119" s="739"/>
      <c r="M119" s="738"/>
      <c r="N119" s="738"/>
      <c r="O119" s="740"/>
      <c r="P119" s="744"/>
      <c r="Q119" s="250"/>
      <c r="R119" s="744"/>
      <c r="S119" s="754"/>
    </row>
    <row r="120" s="10" customFormat="1" ht="30" spans="1:19">
      <c r="A120" s="718"/>
      <c r="B120" s="553" t="s">
        <v>1820</v>
      </c>
      <c r="C120" s="554" t="s">
        <v>1946</v>
      </c>
      <c r="D120" s="555" t="s">
        <v>1821</v>
      </c>
      <c r="E120" s="555" t="s">
        <v>1822</v>
      </c>
      <c r="F120" s="588" t="s">
        <v>1095</v>
      </c>
      <c r="G120" s="589" t="s">
        <v>362</v>
      </c>
      <c r="H120" s="590" t="s">
        <v>1865</v>
      </c>
      <c r="I120" s="590"/>
      <c r="J120" s="590"/>
      <c r="K120" s="590" t="s">
        <v>1866</v>
      </c>
      <c r="L120" s="615" t="s">
        <v>1098</v>
      </c>
      <c r="M120" s="590" t="s">
        <v>1867</v>
      </c>
      <c r="N120" s="646"/>
      <c r="O120" s="740"/>
      <c r="P120" s="744"/>
      <c r="Q120" s="572"/>
      <c r="R120" s="744"/>
      <c r="S120" s="754"/>
    </row>
    <row r="121" s="10" customFormat="1" ht="16.5" spans="1:19">
      <c r="A121" s="718"/>
      <c r="B121" s="541" t="s">
        <v>1947</v>
      </c>
      <c r="C121" s="542" t="s">
        <v>1248</v>
      </c>
      <c r="D121" s="543" t="s">
        <v>1125</v>
      </c>
      <c r="E121" s="568"/>
      <c r="F121" s="579"/>
      <c r="G121" s="722"/>
      <c r="H121" s="567"/>
      <c r="I121" s="735"/>
      <c r="J121" s="735"/>
      <c r="K121" s="597">
        <v>7.0938</v>
      </c>
      <c r="L121" s="598"/>
      <c r="M121" s="625"/>
      <c r="N121" s="625"/>
      <c r="O121" s="740"/>
      <c r="P121" s="744"/>
      <c r="Q121" s="572"/>
      <c r="R121" s="744"/>
      <c r="S121" s="754"/>
    </row>
    <row r="122" s="10" customFormat="1" ht="16.5" spans="1:19">
      <c r="A122" s="718"/>
      <c r="B122" s="541"/>
      <c r="C122" s="715" t="s">
        <v>1922</v>
      </c>
      <c r="D122" s="545"/>
      <c r="E122" s="568" t="s">
        <v>324</v>
      </c>
      <c r="F122" s="571" t="s">
        <v>3796</v>
      </c>
      <c r="G122" s="576">
        <v>11556</v>
      </c>
      <c r="H122" s="567">
        <f>G122*K122</f>
        <v>81975.9528</v>
      </c>
      <c r="I122" s="570"/>
      <c r="J122" s="577"/>
      <c r="K122" s="597">
        <v>7.0938</v>
      </c>
      <c r="L122" s="625">
        <v>45381</v>
      </c>
      <c r="M122" s="625" t="s">
        <v>2792</v>
      </c>
      <c r="N122" s="625"/>
      <c r="O122" s="740" t="s">
        <v>3987</v>
      </c>
      <c r="P122" s="250"/>
      <c r="Q122" s="572"/>
      <c r="R122" s="744"/>
      <c r="S122" s="754"/>
    </row>
    <row r="123" s="10" customFormat="1" ht="18.75" customHeight="1" spans="1:19">
      <c r="A123" s="713"/>
      <c r="B123" s="721"/>
      <c r="C123" s="715"/>
      <c r="D123" s="557"/>
      <c r="E123" s="568" t="s">
        <v>97</v>
      </c>
      <c r="F123" s="571" t="s">
        <v>3800</v>
      </c>
      <c r="G123" s="576">
        <v>15500</v>
      </c>
      <c r="H123" s="567">
        <f>G123*K123</f>
        <v>109953.9</v>
      </c>
      <c r="I123" s="570"/>
      <c r="J123" s="577"/>
      <c r="K123" s="597">
        <v>7.0938</v>
      </c>
      <c r="L123" s="736">
        <v>45402</v>
      </c>
      <c r="M123" s="625" t="s">
        <v>2792</v>
      </c>
      <c r="N123" s="625"/>
      <c r="O123" s="740" t="s">
        <v>3799</v>
      </c>
      <c r="P123" s="250"/>
      <c r="Q123" s="751"/>
      <c r="R123" s="755"/>
      <c r="S123" s="756"/>
    </row>
    <row r="124" s="10" customFormat="1" ht="18.75" customHeight="1" spans="1:19">
      <c r="A124" s="713"/>
      <c r="B124" s="721"/>
      <c r="C124" s="715"/>
      <c r="D124" s="557"/>
      <c r="E124" s="571" t="s">
        <v>174</v>
      </c>
      <c r="F124" s="724" t="s">
        <v>3801</v>
      </c>
      <c r="G124" s="576">
        <v>42740</v>
      </c>
      <c r="H124" s="567">
        <f>G124*K124</f>
        <v>303189.012</v>
      </c>
      <c r="I124" s="570"/>
      <c r="J124" s="735"/>
      <c r="K124" s="597">
        <v>7.0938</v>
      </c>
      <c r="L124" s="625">
        <v>45427</v>
      </c>
      <c r="M124" s="625" t="s">
        <v>2805</v>
      </c>
      <c r="N124" s="625"/>
      <c r="O124" s="740" t="s">
        <v>3988</v>
      </c>
      <c r="P124" s="250"/>
      <c r="Q124" s="751"/>
      <c r="R124" s="755"/>
      <c r="S124" s="756"/>
    </row>
    <row r="125" s="10" customFormat="1" ht="16.5" spans="1:19">
      <c r="A125" s="713"/>
      <c r="B125" s="541"/>
      <c r="C125" s="544"/>
      <c r="D125" s="543"/>
      <c r="E125" s="568" t="s">
        <v>1169</v>
      </c>
      <c r="F125" s="571" t="s">
        <v>2520</v>
      </c>
      <c r="G125" s="576">
        <v>35000</v>
      </c>
      <c r="H125" s="567">
        <f>G125*K125</f>
        <v>248283</v>
      </c>
      <c r="I125" s="577"/>
      <c r="J125" s="577"/>
      <c r="K125" s="597">
        <v>7.0938</v>
      </c>
      <c r="L125" s="598" t="s">
        <v>1218</v>
      </c>
      <c r="M125" s="625"/>
      <c r="N125" s="625"/>
      <c r="O125" s="743" t="s">
        <v>3989</v>
      </c>
      <c r="P125" s="572"/>
      <c r="Q125" s="572"/>
      <c r="R125" s="752"/>
      <c r="S125" s="753"/>
    </row>
    <row r="126" s="10" customFormat="1" ht="18.75" customHeight="1" spans="1:19">
      <c r="A126" s="713"/>
      <c r="B126" s="721"/>
      <c r="C126" s="556" t="s">
        <v>209</v>
      </c>
      <c r="D126" s="557"/>
      <c r="E126" s="568" t="s">
        <v>1340</v>
      </c>
      <c r="F126" s="568" t="s">
        <v>3990</v>
      </c>
      <c r="G126" s="576">
        <v>34489</v>
      </c>
      <c r="H126" s="567">
        <f>G126*K126</f>
        <v>244658.0682</v>
      </c>
      <c r="I126" s="570"/>
      <c r="J126" s="577"/>
      <c r="K126" s="597">
        <v>7.0938</v>
      </c>
      <c r="L126" s="598" t="s">
        <v>1961</v>
      </c>
      <c r="M126" s="625" t="s">
        <v>621</v>
      </c>
      <c r="N126" s="625"/>
      <c r="O126" s="740" t="s">
        <v>3991</v>
      </c>
      <c r="P126" s="250"/>
      <c r="Q126" s="751"/>
      <c r="R126" s="755"/>
      <c r="S126" s="756"/>
    </row>
    <row r="127" s="10" customFormat="1" ht="18.75" customHeight="1" spans="1:19">
      <c r="A127" s="713"/>
      <c r="B127" s="721"/>
      <c r="C127" s="670"/>
      <c r="D127" s="557"/>
      <c r="E127" s="571"/>
      <c r="F127" s="731"/>
      <c r="G127" s="576"/>
      <c r="H127" s="567"/>
      <c r="I127" s="735"/>
      <c r="J127" s="735"/>
      <c r="K127" s="597">
        <v>7.0938</v>
      </c>
      <c r="L127" s="598"/>
      <c r="M127" s="625"/>
      <c r="N127" s="625"/>
      <c r="O127" s="740"/>
      <c r="P127" s="250"/>
      <c r="Q127" s="751"/>
      <c r="R127" s="755"/>
      <c r="S127" s="756"/>
    </row>
    <row r="128" s="10" customFormat="1" ht="18.75" customHeight="1" spans="1:19">
      <c r="A128" s="713"/>
      <c r="B128" s="541"/>
      <c r="C128" s="568" t="s">
        <v>1437</v>
      </c>
      <c r="D128" s="547"/>
      <c r="E128" s="568"/>
      <c r="F128" s="568"/>
      <c r="G128" s="576"/>
      <c r="H128" s="567"/>
      <c r="I128" s="735"/>
      <c r="J128" s="735"/>
      <c r="K128" s="597">
        <v>7.0938</v>
      </c>
      <c r="L128" s="598"/>
      <c r="M128" s="625"/>
      <c r="N128" s="625"/>
      <c r="O128" s="740"/>
      <c r="P128" s="250"/>
      <c r="Q128" s="751"/>
      <c r="R128" s="755"/>
      <c r="S128" s="756"/>
    </row>
    <row r="129" s="10" customFormat="1" ht="18.75" customHeight="1" spans="1:19">
      <c r="A129" s="713"/>
      <c r="B129" s="672"/>
      <c r="C129" s="757" t="s">
        <v>1874</v>
      </c>
      <c r="D129" s="758"/>
      <c r="E129" s="758"/>
      <c r="F129" s="758"/>
      <c r="G129" s="760"/>
      <c r="H129" s="761">
        <f>SUM(H121:H128)</f>
        <v>988059.933</v>
      </c>
      <c r="I129" s="766"/>
      <c r="J129" s="766"/>
      <c r="K129" s="597"/>
      <c r="L129" s="598"/>
      <c r="M129" s="598"/>
      <c r="N129" s="598"/>
      <c r="O129" s="740"/>
      <c r="P129" s="250"/>
      <c r="Q129" s="751"/>
      <c r="R129" s="755"/>
      <c r="S129" s="756"/>
    </row>
    <row r="130" s="10" customFormat="1" ht="16.5" spans="1:19">
      <c r="A130" s="713"/>
      <c r="B130" s="564" t="s">
        <v>1875</v>
      </c>
      <c r="C130" s="666" t="s">
        <v>1248</v>
      </c>
      <c r="D130" s="759" t="s">
        <v>1125</v>
      </c>
      <c r="E130" s="705" t="s">
        <v>299</v>
      </c>
      <c r="F130" s="723" t="s">
        <v>3803</v>
      </c>
      <c r="G130" s="762">
        <v>31395</v>
      </c>
      <c r="H130" s="567">
        <f t="shared" ref="H130:H136" si="3">G130*K130</f>
        <v>222709.851</v>
      </c>
      <c r="I130" s="570"/>
      <c r="J130" s="570"/>
      <c r="K130" s="597">
        <v>7.0938</v>
      </c>
      <c r="L130" s="736"/>
      <c r="M130" s="625" t="s">
        <v>621</v>
      </c>
      <c r="N130" s="625"/>
      <c r="O130" s="768" t="s">
        <v>3992</v>
      </c>
      <c r="P130" s="250"/>
      <c r="Q130" s="751"/>
      <c r="R130" s="755"/>
      <c r="S130" s="756"/>
    </row>
    <row r="131" s="10" customFormat="1" ht="16.5" spans="1:19">
      <c r="A131" s="713"/>
      <c r="B131" s="721"/>
      <c r="C131" s="556"/>
      <c r="D131" s="557"/>
      <c r="E131" s="541"/>
      <c r="F131" s="723" t="s">
        <v>3805</v>
      </c>
      <c r="G131" s="762">
        <v>31395</v>
      </c>
      <c r="H131" s="567">
        <f t="shared" si="3"/>
        <v>222709.851</v>
      </c>
      <c r="I131" s="570"/>
      <c r="J131" s="570"/>
      <c r="K131" s="597">
        <v>7.0938</v>
      </c>
      <c r="L131" s="767"/>
      <c r="M131" s="625" t="s">
        <v>621</v>
      </c>
      <c r="N131" s="625"/>
      <c r="O131" s="769"/>
      <c r="P131" s="250"/>
      <c r="Q131" s="751"/>
      <c r="R131" s="755"/>
      <c r="S131" s="756"/>
    </row>
    <row r="132" s="10" customFormat="1" ht="16.5" spans="1:19">
      <c r="A132" s="713"/>
      <c r="B132" s="721"/>
      <c r="C132" s="556"/>
      <c r="D132" s="557"/>
      <c r="E132" s="541"/>
      <c r="F132" s="723" t="s">
        <v>3806</v>
      </c>
      <c r="G132" s="762">
        <v>31395</v>
      </c>
      <c r="H132" s="567">
        <f t="shared" si="3"/>
        <v>222709.851</v>
      </c>
      <c r="I132" s="570"/>
      <c r="J132" s="570"/>
      <c r="K132" s="597">
        <v>7.0938</v>
      </c>
      <c r="L132" s="767"/>
      <c r="M132" s="625" t="s">
        <v>621</v>
      </c>
      <c r="N132" s="625"/>
      <c r="O132" s="769"/>
      <c r="P132" s="250"/>
      <c r="Q132" s="751"/>
      <c r="R132" s="755"/>
      <c r="S132" s="756"/>
    </row>
    <row r="133" s="10" customFormat="1" ht="16.5" spans="1:19">
      <c r="A133" s="713"/>
      <c r="B133" s="721"/>
      <c r="C133" s="556"/>
      <c r="D133" s="557"/>
      <c r="E133" s="541"/>
      <c r="F133" s="723" t="s">
        <v>3993</v>
      </c>
      <c r="G133" s="762">
        <v>31395</v>
      </c>
      <c r="H133" s="567">
        <f t="shared" si="3"/>
        <v>222709.851</v>
      </c>
      <c r="I133" s="570"/>
      <c r="J133" s="570"/>
      <c r="K133" s="597">
        <v>7.0938</v>
      </c>
      <c r="L133" s="767"/>
      <c r="M133" s="625" t="s">
        <v>621</v>
      </c>
      <c r="N133" s="625"/>
      <c r="O133" s="769"/>
      <c r="P133" s="250"/>
      <c r="Q133" s="751"/>
      <c r="R133" s="755"/>
      <c r="S133" s="756"/>
    </row>
    <row r="134" s="10" customFormat="1" ht="16.5" spans="1:19">
      <c r="A134" s="713"/>
      <c r="B134" s="721"/>
      <c r="C134" s="556"/>
      <c r="D134" s="557"/>
      <c r="E134" s="541"/>
      <c r="F134" s="723" t="s">
        <v>3994</v>
      </c>
      <c r="G134" s="762">
        <v>31395</v>
      </c>
      <c r="H134" s="567">
        <f t="shared" si="3"/>
        <v>222709.851</v>
      </c>
      <c r="I134" s="570"/>
      <c r="J134" s="570"/>
      <c r="K134" s="597">
        <v>7.0938</v>
      </c>
      <c r="L134" s="767"/>
      <c r="M134" s="625" t="s">
        <v>621</v>
      </c>
      <c r="N134" s="625"/>
      <c r="O134" s="769"/>
      <c r="P134" s="250"/>
      <c r="Q134" s="751"/>
      <c r="R134" s="755"/>
      <c r="S134" s="756"/>
    </row>
    <row r="135" s="10" customFormat="1" ht="16.5" spans="1:19">
      <c r="A135" s="713"/>
      <c r="B135" s="721"/>
      <c r="C135" s="556"/>
      <c r="D135" s="557"/>
      <c r="E135" s="541"/>
      <c r="F135" s="723" t="s">
        <v>3995</v>
      </c>
      <c r="G135" s="762">
        <v>31395</v>
      </c>
      <c r="H135" s="567">
        <f t="shared" si="3"/>
        <v>222709.851</v>
      </c>
      <c r="I135" s="570"/>
      <c r="J135" s="570"/>
      <c r="K135" s="597">
        <v>7.0938</v>
      </c>
      <c r="L135" s="633"/>
      <c r="M135" s="625" t="s">
        <v>621</v>
      </c>
      <c r="N135" s="625"/>
      <c r="O135" s="770"/>
      <c r="P135" s="250"/>
      <c r="Q135" s="751"/>
      <c r="R135" s="755"/>
      <c r="S135" s="756"/>
    </row>
    <row r="136" s="10" customFormat="1" ht="16.5" spans="1:19">
      <c r="A136" s="713"/>
      <c r="B136" s="721"/>
      <c r="C136" s="556"/>
      <c r="D136" s="557"/>
      <c r="E136" s="672"/>
      <c r="F136" s="723" t="s">
        <v>3807</v>
      </c>
      <c r="G136" s="576">
        <v>38500</v>
      </c>
      <c r="H136" s="567">
        <f t="shared" si="3"/>
        <v>273111.3</v>
      </c>
      <c r="I136" s="570"/>
      <c r="J136" s="570"/>
      <c r="K136" s="597">
        <v>7.0938</v>
      </c>
      <c r="L136" s="610">
        <v>45342</v>
      </c>
      <c r="M136" s="625" t="s">
        <v>621</v>
      </c>
      <c r="N136" s="625"/>
      <c r="O136" s="771" t="s">
        <v>3996</v>
      </c>
      <c r="P136" s="250"/>
      <c r="Q136" s="751"/>
      <c r="R136" s="755"/>
      <c r="S136" s="756"/>
    </row>
    <row r="137" s="10" customFormat="1" ht="33" spans="1:19">
      <c r="A137" s="713"/>
      <c r="B137" s="721"/>
      <c r="C137" s="556"/>
      <c r="D137" s="557"/>
      <c r="E137" s="568" t="s">
        <v>1934</v>
      </c>
      <c r="F137" s="561" t="s">
        <v>3809</v>
      </c>
      <c r="G137" s="576"/>
      <c r="H137" s="567"/>
      <c r="I137" s="567"/>
      <c r="J137" s="735"/>
      <c r="K137" s="597">
        <v>7.0938</v>
      </c>
      <c r="L137" s="598" t="s">
        <v>1218</v>
      </c>
      <c r="M137" s="625" t="s">
        <v>621</v>
      </c>
      <c r="N137" s="625"/>
      <c r="O137" s="772" t="s">
        <v>3997</v>
      </c>
      <c r="P137" s="250"/>
      <c r="Q137" s="751"/>
      <c r="R137" s="755"/>
      <c r="S137" s="756"/>
    </row>
    <row r="138" s="10" customFormat="1" ht="16.5" spans="1:19">
      <c r="A138" s="713"/>
      <c r="B138" s="721"/>
      <c r="C138" s="556"/>
      <c r="D138" s="557"/>
      <c r="E138" s="568" t="s">
        <v>274</v>
      </c>
      <c r="F138" s="723" t="s">
        <v>3998</v>
      </c>
      <c r="G138" s="576">
        <v>30000</v>
      </c>
      <c r="H138" s="567"/>
      <c r="I138" s="567"/>
      <c r="J138" s="735"/>
      <c r="K138" s="597">
        <v>7.0938</v>
      </c>
      <c r="L138" s="598" t="s">
        <v>1218</v>
      </c>
      <c r="M138" s="625" t="s">
        <v>621</v>
      </c>
      <c r="N138" s="625"/>
      <c r="O138" s="740" t="s">
        <v>3999</v>
      </c>
      <c r="P138" s="250"/>
      <c r="Q138" s="751"/>
      <c r="R138" s="755"/>
      <c r="S138" s="756"/>
    </row>
    <row r="139" s="10" customFormat="1" ht="16.5" spans="1:19">
      <c r="A139" s="713"/>
      <c r="B139" s="721"/>
      <c r="C139" s="556"/>
      <c r="D139" s="557"/>
      <c r="E139" s="568" t="s">
        <v>4000</v>
      </c>
      <c r="F139" s="723" t="s">
        <v>4001</v>
      </c>
      <c r="G139" s="576">
        <v>30000</v>
      </c>
      <c r="H139" s="567"/>
      <c r="I139" s="570"/>
      <c r="J139" s="683"/>
      <c r="K139" s="597">
        <v>7.0938</v>
      </c>
      <c r="L139" s="598"/>
      <c r="M139" s="625" t="s">
        <v>621</v>
      </c>
      <c r="N139" s="625"/>
      <c r="O139" s="740" t="s">
        <v>4002</v>
      </c>
      <c r="P139" s="250"/>
      <c r="Q139" s="751"/>
      <c r="R139" s="755"/>
      <c r="S139" s="756"/>
    </row>
    <row r="140" s="10" customFormat="1" ht="33" spans="1:19">
      <c r="A140" s="713"/>
      <c r="B140" s="721"/>
      <c r="C140" s="556"/>
      <c r="D140" s="557"/>
      <c r="E140" s="568" t="s">
        <v>4003</v>
      </c>
      <c r="F140" s="723" t="s">
        <v>4004</v>
      </c>
      <c r="G140" s="576"/>
      <c r="H140" s="567"/>
      <c r="I140" s="570"/>
      <c r="J140" s="683"/>
      <c r="K140" s="597">
        <v>7.0938</v>
      </c>
      <c r="L140" s="598" t="s">
        <v>1218</v>
      </c>
      <c r="M140" s="625" t="s">
        <v>621</v>
      </c>
      <c r="N140" s="625"/>
      <c r="O140" s="740" t="s">
        <v>4005</v>
      </c>
      <c r="P140" s="250"/>
      <c r="Q140" s="751"/>
      <c r="R140" s="755"/>
      <c r="S140" s="756"/>
    </row>
    <row r="141" s="10" customFormat="1" ht="16.5" spans="1:19">
      <c r="A141" s="713"/>
      <c r="B141" s="721"/>
      <c r="C141" s="556"/>
      <c r="D141" s="557"/>
      <c r="E141" s="568" t="s">
        <v>4006</v>
      </c>
      <c r="F141" s="723" t="s">
        <v>4007</v>
      </c>
      <c r="G141" s="576"/>
      <c r="H141" s="567"/>
      <c r="I141" s="570"/>
      <c r="J141" s="683"/>
      <c r="K141" s="597">
        <v>7.0938</v>
      </c>
      <c r="L141" s="598"/>
      <c r="M141" s="625" t="s">
        <v>621</v>
      </c>
      <c r="N141" s="625"/>
      <c r="O141" s="740" t="s">
        <v>4008</v>
      </c>
      <c r="P141" s="250"/>
      <c r="Q141" s="751"/>
      <c r="R141" s="755"/>
      <c r="S141" s="756"/>
    </row>
    <row r="142" s="10" customFormat="1" ht="33" spans="1:19">
      <c r="A142" s="713"/>
      <c r="B142" s="721"/>
      <c r="C142" s="666" t="s">
        <v>1922</v>
      </c>
      <c r="D142" s="557"/>
      <c r="E142" s="568" t="s">
        <v>3813</v>
      </c>
      <c r="F142" s="723" t="s">
        <v>4009</v>
      </c>
      <c r="G142" s="576"/>
      <c r="H142" s="567"/>
      <c r="I142" s="570"/>
      <c r="J142" s="570"/>
      <c r="K142" s="597">
        <v>7.0938</v>
      </c>
      <c r="L142" s="598" t="s">
        <v>1218</v>
      </c>
      <c r="M142" s="625" t="s">
        <v>621</v>
      </c>
      <c r="N142" s="625"/>
      <c r="O142" s="740" t="s">
        <v>4010</v>
      </c>
      <c r="P142" s="250"/>
      <c r="Q142" s="751"/>
      <c r="R142" s="755"/>
      <c r="S142" s="756"/>
    </row>
    <row r="143" s="10" customFormat="1" ht="16.5" spans="1:19">
      <c r="A143" s="713"/>
      <c r="B143" s="721"/>
      <c r="C143" s="556"/>
      <c r="D143" s="557"/>
      <c r="E143" s="568" t="s">
        <v>2509</v>
      </c>
      <c r="F143" s="723" t="s">
        <v>3815</v>
      </c>
      <c r="G143" s="576">
        <v>90000</v>
      </c>
      <c r="H143" s="567"/>
      <c r="I143" s="570"/>
      <c r="J143" s="570"/>
      <c r="K143" s="597">
        <v>7.0938</v>
      </c>
      <c r="L143" s="598"/>
      <c r="M143" s="625" t="s">
        <v>621</v>
      </c>
      <c r="N143" s="625"/>
      <c r="O143" s="740" t="s">
        <v>4011</v>
      </c>
      <c r="P143" s="250"/>
      <c r="Q143" s="751"/>
      <c r="R143" s="755"/>
      <c r="S143" s="756"/>
    </row>
    <row r="144" s="10" customFormat="1" ht="16.5" spans="1:19">
      <c r="A144" s="713"/>
      <c r="B144" s="721"/>
      <c r="C144" s="556"/>
      <c r="D144" s="557"/>
      <c r="E144" s="568" t="s">
        <v>3817</v>
      </c>
      <c r="F144" s="763"/>
      <c r="G144" s="576"/>
      <c r="H144" s="567"/>
      <c r="I144" s="570"/>
      <c r="J144" s="570"/>
      <c r="K144" s="597">
        <v>7.0938</v>
      </c>
      <c r="L144" s="598"/>
      <c r="M144" s="625"/>
      <c r="N144" s="625"/>
      <c r="O144" s="740" t="s">
        <v>4012</v>
      </c>
      <c r="P144" s="250"/>
      <c r="Q144" s="751"/>
      <c r="R144" s="755"/>
      <c r="S144" s="756"/>
    </row>
    <row r="145" s="10" customFormat="1" ht="16.5" spans="1:19">
      <c r="A145" s="713"/>
      <c r="B145" s="721"/>
      <c r="C145" s="556"/>
      <c r="D145" s="557"/>
      <c r="E145" s="568" t="s">
        <v>133</v>
      </c>
      <c r="F145" s="763"/>
      <c r="G145" s="576"/>
      <c r="H145" s="567"/>
      <c r="I145" s="570"/>
      <c r="J145" s="570"/>
      <c r="K145" s="597">
        <v>7.0938</v>
      </c>
      <c r="L145" s="598"/>
      <c r="M145" s="625"/>
      <c r="N145" s="625"/>
      <c r="O145" s="740" t="s">
        <v>4012</v>
      </c>
      <c r="P145" s="250"/>
      <c r="Q145" s="751"/>
      <c r="R145" s="755"/>
      <c r="S145" s="756"/>
    </row>
    <row r="146" s="10" customFormat="1" ht="16.5" spans="1:19">
      <c r="A146" s="713"/>
      <c r="B146" s="721"/>
      <c r="C146" s="556"/>
      <c r="D146" s="557"/>
      <c r="E146" s="568" t="s">
        <v>917</v>
      </c>
      <c r="F146" s="763"/>
      <c r="G146" s="576"/>
      <c r="H146" s="567"/>
      <c r="I146" s="570"/>
      <c r="J146" s="570"/>
      <c r="K146" s="597">
        <v>7.0938</v>
      </c>
      <c r="L146" s="598"/>
      <c r="M146" s="625"/>
      <c r="N146" s="625"/>
      <c r="O146" s="740" t="s">
        <v>4013</v>
      </c>
      <c r="P146" s="250"/>
      <c r="Q146" s="751"/>
      <c r="R146" s="755"/>
      <c r="S146" s="756"/>
    </row>
    <row r="147" s="10" customFormat="1" ht="16.5" spans="1:19">
      <c r="A147" s="713"/>
      <c r="B147" s="721"/>
      <c r="C147" s="556"/>
      <c r="D147" s="557"/>
      <c r="E147" s="568" t="s">
        <v>2467</v>
      </c>
      <c r="F147" s="723" t="s">
        <v>4014</v>
      </c>
      <c r="G147" s="576">
        <v>60000</v>
      </c>
      <c r="H147" s="567"/>
      <c r="I147" s="570"/>
      <c r="J147" s="570"/>
      <c r="K147" s="597">
        <v>7.0938</v>
      </c>
      <c r="L147" s="598" t="s">
        <v>1218</v>
      </c>
      <c r="M147" s="625" t="s">
        <v>621</v>
      </c>
      <c r="N147" s="625"/>
      <c r="O147" s="740" t="s">
        <v>4015</v>
      </c>
      <c r="P147" s="250"/>
      <c r="Q147" s="751"/>
      <c r="R147" s="755"/>
      <c r="S147" s="756"/>
    </row>
    <row r="148" s="10" customFormat="1" ht="16.5" spans="1:19">
      <c r="A148" s="713"/>
      <c r="B148" s="721"/>
      <c r="C148" s="556"/>
      <c r="D148" s="557"/>
      <c r="E148" s="568" t="s">
        <v>2496</v>
      </c>
      <c r="F148" s="568" t="s">
        <v>4016</v>
      </c>
      <c r="G148" s="576">
        <v>30000</v>
      </c>
      <c r="H148" s="567"/>
      <c r="I148" s="570"/>
      <c r="J148" s="735"/>
      <c r="K148" s="597">
        <v>7.0938</v>
      </c>
      <c r="L148" s="598" t="s">
        <v>1218</v>
      </c>
      <c r="M148" s="625" t="s">
        <v>621</v>
      </c>
      <c r="N148" s="625"/>
      <c r="O148" s="740" t="s">
        <v>4017</v>
      </c>
      <c r="P148" s="250"/>
      <c r="Q148" s="751"/>
      <c r="R148" s="755"/>
      <c r="S148" s="756"/>
    </row>
    <row r="149" s="10" customFormat="1" ht="16.5" spans="1:19">
      <c r="A149" s="713"/>
      <c r="B149" s="721"/>
      <c r="C149" s="556"/>
      <c r="D149" s="557"/>
      <c r="E149" s="568" t="s">
        <v>1978</v>
      </c>
      <c r="F149" s="568" t="s">
        <v>4018</v>
      </c>
      <c r="G149" s="576">
        <v>30000</v>
      </c>
      <c r="H149" s="567"/>
      <c r="I149" s="570"/>
      <c r="J149" s="735"/>
      <c r="K149" s="597">
        <v>7.0938</v>
      </c>
      <c r="L149" s="598" t="s">
        <v>1218</v>
      </c>
      <c r="M149" s="625" t="s">
        <v>621</v>
      </c>
      <c r="N149" s="625"/>
      <c r="O149" s="740" t="s">
        <v>4015</v>
      </c>
      <c r="P149" s="250"/>
      <c r="Q149" s="751"/>
      <c r="R149" s="755"/>
      <c r="S149" s="756"/>
    </row>
    <row r="150" s="10" customFormat="1" ht="16.5" spans="1:19">
      <c r="A150" s="713"/>
      <c r="B150" s="721"/>
      <c r="C150" s="556"/>
      <c r="D150" s="557"/>
      <c r="E150" s="571" t="s">
        <v>247</v>
      </c>
      <c r="F150" s="561" t="s">
        <v>3824</v>
      </c>
      <c r="G150" s="576">
        <v>30000</v>
      </c>
      <c r="H150" s="567"/>
      <c r="I150" s="570"/>
      <c r="J150" s="577"/>
      <c r="K150" s="597">
        <v>7.0938</v>
      </c>
      <c r="L150" s="598" t="s">
        <v>1218</v>
      </c>
      <c r="M150" s="625" t="s">
        <v>621</v>
      </c>
      <c r="N150" s="625"/>
      <c r="O150" s="740" t="s">
        <v>4019</v>
      </c>
      <c r="P150" s="250"/>
      <c r="Q150" s="751"/>
      <c r="R150" s="755"/>
      <c r="S150" s="756"/>
    </row>
    <row r="151" s="10" customFormat="1" ht="16.5" spans="1:19">
      <c r="A151" s="713"/>
      <c r="B151" s="721"/>
      <c r="C151" s="556"/>
      <c r="D151" s="557"/>
      <c r="E151" s="568" t="s">
        <v>3821</v>
      </c>
      <c r="F151" s="764" t="s">
        <v>4020</v>
      </c>
      <c r="G151" s="576">
        <v>30000</v>
      </c>
      <c r="H151" s="567"/>
      <c r="I151" s="570"/>
      <c r="J151" s="570"/>
      <c r="K151" s="597">
        <v>7.0938</v>
      </c>
      <c r="L151" s="598" t="s">
        <v>1218</v>
      </c>
      <c r="M151" s="625" t="s">
        <v>621</v>
      </c>
      <c r="N151" s="625"/>
      <c r="O151" s="740" t="s">
        <v>4021</v>
      </c>
      <c r="P151" s="250"/>
      <c r="Q151" s="751"/>
      <c r="R151" s="755"/>
      <c r="S151" s="756"/>
    </row>
    <row r="152" s="10" customFormat="1" ht="16.5" spans="1:19">
      <c r="A152" s="713"/>
      <c r="B152" s="721"/>
      <c r="C152" s="556"/>
      <c r="D152" s="557"/>
      <c r="E152" s="568" t="s">
        <v>4022</v>
      </c>
      <c r="F152" s="764" t="s">
        <v>4023</v>
      </c>
      <c r="G152" s="576">
        <v>30000</v>
      </c>
      <c r="H152" s="567"/>
      <c r="I152" s="570"/>
      <c r="J152" s="570"/>
      <c r="K152" s="597">
        <v>7.0938</v>
      </c>
      <c r="L152" s="598" t="s">
        <v>1218</v>
      </c>
      <c r="M152" s="625" t="s">
        <v>621</v>
      </c>
      <c r="N152" s="625"/>
      <c r="O152" s="740" t="s">
        <v>4024</v>
      </c>
      <c r="P152" s="250"/>
      <c r="Q152" s="751"/>
      <c r="R152" s="755"/>
      <c r="S152" s="756"/>
    </row>
    <row r="153" s="10" customFormat="1" ht="16.5" spans="1:19">
      <c r="A153" s="713"/>
      <c r="B153" s="721"/>
      <c r="C153" s="670"/>
      <c r="D153" s="557"/>
      <c r="E153" s="568" t="s">
        <v>2147</v>
      </c>
      <c r="F153" s="568" t="s">
        <v>3826</v>
      </c>
      <c r="G153" s="722">
        <v>20000</v>
      </c>
      <c r="H153" s="567"/>
      <c r="I153" s="570"/>
      <c r="J153" s="577"/>
      <c r="K153" s="597">
        <v>7.0938</v>
      </c>
      <c r="L153" s="598" t="s">
        <v>1218</v>
      </c>
      <c r="M153" s="625" t="s">
        <v>621</v>
      </c>
      <c r="N153" s="625"/>
      <c r="O153" s="740" t="s">
        <v>4025</v>
      </c>
      <c r="P153" s="250"/>
      <c r="Q153" s="751"/>
      <c r="R153" s="755"/>
      <c r="S153" s="756"/>
    </row>
    <row r="154" s="536" customFormat="1" ht="16.5" spans="1:19">
      <c r="A154" s="713"/>
      <c r="B154" s="721"/>
      <c r="C154" s="544" t="s">
        <v>209</v>
      </c>
      <c r="D154" s="545"/>
      <c r="E154" s="568" t="s">
        <v>1169</v>
      </c>
      <c r="F154" s="568" t="s">
        <v>4026</v>
      </c>
      <c r="G154" s="576">
        <v>30000</v>
      </c>
      <c r="H154" s="596"/>
      <c r="I154" s="744"/>
      <c r="J154" s="602"/>
      <c r="K154" s="597">
        <v>7.0938</v>
      </c>
      <c r="L154" s="598" t="s">
        <v>1218</v>
      </c>
      <c r="M154" s="598" t="s">
        <v>621</v>
      </c>
      <c r="N154" s="598"/>
      <c r="O154" s="740" t="s">
        <v>4027</v>
      </c>
      <c r="P154" s="250"/>
      <c r="Q154" s="751"/>
      <c r="R154" s="755"/>
      <c r="S154" s="756"/>
    </row>
    <row r="155" s="10" customFormat="1" ht="16.5" spans="1:19">
      <c r="A155" s="713"/>
      <c r="B155" s="721"/>
      <c r="C155" s="544"/>
      <c r="D155" s="557"/>
      <c r="E155" s="568" t="s">
        <v>287</v>
      </c>
      <c r="F155" s="568" t="s">
        <v>2522</v>
      </c>
      <c r="G155" s="576">
        <v>47452</v>
      </c>
      <c r="H155" s="567"/>
      <c r="I155" s="570"/>
      <c r="J155" s="577"/>
      <c r="K155" s="597">
        <v>7.0938</v>
      </c>
      <c r="L155" s="598" t="s">
        <v>1218</v>
      </c>
      <c r="M155" s="625" t="s">
        <v>621</v>
      </c>
      <c r="N155" s="625"/>
      <c r="O155" s="740" t="s">
        <v>4028</v>
      </c>
      <c r="P155" s="250"/>
      <c r="Q155" s="751"/>
      <c r="R155" s="755"/>
      <c r="S155" s="756"/>
    </row>
    <row r="156" s="10" customFormat="1" ht="16.5" spans="1:19">
      <c r="A156" s="713"/>
      <c r="B156" s="721"/>
      <c r="C156" s="544"/>
      <c r="D156" s="557"/>
      <c r="E156" s="568" t="s">
        <v>4029</v>
      </c>
      <c r="F156" s="568"/>
      <c r="G156" s="576">
        <v>20000</v>
      </c>
      <c r="H156" s="567"/>
      <c r="I156" s="570"/>
      <c r="J156" s="577"/>
      <c r="K156" s="597">
        <v>7.0938</v>
      </c>
      <c r="L156" s="598" t="s">
        <v>1218</v>
      </c>
      <c r="M156" s="625" t="s">
        <v>621</v>
      </c>
      <c r="N156" s="625"/>
      <c r="O156" s="740" t="s">
        <v>4030</v>
      </c>
      <c r="P156" s="250"/>
      <c r="Q156" s="751"/>
      <c r="R156" s="755"/>
      <c r="S156" s="756"/>
    </row>
    <row r="157" s="10" customFormat="1" ht="16.5" spans="1:19">
      <c r="A157" s="713"/>
      <c r="B157" s="721"/>
      <c r="C157" s="544"/>
      <c r="D157" s="557"/>
      <c r="E157" s="568" t="s">
        <v>256</v>
      </c>
      <c r="F157" s="568"/>
      <c r="G157" s="576">
        <v>30000</v>
      </c>
      <c r="H157" s="567"/>
      <c r="I157" s="570"/>
      <c r="J157" s="577"/>
      <c r="K157" s="597">
        <v>7.0938</v>
      </c>
      <c r="L157" s="598" t="s">
        <v>1218</v>
      </c>
      <c r="M157" s="625" t="s">
        <v>621</v>
      </c>
      <c r="N157" s="625"/>
      <c r="O157" s="740" t="s">
        <v>4031</v>
      </c>
      <c r="P157" s="250"/>
      <c r="Q157" s="751"/>
      <c r="R157" s="755"/>
      <c r="S157" s="756"/>
    </row>
    <row r="158" s="10" customFormat="1" ht="16.5" spans="1:19">
      <c r="A158" s="713"/>
      <c r="B158" s="721"/>
      <c r="C158" s="544"/>
      <c r="D158" s="557"/>
      <c r="E158" s="566" t="s">
        <v>1418</v>
      </c>
      <c r="F158" s="566"/>
      <c r="G158" s="765">
        <v>10000</v>
      </c>
      <c r="H158" s="567"/>
      <c r="I158" s="570"/>
      <c r="J158" s="577"/>
      <c r="K158" s="597">
        <v>7.0938</v>
      </c>
      <c r="L158" s="598" t="s">
        <v>1218</v>
      </c>
      <c r="M158" s="625" t="s">
        <v>621</v>
      </c>
      <c r="N158" s="625"/>
      <c r="O158" s="740" t="s">
        <v>4032</v>
      </c>
      <c r="P158" s="250"/>
      <c r="Q158" s="751"/>
      <c r="R158" s="755"/>
      <c r="S158" s="756"/>
    </row>
    <row r="159" s="10" customFormat="1" ht="16.5" spans="1:19">
      <c r="A159" s="713"/>
      <c r="B159" s="721"/>
      <c r="C159" s="544"/>
      <c r="D159" s="557"/>
      <c r="E159" s="566" t="s">
        <v>166</v>
      </c>
      <c r="F159" s="566"/>
      <c r="G159" s="765">
        <v>10000</v>
      </c>
      <c r="H159" s="567"/>
      <c r="I159" s="577"/>
      <c r="J159" s="577"/>
      <c r="K159" s="597">
        <v>7.0938</v>
      </c>
      <c r="L159" s="598" t="s">
        <v>1218</v>
      </c>
      <c r="M159" s="625" t="s">
        <v>621</v>
      </c>
      <c r="N159" s="625"/>
      <c r="O159" s="740" t="s">
        <v>4032</v>
      </c>
      <c r="P159" s="250"/>
      <c r="Q159" s="751"/>
      <c r="R159" s="755"/>
      <c r="S159" s="756"/>
    </row>
    <row r="160" s="10" customFormat="1" ht="16.5" spans="1:19">
      <c r="A160" s="713"/>
      <c r="B160" s="721"/>
      <c r="C160" s="561" t="s">
        <v>1437</v>
      </c>
      <c r="D160" s="557"/>
      <c r="E160" s="568" t="s">
        <v>3833</v>
      </c>
      <c r="F160" s="764"/>
      <c r="G160" s="576"/>
      <c r="H160" s="567"/>
      <c r="I160" s="570"/>
      <c r="J160" s="577"/>
      <c r="K160" s="597">
        <v>7.0938</v>
      </c>
      <c r="L160" s="598" t="s">
        <v>1218</v>
      </c>
      <c r="M160" s="625" t="s">
        <v>621</v>
      </c>
      <c r="N160" s="625"/>
      <c r="O160" s="740" t="s">
        <v>4033</v>
      </c>
      <c r="P160" s="623"/>
      <c r="Q160" s="655"/>
      <c r="R160" s="656"/>
      <c r="S160" s="754"/>
    </row>
    <row r="161" s="10" customFormat="1" ht="16.5" spans="1:19">
      <c r="A161" s="713"/>
      <c r="B161" s="721"/>
      <c r="C161" s="716"/>
      <c r="D161" s="557"/>
      <c r="E161" s="716" t="s">
        <v>3835</v>
      </c>
      <c r="F161" s="764"/>
      <c r="G161" s="722"/>
      <c r="H161" s="567"/>
      <c r="I161" s="577"/>
      <c r="J161" s="764"/>
      <c r="K161" s="597">
        <v>7.0938</v>
      </c>
      <c r="L161" s="598" t="s">
        <v>1218</v>
      </c>
      <c r="M161" s="625" t="s">
        <v>621</v>
      </c>
      <c r="N161" s="625"/>
      <c r="O161" s="740" t="s">
        <v>3836</v>
      </c>
      <c r="P161" s="623"/>
      <c r="Q161" s="655"/>
      <c r="R161" s="656"/>
      <c r="S161" s="754"/>
    </row>
    <row r="162" s="10" customFormat="1" ht="16.5" spans="1:19">
      <c r="A162" s="713"/>
      <c r="B162" s="673"/>
      <c r="C162" s="652" t="s">
        <v>1874</v>
      </c>
      <c r="D162" s="652"/>
      <c r="E162" s="652"/>
      <c r="F162" s="652"/>
      <c r="G162" s="652"/>
      <c r="H162" s="782">
        <f>SUM(H130:H161)</f>
        <v>1609370.406</v>
      </c>
      <c r="I162" s="782"/>
      <c r="J162" s="782"/>
      <c r="K162" s="614"/>
      <c r="L162" s="610"/>
      <c r="M162" s="644"/>
      <c r="N162" s="644"/>
      <c r="O162" s="740"/>
      <c r="P162" s="623"/>
      <c r="Q162" s="655"/>
      <c r="R162" s="656"/>
      <c r="S162" s="754"/>
    </row>
    <row r="163" s="536" customFormat="1" ht="38.95" customHeight="1" spans="1:19">
      <c r="A163" s="537" t="s">
        <v>1092</v>
      </c>
      <c r="B163" s="537" t="s">
        <v>1820</v>
      </c>
      <c r="C163" s="538" t="s">
        <v>1946</v>
      </c>
      <c r="D163" s="539" t="s">
        <v>3619</v>
      </c>
      <c r="E163" s="539" t="s">
        <v>1822</v>
      </c>
      <c r="F163" s="558" t="s">
        <v>1095</v>
      </c>
      <c r="G163" s="559" t="s">
        <v>362</v>
      </c>
      <c r="H163" s="560" t="s">
        <v>1716</v>
      </c>
      <c r="I163" s="560" t="s">
        <v>1717</v>
      </c>
      <c r="J163" s="560" t="s">
        <v>1718</v>
      </c>
      <c r="K163" s="594" t="s">
        <v>1096</v>
      </c>
      <c r="L163" s="595" t="s">
        <v>1098</v>
      </c>
      <c r="M163" s="619" t="s">
        <v>3620</v>
      </c>
      <c r="N163" s="619" t="s">
        <v>1214</v>
      </c>
      <c r="O163" s="812" t="s">
        <v>1215</v>
      </c>
      <c r="P163" s="621" t="s">
        <v>7</v>
      </c>
      <c r="Q163" s="652" t="s">
        <v>8</v>
      </c>
      <c r="R163" s="653" t="s">
        <v>9</v>
      </c>
      <c r="S163" s="654" t="s">
        <v>1291</v>
      </c>
    </row>
    <row r="164" s="536" customFormat="1" ht="44.25" customHeight="1" spans="1:19">
      <c r="A164" s="773" t="s">
        <v>3837</v>
      </c>
      <c r="B164" s="568" t="s">
        <v>1824</v>
      </c>
      <c r="C164" s="666" t="s">
        <v>1120</v>
      </c>
      <c r="D164" s="759">
        <v>140</v>
      </c>
      <c r="E164" s="250" t="s">
        <v>2000</v>
      </c>
      <c r="F164" s="250" t="s">
        <v>3856</v>
      </c>
      <c r="G164" s="725">
        <v>36300</v>
      </c>
      <c r="H164" s="596">
        <f>G164*K164</f>
        <v>257504.94</v>
      </c>
      <c r="I164" s="789">
        <f>G164*K164</f>
        <v>257504.94</v>
      </c>
      <c r="J164" s="798">
        <f>I164</f>
        <v>257504.94</v>
      </c>
      <c r="K164" s="597">
        <v>7.0938</v>
      </c>
      <c r="L164" s="625" t="s">
        <v>1218</v>
      </c>
      <c r="M164" s="598">
        <v>45405</v>
      </c>
      <c r="N164" s="625">
        <v>45409</v>
      </c>
      <c r="O164" s="813" t="s">
        <v>4034</v>
      </c>
      <c r="P164" s="814"/>
      <c r="Q164" s="655"/>
      <c r="R164" s="664"/>
      <c r="S164" s="577"/>
    </row>
    <row r="165" s="536" customFormat="1" ht="18" customHeight="1" spans="1:19">
      <c r="A165" s="773"/>
      <c r="B165" s="568"/>
      <c r="C165" s="666"/>
      <c r="D165" s="759"/>
      <c r="E165" s="673" t="s">
        <v>267</v>
      </c>
      <c r="F165" s="673" t="s">
        <v>4035</v>
      </c>
      <c r="G165" s="725">
        <v>37864</v>
      </c>
      <c r="H165" s="596">
        <f>G165*K165</f>
        <v>268599.6432</v>
      </c>
      <c r="I165" s="789">
        <f>G165*K165</f>
        <v>268599.6432</v>
      </c>
      <c r="J165" s="799">
        <f>I165</f>
        <v>268599.6432</v>
      </c>
      <c r="K165" s="597">
        <v>7.0938</v>
      </c>
      <c r="L165" s="708" t="s">
        <v>1218</v>
      </c>
      <c r="M165" s="598">
        <v>45404</v>
      </c>
      <c r="N165" s="625">
        <v>45407</v>
      </c>
      <c r="O165" s="813" t="s">
        <v>4036</v>
      </c>
      <c r="P165" s="814"/>
      <c r="Q165" s="655"/>
      <c r="R165" s="664"/>
      <c r="S165" s="577"/>
    </row>
    <row r="166" s="536" customFormat="1" ht="18" customHeight="1" spans="1:19">
      <c r="A166" s="774"/>
      <c r="B166" s="541"/>
      <c r="C166" s="556"/>
      <c r="D166" s="557"/>
      <c r="E166" s="673" t="s">
        <v>267</v>
      </c>
      <c r="F166" s="673" t="s">
        <v>4037</v>
      </c>
      <c r="G166" s="725">
        <v>1208</v>
      </c>
      <c r="H166" s="596">
        <f>G166*K166</f>
        <v>8569.3104</v>
      </c>
      <c r="I166" s="789">
        <f>G166*K166</f>
        <v>8569.3104</v>
      </c>
      <c r="J166" s="799">
        <f>I166</f>
        <v>8569.3104</v>
      </c>
      <c r="K166" s="597">
        <v>7.0938</v>
      </c>
      <c r="L166" s="708" t="s">
        <v>1218</v>
      </c>
      <c r="M166" s="598"/>
      <c r="N166" s="625" t="s">
        <v>2219</v>
      </c>
      <c r="O166" s="813" t="s">
        <v>4038</v>
      </c>
      <c r="P166" s="814"/>
      <c r="Q166" s="655"/>
      <c r="R166" s="664"/>
      <c r="S166" s="577"/>
    </row>
    <row r="167" s="536" customFormat="1" ht="18" customHeight="1" spans="1:19">
      <c r="A167" s="774"/>
      <c r="B167" s="541"/>
      <c r="C167" s="556"/>
      <c r="D167" s="557"/>
      <c r="E167" s="250" t="s">
        <v>660</v>
      </c>
      <c r="F167" s="250" t="s">
        <v>1652</v>
      </c>
      <c r="G167" s="725">
        <v>21519</v>
      </c>
      <c r="H167" s="596">
        <f>G167*K167</f>
        <v>152651.4822</v>
      </c>
      <c r="I167" s="789">
        <f>H167</f>
        <v>152651.4822</v>
      </c>
      <c r="J167" s="798"/>
      <c r="K167" s="597">
        <v>7.0938</v>
      </c>
      <c r="L167" s="625">
        <v>45410</v>
      </c>
      <c r="M167" s="598">
        <v>45412</v>
      </c>
      <c r="N167" s="625">
        <v>45418</v>
      </c>
      <c r="O167" s="813" t="s">
        <v>4039</v>
      </c>
      <c r="P167" s="814"/>
      <c r="Q167" s="655"/>
      <c r="R167" s="664"/>
      <c r="S167" s="577"/>
    </row>
    <row r="168" s="536" customFormat="1" ht="18" customHeight="1" spans="1:19">
      <c r="A168" s="774"/>
      <c r="B168" s="541"/>
      <c r="C168" s="556"/>
      <c r="D168" s="557"/>
      <c r="E168" s="250" t="s">
        <v>660</v>
      </c>
      <c r="F168" s="673" t="s">
        <v>4040</v>
      </c>
      <c r="G168" s="783">
        <v>4885.5</v>
      </c>
      <c r="H168" s="596">
        <f>G168*K168</f>
        <v>34656.7599</v>
      </c>
      <c r="I168" s="789">
        <f>H168</f>
        <v>34656.7599</v>
      </c>
      <c r="J168" s="798"/>
      <c r="K168" s="597">
        <v>7.0938</v>
      </c>
      <c r="L168" s="625">
        <v>45399</v>
      </c>
      <c r="M168" s="598"/>
      <c r="N168" s="625">
        <v>45418</v>
      </c>
      <c r="O168" s="813" t="s">
        <v>4041</v>
      </c>
      <c r="P168" s="814"/>
      <c r="Q168" s="655"/>
      <c r="R168" s="664"/>
      <c r="S168" s="577"/>
    </row>
    <row r="169" s="10" customFormat="1" ht="18" customHeight="1" spans="1:19">
      <c r="A169" s="775"/>
      <c r="B169" s="721"/>
      <c r="C169" s="721"/>
      <c r="D169" s="545"/>
      <c r="E169" s="673" t="s">
        <v>143</v>
      </c>
      <c r="F169" s="673" t="s">
        <v>2584</v>
      </c>
      <c r="G169" s="784"/>
      <c r="H169" s="596"/>
      <c r="I169" s="787"/>
      <c r="J169" s="567">
        <v>284196</v>
      </c>
      <c r="K169" s="597">
        <v>7.1049</v>
      </c>
      <c r="L169" s="598" t="s">
        <v>1218</v>
      </c>
      <c r="M169" s="598">
        <v>45379</v>
      </c>
      <c r="N169" s="598">
        <v>45385</v>
      </c>
      <c r="O169" s="639" t="s">
        <v>3842</v>
      </c>
      <c r="P169" s="620"/>
      <c r="Q169" s="652"/>
      <c r="R169" s="727"/>
      <c r="S169" s="727"/>
    </row>
    <row r="170" s="10" customFormat="1" ht="18" customHeight="1" spans="1:19">
      <c r="A170" s="775"/>
      <c r="B170" s="721"/>
      <c r="C170" s="721"/>
      <c r="D170" s="545"/>
      <c r="E170" s="785" t="s">
        <v>143</v>
      </c>
      <c r="F170" s="785" t="s">
        <v>3841</v>
      </c>
      <c r="G170" s="786"/>
      <c r="H170" s="596"/>
      <c r="I170" s="787"/>
      <c r="J170" s="800">
        <v>106573</v>
      </c>
      <c r="K170" s="597">
        <v>7.1049</v>
      </c>
      <c r="L170" s="598"/>
      <c r="M170" s="598"/>
      <c r="N170" s="625">
        <v>45387</v>
      </c>
      <c r="O170" s="639"/>
      <c r="P170" s="620"/>
      <c r="Q170" s="652"/>
      <c r="R170" s="727"/>
      <c r="S170" s="727"/>
    </row>
    <row r="171" s="10" customFormat="1" ht="18" customHeight="1" spans="1:19">
      <c r="A171" s="775"/>
      <c r="B171" s="721"/>
      <c r="C171" s="721"/>
      <c r="D171" s="545"/>
      <c r="E171" s="250" t="s">
        <v>143</v>
      </c>
      <c r="F171" s="250" t="s">
        <v>4042</v>
      </c>
      <c r="G171" s="725">
        <v>45000</v>
      </c>
      <c r="H171" s="596">
        <f>G171*K171</f>
        <v>319221</v>
      </c>
      <c r="I171" s="789">
        <f>H171</f>
        <v>319221</v>
      </c>
      <c r="J171" s="798"/>
      <c r="K171" s="597">
        <v>7.0938</v>
      </c>
      <c r="L171" s="625" t="s">
        <v>1218</v>
      </c>
      <c r="M171" s="598">
        <v>45412</v>
      </c>
      <c r="N171" s="625">
        <v>45422</v>
      </c>
      <c r="O171" s="813" t="s">
        <v>4043</v>
      </c>
      <c r="P171" s="620"/>
      <c r="Q171" s="652"/>
      <c r="R171" s="727"/>
      <c r="S171" s="727"/>
    </row>
    <row r="172" s="10" customFormat="1" ht="18" customHeight="1" spans="1:19">
      <c r="A172" s="775"/>
      <c r="B172" s="776"/>
      <c r="C172" s="664" t="s">
        <v>509</v>
      </c>
      <c r="D172" s="655">
        <v>110</v>
      </c>
      <c r="E172" s="787"/>
      <c r="F172" s="788"/>
      <c r="G172" s="722"/>
      <c r="H172" s="789"/>
      <c r="I172" s="789"/>
      <c r="J172" s="800"/>
      <c r="K172" s="597"/>
      <c r="L172" s="598"/>
      <c r="M172" s="596"/>
      <c r="N172" s="603"/>
      <c r="O172" s="815"/>
      <c r="P172" s="816"/>
      <c r="Q172" s="655"/>
      <c r="R172" s="664"/>
      <c r="S172" s="577"/>
    </row>
    <row r="173" s="10" customFormat="1" ht="18" customHeight="1" spans="1:19">
      <c r="A173" s="775"/>
      <c r="B173" s="669"/>
      <c r="C173" s="721"/>
      <c r="D173" s="545"/>
      <c r="E173" s="574" t="s">
        <v>2099</v>
      </c>
      <c r="F173" s="790" t="s">
        <v>3857</v>
      </c>
      <c r="G173" s="789">
        <v>307702</v>
      </c>
      <c r="H173" s="789">
        <f>G173</f>
        <v>307702</v>
      </c>
      <c r="I173" s="789">
        <f>H173</f>
        <v>307702</v>
      </c>
      <c r="J173" s="801"/>
      <c r="K173" s="597">
        <v>7.0938</v>
      </c>
      <c r="L173" s="618" t="s">
        <v>1218</v>
      </c>
      <c r="M173" s="598">
        <v>45405</v>
      </c>
      <c r="N173" s="625">
        <v>45410</v>
      </c>
      <c r="O173" s="817" t="s">
        <v>4044</v>
      </c>
      <c r="P173" s="620"/>
      <c r="Q173" s="652"/>
      <c r="R173" s="727"/>
      <c r="S173" s="727"/>
    </row>
    <row r="174" s="10" customFormat="1" ht="18" customHeight="1" spans="1:19">
      <c r="A174" s="775"/>
      <c r="B174" s="776"/>
      <c r="C174" s="664"/>
      <c r="D174" s="655"/>
      <c r="E174" s="788" t="s">
        <v>146</v>
      </c>
      <c r="F174" s="788" t="s">
        <v>3843</v>
      </c>
      <c r="G174" s="567"/>
      <c r="H174" s="567"/>
      <c r="I174" s="567"/>
      <c r="J174" s="802">
        <v>343188</v>
      </c>
      <c r="K174" s="597">
        <v>7.1049</v>
      </c>
      <c r="L174" s="598" t="s">
        <v>1218</v>
      </c>
      <c r="M174" s="818">
        <v>0.107142857142857</v>
      </c>
      <c r="N174" s="598">
        <v>45388</v>
      </c>
      <c r="O174" s="815" t="s">
        <v>3844</v>
      </c>
      <c r="P174" s="816"/>
      <c r="Q174" s="655"/>
      <c r="R174" s="664"/>
      <c r="S174" s="577"/>
    </row>
    <row r="175" s="10" customFormat="1" ht="18" customHeight="1" spans="1:19">
      <c r="A175" s="775"/>
      <c r="B175" s="669"/>
      <c r="C175" s="721"/>
      <c r="D175" s="545"/>
      <c r="E175" s="617" t="s">
        <v>2099</v>
      </c>
      <c r="F175" s="790" t="s">
        <v>3845</v>
      </c>
      <c r="G175" s="567"/>
      <c r="H175" s="567"/>
      <c r="I175" s="567"/>
      <c r="J175" s="802">
        <v>244125</v>
      </c>
      <c r="K175" s="617">
        <v>7.1049</v>
      </c>
      <c r="L175" s="618" t="s">
        <v>1218</v>
      </c>
      <c r="M175" s="818">
        <v>0.107142857142857</v>
      </c>
      <c r="N175" s="598">
        <v>45388</v>
      </c>
      <c r="O175" s="815" t="s">
        <v>3844</v>
      </c>
      <c r="P175" s="620"/>
      <c r="Q175" s="652"/>
      <c r="R175" s="727"/>
      <c r="S175" s="727"/>
    </row>
    <row r="176" s="10" customFormat="1" ht="18" customHeight="1" spans="1:19">
      <c r="A176" s="775"/>
      <c r="B176" s="669"/>
      <c r="C176" s="721"/>
      <c r="D176" s="545"/>
      <c r="E176" s="564" t="s">
        <v>2009</v>
      </c>
      <c r="F176" s="790"/>
      <c r="G176" s="567"/>
      <c r="H176" s="567"/>
      <c r="I176" s="592"/>
      <c r="J176" s="802">
        <v>19194.07</v>
      </c>
      <c r="K176" s="617"/>
      <c r="L176" s="618"/>
      <c r="M176" s="818"/>
      <c r="N176" s="598"/>
      <c r="O176" s="815"/>
      <c r="P176" s="620"/>
      <c r="Q176" s="652"/>
      <c r="R176" s="727"/>
      <c r="S176" s="727"/>
    </row>
    <row r="177" s="10" customFormat="1" ht="18" customHeight="1" spans="1:19">
      <c r="A177" s="775"/>
      <c r="B177" s="669"/>
      <c r="C177" s="721"/>
      <c r="D177" s="545"/>
      <c r="E177" s="617"/>
      <c r="F177" s="790"/>
      <c r="G177" s="567"/>
      <c r="H177" s="567"/>
      <c r="I177" s="592"/>
      <c r="J177" s="567"/>
      <c r="K177" s="617"/>
      <c r="L177" s="618"/>
      <c r="M177" s="818"/>
      <c r="N177" s="598"/>
      <c r="O177" s="815"/>
      <c r="P177" s="620"/>
      <c r="Q177" s="652"/>
      <c r="R177" s="727"/>
      <c r="S177" s="727"/>
    </row>
    <row r="178" s="10" customFormat="1" ht="18" customHeight="1" spans="1:19">
      <c r="A178" s="775"/>
      <c r="B178" s="669"/>
      <c r="C178" s="721"/>
      <c r="D178" s="545"/>
      <c r="E178" s="570"/>
      <c r="F178" s="570"/>
      <c r="G178" s="570"/>
      <c r="H178" s="570"/>
      <c r="I178" s="789"/>
      <c r="J178" s="798"/>
      <c r="K178" s="597">
        <v>7.0938</v>
      </c>
      <c r="L178" s="570"/>
      <c r="M178" s="819"/>
      <c r="N178" s="819"/>
      <c r="O178" s="570"/>
      <c r="P178" s="620"/>
      <c r="Q178" s="652"/>
      <c r="R178" s="727"/>
      <c r="S178" s="727"/>
    </row>
    <row r="179" s="10" customFormat="1" ht="18" customHeight="1" spans="1:19">
      <c r="A179" s="775"/>
      <c r="B179" s="776"/>
      <c r="C179" s="664" t="s">
        <v>1393</v>
      </c>
      <c r="D179" s="655">
        <v>220</v>
      </c>
      <c r="E179" s="565" t="s">
        <v>150</v>
      </c>
      <c r="F179" s="244" t="s">
        <v>4045</v>
      </c>
      <c r="G179" s="722">
        <v>63051</v>
      </c>
      <c r="H179" s="596"/>
      <c r="I179" s="789"/>
      <c r="J179" s="803"/>
      <c r="K179" s="597">
        <v>7.0938</v>
      </c>
      <c r="L179" s="598">
        <v>45411</v>
      </c>
      <c r="M179" s="598">
        <v>45411</v>
      </c>
      <c r="N179" s="598">
        <v>45422</v>
      </c>
      <c r="O179" s="743" t="s">
        <v>4046</v>
      </c>
      <c r="P179" s="820"/>
      <c r="Q179" s="824"/>
      <c r="R179" s="664"/>
      <c r="S179" s="577"/>
    </row>
    <row r="180" s="10" customFormat="1" ht="18" customHeight="1" spans="1:19">
      <c r="A180" s="775"/>
      <c r="B180" s="776"/>
      <c r="C180" s="664"/>
      <c r="D180" s="655"/>
      <c r="E180" s="565" t="s">
        <v>1563</v>
      </c>
      <c r="F180" s="244" t="s">
        <v>4047</v>
      </c>
      <c r="G180" s="722">
        <v>15591</v>
      </c>
      <c r="H180" s="596"/>
      <c r="I180" s="789"/>
      <c r="J180" s="803"/>
      <c r="K180" s="597">
        <v>7.0938</v>
      </c>
      <c r="L180" s="598" t="s">
        <v>1218</v>
      </c>
      <c r="M180" s="598"/>
      <c r="N180" s="598">
        <v>45422</v>
      </c>
      <c r="O180" s="743" t="s">
        <v>4048</v>
      </c>
      <c r="P180" s="820"/>
      <c r="Q180" s="820"/>
      <c r="R180" s="825"/>
      <c r="S180" s="577"/>
    </row>
    <row r="181" s="10" customFormat="1" ht="18" customHeight="1" spans="1:19">
      <c r="A181" s="775"/>
      <c r="B181" s="776"/>
      <c r="C181" s="664"/>
      <c r="D181" s="655"/>
      <c r="E181" s="716" t="s">
        <v>1298</v>
      </c>
      <c r="F181" s="546" t="s">
        <v>4049</v>
      </c>
      <c r="G181" s="791"/>
      <c r="H181" s="792"/>
      <c r="I181" s="804"/>
      <c r="J181" s="805">
        <v>3398.23</v>
      </c>
      <c r="K181" s="806"/>
      <c r="L181" s="807"/>
      <c r="M181" s="821"/>
      <c r="N181" s="821"/>
      <c r="O181" s="686" t="s">
        <v>4050</v>
      </c>
      <c r="P181" s="820"/>
      <c r="Q181" s="820"/>
      <c r="R181" s="825"/>
      <c r="S181" s="577"/>
    </row>
    <row r="182" s="10" customFormat="1" ht="33" customHeight="1" spans="1:19">
      <c r="A182" s="775"/>
      <c r="B182" s="776"/>
      <c r="C182" s="664"/>
      <c r="D182" s="655"/>
      <c r="E182" s="716" t="s">
        <v>841</v>
      </c>
      <c r="F182" s="793" t="s">
        <v>4051</v>
      </c>
      <c r="G182" s="786">
        <v>1044</v>
      </c>
      <c r="H182" s="393">
        <v>7307.24</v>
      </c>
      <c r="I182" s="393">
        <v>7307.24</v>
      </c>
      <c r="J182" s="805">
        <v>7307.24</v>
      </c>
      <c r="K182" s="597">
        <v>7.0938</v>
      </c>
      <c r="L182" s="598"/>
      <c r="M182" s="598"/>
      <c r="N182" s="598" t="s">
        <v>2219</v>
      </c>
      <c r="O182" s="743" t="s">
        <v>4052</v>
      </c>
      <c r="P182" s="820"/>
      <c r="Q182" s="826"/>
      <c r="R182" s="825"/>
      <c r="S182" s="577"/>
    </row>
    <row r="183" s="10" customFormat="1" ht="33" customHeight="1" spans="1:19">
      <c r="A183" s="775"/>
      <c r="B183" s="776"/>
      <c r="C183" s="664"/>
      <c r="D183" s="655"/>
      <c r="E183" s="716" t="s">
        <v>454</v>
      </c>
      <c r="F183" s="716" t="s">
        <v>3848</v>
      </c>
      <c r="G183" s="786"/>
      <c r="H183" s="393"/>
      <c r="I183" s="393"/>
      <c r="J183" s="805">
        <v>347791.17</v>
      </c>
      <c r="K183" s="597">
        <v>7.0938</v>
      </c>
      <c r="L183" s="598"/>
      <c r="M183" s="598"/>
      <c r="N183" s="598" t="s">
        <v>2219</v>
      </c>
      <c r="O183" s="743"/>
      <c r="P183" s="820"/>
      <c r="Q183" s="826"/>
      <c r="R183" s="825"/>
      <c r="S183" s="577"/>
    </row>
    <row r="184" s="10" customFormat="1" ht="18" customHeight="1" spans="1:19">
      <c r="A184" s="775"/>
      <c r="B184" s="568"/>
      <c r="C184" s="777" t="s">
        <v>1124</v>
      </c>
      <c r="D184" s="778">
        <f>SUM(D164:D183)</f>
        <v>470</v>
      </c>
      <c r="E184" s="794"/>
      <c r="F184" s="719"/>
      <c r="G184" s="791" t="s">
        <v>1235</v>
      </c>
      <c r="H184" s="792">
        <f>SUM(H164:H183)</f>
        <v>1356212.3757</v>
      </c>
      <c r="I184" s="792">
        <f>SUM(I164:I183)</f>
        <v>1356212.3757</v>
      </c>
      <c r="J184" s="792">
        <f>SUM(J164:J183)</f>
        <v>1890446.6036</v>
      </c>
      <c r="K184" s="806"/>
      <c r="L184" s="807"/>
      <c r="M184" s="821"/>
      <c r="N184" s="821"/>
      <c r="O184" s="647"/>
      <c r="P184" s="620"/>
      <c r="Q184" s="652"/>
      <c r="R184" s="653"/>
      <c r="S184" s="809"/>
    </row>
    <row r="185" s="10" customFormat="1" ht="18" customHeight="1" spans="1:19">
      <c r="A185" s="775"/>
      <c r="B185" s="568"/>
      <c r="C185" s="779"/>
      <c r="D185" s="746"/>
      <c r="E185" s="652"/>
      <c r="F185" s="727"/>
      <c r="G185" s="795" t="s">
        <v>3649</v>
      </c>
      <c r="H185" s="796">
        <f>H184/4700000</f>
        <v>0.288555824617021</v>
      </c>
      <c r="I185" s="796">
        <f>I184/4700000</f>
        <v>0.288555824617021</v>
      </c>
      <c r="J185" s="796">
        <f>J184/4700000</f>
        <v>0.402222681617021</v>
      </c>
      <c r="K185" s="808"/>
      <c r="L185" s="809"/>
      <c r="M185" s="821"/>
      <c r="N185" s="821"/>
      <c r="O185" s="647"/>
      <c r="P185" s="620"/>
      <c r="Q185" s="652"/>
      <c r="R185" s="653"/>
      <c r="S185" s="809"/>
    </row>
    <row r="186" s="10" customFormat="1" ht="18" customHeight="1" spans="1:19">
      <c r="A186" s="775"/>
      <c r="B186" s="780"/>
      <c r="C186" s="779" t="s">
        <v>3650</v>
      </c>
      <c r="D186" s="781">
        <v>11950000</v>
      </c>
      <c r="E186" s="729" t="s">
        <v>3651</v>
      </c>
      <c r="F186" s="586" t="e">
        <f>D186-H184-#REF!-#REF!-'2024.03'!I145</f>
        <v>#REF!</v>
      </c>
      <c r="G186" s="653" t="s">
        <v>3652</v>
      </c>
      <c r="H186" s="797" t="e">
        <f>(D186-F186)/D186</f>
        <v>#REF!</v>
      </c>
      <c r="I186" s="804"/>
      <c r="J186" s="804"/>
      <c r="K186" s="758"/>
      <c r="L186" s="739"/>
      <c r="M186" s="738"/>
      <c r="N186" s="738"/>
      <c r="O186" s="812"/>
      <c r="P186" s="620"/>
      <c r="Q186" s="652"/>
      <c r="R186" s="727"/>
      <c r="S186" s="727"/>
    </row>
    <row r="187" s="10" customFormat="1" ht="18" customHeight="1" spans="1:19">
      <c r="A187" s="775"/>
      <c r="B187" s="553" t="s">
        <v>1820</v>
      </c>
      <c r="C187" s="554" t="s">
        <v>1946</v>
      </c>
      <c r="D187" s="555" t="s">
        <v>1821</v>
      </c>
      <c r="E187" s="555" t="s">
        <v>1822</v>
      </c>
      <c r="F187" s="588" t="s">
        <v>1095</v>
      </c>
      <c r="G187" s="589" t="s">
        <v>362</v>
      </c>
      <c r="H187" s="590" t="s">
        <v>1865</v>
      </c>
      <c r="I187" s="810" t="s">
        <v>1717</v>
      </c>
      <c r="J187" s="810" t="s">
        <v>1718</v>
      </c>
      <c r="K187" s="590" t="s">
        <v>1866</v>
      </c>
      <c r="L187" s="615" t="s">
        <v>1098</v>
      </c>
      <c r="M187" s="590" t="s">
        <v>1867</v>
      </c>
      <c r="N187" s="646"/>
      <c r="O187" s="822"/>
      <c r="P187" s="620"/>
      <c r="Q187" s="652"/>
      <c r="R187" s="727"/>
      <c r="S187" s="727"/>
    </row>
    <row r="188" s="10" customFormat="1" ht="18" customHeight="1" spans="1:19">
      <c r="A188" s="718"/>
      <c r="B188" s="541" t="s">
        <v>2386</v>
      </c>
      <c r="C188" s="564" t="s">
        <v>1120</v>
      </c>
      <c r="D188" s="716"/>
      <c r="E188" s="250" t="s">
        <v>2000</v>
      </c>
      <c r="F188" s="678" t="s">
        <v>4053</v>
      </c>
      <c r="G188" s="725">
        <v>65806</v>
      </c>
      <c r="H188" s="596">
        <f>G188*K188</f>
        <v>466814.6028</v>
      </c>
      <c r="I188" s="577"/>
      <c r="J188" s="603"/>
      <c r="K188" s="597">
        <v>7.0938</v>
      </c>
      <c r="L188" s="598" t="s">
        <v>1218</v>
      </c>
      <c r="M188" s="598"/>
      <c r="N188" s="625"/>
      <c r="O188" s="813" t="s">
        <v>4054</v>
      </c>
      <c r="P188" s="620"/>
      <c r="Q188" s="652"/>
      <c r="R188" s="727"/>
      <c r="S188" s="727"/>
    </row>
    <row r="189" s="536" customFormat="1" ht="18" customHeight="1" spans="1:19">
      <c r="A189" s="773"/>
      <c r="B189" s="568"/>
      <c r="C189" s="666"/>
      <c r="D189" s="759"/>
      <c r="E189" s="250" t="s">
        <v>2000</v>
      </c>
      <c r="F189" s="678" t="s">
        <v>4055</v>
      </c>
      <c r="G189" s="725">
        <v>63422</v>
      </c>
      <c r="H189" s="596">
        <f>G189*K189</f>
        <v>449902.9836</v>
      </c>
      <c r="I189" s="567"/>
      <c r="J189" s="570"/>
      <c r="K189" s="597">
        <v>7.0938</v>
      </c>
      <c r="L189" s="625"/>
      <c r="M189" s="598"/>
      <c r="N189" s="625"/>
      <c r="O189" s="813" t="s">
        <v>4056</v>
      </c>
      <c r="P189" s="814"/>
      <c r="Q189" s="655"/>
      <c r="R189" s="664"/>
      <c r="S189" s="577"/>
    </row>
    <row r="190" s="10" customFormat="1" ht="18" customHeight="1" spans="1:19">
      <c r="A190" s="775"/>
      <c r="B190" s="541"/>
      <c r="C190" s="673"/>
      <c r="D190" s="716"/>
      <c r="E190" s="572"/>
      <c r="F190" s="250"/>
      <c r="G190" s="725"/>
      <c r="H190" s="577"/>
      <c r="I190" s="570"/>
      <c r="J190" s="811"/>
      <c r="K190" s="597">
        <v>7.0938</v>
      </c>
      <c r="L190" s="625"/>
      <c r="M190" s="598"/>
      <c r="N190" s="598"/>
      <c r="O190" s="823"/>
      <c r="P190" s="620"/>
      <c r="Q190" s="652"/>
      <c r="R190" s="727"/>
      <c r="S190" s="727"/>
    </row>
    <row r="191" s="10" customFormat="1" ht="18" customHeight="1" spans="1:19">
      <c r="A191" s="775"/>
      <c r="B191" s="541"/>
      <c r="C191" s="250" t="s">
        <v>509</v>
      </c>
      <c r="D191" s="716"/>
      <c r="E191" s="787" t="s">
        <v>284</v>
      </c>
      <c r="F191" s="788" t="s">
        <v>4057</v>
      </c>
      <c r="G191" s="722">
        <v>98260</v>
      </c>
      <c r="H191" s="789">
        <f>G191*K191-300000</f>
        <v>397036.788</v>
      </c>
      <c r="I191" s="787"/>
      <c r="J191" s="788"/>
      <c r="K191" s="597">
        <v>7.0938</v>
      </c>
      <c r="L191" s="598">
        <v>45432</v>
      </c>
      <c r="M191" s="596"/>
      <c r="N191" s="603"/>
      <c r="O191" s="815"/>
      <c r="P191" s="620"/>
      <c r="Q191" s="652"/>
      <c r="R191" s="727"/>
      <c r="S191" s="727"/>
    </row>
    <row r="192" s="10" customFormat="1" ht="18" customHeight="1" spans="1:19">
      <c r="A192" s="775"/>
      <c r="B192" s="541"/>
      <c r="C192" s="250"/>
      <c r="D192" s="716"/>
      <c r="E192" s="787" t="s">
        <v>2099</v>
      </c>
      <c r="F192" s="788" t="s">
        <v>3859</v>
      </c>
      <c r="G192" s="789">
        <v>923589</v>
      </c>
      <c r="H192" s="789"/>
      <c r="I192" s="787"/>
      <c r="J192" s="788"/>
      <c r="K192" s="597">
        <v>7.0938</v>
      </c>
      <c r="L192" s="598" t="s">
        <v>1218</v>
      </c>
      <c r="M192" s="596"/>
      <c r="N192" s="603"/>
      <c r="O192" s="815" t="s">
        <v>4058</v>
      </c>
      <c r="P192" s="620"/>
      <c r="Q192" s="652"/>
      <c r="R192" s="727"/>
      <c r="S192" s="727"/>
    </row>
    <row r="193" s="10" customFormat="1" ht="18" customHeight="1" spans="1:19">
      <c r="A193" s="775"/>
      <c r="B193" s="776"/>
      <c r="C193" s="721"/>
      <c r="D193" s="545"/>
      <c r="E193" s="787" t="s">
        <v>2099</v>
      </c>
      <c r="F193" s="788" t="s">
        <v>4059</v>
      </c>
      <c r="G193" s="789">
        <v>357402</v>
      </c>
      <c r="H193" s="789"/>
      <c r="I193" s="851"/>
      <c r="J193" s="788"/>
      <c r="K193" s="597">
        <v>7.0938</v>
      </c>
      <c r="L193" s="598">
        <v>6.28</v>
      </c>
      <c r="M193" s="596"/>
      <c r="N193" s="625"/>
      <c r="O193" s="815" t="s">
        <v>4060</v>
      </c>
      <c r="P193" s="816"/>
      <c r="Q193" s="655"/>
      <c r="R193" s="664"/>
      <c r="S193" s="577"/>
    </row>
    <row r="194" s="10" customFormat="1" ht="18" customHeight="1" spans="1:19">
      <c r="A194" s="775"/>
      <c r="B194" s="669"/>
      <c r="C194" s="721"/>
      <c r="D194" s="545"/>
      <c r="E194" s="788"/>
      <c r="F194" s="788"/>
      <c r="G194" s="616"/>
      <c r="H194" s="563"/>
      <c r="I194" s="852"/>
      <c r="J194" s="790"/>
      <c r="K194" s="597">
        <v>7.0938</v>
      </c>
      <c r="L194" s="618"/>
      <c r="M194" s="596"/>
      <c r="N194" s="736"/>
      <c r="O194" s="823"/>
      <c r="P194" s="816"/>
      <c r="Q194" s="655"/>
      <c r="R194" s="664"/>
      <c r="S194" s="577"/>
    </row>
    <row r="195" s="10" customFormat="1" ht="18" customHeight="1" spans="1:19">
      <c r="A195" s="713"/>
      <c r="B195" s="541"/>
      <c r="C195" s="250" t="s">
        <v>1393</v>
      </c>
      <c r="D195" s="716"/>
      <c r="E195" s="250" t="s">
        <v>150</v>
      </c>
      <c r="F195" s="244" t="s">
        <v>4061</v>
      </c>
      <c r="G195" s="576">
        <v>35830</v>
      </c>
      <c r="H195" s="567"/>
      <c r="I195" s="853"/>
      <c r="J195" s="804"/>
      <c r="K195" s="597">
        <v>7.0938</v>
      </c>
      <c r="L195" s="854"/>
      <c r="M195" s="854"/>
      <c r="N195" s="854"/>
      <c r="O195" s="740" t="s">
        <v>4062</v>
      </c>
      <c r="P195" s="620"/>
      <c r="Q195" s="652"/>
      <c r="R195" s="727"/>
      <c r="S195" s="727"/>
    </row>
    <row r="196" s="10" customFormat="1" ht="19.6" customHeight="1" spans="1:19">
      <c r="A196" s="775"/>
      <c r="B196" s="776"/>
      <c r="C196" s="664"/>
      <c r="D196" s="655"/>
      <c r="E196" s="250" t="s">
        <v>150</v>
      </c>
      <c r="F196" s="244" t="s">
        <v>4063</v>
      </c>
      <c r="G196" s="576">
        <v>100750</v>
      </c>
      <c r="H196" s="567"/>
      <c r="I196" s="853"/>
      <c r="J196" s="804"/>
      <c r="K196" s="597">
        <v>7.0938</v>
      </c>
      <c r="L196" s="598"/>
      <c r="M196" s="854"/>
      <c r="N196" s="618"/>
      <c r="O196" s="743" t="s">
        <v>4064</v>
      </c>
      <c r="P196" s="859"/>
      <c r="Q196" s="859"/>
      <c r="R196" s="872"/>
      <c r="S196" s="577"/>
    </row>
    <row r="197" s="10" customFormat="1" ht="18" customHeight="1" spans="1:19">
      <c r="A197" s="775"/>
      <c r="B197" s="721"/>
      <c r="C197" s="721"/>
      <c r="D197" s="545"/>
      <c r="E197" s="716"/>
      <c r="F197" s="716"/>
      <c r="G197" s="722"/>
      <c r="H197" s="567"/>
      <c r="I197" s="838"/>
      <c r="J197" s="785"/>
      <c r="K197" s="597"/>
      <c r="L197" s="855"/>
      <c r="M197" s="860"/>
      <c r="N197" s="603"/>
      <c r="O197" s="861"/>
      <c r="P197" s="620"/>
      <c r="Q197" s="652"/>
      <c r="R197" s="727"/>
      <c r="S197" s="727"/>
    </row>
    <row r="198" s="10" customFormat="1" ht="18" customHeight="1" spans="1:19">
      <c r="A198" s="718"/>
      <c r="B198" s="721"/>
      <c r="C198" s="250"/>
      <c r="D198" s="716"/>
      <c r="E198" s="244"/>
      <c r="F198" s="787"/>
      <c r="G198" s="722"/>
      <c r="H198" s="567"/>
      <c r="I198" s="839"/>
      <c r="J198" s="597"/>
      <c r="K198" s="597"/>
      <c r="L198" s="598"/>
      <c r="M198" s="854"/>
      <c r="N198" s="570"/>
      <c r="O198" s="862"/>
      <c r="P198" s="620"/>
      <c r="Q198" s="652"/>
      <c r="R198" s="727"/>
      <c r="S198" s="727"/>
    </row>
    <row r="199" s="10" customFormat="1" ht="18" customHeight="1" spans="1:19">
      <c r="A199" s="775"/>
      <c r="B199" s="672"/>
      <c r="C199" s="652" t="s">
        <v>1874</v>
      </c>
      <c r="D199" s="652"/>
      <c r="E199" s="652"/>
      <c r="F199" s="652"/>
      <c r="G199" s="652"/>
      <c r="H199" s="804">
        <f>SUM(H188:H198)</f>
        <v>1313754.3744</v>
      </c>
      <c r="I199" s="839"/>
      <c r="J199" s="839"/>
      <c r="K199" s="597"/>
      <c r="L199" s="598"/>
      <c r="M199" s="598"/>
      <c r="N199" s="863"/>
      <c r="O199" s="864"/>
      <c r="P199" s="620"/>
      <c r="Q199" s="652"/>
      <c r="R199" s="727"/>
      <c r="S199" s="727"/>
    </row>
    <row r="200" s="10" customFormat="1" ht="18" customHeight="1" spans="1:19">
      <c r="A200" s="718"/>
      <c r="B200" s="721" t="s">
        <v>1875</v>
      </c>
      <c r="C200" s="564" t="s">
        <v>1120</v>
      </c>
      <c r="D200" s="545"/>
      <c r="E200" s="673"/>
      <c r="F200" s="673"/>
      <c r="G200" s="784"/>
      <c r="H200" s="596"/>
      <c r="I200" s="577"/>
      <c r="J200" s="603"/>
      <c r="K200" s="597">
        <v>7.0938</v>
      </c>
      <c r="L200" s="598"/>
      <c r="M200" s="598"/>
      <c r="N200" s="863"/>
      <c r="O200" s="626"/>
      <c r="P200" s="620"/>
      <c r="Q200" s="652"/>
      <c r="R200" s="727"/>
      <c r="S200" s="727"/>
    </row>
    <row r="201" s="10" customFormat="1" ht="18" customHeight="1" spans="1:19">
      <c r="A201" s="775"/>
      <c r="B201" s="721"/>
      <c r="C201" s="721"/>
      <c r="D201" s="545"/>
      <c r="E201" s="838"/>
      <c r="F201" s="785"/>
      <c r="G201" s="786"/>
      <c r="H201" s="567"/>
      <c r="I201" s="787"/>
      <c r="J201" s="788"/>
      <c r="K201" s="597">
        <v>7.0938</v>
      </c>
      <c r="L201" s="856"/>
      <c r="M201" s="596"/>
      <c r="N201" s="605"/>
      <c r="O201" s="626"/>
      <c r="P201" s="620"/>
      <c r="Q201" s="652"/>
      <c r="R201" s="727"/>
      <c r="S201" s="727"/>
    </row>
    <row r="202" s="10" customFormat="1" ht="18" customHeight="1" spans="1:19">
      <c r="A202" s="775"/>
      <c r="B202" s="721"/>
      <c r="C202" s="250" t="s">
        <v>509</v>
      </c>
      <c r="D202" s="545"/>
      <c r="E202" s="564" t="s">
        <v>2009</v>
      </c>
      <c r="F202" s="790" t="s">
        <v>3861</v>
      </c>
      <c r="G202" s="567">
        <v>4348387</v>
      </c>
      <c r="H202" s="592"/>
      <c r="I202" s="616"/>
      <c r="J202" s="616"/>
      <c r="K202" s="597"/>
      <c r="L202" s="616"/>
      <c r="M202" s="616"/>
      <c r="N202" s="616"/>
      <c r="O202" s="865" t="s">
        <v>3862</v>
      </c>
      <c r="P202" s="620"/>
      <c r="Q202" s="652"/>
      <c r="R202" s="727"/>
      <c r="S202" s="727"/>
    </row>
    <row r="203" s="10" customFormat="1" ht="18" customHeight="1" spans="1:19">
      <c r="A203" s="775"/>
      <c r="B203" s="721"/>
      <c r="C203" s="250"/>
      <c r="D203" s="545"/>
      <c r="E203" s="250" t="s">
        <v>1313</v>
      </c>
      <c r="F203" s="244" t="s">
        <v>3863</v>
      </c>
      <c r="G203" s="567"/>
      <c r="H203" s="567"/>
      <c r="I203" s="570"/>
      <c r="J203" s="570"/>
      <c r="K203" s="597">
        <v>7.1049</v>
      </c>
      <c r="L203" s="570"/>
      <c r="M203" s="570"/>
      <c r="N203" s="570"/>
      <c r="O203" s="628" t="s">
        <v>3864</v>
      </c>
      <c r="P203" s="620"/>
      <c r="Q203" s="652"/>
      <c r="R203" s="727"/>
      <c r="S203" s="727"/>
    </row>
    <row r="204" s="10" customFormat="1" ht="18" customHeight="1" spans="1:19">
      <c r="A204" s="775"/>
      <c r="B204" s="827"/>
      <c r="C204" s="250"/>
      <c r="D204" s="545"/>
      <c r="E204" s="250" t="s">
        <v>3865</v>
      </c>
      <c r="F204" s="244" t="s">
        <v>3866</v>
      </c>
      <c r="G204" s="567">
        <v>395678</v>
      </c>
      <c r="H204" s="567"/>
      <c r="I204" s="570"/>
      <c r="J204" s="570"/>
      <c r="K204" s="597">
        <v>7.1049</v>
      </c>
      <c r="L204" s="570"/>
      <c r="M204" s="570"/>
      <c r="N204" s="616"/>
      <c r="O204" s="628" t="s">
        <v>3867</v>
      </c>
      <c r="P204" s="620"/>
      <c r="Q204" s="652"/>
      <c r="R204" s="727"/>
      <c r="S204" s="727"/>
    </row>
    <row r="205" s="536" customFormat="1" ht="18" customHeight="1" spans="1:19">
      <c r="A205" s="775"/>
      <c r="B205" s="776"/>
      <c r="C205" s="721" t="s">
        <v>1393</v>
      </c>
      <c r="D205" s="545"/>
      <c r="E205" s="250" t="s">
        <v>3870</v>
      </c>
      <c r="F205" s="244" t="s">
        <v>3871</v>
      </c>
      <c r="G205" s="576">
        <v>35000</v>
      </c>
      <c r="H205" s="567"/>
      <c r="I205" s="602"/>
      <c r="J205" s="596"/>
      <c r="K205" s="597">
        <v>7.0938</v>
      </c>
      <c r="L205" s="598"/>
      <c r="M205" s="854"/>
      <c r="N205" s="618"/>
      <c r="O205" s="628" t="s">
        <v>4065</v>
      </c>
      <c r="P205" s="866"/>
      <c r="Q205" s="873"/>
      <c r="R205" s="715"/>
      <c r="S205" s="602"/>
    </row>
    <row r="206" s="10" customFormat="1" ht="23.35" customHeight="1" spans="1:19">
      <c r="A206" s="775"/>
      <c r="B206" s="776"/>
      <c r="C206" s="721"/>
      <c r="D206" s="545"/>
      <c r="E206" s="673" t="s">
        <v>3875</v>
      </c>
      <c r="F206" s="244" t="s">
        <v>3876</v>
      </c>
      <c r="G206" s="576">
        <v>30000</v>
      </c>
      <c r="H206" s="567"/>
      <c r="I206" s="567"/>
      <c r="J206" s="570"/>
      <c r="K206" s="597">
        <v>7.0938</v>
      </c>
      <c r="L206" s="598"/>
      <c r="M206" s="867"/>
      <c r="N206" s="628"/>
      <c r="O206" s="628" t="s">
        <v>4066</v>
      </c>
      <c r="P206" s="571"/>
      <c r="Q206" s="874"/>
      <c r="R206" s="664"/>
      <c r="S206" s="577"/>
    </row>
    <row r="207" s="10" customFormat="1" ht="23.35" customHeight="1" spans="1:19">
      <c r="A207" s="775"/>
      <c r="B207" s="669"/>
      <c r="C207" s="721"/>
      <c r="D207" s="545"/>
      <c r="E207" s="673" t="s">
        <v>3878</v>
      </c>
      <c r="F207" s="244" t="s">
        <v>3879</v>
      </c>
      <c r="G207" s="576">
        <v>30000</v>
      </c>
      <c r="H207" s="567"/>
      <c r="I207" s="567"/>
      <c r="J207" s="570"/>
      <c r="K207" s="597">
        <v>7.0938</v>
      </c>
      <c r="L207" s="598"/>
      <c r="M207" s="867"/>
      <c r="N207" s="628"/>
      <c r="O207" s="628" t="s">
        <v>3880</v>
      </c>
      <c r="P207" s="571"/>
      <c r="Q207" s="874"/>
      <c r="R207" s="664"/>
      <c r="S207" s="577"/>
    </row>
    <row r="208" s="10" customFormat="1" ht="23.35" customHeight="1" spans="1:19">
      <c r="A208" s="775"/>
      <c r="B208" s="669"/>
      <c r="C208" s="721"/>
      <c r="D208" s="545"/>
      <c r="E208" s="673" t="s">
        <v>3881</v>
      </c>
      <c r="F208" s="244"/>
      <c r="G208" s="576"/>
      <c r="H208" s="567"/>
      <c r="I208" s="567"/>
      <c r="J208" s="570"/>
      <c r="K208" s="597">
        <v>7.0938</v>
      </c>
      <c r="L208" s="598"/>
      <c r="M208" s="867"/>
      <c r="N208" s="628"/>
      <c r="O208" s="628" t="s">
        <v>3882</v>
      </c>
      <c r="P208" s="571"/>
      <c r="Q208" s="874"/>
      <c r="R208" s="664"/>
      <c r="S208" s="577"/>
    </row>
    <row r="209" s="10" customFormat="1" ht="23.35" customHeight="1" spans="1:19">
      <c r="A209" s="775"/>
      <c r="B209" s="669"/>
      <c r="C209" s="721"/>
      <c r="D209" s="545"/>
      <c r="E209" s="787" t="s">
        <v>1224</v>
      </c>
      <c r="F209" s="787" t="s">
        <v>3436</v>
      </c>
      <c r="G209" s="576">
        <v>1098896</v>
      </c>
      <c r="H209" s="567"/>
      <c r="I209" s="570"/>
      <c r="J209" s="570"/>
      <c r="K209" s="597">
        <v>7.0938</v>
      </c>
      <c r="L209" s="570"/>
      <c r="M209" s="570"/>
      <c r="N209" s="570"/>
      <c r="O209" s="628" t="s">
        <v>4067</v>
      </c>
      <c r="P209" s="620"/>
      <c r="Q209" s="874"/>
      <c r="R209" s="664"/>
      <c r="S209" s="577"/>
    </row>
    <row r="210" s="10" customFormat="1" ht="23.35" customHeight="1" spans="1:19">
      <c r="A210" s="775"/>
      <c r="B210" s="669"/>
      <c r="C210" s="721"/>
      <c r="D210" s="545"/>
      <c r="E210" s="787" t="s">
        <v>4068</v>
      </c>
      <c r="F210" s="787"/>
      <c r="G210" s="576"/>
      <c r="H210" s="567"/>
      <c r="I210" s="570"/>
      <c r="J210" s="570"/>
      <c r="K210" s="597"/>
      <c r="L210" s="570"/>
      <c r="M210" s="570"/>
      <c r="N210" s="570"/>
      <c r="O210" s="628"/>
      <c r="P210" s="620"/>
      <c r="Q210" s="874"/>
      <c r="R210" s="664"/>
      <c r="S210" s="577"/>
    </row>
    <row r="211" s="10" customFormat="1" ht="33" spans="1:19">
      <c r="A211" s="775"/>
      <c r="B211" s="827"/>
      <c r="C211" s="721"/>
      <c r="D211" s="545"/>
      <c r="E211" s="716" t="s">
        <v>4069</v>
      </c>
      <c r="F211" s="716" t="s">
        <v>4070</v>
      </c>
      <c r="G211" s="576">
        <v>30000</v>
      </c>
      <c r="H211" s="839"/>
      <c r="I211" s="839"/>
      <c r="J211" s="839"/>
      <c r="K211" s="597">
        <v>7.0938</v>
      </c>
      <c r="L211" s="598"/>
      <c r="M211" s="598"/>
      <c r="N211" s="598"/>
      <c r="O211" s="628" t="s">
        <v>4071</v>
      </c>
      <c r="P211" s="620"/>
      <c r="Q211" s="652"/>
      <c r="R211" s="727"/>
      <c r="S211" s="727"/>
    </row>
    <row r="212" s="10" customFormat="1" ht="16.5" spans="1:19">
      <c r="A212" s="775"/>
      <c r="B212" s="827"/>
      <c r="C212" s="721"/>
      <c r="D212" s="545"/>
      <c r="E212" s="840" t="s">
        <v>4072</v>
      </c>
      <c r="F212" s="716" t="s">
        <v>4073</v>
      </c>
      <c r="G212" s="576">
        <v>40000</v>
      </c>
      <c r="H212" s="839"/>
      <c r="I212" s="839"/>
      <c r="J212" s="839"/>
      <c r="K212" s="597">
        <v>7.0938</v>
      </c>
      <c r="L212" s="598" t="s">
        <v>1218</v>
      </c>
      <c r="M212" s="598"/>
      <c r="N212" s="598"/>
      <c r="O212" s="628" t="s">
        <v>4074</v>
      </c>
      <c r="P212" s="620"/>
      <c r="Q212" s="652"/>
      <c r="R212" s="727"/>
      <c r="S212" s="727"/>
    </row>
    <row r="213" s="10" customFormat="1" ht="16.5" spans="1:19">
      <c r="A213" s="775"/>
      <c r="B213" s="827"/>
      <c r="C213" s="721"/>
      <c r="D213" s="545"/>
      <c r="E213" s="547" t="s">
        <v>4075</v>
      </c>
      <c r="F213" s="547"/>
      <c r="G213" s="841"/>
      <c r="H213" s="842"/>
      <c r="I213" s="842"/>
      <c r="J213" s="842"/>
      <c r="K213" s="806"/>
      <c r="L213" s="598"/>
      <c r="M213" s="598"/>
      <c r="N213" s="598"/>
      <c r="O213" s="628"/>
      <c r="P213" s="620"/>
      <c r="Q213" s="652"/>
      <c r="R213" s="727"/>
      <c r="S213" s="727"/>
    </row>
    <row r="214" s="10" customFormat="1" ht="16.5" spans="1:19">
      <c r="A214" s="775"/>
      <c r="B214" s="827"/>
      <c r="C214" s="721"/>
      <c r="D214" s="545"/>
      <c r="E214" s="547" t="s">
        <v>4076</v>
      </c>
      <c r="F214" s="746"/>
      <c r="G214" s="746"/>
      <c r="H214" s="792"/>
      <c r="I214" s="792"/>
      <c r="J214" s="792"/>
      <c r="K214" s="857"/>
      <c r="L214" s="854"/>
      <c r="M214" s="854"/>
      <c r="N214" s="854"/>
      <c r="O214" s="647"/>
      <c r="P214" s="620"/>
      <c r="Q214" s="652"/>
      <c r="R214" s="727"/>
      <c r="S214" s="727"/>
    </row>
    <row r="215" s="10" customFormat="1" ht="16.5" hidden="1" spans="1:19">
      <c r="A215" s="775"/>
      <c r="B215" s="827"/>
      <c r="C215" s="778"/>
      <c r="D215" s="778"/>
      <c r="E215" s="843" t="s">
        <v>1563</v>
      </c>
      <c r="F215" s="843" t="s">
        <v>4047</v>
      </c>
      <c r="G215" s="746"/>
      <c r="H215" s="792"/>
      <c r="I215" s="792"/>
      <c r="J215" s="792"/>
      <c r="K215" s="857"/>
      <c r="L215" s="858"/>
      <c r="M215" s="858"/>
      <c r="N215" s="854"/>
      <c r="O215" s="647"/>
      <c r="P215" s="620"/>
      <c r="Q215" s="652"/>
      <c r="R215" s="727"/>
      <c r="S215" s="727"/>
    </row>
    <row r="216" s="10" customFormat="1" ht="16.5" spans="1:19">
      <c r="A216" s="775"/>
      <c r="B216" s="827"/>
      <c r="C216" s="778"/>
      <c r="D216" s="778"/>
      <c r="E216" s="547" t="s">
        <v>4077</v>
      </c>
      <c r="F216" s="547" t="s">
        <v>4078</v>
      </c>
      <c r="G216" s="746"/>
      <c r="H216" s="792"/>
      <c r="I216" s="792"/>
      <c r="J216" s="792"/>
      <c r="K216" s="857"/>
      <c r="L216" s="858"/>
      <c r="M216" s="858"/>
      <c r="N216" s="854"/>
      <c r="O216" s="628" t="s">
        <v>4079</v>
      </c>
      <c r="P216" s="620"/>
      <c r="Q216" s="652"/>
      <c r="R216" s="727"/>
      <c r="S216" s="727"/>
    </row>
    <row r="217" s="10" customFormat="1" ht="16.5" spans="1:19">
      <c r="A217" s="828"/>
      <c r="B217" s="673"/>
      <c r="C217" s="652" t="s">
        <v>1874</v>
      </c>
      <c r="D217" s="652"/>
      <c r="E217" s="746"/>
      <c r="F217" s="746"/>
      <c r="G217" s="746"/>
      <c r="H217" s="792">
        <f>SUM(H200:H209)</f>
        <v>0</v>
      </c>
      <c r="I217" s="792"/>
      <c r="J217" s="792"/>
      <c r="K217" s="857"/>
      <c r="L217" s="858"/>
      <c r="M217" s="858"/>
      <c r="N217" s="854"/>
      <c r="O217" s="628" t="s">
        <v>4079</v>
      </c>
      <c r="P217" s="620"/>
      <c r="Q217" s="652"/>
      <c r="R217" s="727"/>
      <c r="S217" s="727"/>
    </row>
    <row r="218" s="536" customFormat="1" ht="13.2" customHeight="1" spans="1:19">
      <c r="A218" s="829"/>
      <c r="B218" s="830"/>
      <c r="C218" s="831"/>
      <c r="D218" s="832"/>
      <c r="E218" s="832"/>
      <c r="F218" s="844"/>
      <c r="G218" s="844"/>
      <c r="H218" s="845"/>
      <c r="I218" s="845"/>
      <c r="J218" s="845"/>
      <c r="K218" s="844"/>
      <c r="L218" s="844"/>
      <c r="M218" s="868"/>
      <c r="N218" s="869"/>
      <c r="O218" s="822"/>
      <c r="P218" s="620"/>
      <c r="Q218" s="652"/>
      <c r="R218" s="727"/>
      <c r="S218" s="727"/>
    </row>
    <row r="219" s="10" customFormat="1" ht="16.5" spans="1:19">
      <c r="A219" s="833" t="s">
        <v>3884</v>
      </c>
      <c r="B219" s="833"/>
      <c r="C219" s="833"/>
      <c r="D219" s="739">
        <v>13000000</v>
      </c>
      <c r="E219" s="846"/>
      <c r="F219" s="727"/>
      <c r="G219" s="727" t="s">
        <v>3885</v>
      </c>
      <c r="H219" s="804">
        <f t="shared" ref="H219:J219" si="4">H26+H117+H184</f>
        <v>7214813.0497</v>
      </c>
      <c r="I219" s="804">
        <f t="shared" si="4"/>
        <v>7214814.0087</v>
      </c>
      <c r="J219" s="804">
        <f t="shared" si="4"/>
        <v>9780453.5154</v>
      </c>
      <c r="K219" s="727"/>
      <c r="L219" s="727"/>
      <c r="M219" s="854"/>
      <c r="N219" s="854"/>
      <c r="O219" s="812"/>
      <c r="P219" s="727"/>
      <c r="Q219" s="652"/>
      <c r="R219" s="727"/>
      <c r="S219" s="727"/>
    </row>
    <row r="220" s="10" customFormat="1" ht="16.5" spans="1:19">
      <c r="A220" s="834"/>
      <c r="B220" s="834"/>
      <c r="C220" s="834"/>
      <c r="D220" s="835"/>
      <c r="E220" s="847"/>
      <c r="F220" s="848"/>
      <c r="G220" s="848" t="s">
        <v>3649</v>
      </c>
      <c r="H220" s="849">
        <f>H219/D219</f>
        <v>0.554985619207692</v>
      </c>
      <c r="I220" s="849">
        <f>I219/D219</f>
        <v>0.554985692976923</v>
      </c>
      <c r="J220" s="849">
        <f>J219/(D219*10000)</f>
        <v>7.52342578107692e-5</v>
      </c>
      <c r="K220" s="848"/>
      <c r="L220" s="848"/>
      <c r="M220" s="863"/>
      <c r="N220" s="863"/>
      <c r="O220" s="864"/>
      <c r="P220" s="848"/>
      <c r="Q220" s="848"/>
      <c r="R220" s="848"/>
      <c r="S220" s="848"/>
    </row>
    <row r="221" s="10" customFormat="1" ht="16.5" spans="1:19">
      <c r="A221" s="757" t="s">
        <v>3886</v>
      </c>
      <c r="B221" s="758"/>
      <c r="C221" s="760"/>
      <c r="D221" s="739">
        <v>43000000</v>
      </c>
      <c r="E221" s="652" t="s">
        <v>3887</v>
      </c>
      <c r="F221" s="739" t="e">
        <f>D221-#REF!-#REF!-'2024.03'!I177-H219</f>
        <v>#REF!</v>
      </c>
      <c r="G221" s="727" t="s">
        <v>3652</v>
      </c>
      <c r="H221" s="796" t="e">
        <f>(D221-F221)/D221</f>
        <v>#REF!</v>
      </c>
      <c r="I221" s="796" t="e">
        <f>H221</f>
        <v>#REF!</v>
      </c>
      <c r="J221" s="804"/>
      <c r="K221" s="727"/>
      <c r="L221" s="727"/>
      <c r="M221" s="598"/>
      <c r="N221" s="598"/>
      <c r="O221" s="740"/>
      <c r="P221" s="715"/>
      <c r="Q221" s="716"/>
      <c r="R221" s="715"/>
      <c r="S221" s="715"/>
    </row>
    <row r="222" s="10" customFormat="1" ht="16.5" spans="1:19">
      <c r="A222" s="536"/>
      <c r="B222" s="536"/>
      <c r="C222" s="836"/>
      <c r="D222" s="837"/>
      <c r="E222" s="837"/>
      <c r="F222" s="836"/>
      <c r="G222" s="836"/>
      <c r="H222" s="850"/>
      <c r="I222" s="850"/>
      <c r="J222" s="850"/>
      <c r="K222" s="836"/>
      <c r="L222" s="836"/>
      <c r="M222" s="870"/>
      <c r="N222" s="870"/>
      <c r="O222" s="871"/>
      <c r="P222" s="836"/>
      <c r="Q222" s="837"/>
      <c r="R222" s="836"/>
      <c r="S222" s="836"/>
    </row>
    <row r="223" s="10" customFormat="1" ht="16.5" spans="1:19">
      <c r="A223" s="536"/>
      <c r="B223" s="536"/>
      <c r="C223" s="836"/>
      <c r="D223" s="837"/>
      <c r="E223" s="837"/>
      <c r="F223" s="836"/>
      <c r="G223" s="836"/>
      <c r="H223" s="850"/>
      <c r="I223" s="850"/>
      <c r="J223" s="850"/>
      <c r="K223" s="836"/>
      <c r="L223" s="836"/>
      <c r="M223" s="870"/>
      <c r="N223" s="870"/>
      <c r="O223" s="871"/>
      <c r="P223" s="836"/>
      <c r="Q223" s="837"/>
      <c r="R223" s="836"/>
      <c r="S223" s="836"/>
    </row>
    <row r="224" s="10" customFormat="1" ht="16.5" spans="1:19">
      <c r="A224" s="536"/>
      <c r="B224" s="536"/>
      <c r="C224" s="836"/>
      <c r="D224" s="837"/>
      <c r="E224" s="837"/>
      <c r="F224" s="836"/>
      <c r="G224" s="836"/>
      <c r="H224" s="850"/>
      <c r="I224" s="850"/>
      <c r="J224" s="850"/>
      <c r="K224" s="836"/>
      <c r="L224" s="836"/>
      <c r="M224" s="870"/>
      <c r="N224" s="870"/>
      <c r="O224" s="871"/>
      <c r="P224" s="836"/>
      <c r="Q224" s="837"/>
      <c r="R224" s="836"/>
      <c r="S224" s="836"/>
    </row>
    <row r="225" s="10" customFormat="1" ht="16.5" spans="1:19">
      <c r="A225" s="536"/>
      <c r="B225" s="536"/>
      <c r="C225" s="836"/>
      <c r="D225" s="837"/>
      <c r="E225" s="837"/>
      <c r="F225" s="836"/>
      <c r="G225" s="836"/>
      <c r="H225" s="850"/>
      <c r="I225" s="850"/>
      <c r="J225" s="850"/>
      <c r="K225" s="836"/>
      <c r="L225" s="836"/>
      <c r="M225" s="870"/>
      <c r="N225" s="870"/>
      <c r="O225" s="871"/>
      <c r="P225" s="836"/>
      <c r="Q225" s="837"/>
      <c r="R225" s="836"/>
      <c r="S225" s="836"/>
    </row>
    <row r="226" s="10" customFormat="1" ht="16.5" spans="1:19">
      <c r="A226" s="536"/>
      <c r="B226" s="536"/>
      <c r="C226" s="836"/>
      <c r="D226" s="837"/>
      <c r="E226" s="837"/>
      <c r="F226" s="836"/>
      <c r="G226" s="836"/>
      <c r="H226" s="880"/>
      <c r="I226" s="880"/>
      <c r="J226" s="880"/>
      <c r="K226" s="836"/>
      <c r="L226" s="836"/>
      <c r="M226" s="870"/>
      <c r="N226" s="870"/>
      <c r="O226" s="871"/>
      <c r="P226" s="836"/>
      <c r="Q226" s="837"/>
      <c r="R226" s="836"/>
      <c r="S226" s="836"/>
    </row>
    <row r="227" s="10" customFormat="1" ht="16.5" spans="1:19">
      <c r="A227" s="875" t="s">
        <v>1814</v>
      </c>
      <c r="B227" s="875"/>
      <c r="C227" s="875"/>
      <c r="D227" s="875"/>
      <c r="E227" s="875"/>
      <c r="F227" s="881"/>
      <c r="G227" s="882"/>
      <c r="H227" s="850"/>
      <c r="I227" s="850"/>
      <c r="J227" s="892"/>
      <c r="K227" s="836"/>
      <c r="L227" s="836"/>
      <c r="M227" s="870"/>
      <c r="N227" s="870"/>
      <c r="O227" s="871"/>
      <c r="P227" s="894"/>
      <c r="Q227" s="837"/>
      <c r="R227" s="836"/>
      <c r="S227" s="836"/>
    </row>
    <row r="228" s="10" customFormat="1" ht="16.5" spans="1:19">
      <c r="A228" s="875" t="s">
        <v>2045</v>
      </c>
      <c r="B228" s="875"/>
      <c r="C228" s="875"/>
      <c r="D228" s="875"/>
      <c r="E228" s="875"/>
      <c r="F228" s="875"/>
      <c r="G228" s="882"/>
      <c r="H228" s="883"/>
      <c r="J228" s="328"/>
      <c r="K228" s="836"/>
      <c r="L228" s="836"/>
      <c r="M228" s="870"/>
      <c r="N228" s="870"/>
      <c r="O228" s="871"/>
      <c r="P228" s="894"/>
      <c r="Q228" s="837"/>
      <c r="R228" s="836"/>
      <c r="S228" s="836"/>
    </row>
    <row r="229" s="10" customFormat="1" ht="16.5" spans="1:19">
      <c r="A229" s="875" t="s">
        <v>2046</v>
      </c>
      <c r="B229" s="875"/>
      <c r="C229" s="875"/>
      <c r="D229" s="875"/>
      <c r="E229" s="875"/>
      <c r="F229" s="875"/>
      <c r="G229" s="882"/>
      <c r="H229" s="850"/>
      <c r="I229" s="850"/>
      <c r="J229" s="328"/>
      <c r="K229" s="892"/>
      <c r="L229" s="836"/>
      <c r="M229" s="870"/>
      <c r="N229" s="870"/>
      <c r="O229" s="871"/>
      <c r="P229" s="894"/>
      <c r="Q229" s="837"/>
      <c r="R229" s="836"/>
      <c r="S229" s="836"/>
    </row>
    <row r="230" s="10" customFormat="1" ht="16.5" spans="1:19">
      <c r="A230" s="875" t="s">
        <v>2047</v>
      </c>
      <c r="B230" s="875"/>
      <c r="C230" s="875"/>
      <c r="D230" s="875"/>
      <c r="E230" s="875"/>
      <c r="F230" s="875"/>
      <c r="G230" s="884"/>
      <c r="H230" s="850"/>
      <c r="I230" s="850"/>
      <c r="J230" s="892"/>
      <c r="K230" s="836"/>
      <c r="L230" s="836"/>
      <c r="M230" s="870"/>
      <c r="N230" s="870"/>
      <c r="O230" s="871"/>
      <c r="P230" s="894"/>
      <c r="Q230" s="837"/>
      <c r="R230" s="836"/>
      <c r="S230" s="836"/>
    </row>
    <row r="231" s="10" customFormat="1" ht="16.5" spans="1:19">
      <c r="A231" s="875"/>
      <c r="B231" s="875"/>
      <c r="C231" s="875"/>
      <c r="D231" s="875"/>
      <c r="E231" s="875"/>
      <c r="F231" s="875"/>
      <c r="G231" s="885"/>
      <c r="H231" s="850"/>
      <c r="I231" s="850"/>
      <c r="J231" s="892"/>
      <c r="K231" s="836"/>
      <c r="L231" s="836"/>
      <c r="M231" s="870"/>
      <c r="N231" s="870"/>
      <c r="O231" s="871"/>
      <c r="P231" s="894"/>
      <c r="Q231" s="837"/>
      <c r="R231" s="836"/>
      <c r="S231" s="836"/>
    </row>
    <row r="232" s="10" customFormat="1" ht="16.5" spans="1:19">
      <c r="A232" s="875"/>
      <c r="B232" s="875"/>
      <c r="C232" s="876"/>
      <c r="D232" s="876"/>
      <c r="E232" s="876"/>
      <c r="F232" s="876"/>
      <c r="G232" s="886"/>
      <c r="H232" s="850"/>
      <c r="I232" s="850"/>
      <c r="J232" s="328"/>
      <c r="K232" s="893"/>
      <c r="L232" s="893"/>
      <c r="M232" s="870"/>
      <c r="N232" s="870"/>
      <c r="O232" s="895"/>
      <c r="P232" s="894"/>
      <c r="Q232" s="837"/>
      <c r="R232" s="893"/>
      <c r="S232" s="893"/>
    </row>
    <row r="233" ht="16.5" spans="1:19">
      <c r="A233" s="875"/>
      <c r="B233" s="875"/>
      <c r="C233" s="876"/>
      <c r="D233" s="876"/>
      <c r="E233" s="876"/>
      <c r="F233" s="876"/>
      <c r="G233" s="886"/>
      <c r="H233" s="850"/>
      <c r="I233" s="850"/>
      <c r="J233" s="328"/>
      <c r="K233" s="877"/>
      <c r="L233" s="877"/>
      <c r="M233" s="896"/>
      <c r="N233" s="896"/>
      <c r="O233" s="897"/>
      <c r="P233" s="876"/>
      <c r="Q233" s="878"/>
      <c r="R233" s="877"/>
      <c r="S233" s="877"/>
    </row>
    <row r="234" ht="16.5" spans="1:19">
      <c r="A234" s="417"/>
      <c r="B234" s="417"/>
      <c r="C234" s="877"/>
      <c r="D234" s="878"/>
      <c r="E234" s="878"/>
      <c r="F234" s="877"/>
      <c r="G234" s="887"/>
      <c r="H234" s="850"/>
      <c r="J234" s="850"/>
      <c r="K234" s="877"/>
      <c r="L234" s="877"/>
      <c r="M234" s="896"/>
      <c r="N234" s="896"/>
      <c r="O234" s="897"/>
      <c r="P234" s="877"/>
      <c r="Q234" s="878"/>
      <c r="R234" s="877"/>
      <c r="S234" s="877"/>
    </row>
    <row r="235" ht="16.5" spans="1:19">
      <c r="A235" s="417"/>
      <c r="B235" s="417"/>
      <c r="C235" s="417"/>
      <c r="D235" s="879"/>
      <c r="E235" s="879"/>
      <c r="F235" s="417"/>
      <c r="G235" s="888"/>
      <c r="H235" s="880"/>
      <c r="I235" s="880"/>
      <c r="J235" s="880"/>
      <c r="K235" s="417"/>
      <c r="L235" s="417"/>
      <c r="M235" s="898"/>
      <c r="N235" s="898"/>
      <c r="O235" s="899"/>
      <c r="P235" s="417"/>
      <c r="Q235" s="900"/>
      <c r="R235" s="417"/>
      <c r="S235" s="417"/>
    </row>
    <row r="236" spans="7:7">
      <c r="G236" s="12"/>
    </row>
    <row r="237" spans="12:12">
      <c r="L237" s="265"/>
    </row>
    <row r="238" ht="20.85" customHeight="1" spans="5:8">
      <c r="E238" s="881"/>
      <c r="F238" s="881"/>
      <c r="G238" s="889"/>
      <c r="H238" s="889"/>
    </row>
    <row r="239" s="417" customFormat="1" ht="30.85" customHeight="1" spans="5:17">
      <c r="E239" s="890"/>
      <c r="F239" s="890"/>
      <c r="G239" s="891"/>
      <c r="H239" s="891"/>
      <c r="O239" s="899"/>
      <c r="Q239" s="901"/>
    </row>
  </sheetData>
  <sheetProtection formatCells="0" insertHyperlinks="0" autoFilter="0"/>
  <mergeCells count="85">
    <mergeCell ref="A1:R1"/>
    <mergeCell ref="I29:J29"/>
    <mergeCell ref="M29:N29"/>
    <mergeCell ref="C44:G44"/>
    <mergeCell ref="C100:G100"/>
    <mergeCell ref="I120:J120"/>
    <mergeCell ref="M120:N120"/>
    <mergeCell ref="C129:G129"/>
    <mergeCell ref="C162:G162"/>
    <mergeCell ref="O179:Q179"/>
    <mergeCell ref="M187:N187"/>
    <mergeCell ref="C199:G199"/>
    <mergeCell ref="C217:G217"/>
    <mergeCell ref="A221:C221"/>
    <mergeCell ref="A3:A100"/>
    <mergeCell ref="A102:A162"/>
    <mergeCell ref="A164:A217"/>
    <mergeCell ref="B3:B28"/>
    <mergeCell ref="B30:B44"/>
    <mergeCell ref="B45:B100"/>
    <mergeCell ref="B102:B119"/>
    <mergeCell ref="B121:B129"/>
    <mergeCell ref="B130:B162"/>
    <mergeCell ref="B164:B185"/>
    <mergeCell ref="B188:B199"/>
    <mergeCell ref="B200:B217"/>
    <mergeCell ref="C3:C6"/>
    <mergeCell ref="C7:C15"/>
    <mergeCell ref="C16:C23"/>
    <mergeCell ref="C24:C25"/>
    <mergeCell ref="C26:C27"/>
    <mergeCell ref="C30:C32"/>
    <mergeCell ref="C33:C36"/>
    <mergeCell ref="C38:C41"/>
    <mergeCell ref="C42:C43"/>
    <mergeCell ref="C45:C54"/>
    <mergeCell ref="C55:C72"/>
    <mergeCell ref="C73:C87"/>
    <mergeCell ref="C88:C92"/>
    <mergeCell ref="C93:C97"/>
    <mergeCell ref="C98:C99"/>
    <mergeCell ref="C102:C103"/>
    <mergeCell ref="C104:C110"/>
    <mergeCell ref="C111:C114"/>
    <mergeCell ref="C117:C118"/>
    <mergeCell ref="C122:C124"/>
    <mergeCell ref="C126:C127"/>
    <mergeCell ref="C130:C141"/>
    <mergeCell ref="C142:C153"/>
    <mergeCell ref="C154:C159"/>
    <mergeCell ref="C160:C161"/>
    <mergeCell ref="C164:C171"/>
    <mergeCell ref="C172:C178"/>
    <mergeCell ref="C179:C183"/>
    <mergeCell ref="C184:C185"/>
    <mergeCell ref="C188:C190"/>
    <mergeCell ref="C191:C194"/>
    <mergeCell ref="C195:C198"/>
    <mergeCell ref="C200:C201"/>
    <mergeCell ref="C202:C204"/>
    <mergeCell ref="C205:C214"/>
    <mergeCell ref="D3:D6"/>
    <mergeCell ref="D7:D15"/>
    <mergeCell ref="D16:D23"/>
    <mergeCell ref="D24:D25"/>
    <mergeCell ref="D26:D27"/>
    <mergeCell ref="D30:D43"/>
    <mergeCell ref="D45:D92"/>
    <mergeCell ref="D102:D103"/>
    <mergeCell ref="D104:D110"/>
    <mergeCell ref="D111:D114"/>
    <mergeCell ref="D117:D118"/>
    <mergeCell ref="D121:D128"/>
    <mergeCell ref="D130:D161"/>
    <mergeCell ref="D164:D171"/>
    <mergeCell ref="D172:D178"/>
    <mergeCell ref="D179:D183"/>
    <mergeCell ref="D184:D185"/>
    <mergeCell ref="D188:D198"/>
    <mergeCell ref="D200:D214"/>
    <mergeCell ref="D219:D220"/>
    <mergeCell ref="E130:E136"/>
    <mergeCell ref="L130:L135"/>
    <mergeCell ref="O130:O135"/>
    <mergeCell ref="A219:C220"/>
  </mergeCells>
  <pageMargins left="0.75" right="0.75" top="1" bottom="1" header="0.5" footer="0.5"/>
  <headerFooter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4"/>
  <dimension ref="A1:AK177"/>
  <sheetViews>
    <sheetView workbookViewId="0">
      <selection activeCell="N33" sqref="N33"/>
    </sheetView>
  </sheetViews>
  <sheetFormatPr defaultColWidth="9" defaultRowHeight="13.5"/>
  <cols>
    <col min="1" max="1" width="8.75833333333333" style="24" customWidth="1"/>
    <col min="2" max="2" width="13.9916666666667" style="25" customWidth="1"/>
    <col min="3" max="3" width="12.4416666666667" style="24" customWidth="1"/>
    <col min="4" max="4" width="11.0583333333333" style="24" customWidth="1"/>
    <col min="5" max="5" width="20.5333333333333" style="24" customWidth="1"/>
    <col min="6" max="6" width="16.4416666666667" style="25" customWidth="1"/>
    <col min="7" max="7" width="19.4" style="24" customWidth="1"/>
    <col min="8" max="8" width="14.825" style="24" customWidth="1"/>
    <col min="9" max="9" width="15.375" style="24" customWidth="1"/>
    <col min="10" max="10" width="13.875" style="24" customWidth="1"/>
    <col min="11" max="11" width="13.8" style="24" customWidth="1"/>
    <col min="12" max="12" width="9" style="24" customWidth="1"/>
    <col min="13" max="13" width="14.3166666666667" style="24" customWidth="1"/>
    <col min="14" max="14" width="14.3166666666667" style="26" customWidth="1"/>
    <col min="15" max="15" width="14.3166666666667" style="24" customWidth="1"/>
    <col min="16" max="16" width="49.3583333333333" style="27" customWidth="1"/>
    <col min="17" max="17" width="23.3166666666667" style="24" customWidth="1"/>
    <col min="18" max="18" width="15.875" style="26" customWidth="1"/>
    <col min="19" max="19" width="13.125" style="24"/>
    <col min="20" max="20" width="44.5666666666667" style="24" customWidth="1"/>
  </cols>
  <sheetData>
    <row r="1" ht="19.2" customHeight="1" spans="1:20">
      <c r="A1" s="28" t="s">
        <v>4080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420"/>
      <c r="O1" s="420"/>
      <c r="P1" s="421"/>
      <c r="Q1" s="28"/>
      <c r="R1" s="28"/>
      <c r="S1" s="28"/>
      <c r="T1" s="426"/>
    </row>
    <row r="2" ht="25.3" customHeight="1" spans="1:20">
      <c r="A2" s="29" t="s">
        <v>1092</v>
      </c>
      <c r="B2" s="469" t="s">
        <v>1820</v>
      </c>
      <c r="C2" s="30" t="s">
        <v>1946</v>
      </c>
      <c r="D2" s="31" t="s">
        <v>3619</v>
      </c>
      <c r="E2" s="31" t="s">
        <v>1822</v>
      </c>
      <c r="F2" s="50" t="s">
        <v>4081</v>
      </c>
      <c r="G2" s="51" t="s">
        <v>1095</v>
      </c>
      <c r="H2" s="52" t="s">
        <v>4082</v>
      </c>
      <c r="I2" s="62" t="s">
        <v>1716</v>
      </c>
      <c r="J2" s="62" t="s">
        <v>1717</v>
      </c>
      <c r="K2" s="62" t="s">
        <v>1718</v>
      </c>
      <c r="L2" s="63" t="s">
        <v>1866</v>
      </c>
      <c r="M2" s="78" t="s">
        <v>1098</v>
      </c>
      <c r="N2" s="79" t="s">
        <v>3620</v>
      </c>
      <c r="O2" s="79" t="s">
        <v>1214</v>
      </c>
      <c r="P2" s="80" t="s">
        <v>4083</v>
      </c>
      <c r="Q2" s="342" t="s">
        <v>7</v>
      </c>
      <c r="R2" s="278" t="s">
        <v>8</v>
      </c>
      <c r="S2" s="343" t="s">
        <v>9</v>
      </c>
      <c r="T2" s="427" t="s">
        <v>1291</v>
      </c>
    </row>
    <row r="3" ht="16.5" spans="1:21">
      <c r="A3" s="36" t="s">
        <v>4084</v>
      </c>
      <c r="B3" s="33" t="s">
        <v>1824</v>
      </c>
      <c r="C3" s="34" t="s">
        <v>2382</v>
      </c>
      <c r="D3" s="35"/>
      <c r="E3" s="53"/>
      <c r="F3" s="54"/>
      <c r="G3" s="55"/>
      <c r="H3" s="55"/>
      <c r="I3" s="64"/>
      <c r="J3" s="64"/>
      <c r="K3" s="64"/>
      <c r="L3" s="65"/>
      <c r="M3" s="81"/>
      <c r="N3" s="81"/>
      <c r="O3" s="81"/>
      <c r="P3" s="82"/>
      <c r="Q3" s="344"/>
      <c r="R3" s="41"/>
      <c r="S3" s="99"/>
      <c r="T3" s="72"/>
      <c r="U3">
        <v>2300</v>
      </c>
    </row>
    <row r="4" ht="16.5" spans="1:21">
      <c r="A4" s="36" t="s">
        <v>4084</v>
      </c>
      <c r="B4" s="33" t="s">
        <v>1824</v>
      </c>
      <c r="C4" s="34" t="s">
        <v>4085</v>
      </c>
      <c r="D4" s="35">
        <v>70</v>
      </c>
      <c r="E4" s="53"/>
      <c r="F4" s="54" t="s">
        <v>4081</v>
      </c>
      <c r="G4" s="57" t="s">
        <v>4086</v>
      </c>
      <c r="H4" s="56"/>
      <c r="I4" s="64"/>
      <c r="J4" s="64"/>
      <c r="K4" s="64"/>
      <c r="L4" s="65">
        <f>L5</f>
        <v>7.1879</v>
      </c>
      <c r="M4" s="81">
        <v>45670</v>
      </c>
      <c r="N4" s="81">
        <v>45676</v>
      </c>
      <c r="O4" s="81">
        <v>45682</v>
      </c>
      <c r="P4" s="344"/>
      <c r="Q4" s="344"/>
      <c r="R4" s="41"/>
      <c r="S4" s="99"/>
      <c r="T4" s="72"/>
      <c r="U4">
        <v>701</v>
      </c>
    </row>
    <row r="5" ht="16.5" spans="1:20">
      <c r="A5" s="36" t="s">
        <v>4084</v>
      </c>
      <c r="B5" s="33" t="s">
        <v>1824</v>
      </c>
      <c r="C5" s="187" t="s">
        <v>3748</v>
      </c>
      <c r="D5" s="43">
        <v>20</v>
      </c>
      <c r="E5" s="53"/>
      <c r="F5" s="54" t="s">
        <v>4087</v>
      </c>
      <c r="G5" s="57" t="s">
        <v>4088</v>
      </c>
      <c r="H5" s="56"/>
      <c r="I5" s="71"/>
      <c r="J5" s="64"/>
      <c r="K5" s="64"/>
      <c r="L5" s="53">
        <v>7.1879</v>
      </c>
      <c r="M5" s="81" t="s">
        <v>4089</v>
      </c>
      <c r="N5" s="81">
        <v>45680</v>
      </c>
      <c r="O5" s="81">
        <v>45687</v>
      </c>
      <c r="P5" s="344"/>
      <c r="Q5" s="344"/>
      <c r="R5" s="41"/>
      <c r="S5" s="99"/>
      <c r="T5" s="72"/>
    </row>
    <row r="6" ht="16.5" spans="1:21">
      <c r="A6" s="36" t="s">
        <v>4084</v>
      </c>
      <c r="B6" s="33" t="s">
        <v>1824</v>
      </c>
      <c r="C6" s="187" t="s">
        <v>3748</v>
      </c>
      <c r="D6" s="38"/>
      <c r="E6" s="48"/>
      <c r="F6" s="57" t="s">
        <v>4090</v>
      </c>
      <c r="G6" s="53" t="s">
        <v>4091</v>
      </c>
      <c r="H6" s="55"/>
      <c r="I6" s="71"/>
      <c r="J6" s="71"/>
      <c r="K6" s="71"/>
      <c r="L6" s="53">
        <v>7.1879</v>
      </c>
      <c r="M6" s="463">
        <v>45677</v>
      </c>
      <c r="N6" s="81">
        <v>45679</v>
      </c>
      <c r="O6" s="81">
        <v>45682</v>
      </c>
      <c r="P6" s="82"/>
      <c r="Q6" s="347"/>
      <c r="R6" s="346"/>
      <c r="S6" s="99"/>
      <c r="T6" s="348"/>
      <c r="U6">
        <v>350</v>
      </c>
    </row>
    <row r="7" ht="16.5" spans="1:20">
      <c r="A7" s="36" t="s">
        <v>4084</v>
      </c>
      <c r="B7" s="33" t="s">
        <v>1824</v>
      </c>
      <c r="C7" s="187" t="s">
        <v>4092</v>
      </c>
      <c r="D7" s="43">
        <v>105</v>
      </c>
      <c r="E7" s="48"/>
      <c r="F7" s="57" t="s">
        <v>4093</v>
      </c>
      <c r="G7" s="53" t="s">
        <v>4094</v>
      </c>
      <c r="H7" s="55"/>
      <c r="I7" s="71"/>
      <c r="J7" s="72"/>
      <c r="K7" s="70"/>
      <c r="L7" s="53">
        <v>7.1879</v>
      </c>
      <c r="M7" s="81">
        <v>45671</v>
      </c>
      <c r="N7" s="81">
        <v>45676</v>
      </c>
      <c r="O7" s="81">
        <v>45692</v>
      </c>
      <c r="P7" s="82"/>
      <c r="Q7" s="347"/>
      <c r="R7" s="346"/>
      <c r="S7" s="99"/>
      <c r="T7" s="72"/>
    </row>
    <row r="8" ht="16.5" spans="1:20">
      <c r="A8" s="36" t="s">
        <v>4084</v>
      </c>
      <c r="B8" s="33" t="s">
        <v>1824</v>
      </c>
      <c r="C8" s="187" t="s">
        <v>4092</v>
      </c>
      <c r="D8" s="38"/>
      <c r="E8" s="48"/>
      <c r="F8" s="57" t="s">
        <v>4093</v>
      </c>
      <c r="G8" s="53" t="s">
        <v>2557</v>
      </c>
      <c r="H8" s="55"/>
      <c r="I8" s="71"/>
      <c r="J8" s="64"/>
      <c r="K8" s="64"/>
      <c r="L8" s="53">
        <v>7.1865</v>
      </c>
      <c r="M8" s="81"/>
      <c r="N8" s="81"/>
      <c r="O8" s="81">
        <v>45658</v>
      </c>
      <c r="P8" s="82"/>
      <c r="Q8" s="347"/>
      <c r="R8" s="346"/>
      <c r="S8" s="99"/>
      <c r="T8" s="72"/>
    </row>
    <row r="9" ht="16.5" spans="1:20">
      <c r="A9" s="36" t="s">
        <v>4084</v>
      </c>
      <c r="B9" s="33" t="s">
        <v>1824</v>
      </c>
      <c r="C9" s="187" t="s">
        <v>4092</v>
      </c>
      <c r="D9" s="38"/>
      <c r="E9" s="53"/>
      <c r="F9" s="57" t="s">
        <v>4095</v>
      </c>
      <c r="G9" s="53" t="s">
        <v>4096</v>
      </c>
      <c r="H9" s="56"/>
      <c r="I9" s="71"/>
      <c r="J9" s="64"/>
      <c r="K9" s="64"/>
      <c r="L9" s="53">
        <v>7.1879</v>
      </c>
      <c r="M9" s="81" t="s">
        <v>1218</v>
      </c>
      <c r="N9" s="81" t="s">
        <v>4097</v>
      </c>
      <c r="O9" s="81">
        <v>45677</v>
      </c>
      <c r="P9" s="82"/>
      <c r="Q9" s="347"/>
      <c r="R9" s="346"/>
      <c r="S9" s="99"/>
      <c r="T9" s="72"/>
    </row>
    <row r="10" ht="16.5" spans="1:20">
      <c r="A10" s="36" t="s">
        <v>4084</v>
      </c>
      <c r="B10" s="33" t="s">
        <v>1824</v>
      </c>
      <c r="C10" s="187" t="s">
        <v>4092</v>
      </c>
      <c r="D10" s="38"/>
      <c r="E10" s="53"/>
      <c r="F10" s="54" t="s">
        <v>4095</v>
      </c>
      <c r="G10" s="53" t="s">
        <v>4098</v>
      </c>
      <c r="H10" s="56"/>
      <c r="I10" s="71"/>
      <c r="J10" s="73"/>
      <c r="K10" s="72"/>
      <c r="L10" s="53">
        <v>7.1879</v>
      </c>
      <c r="M10" s="81">
        <v>45675</v>
      </c>
      <c r="N10" s="81">
        <v>45678</v>
      </c>
      <c r="O10" s="81">
        <v>45691</v>
      </c>
      <c r="P10" s="82"/>
      <c r="Q10" s="347"/>
      <c r="R10" s="41"/>
      <c r="S10" s="99"/>
      <c r="T10" s="72"/>
    </row>
    <row r="11" ht="16.5" spans="1:20">
      <c r="A11" s="36" t="s">
        <v>4084</v>
      </c>
      <c r="B11" s="33" t="s">
        <v>1824</v>
      </c>
      <c r="C11" s="187" t="s">
        <v>4092</v>
      </c>
      <c r="D11" s="39"/>
      <c r="E11" s="53"/>
      <c r="F11" s="53" t="s">
        <v>4095</v>
      </c>
      <c r="G11" s="53" t="s">
        <v>4099</v>
      </c>
      <c r="H11" s="56"/>
      <c r="I11" s="71"/>
      <c r="J11" s="71"/>
      <c r="K11" s="71"/>
      <c r="L11" s="53">
        <v>7.1879</v>
      </c>
      <c r="M11" s="81">
        <v>45675</v>
      </c>
      <c r="N11" s="81">
        <v>45679</v>
      </c>
      <c r="O11" s="81">
        <v>45691</v>
      </c>
      <c r="P11" s="82"/>
      <c r="Q11" s="347"/>
      <c r="R11" s="41"/>
      <c r="S11" s="99"/>
      <c r="T11" s="72"/>
    </row>
    <row r="12" ht="16.5" spans="1:20">
      <c r="A12" s="36" t="s">
        <v>4084</v>
      </c>
      <c r="B12" s="33" t="s">
        <v>1824</v>
      </c>
      <c r="C12" s="40" t="s">
        <v>2361</v>
      </c>
      <c r="D12" s="35">
        <v>90</v>
      </c>
      <c r="E12" s="53"/>
      <c r="F12" s="53" t="s">
        <v>4095</v>
      </c>
      <c r="G12" s="511" t="s">
        <v>4100</v>
      </c>
      <c r="H12" s="56"/>
      <c r="I12" s="71"/>
      <c r="J12" s="71"/>
      <c r="K12" s="71"/>
      <c r="L12" s="53">
        <v>7.1879</v>
      </c>
      <c r="M12" s="474" t="s">
        <v>1218</v>
      </c>
      <c r="N12" s="81">
        <v>45673</v>
      </c>
      <c r="O12" s="81">
        <v>45678</v>
      </c>
      <c r="P12" s="82"/>
      <c r="Q12" s="347"/>
      <c r="R12" s="41"/>
      <c r="S12" s="99"/>
      <c r="T12" s="72"/>
    </row>
    <row r="13" ht="16.5" spans="1:20">
      <c r="A13" s="36" t="s">
        <v>4084</v>
      </c>
      <c r="B13" s="33" t="s">
        <v>1824</v>
      </c>
      <c r="C13" s="40" t="s">
        <v>2361</v>
      </c>
      <c r="D13" s="35"/>
      <c r="E13" s="53"/>
      <c r="F13" s="53" t="s">
        <v>4087</v>
      </c>
      <c r="G13" s="511" t="s">
        <v>4101</v>
      </c>
      <c r="H13" s="56"/>
      <c r="I13" s="71"/>
      <c r="J13" s="64"/>
      <c r="K13" s="64"/>
      <c r="L13" s="53">
        <v>7.1879</v>
      </c>
      <c r="M13" s="81">
        <v>45674</v>
      </c>
      <c r="N13" s="81">
        <v>45676</v>
      </c>
      <c r="O13" s="81">
        <v>45680</v>
      </c>
      <c r="P13" s="82"/>
      <c r="Q13" s="347"/>
      <c r="R13" s="41"/>
      <c r="S13" s="99"/>
      <c r="T13" s="72"/>
    </row>
    <row r="14" ht="16.5" spans="1:20">
      <c r="A14" s="36" t="s">
        <v>4084</v>
      </c>
      <c r="B14" s="33" t="s">
        <v>1824</v>
      </c>
      <c r="C14" s="40" t="s">
        <v>2361</v>
      </c>
      <c r="D14" s="35"/>
      <c r="E14" s="53"/>
      <c r="F14" s="53" t="s">
        <v>4093</v>
      </c>
      <c r="G14" s="511" t="s">
        <v>4102</v>
      </c>
      <c r="H14" s="56"/>
      <c r="I14" s="71"/>
      <c r="J14" s="71"/>
      <c r="K14" s="71"/>
      <c r="L14" s="53">
        <v>7.1879</v>
      </c>
      <c r="M14" s="81">
        <v>45673</v>
      </c>
      <c r="N14" s="81">
        <v>45673</v>
      </c>
      <c r="O14" s="81">
        <v>45678</v>
      </c>
      <c r="P14" s="90"/>
      <c r="Q14" s="344"/>
      <c r="R14" s="41"/>
      <c r="S14" s="99"/>
      <c r="T14" s="72"/>
    </row>
    <row r="15" ht="16.5" spans="1:20">
      <c r="A15" s="36" t="s">
        <v>4084</v>
      </c>
      <c r="B15" s="33" t="s">
        <v>1824</v>
      </c>
      <c r="C15" s="40" t="s">
        <v>2361</v>
      </c>
      <c r="D15" s="35"/>
      <c r="E15" s="53"/>
      <c r="F15" s="53" t="s">
        <v>4093</v>
      </c>
      <c r="G15" s="511" t="s">
        <v>4103</v>
      </c>
      <c r="H15" s="56"/>
      <c r="I15" s="71"/>
      <c r="J15" s="64"/>
      <c r="K15" s="64"/>
      <c r="L15" s="53">
        <v>7.1879</v>
      </c>
      <c r="M15" s="474" t="s">
        <v>4104</v>
      </c>
      <c r="N15" s="81">
        <v>45675</v>
      </c>
      <c r="O15" s="81">
        <v>45681</v>
      </c>
      <c r="P15" s="136"/>
      <c r="Q15" s="344"/>
      <c r="R15" s="41"/>
      <c r="S15" s="99"/>
      <c r="T15" s="72"/>
    </row>
    <row r="16" ht="16.5" spans="1:20">
      <c r="A16" s="36" t="s">
        <v>4084</v>
      </c>
      <c r="B16" s="33" t="s">
        <v>1824</v>
      </c>
      <c r="C16" s="40" t="s">
        <v>2361</v>
      </c>
      <c r="D16" s="35"/>
      <c r="E16" s="57"/>
      <c r="F16" s="53" t="s">
        <v>4093</v>
      </c>
      <c r="G16" s="59" t="s">
        <v>4105</v>
      </c>
      <c r="H16" s="56"/>
      <c r="I16" s="71"/>
      <c r="J16" s="64"/>
      <c r="K16" s="64"/>
      <c r="L16" s="53">
        <v>7.1879</v>
      </c>
      <c r="M16" s="81">
        <v>45677</v>
      </c>
      <c r="N16" s="81">
        <v>45678</v>
      </c>
      <c r="O16" s="81">
        <v>45682</v>
      </c>
      <c r="P16" s="136"/>
      <c r="Q16" s="68"/>
      <c r="R16" s="246"/>
      <c r="S16" s="99"/>
      <c r="T16" s="348"/>
    </row>
    <row r="17" ht="16.5" spans="1:20">
      <c r="A17" s="36" t="s">
        <v>4084</v>
      </c>
      <c r="B17" s="33" t="s">
        <v>1824</v>
      </c>
      <c r="C17" s="40" t="s">
        <v>2361</v>
      </c>
      <c r="D17" s="35"/>
      <c r="E17" s="57"/>
      <c r="F17" s="53" t="s">
        <v>4093</v>
      </c>
      <c r="G17" s="59" t="s">
        <v>4106</v>
      </c>
      <c r="H17" s="56"/>
      <c r="I17" s="56"/>
      <c r="J17" s="75"/>
      <c r="K17" s="286"/>
      <c r="L17" s="53">
        <v>7.1879</v>
      </c>
      <c r="M17" s="474" t="s">
        <v>4049</v>
      </c>
      <c r="N17" s="81">
        <v>45672</v>
      </c>
      <c r="O17" s="81">
        <v>45675</v>
      </c>
      <c r="P17" s="136"/>
      <c r="Q17" s="68"/>
      <c r="R17" s="246"/>
      <c r="S17" s="99"/>
      <c r="T17" s="348"/>
    </row>
    <row r="18" ht="16.5" spans="1:20">
      <c r="A18" s="36" t="s">
        <v>4084</v>
      </c>
      <c r="B18" s="33" t="s">
        <v>1824</v>
      </c>
      <c r="C18" s="40" t="s">
        <v>2361</v>
      </c>
      <c r="D18" s="35"/>
      <c r="E18" s="57"/>
      <c r="F18" s="53" t="s">
        <v>4095</v>
      </c>
      <c r="G18" s="59" t="s">
        <v>4107</v>
      </c>
      <c r="H18" s="512"/>
      <c r="I18" s="75"/>
      <c r="J18" s="75"/>
      <c r="K18" s="286"/>
      <c r="L18" s="53">
        <v>7.1879</v>
      </c>
      <c r="M18" s="72" t="s">
        <v>1218</v>
      </c>
      <c r="N18" s="81">
        <v>45647</v>
      </c>
      <c r="O18" s="81">
        <v>45292</v>
      </c>
      <c r="P18" s="416"/>
      <c r="Q18" s="68"/>
      <c r="R18" s="68"/>
      <c r="S18" s="99"/>
      <c r="T18" s="348"/>
    </row>
    <row r="19" ht="16.5" spans="1:20">
      <c r="A19" s="36" t="s">
        <v>4084</v>
      </c>
      <c r="B19" s="33" t="s">
        <v>1824</v>
      </c>
      <c r="C19" s="40" t="s">
        <v>2361</v>
      </c>
      <c r="D19" s="35"/>
      <c r="E19" s="57"/>
      <c r="F19" s="53" t="s">
        <v>4095</v>
      </c>
      <c r="G19" s="59" t="s">
        <v>4108</v>
      </c>
      <c r="H19" s="512"/>
      <c r="I19" s="75"/>
      <c r="J19" s="75"/>
      <c r="K19" s="286"/>
      <c r="L19" s="53">
        <v>7.1879</v>
      </c>
      <c r="M19" s="72" t="s">
        <v>1218</v>
      </c>
      <c r="N19" s="81">
        <v>45647</v>
      </c>
      <c r="O19" s="81">
        <v>45292</v>
      </c>
      <c r="P19" s="416"/>
      <c r="Q19" s="68"/>
      <c r="R19" s="68"/>
      <c r="S19" s="99"/>
      <c r="T19" s="348"/>
    </row>
    <row r="20" ht="33" spans="1:20">
      <c r="A20" s="36" t="s">
        <v>4084</v>
      </c>
      <c r="B20" s="203" t="s">
        <v>3248</v>
      </c>
      <c r="C20" s="186" t="s">
        <v>2382</v>
      </c>
      <c r="D20" s="107" t="s">
        <v>1125</v>
      </c>
      <c r="E20" s="53"/>
      <c r="F20" s="58"/>
      <c r="G20" s="53"/>
      <c r="H20" s="55"/>
      <c r="I20" s="64"/>
      <c r="J20" s="70"/>
      <c r="K20" s="70"/>
      <c r="L20" s="53"/>
      <c r="M20" s="81"/>
      <c r="N20" s="88"/>
      <c r="O20" s="88"/>
      <c r="P20" s="89"/>
      <c r="Q20" s="98"/>
      <c r="R20" s="41"/>
      <c r="S20" s="40"/>
      <c r="T20" s="72"/>
    </row>
    <row r="21" ht="33" spans="1:20">
      <c r="A21" s="36" t="s">
        <v>4084</v>
      </c>
      <c r="B21" s="203" t="s">
        <v>3248</v>
      </c>
      <c r="C21" s="186" t="s">
        <v>3748</v>
      </c>
      <c r="D21" s="46"/>
      <c r="E21" s="53"/>
      <c r="F21" s="513"/>
      <c r="G21" s="425"/>
      <c r="H21" s="425"/>
      <c r="I21" s="64"/>
      <c r="J21" s="425"/>
      <c r="K21" s="425"/>
      <c r="L21" s="53"/>
      <c r="M21" s="425"/>
      <c r="N21" s="361"/>
      <c r="O21" s="425"/>
      <c r="P21" s="475"/>
      <c r="Q21" s="69"/>
      <c r="R21" s="165"/>
      <c r="S21" s="69"/>
      <c r="T21" s="69"/>
    </row>
    <row r="22" ht="33" spans="1:20">
      <c r="A22" s="36" t="s">
        <v>4084</v>
      </c>
      <c r="B22" s="203" t="s">
        <v>3248</v>
      </c>
      <c r="C22" s="34" t="s">
        <v>4092</v>
      </c>
      <c r="D22" s="46"/>
      <c r="E22" s="53"/>
      <c r="F22" s="54"/>
      <c r="G22" s="53"/>
      <c r="H22" s="56"/>
      <c r="I22" s="71"/>
      <c r="J22" s="73"/>
      <c r="K22" s="72"/>
      <c r="L22" s="53"/>
      <c r="M22" s="81"/>
      <c r="N22" s="81"/>
      <c r="O22" s="81"/>
      <c r="P22" s="82"/>
      <c r="Q22" s="345"/>
      <c r="R22" s="346"/>
      <c r="S22" s="99"/>
      <c r="T22" s="72"/>
    </row>
    <row r="23" ht="33" spans="1:20">
      <c r="A23" s="36" t="s">
        <v>4084</v>
      </c>
      <c r="B23" s="203" t="s">
        <v>3248</v>
      </c>
      <c r="C23" s="42" t="s">
        <v>2361</v>
      </c>
      <c r="D23" s="38"/>
      <c r="E23" s="53"/>
      <c r="F23" s="58" t="s">
        <v>4093</v>
      </c>
      <c r="G23" s="53" t="s">
        <v>4109</v>
      </c>
      <c r="H23" s="56"/>
      <c r="I23" s="64"/>
      <c r="J23" s="64"/>
      <c r="K23" s="64"/>
      <c r="L23" s="53">
        <v>7.1879</v>
      </c>
      <c r="M23" s="364"/>
      <c r="N23" s="130"/>
      <c r="O23" s="57"/>
      <c r="P23" s="82"/>
      <c r="Q23" s="345"/>
      <c r="R23" s="346"/>
      <c r="S23" s="99"/>
      <c r="T23" s="72"/>
    </row>
    <row r="24" ht="33" spans="1:20">
      <c r="A24" s="36" t="s">
        <v>4084</v>
      </c>
      <c r="B24" s="203" t="s">
        <v>3248</v>
      </c>
      <c r="C24" s="42"/>
      <c r="D24" s="38"/>
      <c r="E24" s="53"/>
      <c r="F24" s="53" t="s">
        <v>4093</v>
      </c>
      <c r="G24" s="53" t="s">
        <v>4110</v>
      </c>
      <c r="H24" s="56"/>
      <c r="I24" s="71"/>
      <c r="J24" s="64"/>
      <c r="K24" s="64"/>
      <c r="L24" s="53">
        <v>7.1879</v>
      </c>
      <c r="M24" s="364"/>
      <c r="N24" s="130"/>
      <c r="O24" s="57"/>
      <c r="P24" s="136"/>
      <c r="Q24" s="345"/>
      <c r="R24" s="346"/>
      <c r="S24" s="99"/>
      <c r="T24" s="72"/>
    </row>
    <row r="25" ht="19.75" customHeight="1" spans="1:20">
      <c r="A25" s="36" t="s">
        <v>4084</v>
      </c>
      <c r="B25" s="106" t="s">
        <v>1875</v>
      </c>
      <c r="C25" s="40" t="s">
        <v>2382</v>
      </c>
      <c r="D25" s="107" t="s">
        <v>1125</v>
      </c>
      <c r="E25" s="53"/>
      <c r="F25" s="54"/>
      <c r="G25" s="53"/>
      <c r="H25" s="56"/>
      <c r="I25" s="71"/>
      <c r="J25" s="68"/>
      <c r="K25" s="68"/>
      <c r="L25" s="53">
        <v>7.1879</v>
      </c>
      <c r="M25" s="422"/>
      <c r="N25" s="157"/>
      <c r="O25" s="202"/>
      <c r="P25" s="90"/>
      <c r="Q25" s="350"/>
      <c r="R25" s="41"/>
      <c r="S25" s="99"/>
      <c r="T25" s="72"/>
    </row>
    <row r="26" ht="14.9" customHeight="1" spans="1:20">
      <c r="A26" s="36" t="s">
        <v>4084</v>
      </c>
      <c r="B26" s="106" t="s">
        <v>1875</v>
      </c>
      <c r="C26" s="116" t="s">
        <v>4085</v>
      </c>
      <c r="D26" s="46"/>
      <c r="E26" s="53"/>
      <c r="F26" s="54" t="s">
        <v>4081</v>
      </c>
      <c r="G26" s="57" t="s">
        <v>4111</v>
      </c>
      <c r="H26" s="56"/>
      <c r="I26" s="71"/>
      <c r="J26" s="67"/>
      <c r="K26" s="71"/>
      <c r="L26" s="53">
        <v>7.1879</v>
      </c>
      <c r="M26" s="81">
        <v>45762</v>
      </c>
      <c r="N26" s="87"/>
      <c r="O26" s="87"/>
      <c r="P26" s="86"/>
      <c r="Q26" s="98"/>
      <c r="R26" s="41"/>
      <c r="S26" s="40"/>
      <c r="T26" s="428"/>
    </row>
    <row r="27" ht="14.9" customHeight="1" spans="1:20">
      <c r="A27" s="36" t="s">
        <v>4084</v>
      </c>
      <c r="B27" s="106" t="s">
        <v>1875</v>
      </c>
      <c r="C27" s="103"/>
      <c r="D27" s="46"/>
      <c r="E27" s="53"/>
      <c r="F27" s="54" t="s">
        <v>4081</v>
      </c>
      <c r="G27" s="57" t="s">
        <v>4112</v>
      </c>
      <c r="H27" s="56"/>
      <c r="I27" s="71"/>
      <c r="J27" s="67"/>
      <c r="K27" s="71"/>
      <c r="L27" s="53">
        <v>7.1879</v>
      </c>
      <c r="M27" s="81">
        <v>45703</v>
      </c>
      <c r="N27" s="87"/>
      <c r="O27" s="87"/>
      <c r="P27" s="86"/>
      <c r="Q27" s="98"/>
      <c r="R27" s="41"/>
      <c r="S27" s="40"/>
      <c r="T27" s="428"/>
    </row>
    <row r="28" ht="14.9" customHeight="1" spans="1:20">
      <c r="A28" s="36" t="s">
        <v>4084</v>
      </c>
      <c r="B28" s="106" t="s">
        <v>1875</v>
      </c>
      <c r="C28" s="48" t="s">
        <v>3748</v>
      </c>
      <c r="D28" s="46"/>
      <c r="E28" s="53"/>
      <c r="F28" s="54" t="s">
        <v>4113</v>
      </c>
      <c r="G28" s="57" t="s">
        <v>4114</v>
      </c>
      <c r="H28" s="56"/>
      <c r="I28" s="71"/>
      <c r="J28" s="67"/>
      <c r="K28" s="71"/>
      <c r="L28" s="53">
        <v>7.1879</v>
      </c>
      <c r="M28" s="81" t="s">
        <v>4115</v>
      </c>
      <c r="N28" s="87"/>
      <c r="O28" s="87"/>
      <c r="P28" s="86"/>
      <c r="Q28" s="98"/>
      <c r="R28" s="41"/>
      <c r="S28" s="40"/>
      <c r="T28" s="428"/>
    </row>
    <row r="29" ht="14.9" customHeight="1" spans="1:20">
      <c r="A29" s="36" t="s">
        <v>4084</v>
      </c>
      <c r="B29" s="106" t="s">
        <v>1875</v>
      </c>
      <c r="C29" s="48"/>
      <c r="D29" s="46"/>
      <c r="E29" s="53"/>
      <c r="F29" s="54" t="s">
        <v>4113</v>
      </c>
      <c r="G29" s="57" t="s">
        <v>4116</v>
      </c>
      <c r="H29" s="56"/>
      <c r="I29" s="71"/>
      <c r="J29" s="67"/>
      <c r="K29" s="71"/>
      <c r="L29" s="53">
        <v>7.1879</v>
      </c>
      <c r="M29" s="81" t="s">
        <v>4115</v>
      </c>
      <c r="N29" s="87"/>
      <c r="O29" s="87"/>
      <c r="P29" s="86"/>
      <c r="Q29" s="98"/>
      <c r="R29" s="41"/>
      <c r="S29" s="40"/>
      <c r="T29" s="428"/>
    </row>
    <row r="30" ht="14.9" customHeight="1" spans="1:20">
      <c r="A30" s="36" t="s">
        <v>4084</v>
      </c>
      <c r="B30" s="106" t="s">
        <v>1875</v>
      </c>
      <c r="C30" s="40"/>
      <c r="D30" s="46"/>
      <c r="E30" s="53"/>
      <c r="F30" s="54" t="s">
        <v>4081</v>
      </c>
      <c r="G30" s="57"/>
      <c r="H30" s="56"/>
      <c r="I30" s="71"/>
      <c r="J30" s="69"/>
      <c r="K30" s="69"/>
      <c r="L30" s="53"/>
      <c r="M30" s="69"/>
      <c r="N30" s="165"/>
      <c r="O30" s="69"/>
      <c r="P30" s="181"/>
      <c r="Q30" s="69"/>
      <c r="R30" s="165"/>
      <c r="S30" s="69"/>
      <c r="T30" s="69"/>
    </row>
    <row r="31" ht="14.9" customHeight="1" spans="1:20">
      <c r="A31" s="36" t="s">
        <v>4084</v>
      </c>
      <c r="B31" s="106" t="s">
        <v>1875</v>
      </c>
      <c r="C31" s="40"/>
      <c r="D31" s="46"/>
      <c r="E31" s="53"/>
      <c r="F31" s="54" t="s">
        <v>4081</v>
      </c>
      <c r="G31" s="57"/>
      <c r="H31" s="56"/>
      <c r="I31" s="71"/>
      <c r="J31" s="69"/>
      <c r="K31" s="69"/>
      <c r="L31" s="53"/>
      <c r="M31" s="69"/>
      <c r="N31" s="165"/>
      <c r="O31" s="69"/>
      <c r="P31" s="181"/>
      <c r="Q31" s="69"/>
      <c r="R31" s="165"/>
      <c r="S31" s="69"/>
      <c r="T31" s="69"/>
    </row>
    <row r="32" ht="14.9" customHeight="1" spans="1:20">
      <c r="A32" s="36" t="s">
        <v>4084</v>
      </c>
      <c r="B32" s="106" t="s">
        <v>1875</v>
      </c>
      <c r="C32" s="40"/>
      <c r="D32" s="46"/>
      <c r="E32" s="53"/>
      <c r="F32" s="54" t="s">
        <v>4095</v>
      </c>
      <c r="G32" s="57"/>
      <c r="H32" s="56"/>
      <c r="I32" s="71"/>
      <c r="J32" s="69"/>
      <c r="K32" s="69"/>
      <c r="L32" s="53"/>
      <c r="M32" s="69"/>
      <c r="N32" s="165"/>
      <c r="O32" s="69"/>
      <c r="P32" s="181"/>
      <c r="Q32" s="69"/>
      <c r="R32" s="165"/>
      <c r="S32" s="69"/>
      <c r="T32" s="69"/>
    </row>
    <row r="33" ht="14.9" customHeight="1" spans="1:20">
      <c r="A33" s="36" t="s">
        <v>4084</v>
      </c>
      <c r="B33" s="106" t="s">
        <v>1875</v>
      </c>
      <c r="C33" s="40"/>
      <c r="D33" s="46"/>
      <c r="E33" s="53"/>
      <c r="F33" s="54" t="s">
        <v>4093</v>
      </c>
      <c r="G33" s="57"/>
      <c r="H33" s="56"/>
      <c r="I33" s="71"/>
      <c r="J33" s="69"/>
      <c r="K33" s="69"/>
      <c r="L33" s="53"/>
      <c r="M33" s="69"/>
      <c r="N33" s="165"/>
      <c r="O33" s="69"/>
      <c r="P33" s="181"/>
      <c r="Q33" s="69"/>
      <c r="R33" s="165"/>
      <c r="S33" s="69"/>
      <c r="T33" s="69"/>
    </row>
    <row r="34" ht="14.9" customHeight="1" spans="1:20">
      <c r="A34" s="36" t="s">
        <v>4084</v>
      </c>
      <c r="B34" s="106" t="s">
        <v>1875</v>
      </c>
      <c r="C34" s="40"/>
      <c r="D34" s="46"/>
      <c r="E34" s="53"/>
      <c r="F34" s="54" t="s">
        <v>4113</v>
      </c>
      <c r="G34" s="57"/>
      <c r="H34" s="56"/>
      <c r="I34" s="71"/>
      <c r="J34" s="69"/>
      <c r="K34" s="69"/>
      <c r="L34" s="53"/>
      <c r="M34" s="69"/>
      <c r="N34" s="165"/>
      <c r="O34" s="69"/>
      <c r="P34" s="181"/>
      <c r="Q34" s="69"/>
      <c r="R34" s="165"/>
      <c r="S34" s="69"/>
      <c r="T34" s="69"/>
    </row>
    <row r="35" ht="14.9" customHeight="1" spans="1:20">
      <c r="A35" s="36" t="s">
        <v>4084</v>
      </c>
      <c r="B35" s="106" t="s">
        <v>1875</v>
      </c>
      <c r="C35" s="40"/>
      <c r="D35" s="46"/>
      <c r="E35" s="53"/>
      <c r="F35" s="54" t="s">
        <v>4081</v>
      </c>
      <c r="G35" s="57" t="s">
        <v>4117</v>
      </c>
      <c r="H35" s="56"/>
      <c r="I35" s="71"/>
      <c r="J35" s="69"/>
      <c r="K35" s="69"/>
      <c r="L35" s="53"/>
      <c r="M35" s="69"/>
      <c r="N35" s="165"/>
      <c r="O35" s="69"/>
      <c r="P35" s="181"/>
      <c r="Q35" s="69"/>
      <c r="R35" s="165"/>
      <c r="S35" s="69"/>
      <c r="T35" s="69"/>
    </row>
    <row r="36" ht="14.9" customHeight="1" spans="1:20">
      <c r="A36" s="36" t="s">
        <v>4084</v>
      </c>
      <c r="B36" s="106" t="s">
        <v>1875</v>
      </c>
      <c r="C36" s="40"/>
      <c r="D36" s="46"/>
      <c r="E36" s="53"/>
      <c r="F36" s="54" t="s">
        <v>4081</v>
      </c>
      <c r="G36" s="57" t="s">
        <v>4118</v>
      </c>
      <c r="H36" s="56"/>
      <c r="I36" s="71"/>
      <c r="J36" s="69"/>
      <c r="K36" s="69"/>
      <c r="L36" s="53"/>
      <c r="M36" s="69"/>
      <c r="N36" s="165"/>
      <c r="O36" s="69"/>
      <c r="P36" s="181"/>
      <c r="Q36" s="69"/>
      <c r="R36" s="165"/>
      <c r="S36" s="69"/>
      <c r="T36" s="69"/>
    </row>
    <row r="37" ht="14.9" customHeight="1" spans="1:20">
      <c r="A37" s="36" t="s">
        <v>4084</v>
      </c>
      <c r="B37" s="106" t="s">
        <v>1875</v>
      </c>
      <c r="C37" s="40"/>
      <c r="D37" s="46"/>
      <c r="E37" s="53"/>
      <c r="F37" s="54" t="s">
        <v>4081</v>
      </c>
      <c r="G37" s="57"/>
      <c r="H37" s="56"/>
      <c r="I37" s="71"/>
      <c r="J37" s="69"/>
      <c r="K37" s="69"/>
      <c r="L37" s="53"/>
      <c r="M37" s="69"/>
      <c r="N37" s="165"/>
      <c r="O37" s="69"/>
      <c r="P37" s="181"/>
      <c r="Q37" s="69"/>
      <c r="R37" s="165"/>
      <c r="S37" s="69"/>
      <c r="T37" s="69"/>
    </row>
    <row r="38" ht="14.9" customHeight="1" spans="1:20">
      <c r="A38" s="36" t="s">
        <v>4084</v>
      </c>
      <c r="B38" s="106" t="s">
        <v>1875</v>
      </c>
      <c r="C38" s="40"/>
      <c r="D38" s="46"/>
      <c r="E38" s="53"/>
      <c r="F38" s="54" t="s">
        <v>4113</v>
      </c>
      <c r="G38" s="57" t="s">
        <v>4119</v>
      </c>
      <c r="H38" s="56"/>
      <c r="I38" s="71"/>
      <c r="J38" s="69"/>
      <c r="K38" s="69"/>
      <c r="L38" s="53">
        <v>7.1879</v>
      </c>
      <c r="M38" s="69"/>
      <c r="N38" s="165"/>
      <c r="O38" s="69"/>
      <c r="P38" s="181"/>
      <c r="Q38" s="69"/>
      <c r="R38" s="165"/>
      <c r="S38" s="69"/>
      <c r="T38" s="69"/>
    </row>
    <row r="39" ht="14.9" customHeight="1" spans="1:20">
      <c r="A39" s="36" t="s">
        <v>4084</v>
      </c>
      <c r="B39" s="106" t="s">
        <v>1875</v>
      </c>
      <c r="C39" s="48"/>
      <c r="D39" s="46"/>
      <c r="E39" s="53"/>
      <c r="F39" s="54" t="s">
        <v>4093</v>
      </c>
      <c r="G39" s="53" t="s">
        <v>4120</v>
      </c>
      <c r="H39" s="56"/>
      <c r="I39" s="71"/>
      <c r="J39" s="68"/>
      <c r="K39" s="68"/>
      <c r="L39" s="53">
        <v>7.1879</v>
      </c>
      <c r="M39" s="422"/>
      <c r="N39" s="157"/>
      <c r="O39" s="202"/>
      <c r="P39" s="90"/>
      <c r="Q39" s="350"/>
      <c r="R39" s="41"/>
      <c r="S39" s="99"/>
      <c r="T39" s="72"/>
    </row>
    <row r="40" ht="18.75" customHeight="1" spans="1:20">
      <c r="A40" s="36" t="s">
        <v>4084</v>
      </c>
      <c r="B40" s="106" t="s">
        <v>1875</v>
      </c>
      <c r="C40" s="187" t="s">
        <v>4092</v>
      </c>
      <c r="D40" s="46"/>
      <c r="E40" s="53"/>
      <c r="F40" s="54" t="s">
        <v>4081</v>
      </c>
      <c r="G40" s="53" t="s">
        <v>4121</v>
      </c>
      <c r="H40" s="56"/>
      <c r="I40" s="259"/>
      <c r="J40" s="259"/>
      <c r="K40" s="259"/>
      <c r="L40" s="53">
        <v>7.1879</v>
      </c>
      <c r="M40" s="85"/>
      <c r="N40" s="157"/>
      <c r="O40" s="423"/>
      <c r="P40" s="86"/>
      <c r="Q40" s="98"/>
      <c r="R40" s="41"/>
      <c r="S40" s="99"/>
      <c r="T40" s="100"/>
    </row>
    <row r="41" ht="18" customHeight="1" spans="1:20">
      <c r="A41" s="36" t="s">
        <v>4084</v>
      </c>
      <c r="B41" s="106" t="s">
        <v>1875</v>
      </c>
      <c r="C41" s="37"/>
      <c r="D41" s="46"/>
      <c r="E41" s="53"/>
      <c r="F41" s="54" t="s">
        <v>4122</v>
      </c>
      <c r="G41" s="53" t="s">
        <v>4123</v>
      </c>
      <c r="H41" s="56"/>
      <c r="I41" s="110"/>
      <c r="J41" s="73"/>
      <c r="K41" s="72"/>
      <c r="L41" s="53">
        <v>7.1879</v>
      </c>
      <c r="M41" s="85"/>
      <c r="N41" s="157"/>
      <c r="O41" s="423"/>
      <c r="P41" s="86"/>
      <c r="Q41" s="98"/>
      <c r="R41" s="41"/>
      <c r="S41" s="99"/>
      <c r="T41" s="100"/>
    </row>
    <row r="42" ht="18" customHeight="1" spans="1:20">
      <c r="A42" s="36" t="s">
        <v>4084</v>
      </c>
      <c r="B42" s="106" t="s">
        <v>1875</v>
      </c>
      <c r="C42" s="112" t="s">
        <v>2361</v>
      </c>
      <c r="D42" s="46"/>
      <c r="E42" s="53"/>
      <c r="F42" s="54" t="s">
        <v>4122</v>
      </c>
      <c r="G42" s="53" t="s">
        <v>4124</v>
      </c>
      <c r="H42" s="56"/>
      <c r="I42" s="110"/>
      <c r="J42" s="73"/>
      <c r="K42" s="72"/>
      <c r="L42" s="53">
        <v>7.1879</v>
      </c>
      <c r="M42" s="85"/>
      <c r="N42" s="157"/>
      <c r="O42" s="423"/>
      <c r="P42" s="86"/>
      <c r="Q42" s="98"/>
      <c r="R42" s="41"/>
      <c r="S42" s="99"/>
      <c r="T42" s="100"/>
    </row>
    <row r="43" ht="16.5" spans="1:20">
      <c r="A43" s="36" t="s">
        <v>4084</v>
      </c>
      <c r="B43" s="106" t="s">
        <v>1875</v>
      </c>
      <c r="C43" s="42"/>
      <c r="D43" s="104"/>
      <c r="E43" s="53"/>
      <c r="F43" s="54" t="s">
        <v>4122</v>
      </c>
      <c r="G43" s="53" t="s">
        <v>4125</v>
      </c>
      <c r="H43" s="56"/>
      <c r="I43" s="110"/>
      <c r="J43" s="73"/>
      <c r="K43" s="72"/>
      <c r="L43" s="53">
        <v>7.1879</v>
      </c>
      <c r="M43" s="81"/>
      <c r="N43" s="178"/>
      <c r="O43" s="178"/>
      <c r="P43" s="82"/>
      <c r="Q43" s="98"/>
      <c r="R43" s="41"/>
      <c r="S43" s="40"/>
      <c r="T43" s="72"/>
    </row>
    <row r="44" ht="16.5" spans="1:20">
      <c r="A44" s="36" t="s">
        <v>4084</v>
      </c>
      <c r="B44" s="106" t="s">
        <v>1875</v>
      </c>
      <c r="C44" s="42"/>
      <c r="D44" s="104"/>
      <c r="E44" s="53"/>
      <c r="F44" s="54" t="s">
        <v>4122</v>
      </c>
      <c r="G44" s="53" t="s">
        <v>4126</v>
      </c>
      <c r="H44" s="56"/>
      <c r="I44" s="110"/>
      <c r="J44" s="73"/>
      <c r="K44" s="72"/>
      <c r="L44" s="53">
        <v>7.1879</v>
      </c>
      <c r="M44" s="81"/>
      <c r="N44" s="178"/>
      <c r="O44" s="178"/>
      <c r="P44" s="82"/>
      <c r="Q44" s="98"/>
      <c r="R44" s="41"/>
      <c r="S44" s="40"/>
      <c r="T44" s="72"/>
    </row>
    <row r="45" ht="16.5" spans="1:20">
      <c r="A45" s="36" t="s">
        <v>4084</v>
      </c>
      <c r="B45" s="106" t="s">
        <v>1875</v>
      </c>
      <c r="C45" s="42"/>
      <c r="D45" s="104"/>
      <c r="E45" s="53"/>
      <c r="F45" s="54" t="s">
        <v>4090</v>
      </c>
      <c r="G45" s="53" t="s">
        <v>4127</v>
      </c>
      <c r="H45" s="56"/>
      <c r="I45" s="110"/>
      <c r="J45" s="73"/>
      <c r="K45" s="72"/>
      <c r="L45" s="53">
        <v>7.1879</v>
      </c>
      <c r="M45" s="81"/>
      <c r="N45" s="178"/>
      <c r="O45" s="178"/>
      <c r="P45" s="82"/>
      <c r="Q45" s="98"/>
      <c r="R45" s="41"/>
      <c r="S45" s="40"/>
      <c r="T45" s="72"/>
    </row>
    <row r="46" ht="16.5" spans="1:20">
      <c r="A46" s="36" t="s">
        <v>4084</v>
      </c>
      <c r="B46" s="106" t="s">
        <v>1875</v>
      </c>
      <c r="C46" s="44"/>
      <c r="D46" s="104"/>
      <c r="E46" s="53"/>
      <c r="F46" s="54" t="s">
        <v>4128</v>
      </c>
      <c r="G46" s="53" t="s">
        <v>4129</v>
      </c>
      <c r="H46" s="56"/>
      <c r="I46" s="110"/>
      <c r="J46" s="73"/>
      <c r="K46" s="72"/>
      <c r="L46" s="53">
        <v>7.1879</v>
      </c>
      <c r="M46" s="81"/>
      <c r="N46" s="178"/>
      <c r="O46" s="178"/>
      <c r="P46" s="82"/>
      <c r="Q46" s="98"/>
      <c r="R46" s="41"/>
      <c r="S46" s="40"/>
      <c r="T46" s="72"/>
    </row>
    <row r="47" ht="17.25" customHeight="1" spans="1:37">
      <c r="A47" s="114" t="s">
        <v>4130</v>
      </c>
      <c r="B47" s="230" t="s">
        <v>1824</v>
      </c>
      <c r="C47" s="40" t="s">
        <v>1825</v>
      </c>
      <c r="D47" s="35"/>
      <c r="E47" s="58"/>
      <c r="F47" s="58" t="s">
        <v>4093</v>
      </c>
      <c r="G47" s="117" t="s">
        <v>4131</v>
      </c>
      <c r="H47" s="119"/>
      <c r="I47" s="124"/>
      <c r="J47" s="124"/>
      <c r="K47" s="124"/>
      <c r="L47" s="53">
        <v>7.1879</v>
      </c>
      <c r="M47" s="53" t="s">
        <v>4132</v>
      </c>
      <c r="N47" s="134">
        <v>45674</v>
      </c>
      <c r="O47" s="87">
        <v>45678</v>
      </c>
      <c r="P47" s="161"/>
      <c r="Q47" s="98"/>
      <c r="R47" s="41"/>
      <c r="S47" s="40"/>
      <c r="T47" s="348"/>
      <c r="U47" s="417"/>
      <c r="V47" s="417"/>
      <c r="W47" s="417"/>
      <c r="X47" s="417"/>
      <c r="Y47" s="417"/>
      <c r="Z47" s="417"/>
      <c r="AA47" s="417"/>
      <c r="AB47" s="417"/>
      <c r="AC47" s="417"/>
      <c r="AD47" s="417"/>
      <c r="AE47" s="417"/>
      <c r="AF47" s="417"/>
      <c r="AG47" s="417"/>
      <c r="AH47" s="417"/>
      <c r="AI47" s="417"/>
      <c r="AJ47" s="417"/>
      <c r="AK47" s="417"/>
    </row>
    <row r="48" ht="17.25" customHeight="1" spans="1:37">
      <c r="A48" s="114" t="s">
        <v>4130</v>
      </c>
      <c r="B48" s="230" t="s">
        <v>1824</v>
      </c>
      <c r="C48" s="40" t="s">
        <v>1825</v>
      </c>
      <c r="D48" s="35"/>
      <c r="E48" s="514"/>
      <c r="F48" s="118" t="s">
        <v>4113</v>
      </c>
      <c r="G48" s="117" t="s">
        <v>4133</v>
      </c>
      <c r="H48" s="119"/>
      <c r="I48" s="124"/>
      <c r="J48" s="124"/>
      <c r="K48" s="124"/>
      <c r="L48" s="53">
        <v>7.1879</v>
      </c>
      <c r="M48" s="53" t="s">
        <v>1218</v>
      </c>
      <c r="N48" s="134">
        <v>45670</v>
      </c>
      <c r="O48" s="134">
        <v>45682</v>
      </c>
      <c r="P48" s="161"/>
      <c r="Q48" s="479"/>
      <c r="R48" s="41"/>
      <c r="S48" s="40"/>
      <c r="T48" s="348"/>
      <c r="U48" s="417"/>
      <c r="V48" s="417"/>
      <c r="W48" s="417"/>
      <c r="X48" s="417"/>
      <c r="Y48" s="417"/>
      <c r="Z48" s="417"/>
      <c r="AA48" s="417"/>
      <c r="AB48" s="417"/>
      <c r="AC48" s="417"/>
      <c r="AD48" s="417"/>
      <c r="AE48" s="417"/>
      <c r="AF48" s="417"/>
      <c r="AG48" s="417"/>
      <c r="AH48" s="417"/>
      <c r="AI48" s="417"/>
      <c r="AJ48" s="417"/>
      <c r="AK48" s="417"/>
    </row>
    <row r="49" ht="17.25" customHeight="1" spans="1:37">
      <c r="A49" s="114" t="s">
        <v>4130</v>
      </c>
      <c r="B49" s="230" t="s">
        <v>1824</v>
      </c>
      <c r="C49" s="40" t="s">
        <v>1825</v>
      </c>
      <c r="D49" s="35"/>
      <c r="E49" s="58"/>
      <c r="F49" s="58" t="s">
        <v>4093</v>
      </c>
      <c r="G49" s="117" t="s">
        <v>4134</v>
      </c>
      <c r="H49" s="119"/>
      <c r="I49" s="124"/>
      <c r="J49" s="124"/>
      <c r="K49" s="124"/>
      <c r="L49" s="53">
        <v>7.1879</v>
      </c>
      <c r="M49" s="53" t="s">
        <v>4132</v>
      </c>
      <c r="N49" s="134">
        <v>45672</v>
      </c>
      <c r="O49" s="87">
        <v>45678</v>
      </c>
      <c r="P49" s="161"/>
      <c r="Q49" s="98"/>
      <c r="R49" s="41"/>
      <c r="S49" s="99"/>
      <c r="T49" s="517"/>
      <c r="U49" s="417"/>
      <c r="V49" s="417"/>
      <c r="W49" s="417"/>
      <c r="X49" s="417"/>
      <c r="Y49" s="417"/>
      <c r="Z49" s="417"/>
      <c r="AA49" s="417"/>
      <c r="AB49" s="417"/>
      <c r="AC49" s="417"/>
      <c r="AD49" s="417"/>
      <c r="AE49" s="417"/>
      <c r="AF49" s="417"/>
      <c r="AG49" s="417"/>
      <c r="AH49" s="417"/>
      <c r="AI49" s="417"/>
      <c r="AJ49" s="417"/>
      <c r="AK49" s="417"/>
    </row>
    <row r="50" ht="17.25" customHeight="1" spans="1:37">
      <c r="A50" s="114" t="s">
        <v>4130</v>
      </c>
      <c r="B50" s="230" t="s">
        <v>1824</v>
      </c>
      <c r="C50" s="40" t="s">
        <v>1825</v>
      </c>
      <c r="D50" s="35"/>
      <c r="E50" s="58"/>
      <c r="F50" s="58" t="s">
        <v>4093</v>
      </c>
      <c r="G50" s="117" t="s">
        <v>4135</v>
      </c>
      <c r="H50" s="119"/>
      <c r="I50" s="124"/>
      <c r="J50" s="124"/>
      <c r="K50" s="124"/>
      <c r="L50" s="53">
        <v>7.1879</v>
      </c>
      <c r="M50" s="53" t="s">
        <v>4132</v>
      </c>
      <c r="N50" s="134">
        <v>45674</v>
      </c>
      <c r="O50" s="87">
        <v>45678</v>
      </c>
      <c r="P50" s="161"/>
      <c r="Q50" s="479"/>
      <c r="R50" s="41"/>
      <c r="S50" s="99"/>
      <c r="T50" s="517"/>
      <c r="U50" s="417"/>
      <c r="V50" s="417"/>
      <c r="W50" s="417"/>
      <c r="X50" s="417"/>
      <c r="Y50" s="417"/>
      <c r="Z50" s="417"/>
      <c r="AA50" s="417"/>
      <c r="AB50" s="417"/>
      <c r="AC50" s="417"/>
      <c r="AD50" s="417"/>
      <c r="AE50" s="417"/>
      <c r="AF50" s="417"/>
      <c r="AG50" s="417"/>
      <c r="AH50" s="417"/>
      <c r="AI50" s="417"/>
      <c r="AJ50" s="417"/>
      <c r="AK50" s="417"/>
    </row>
    <row r="51" ht="17.25" customHeight="1" spans="1:37">
      <c r="A51" s="114" t="s">
        <v>4130</v>
      </c>
      <c r="B51" s="230" t="s">
        <v>1824</v>
      </c>
      <c r="C51" s="40" t="s">
        <v>1825</v>
      </c>
      <c r="D51" s="35"/>
      <c r="E51" s="118"/>
      <c r="F51" s="118" t="s">
        <v>4093</v>
      </c>
      <c r="G51" s="117" t="s">
        <v>4136</v>
      </c>
      <c r="H51" s="119"/>
      <c r="I51" s="124"/>
      <c r="J51" s="124"/>
      <c r="K51" s="129"/>
      <c r="L51" s="53">
        <v>7.1879</v>
      </c>
      <c r="M51" s="477" t="s">
        <v>4132</v>
      </c>
      <c r="N51" s="134">
        <v>45677</v>
      </c>
      <c r="O51" s="134">
        <v>45692</v>
      </c>
      <c r="P51" s="159"/>
      <c r="Q51" s="479"/>
      <c r="R51" s="41"/>
      <c r="S51" s="40"/>
      <c r="T51" s="348"/>
      <c r="U51" s="417"/>
      <c r="V51" s="417"/>
      <c r="W51" s="417"/>
      <c r="X51" s="417"/>
      <c r="Y51" s="417"/>
      <c r="Z51" s="417"/>
      <c r="AA51" s="417"/>
      <c r="AB51" s="417"/>
      <c r="AC51" s="417"/>
      <c r="AD51" s="417"/>
      <c r="AE51" s="417"/>
      <c r="AF51" s="417"/>
      <c r="AG51" s="417"/>
      <c r="AH51" s="417"/>
      <c r="AI51" s="417"/>
      <c r="AJ51" s="417"/>
      <c r="AK51" s="417"/>
    </row>
    <row r="52" ht="17.25" customHeight="1" spans="1:37">
      <c r="A52" s="114" t="s">
        <v>4130</v>
      </c>
      <c r="B52" s="230" t="s">
        <v>1824</v>
      </c>
      <c r="C52" s="40" t="s">
        <v>1825</v>
      </c>
      <c r="D52" s="35"/>
      <c r="E52" s="58"/>
      <c r="F52" s="54" t="s">
        <v>4087</v>
      </c>
      <c r="G52" s="117" t="s">
        <v>4137</v>
      </c>
      <c r="H52" s="119"/>
      <c r="I52" s="124"/>
      <c r="J52" s="64"/>
      <c r="K52" s="64"/>
      <c r="L52" s="53">
        <v>7.1879</v>
      </c>
      <c r="M52" s="81" t="s">
        <v>1218</v>
      </c>
      <c r="N52" s="134">
        <v>45681</v>
      </c>
      <c r="O52" s="134">
        <v>45687</v>
      </c>
      <c r="P52" s="159"/>
      <c r="Q52" s="436"/>
      <c r="R52" s="430"/>
      <c r="S52" s="34"/>
      <c r="T52" s="352"/>
      <c r="U52" s="417"/>
      <c r="V52" s="417"/>
      <c r="W52" s="417"/>
      <c r="X52" s="417"/>
      <c r="Y52" s="417"/>
      <c r="Z52" s="417"/>
      <c r="AA52" s="417"/>
      <c r="AB52" s="417"/>
      <c r="AC52" s="417"/>
      <c r="AD52" s="417"/>
      <c r="AE52" s="417"/>
      <c r="AF52" s="417"/>
      <c r="AG52" s="417"/>
      <c r="AH52" s="417"/>
      <c r="AI52" s="417"/>
      <c r="AJ52" s="417"/>
      <c r="AK52" s="417"/>
    </row>
    <row r="53" customFormat="1" ht="17.25" customHeight="1" spans="1:37">
      <c r="A53" s="114" t="s">
        <v>4130</v>
      </c>
      <c r="B53" s="230" t="s">
        <v>1824</v>
      </c>
      <c r="C53" s="40" t="s">
        <v>224</v>
      </c>
      <c r="D53" s="35"/>
      <c r="E53" s="54"/>
      <c r="F53" s="54" t="s">
        <v>4081</v>
      </c>
      <c r="G53" s="155" t="s">
        <v>4138</v>
      </c>
      <c r="H53" s="119"/>
      <c r="I53" s="124"/>
      <c r="J53" s="64"/>
      <c r="L53" s="53">
        <v>7.1879</v>
      </c>
      <c r="M53" s="81" t="s">
        <v>1218</v>
      </c>
      <c r="N53" s="455">
        <v>45680</v>
      </c>
      <c r="O53" s="146">
        <v>45697</v>
      </c>
      <c r="P53" s="171"/>
      <c r="Q53" s="53"/>
      <c r="R53" s="35"/>
      <c r="S53" s="183"/>
      <c r="T53" s="362"/>
      <c r="U53" s="417"/>
      <c r="V53" s="417"/>
      <c r="W53" s="417"/>
      <c r="X53" s="417"/>
      <c r="Y53" s="417"/>
      <c r="Z53" s="417"/>
      <c r="AA53" s="417"/>
      <c r="AB53" s="417"/>
      <c r="AC53" s="417"/>
      <c r="AD53" s="417"/>
      <c r="AE53" s="417"/>
      <c r="AF53" s="417"/>
      <c r="AG53" s="417"/>
      <c r="AH53" s="417"/>
      <c r="AI53" s="417"/>
      <c r="AJ53" s="417"/>
      <c r="AK53" s="417"/>
    </row>
    <row r="54" ht="17.25" customHeight="1" spans="1:37">
      <c r="A54" s="114" t="s">
        <v>4130</v>
      </c>
      <c r="B54" s="230" t="s">
        <v>1824</v>
      </c>
      <c r="C54" s="40" t="s">
        <v>224</v>
      </c>
      <c r="D54" s="35"/>
      <c r="E54" s="194"/>
      <c r="F54" s="54" t="s">
        <v>4139</v>
      </c>
      <c r="G54" s="53" t="s">
        <v>4140</v>
      </c>
      <c r="H54" s="119"/>
      <c r="I54" s="64"/>
      <c r="J54" s="64"/>
      <c r="K54" s="64"/>
      <c r="L54" s="53">
        <v>7.1879</v>
      </c>
      <c r="M54" s="134">
        <v>45675</v>
      </c>
      <c r="N54" s="134">
        <v>45676</v>
      </c>
      <c r="O54" s="81">
        <v>45680</v>
      </c>
      <c r="P54" s="159"/>
      <c r="Q54" s="53"/>
      <c r="R54" s="35"/>
      <c r="S54" s="183"/>
      <c r="T54" s="518"/>
      <c r="U54" s="439"/>
      <c r="V54" s="417"/>
      <c r="W54" s="417"/>
      <c r="X54" s="417"/>
      <c r="Y54" s="417"/>
      <c r="Z54" s="417"/>
      <c r="AA54" s="417"/>
      <c r="AB54" s="417"/>
      <c r="AC54" s="417"/>
      <c r="AD54" s="417"/>
      <c r="AE54" s="417"/>
      <c r="AF54" s="417"/>
      <c r="AG54" s="417"/>
      <c r="AH54" s="417"/>
      <c r="AI54" s="417"/>
      <c r="AJ54" s="417"/>
      <c r="AK54" s="417"/>
    </row>
    <row r="55" ht="16.5" spans="1:37">
      <c r="A55" s="114" t="s">
        <v>4130</v>
      </c>
      <c r="B55" s="230" t="s">
        <v>1824</v>
      </c>
      <c r="C55" s="40" t="s">
        <v>224</v>
      </c>
      <c r="D55" s="35"/>
      <c r="E55" s="54"/>
      <c r="F55" s="58" t="s">
        <v>4139</v>
      </c>
      <c r="G55" s="155" t="s">
        <v>4141</v>
      </c>
      <c r="H55" s="119"/>
      <c r="I55" s="71"/>
      <c r="J55" s="64"/>
      <c r="K55" s="68"/>
      <c r="L55" s="53">
        <v>7.1879</v>
      </c>
      <c r="M55" s="134">
        <v>45677</v>
      </c>
      <c r="N55" s="134">
        <v>45680</v>
      </c>
      <c r="O55" s="81">
        <v>45687</v>
      </c>
      <c r="P55" s="171"/>
      <c r="Q55" s="53"/>
      <c r="R55" s="35"/>
      <c r="S55" s="183"/>
      <c r="T55" s="364"/>
      <c r="U55" s="417"/>
      <c r="V55" s="417"/>
      <c r="W55" s="417"/>
      <c r="X55" s="417"/>
      <c r="Y55" s="417"/>
      <c r="Z55" s="417"/>
      <c r="AA55" s="417"/>
      <c r="AB55" s="417"/>
      <c r="AC55" s="417"/>
      <c r="AD55" s="417"/>
      <c r="AE55" s="417"/>
      <c r="AF55" s="417"/>
      <c r="AG55" s="417"/>
      <c r="AH55" s="417"/>
      <c r="AI55" s="417"/>
      <c r="AJ55" s="417"/>
      <c r="AK55" s="417"/>
    </row>
    <row r="56" ht="17.25" customHeight="1" spans="1:37">
      <c r="A56" s="114" t="s">
        <v>4130</v>
      </c>
      <c r="B56" s="230" t="s">
        <v>1824</v>
      </c>
      <c r="C56" s="40" t="s">
        <v>224</v>
      </c>
      <c r="D56" s="35"/>
      <c r="E56" s="54"/>
      <c r="F56" s="58" t="s">
        <v>4139</v>
      </c>
      <c r="G56" s="155" t="s">
        <v>4142</v>
      </c>
      <c r="H56" s="56"/>
      <c r="I56" s="71"/>
      <c r="J56" s="64"/>
      <c r="K56" s="68"/>
      <c r="L56" s="53">
        <v>7.1879</v>
      </c>
      <c r="M56" s="168">
        <v>45696</v>
      </c>
      <c r="N56" s="168">
        <v>45680</v>
      </c>
      <c r="O56" s="81">
        <v>45685</v>
      </c>
      <c r="P56" s="90"/>
      <c r="Q56" s="53"/>
      <c r="R56" s="35"/>
      <c r="S56" s="363"/>
      <c r="T56" s="364"/>
      <c r="U56" s="417"/>
      <c r="V56" s="417"/>
      <c r="W56" s="417"/>
      <c r="X56" s="417"/>
      <c r="Y56" s="417"/>
      <c r="Z56" s="417"/>
      <c r="AA56" s="417"/>
      <c r="AB56" s="417"/>
      <c r="AC56" s="417"/>
      <c r="AD56" s="417"/>
      <c r="AE56" s="417"/>
      <c r="AF56" s="417"/>
      <c r="AG56" s="417"/>
      <c r="AH56" s="417"/>
      <c r="AI56" s="417"/>
      <c r="AJ56" s="417"/>
      <c r="AK56" s="417"/>
    </row>
    <row r="57" ht="17.25" customHeight="1" spans="1:20">
      <c r="A57" s="114" t="s">
        <v>4130</v>
      </c>
      <c r="B57" s="230" t="s">
        <v>1824</v>
      </c>
      <c r="C57" s="40" t="s">
        <v>224</v>
      </c>
      <c r="D57" s="35"/>
      <c r="E57" s="57"/>
      <c r="F57" s="365" t="s">
        <v>4095</v>
      </c>
      <c r="G57" s="59" t="s">
        <v>4143</v>
      </c>
      <c r="H57" s="56"/>
      <c r="I57" s="71"/>
      <c r="J57" s="285"/>
      <c r="K57" s="443"/>
      <c r="L57" s="53">
        <v>7.1879</v>
      </c>
      <c r="M57" s="81"/>
      <c r="N57" s="87"/>
      <c r="O57" s="87"/>
      <c r="P57" s="515"/>
      <c r="Q57" s="59"/>
      <c r="R57" s="39"/>
      <c r="S57" s="363"/>
      <c r="T57" s="185"/>
    </row>
    <row r="58" ht="18" customHeight="1" spans="1:20">
      <c r="A58" s="114" t="s">
        <v>4130</v>
      </c>
      <c r="B58" s="106" t="s">
        <v>3248</v>
      </c>
      <c r="C58" s="112" t="s">
        <v>1825</v>
      </c>
      <c r="D58" s="116" t="s">
        <v>1125</v>
      </c>
      <c r="E58" s="118"/>
      <c r="F58" s="118" t="s">
        <v>4093</v>
      </c>
      <c r="G58" s="117" t="s">
        <v>4144</v>
      </c>
      <c r="H58" s="119"/>
      <c r="I58" s="124"/>
      <c r="J58" s="128"/>
      <c r="K58" s="129"/>
      <c r="L58" s="53">
        <v>7.1879</v>
      </c>
      <c r="M58" s="477" t="s">
        <v>4132</v>
      </c>
      <c r="N58" s="446"/>
      <c r="O58" s="134">
        <v>45682</v>
      </c>
      <c r="P58" s="516"/>
      <c r="Q58" s="479"/>
      <c r="R58" s="346"/>
      <c r="S58" s="40"/>
      <c r="T58" s="348"/>
    </row>
    <row r="59" ht="17.25" customHeight="1" spans="1:20">
      <c r="A59" s="114" t="s">
        <v>4130</v>
      </c>
      <c r="B59" s="106" t="s">
        <v>3248</v>
      </c>
      <c r="C59" s="42"/>
      <c r="D59" s="103"/>
      <c r="E59" s="58"/>
      <c r="F59" s="58" t="s">
        <v>4093</v>
      </c>
      <c r="G59" s="117" t="s">
        <v>4145</v>
      </c>
      <c r="H59" s="119"/>
      <c r="I59" s="124"/>
      <c r="J59" s="128"/>
      <c r="K59" s="129"/>
      <c r="L59" s="53">
        <v>7.1879</v>
      </c>
      <c r="M59" s="206" t="s">
        <v>4132</v>
      </c>
      <c r="N59" s="446"/>
      <c r="O59" s="134">
        <v>45772</v>
      </c>
      <c r="P59" s="159"/>
      <c r="Q59" s="479"/>
      <c r="R59" s="346"/>
      <c r="S59" s="40"/>
      <c r="T59" s="348"/>
    </row>
    <row r="60" ht="17.25" customHeight="1" spans="1:20">
      <c r="A60" s="114" t="s">
        <v>4130</v>
      </c>
      <c r="B60" s="106" t="s">
        <v>3248</v>
      </c>
      <c r="C60" s="42"/>
      <c r="D60" s="103"/>
      <c r="E60" s="118"/>
      <c r="F60" s="118"/>
      <c r="G60" s="117"/>
      <c r="H60" s="119"/>
      <c r="I60" s="124"/>
      <c r="J60" s="128"/>
      <c r="K60" s="129"/>
      <c r="L60" s="117"/>
      <c r="M60" s="134"/>
      <c r="N60" s="435"/>
      <c r="O60" s="484"/>
      <c r="P60" s="159"/>
      <c r="Q60" s="98"/>
      <c r="R60" s="453"/>
      <c r="S60" s="44"/>
      <c r="T60" s="348"/>
    </row>
    <row r="61" ht="17.25" customHeight="1" spans="1:20">
      <c r="A61" s="114" t="s">
        <v>4130</v>
      </c>
      <c r="B61" s="106" t="s">
        <v>3248</v>
      </c>
      <c r="C61" s="112" t="s">
        <v>224</v>
      </c>
      <c r="D61" s="103"/>
      <c r="E61" s="58"/>
      <c r="F61" s="58" t="s">
        <v>4139</v>
      </c>
      <c r="G61" s="155" t="s">
        <v>4146</v>
      </c>
      <c r="H61" s="56"/>
      <c r="I61" s="124"/>
      <c r="J61" s="68"/>
      <c r="K61" s="68"/>
      <c r="L61" s="53">
        <v>7.1879</v>
      </c>
      <c r="M61" s="455"/>
      <c r="N61" s="455"/>
      <c r="O61" s="449"/>
      <c r="P61" s="159"/>
      <c r="Q61" s="59"/>
      <c r="R61" s="39"/>
      <c r="S61" s="363"/>
      <c r="T61" s="362"/>
    </row>
    <row r="62" ht="17.25" customHeight="1" spans="1:20">
      <c r="A62" s="114" t="s">
        <v>4130</v>
      </c>
      <c r="B62" s="106" t="s">
        <v>3248</v>
      </c>
      <c r="C62" s="42"/>
      <c r="D62" s="103"/>
      <c r="E62" s="54"/>
      <c r="F62" s="58" t="s">
        <v>4139</v>
      </c>
      <c r="G62" s="155" t="s">
        <v>4147</v>
      </c>
      <c r="H62" s="56"/>
      <c r="I62" s="71"/>
      <c r="J62" s="64"/>
      <c r="K62" s="68"/>
      <c r="L62" s="53">
        <v>7.1879</v>
      </c>
      <c r="M62" s="168"/>
      <c r="N62" s="168"/>
      <c r="O62" s="81"/>
      <c r="P62" s="90"/>
      <c r="Q62" s="53"/>
      <c r="R62" s="39"/>
      <c r="S62" s="363"/>
      <c r="T62" s="362"/>
    </row>
    <row r="63" ht="17.25" customHeight="1" spans="1:20">
      <c r="A63" s="114" t="s">
        <v>4130</v>
      </c>
      <c r="B63" s="106" t="s">
        <v>3248</v>
      </c>
      <c r="C63" s="44"/>
      <c r="D63" s="104"/>
      <c r="E63" s="58"/>
      <c r="F63" s="58" t="s">
        <v>4081</v>
      </c>
      <c r="G63" s="155" t="s">
        <v>4148</v>
      </c>
      <c r="H63" s="56"/>
      <c r="I63" s="124"/>
      <c r="J63" s="69"/>
      <c r="K63" s="69"/>
      <c r="L63" s="53">
        <v>7.1879</v>
      </c>
      <c r="M63" s="69"/>
      <c r="N63" s="168"/>
      <c r="O63" s="168"/>
      <c r="P63" s="90"/>
      <c r="Q63" s="53"/>
      <c r="R63" s="35"/>
      <c r="S63" s="183"/>
      <c r="T63" s="362"/>
    </row>
    <row r="64" ht="17.25" customHeight="1" spans="1:20">
      <c r="A64" s="114" t="s">
        <v>4130</v>
      </c>
      <c r="B64" s="151" t="s">
        <v>1875</v>
      </c>
      <c r="C64" s="440" t="s">
        <v>1825</v>
      </c>
      <c r="D64" s="107" t="s">
        <v>1125</v>
      </c>
      <c r="E64" s="48"/>
      <c r="F64" s="58" t="s">
        <v>4093</v>
      </c>
      <c r="G64" s="53" t="s">
        <v>4149</v>
      </c>
      <c r="H64" s="56"/>
      <c r="I64" s="124"/>
      <c r="J64" s="68"/>
      <c r="K64" s="68"/>
      <c r="L64" s="53">
        <v>7.1879</v>
      </c>
      <c r="M64" s="68"/>
      <c r="N64" s="157"/>
      <c r="O64" s="202"/>
      <c r="P64" s="90"/>
      <c r="Q64" s="98"/>
      <c r="R64" s="41"/>
      <c r="S64" s="99"/>
      <c r="T64" s="348"/>
    </row>
    <row r="65" ht="17.25" customHeight="1" spans="1:20">
      <c r="A65" s="114" t="s">
        <v>4130</v>
      </c>
      <c r="B65" s="151" t="s">
        <v>1875</v>
      </c>
      <c r="C65" s="152"/>
      <c r="D65" s="46"/>
      <c r="E65" s="154"/>
      <c r="F65" s="118" t="s">
        <v>4093</v>
      </c>
      <c r="G65" s="117"/>
      <c r="H65" s="56"/>
      <c r="I65" s="124"/>
      <c r="J65" s="128"/>
      <c r="K65" s="128"/>
      <c r="L65" s="53">
        <v>7.1879</v>
      </c>
      <c r="M65" s="68"/>
      <c r="N65" s="157"/>
      <c r="O65" s="202"/>
      <c r="P65" s="160"/>
      <c r="Q65" s="98"/>
      <c r="R65" s="41"/>
      <c r="S65" s="99"/>
      <c r="T65" s="348"/>
    </row>
    <row r="66" ht="17.25" customHeight="1" spans="1:20">
      <c r="A66" s="114" t="s">
        <v>4130</v>
      </c>
      <c r="B66" s="151" t="s">
        <v>1875</v>
      </c>
      <c r="C66" s="152"/>
      <c r="D66" s="46"/>
      <c r="E66" s="154"/>
      <c r="F66" s="118" t="s">
        <v>4093</v>
      </c>
      <c r="G66" s="117"/>
      <c r="H66" s="56"/>
      <c r="I66" s="124"/>
      <c r="J66" s="128"/>
      <c r="K66" s="128"/>
      <c r="L66" s="53">
        <v>7.1879</v>
      </c>
      <c r="M66" s="68"/>
      <c r="N66" s="157"/>
      <c r="O66" s="202"/>
      <c r="P66" s="161"/>
      <c r="Q66" s="98"/>
      <c r="R66" s="41"/>
      <c r="S66" s="99"/>
      <c r="T66" s="348"/>
    </row>
    <row r="67" ht="17.25" customHeight="1" spans="1:20">
      <c r="A67" s="114" t="s">
        <v>4130</v>
      </c>
      <c r="B67" s="151" t="s">
        <v>1875</v>
      </c>
      <c r="C67" s="152"/>
      <c r="D67" s="46"/>
      <c r="E67" s="154"/>
      <c r="F67" s="118" t="s">
        <v>4093</v>
      </c>
      <c r="G67" s="117"/>
      <c r="H67" s="56"/>
      <c r="I67" s="124"/>
      <c r="J67" s="128"/>
      <c r="K67" s="128"/>
      <c r="L67" s="53">
        <v>7.1879</v>
      </c>
      <c r="M67" s="68"/>
      <c r="N67" s="157"/>
      <c r="O67" s="202"/>
      <c r="P67" s="161"/>
      <c r="Q67" s="98"/>
      <c r="R67" s="41"/>
      <c r="S67" s="99"/>
      <c r="T67" s="348"/>
    </row>
    <row r="68" ht="17.25" customHeight="1" spans="1:20">
      <c r="A68" s="114" t="s">
        <v>4130</v>
      </c>
      <c r="B68" s="151" t="s">
        <v>1875</v>
      </c>
      <c r="C68" s="152"/>
      <c r="D68" s="46"/>
      <c r="E68" s="154"/>
      <c r="F68" s="118" t="s">
        <v>4093</v>
      </c>
      <c r="G68" s="53"/>
      <c r="H68" s="56"/>
      <c r="I68" s="124"/>
      <c r="J68" s="68"/>
      <c r="K68" s="68"/>
      <c r="L68" s="53">
        <v>7.1879</v>
      </c>
      <c r="M68" s="68"/>
      <c r="N68" s="157"/>
      <c r="O68" s="202"/>
      <c r="P68" s="160"/>
      <c r="Q68" s="98"/>
      <c r="R68" s="41"/>
      <c r="S68" s="99"/>
      <c r="T68" s="358"/>
    </row>
    <row r="69" ht="17.25" customHeight="1" spans="1:20">
      <c r="A69" s="114" t="s">
        <v>4130</v>
      </c>
      <c r="B69" s="151" t="s">
        <v>1875</v>
      </c>
      <c r="C69" s="152"/>
      <c r="D69" s="46"/>
      <c r="E69" s="58"/>
      <c r="F69" s="58" t="s">
        <v>4090</v>
      </c>
      <c r="G69" s="53"/>
      <c r="H69" s="56"/>
      <c r="I69" s="124"/>
      <c r="J69" s="68"/>
      <c r="K69" s="68"/>
      <c r="L69" s="53">
        <v>7.1879</v>
      </c>
      <c r="M69" s="68"/>
      <c r="N69" s="157"/>
      <c r="O69" s="449"/>
      <c r="P69" s="86"/>
      <c r="Q69" s="98"/>
      <c r="R69" s="41"/>
      <c r="S69" s="99"/>
      <c r="T69" s="348"/>
    </row>
    <row r="70" ht="17.25" customHeight="1" spans="1:20">
      <c r="A70" s="114" t="s">
        <v>4130</v>
      </c>
      <c r="B70" s="151" t="s">
        <v>1875</v>
      </c>
      <c r="C70" s="152"/>
      <c r="D70" s="46"/>
      <c r="E70" s="58"/>
      <c r="F70" s="58" t="s">
        <v>4093</v>
      </c>
      <c r="G70" s="53"/>
      <c r="H70" s="56"/>
      <c r="I70" s="124"/>
      <c r="J70" s="68"/>
      <c r="K70" s="68"/>
      <c r="L70" s="53">
        <v>7.1879</v>
      </c>
      <c r="M70" s="68"/>
      <c r="N70" s="157"/>
      <c r="O70" s="449"/>
      <c r="P70" s="163"/>
      <c r="Q70" s="163"/>
      <c r="R70" s="41"/>
      <c r="S70" s="99"/>
      <c r="T70" s="348"/>
    </row>
    <row r="71" ht="17.25" customHeight="1" spans="1:20">
      <c r="A71" s="114" t="s">
        <v>4130</v>
      </c>
      <c r="B71" s="151" t="s">
        <v>1875</v>
      </c>
      <c r="C71" s="152"/>
      <c r="D71" s="46"/>
      <c r="E71" s="58"/>
      <c r="F71" s="58" t="s">
        <v>4093</v>
      </c>
      <c r="G71" s="155"/>
      <c r="H71" s="56"/>
      <c r="I71" s="124"/>
      <c r="J71" s="68"/>
      <c r="K71" s="68"/>
      <c r="L71" s="53">
        <v>7.1879</v>
      </c>
      <c r="M71" s="68"/>
      <c r="N71" s="157"/>
      <c r="O71" s="449"/>
      <c r="P71" s="90"/>
      <c r="Q71" s="350"/>
      <c r="R71" s="359"/>
      <c r="S71" s="99"/>
      <c r="T71" s="100"/>
    </row>
    <row r="72" ht="17.25" customHeight="1" spans="1:20">
      <c r="A72" s="114" t="s">
        <v>4130</v>
      </c>
      <c r="B72" s="151" t="s">
        <v>1875</v>
      </c>
      <c r="C72" s="152"/>
      <c r="D72" s="46"/>
      <c r="E72" s="58"/>
      <c r="F72" s="58" t="s">
        <v>4093</v>
      </c>
      <c r="G72" s="155"/>
      <c r="H72" s="56"/>
      <c r="I72" s="124"/>
      <c r="J72" s="68"/>
      <c r="K72" s="68"/>
      <c r="L72" s="53">
        <v>7.1879</v>
      </c>
      <c r="M72" s="68"/>
      <c r="N72" s="157"/>
      <c r="O72" s="449"/>
      <c r="P72" s="90"/>
      <c r="Q72" s="350"/>
      <c r="R72" s="359"/>
      <c r="S72" s="99"/>
      <c r="T72" s="100"/>
    </row>
    <row r="73" ht="17.25" customHeight="1" spans="1:20">
      <c r="A73" s="114" t="s">
        <v>4130</v>
      </c>
      <c r="B73" s="151" t="s">
        <v>1875</v>
      </c>
      <c r="C73" s="152"/>
      <c r="D73" s="46"/>
      <c r="E73" s="58"/>
      <c r="F73" s="58" t="s">
        <v>4093</v>
      </c>
      <c r="G73" s="155"/>
      <c r="H73" s="56"/>
      <c r="I73" s="124"/>
      <c r="J73" s="68"/>
      <c r="K73" s="68"/>
      <c r="L73" s="53">
        <v>7.1879</v>
      </c>
      <c r="M73" s="68"/>
      <c r="N73" s="157"/>
      <c r="O73" s="449"/>
      <c r="P73" s="90"/>
      <c r="Q73" s="350"/>
      <c r="R73" s="359"/>
      <c r="S73" s="99"/>
      <c r="T73" s="100"/>
    </row>
    <row r="74" ht="17.25" customHeight="1" spans="1:20">
      <c r="A74" s="114" t="s">
        <v>4130</v>
      </c>
      <c r="B74" s="151" t="s">
        <v>1875</v>
      </c>
      <c r="C74" s="153"/>
      <c r="D74" s="46"/>
      <c r="E74" s="58"/>
      <c r="F74" s="58" t="s">
        <v>4093</v>
      </c>
      <c r="G74" s="155"/>
      <c r="H74" s="56"/>
      <c r="I74" s="124"/>
      <c r="J74" s="68"/>
      <c r="K74" s="68"/>
      <c r="L74" s="53">
        <v>7.1879</v>
      </c>
      <c r="M74" s="68"/>
      <c r="N74" s="157"/>
      <c r="O74" s="449"/>
      <c r="P74" s="90"/>
      <c r="Q74" s="350"/>
      <c r="R74" s="359"/>
      <c r="S74" s="99"/>
      <c r="T74" s="100"/>
    </row>
    <row r="75" ht="17.25" customHeight="1" spans="1:20">
      <c r="A75" s="114" t="s">
        <v>4130</v>
      </c>
      <c r="B75" s="151" t="s">
        <v>1875</v>
      </c>
      <c r="C75" s="152" t="s">
        <v>224</v>
      </c>
      <c r="D75" s="46"/>
      <c r="E75" s="54"/>
      <c r="F75" s="54" t="s">
        <v>4081</v>
      </c>
      <c r="G75" s="155" t="s">
        <v>4150</v>
      </c>
      <c r="H75" s="56"/>
      <c r="I75" s="124"/>
      <c r="J75" s="68"/>
      <c r="K75" s="130"/>
      <c r="L75" s="53">
        <v>7.1879</v>
      </c>
      <c r="M75" s="68"/>
      <c r="N75" s="202"/>
      <c r="O75" s="69"/>
      <c r="P75" s="90"/>
      <c r="Q75" s="53"/>
      <c r="R75" s="35"/>
      <c r="S75" s="183"/>
      <c r="T75" s="362"/>
    </row>
    <row r="76" ht="17.25" customHeight="1" spans="1:20">
      <c r="A76" s="114" t="s">
        <v>4130</v>
      </c>
      <c r="B76" s="151" t="s">
        <v>1875</v>
      </c>
      <c r="C76" s="152"/>
      <c r="D76" s="46"/>
      <c r="E76" s="58"/>
      <c r="F76" s="54" t="s">
        <v>4095</v>
      </c>
      <c r="G76" s="441" t="s">
        <v>4151</v>
      </c>
      <c r="H76" s="56"/>
      <c r="I76" s="71"/>
      <c r="J76" s="68"/>
      <c r="K76" s="130"/>
      <c r="L76" s="53">
        <v>7.1879</v>
      </c>
      <c r="M76" s="68"/>
      <c r="N76" s="202"/>
      <c r="O76" s="451"/>
      <c r="P76" s="90"/>
      <c r="Q76" s="53"/>
      <c r="R76" s="35"/>
      <c r="S76" s="183"/>
      <c r="T76" s="185"/>
    </row>
    <row r="77" ht="17.25" customHeight="1" spans="1:4">
      <c r="A77" s="114" t="s">
        <v>4130</v>
      </c>
      <c r="B77" s="151" t="s">
        <v>1875</v>
      </c>
      <c r="C77" s="152"/>
      <c r="D77" s="46"/>
    </row>
    <row r="78" ht="16.5" spans="1:20">
      <c r="A78" s="114" t="s">
        <v>4130</v>
      </c>
      <c r="B78" s="151" t="s">
        <v>1875</v>
      </c>
      <c r="C78" s="152"/>
      <c r="D78" s="46"/>
      <c r="E78" s="121"/>
      <c r="F78" s="54" t="s">
        <v>4113</v>
      </c>
      <c r="G78" s="454" t="s">
        <v>658</v>
      </c>
      <c r="H78" s="55"/>
      <c r="I78" s="71"/>
      <c r="J78" s="68"/>
      <c r="K78" s="130"/>
      <c r="L78" s="53">
        <v>7.1879</v>
      </c>
      <c r="M78" s="68"/>
      <c r="N78" s="87"/>
      <c r="O78" s="451"/>
      <c r="P78" s="90"/>
      <c r="Q78" s="53"/>
      <c r="R78" s="35"/>
      <c r="S78" s="183"/>
      <c r="T78" s="185"/>
    </row>
    <row r="79" ht="17.25" customHeight="1" spans="1:20">
      <c r="A79" s="114" t="s">
        <v>4130</v>
      </c>
      <c r="B79" s="151" t="s">
        <v>1875</v>
      </c>
      <c r="C79" s="152"/>
      <c r="D79" s="46"/>
      <c r="E79" s="54"/>
      <c r="F79" s="58" t="s">
        <v>4095</v>
      </c>
      <c r="G79" s="155" t="s">
        <v>4152</v>
      </c>
      <c r="H79" s="56"/>
      <c r="I79" s="71"/>
      <c r="J79" s="68"/>
      <c r="K79" s="130"/>
      <c r="L79" s="53">
        <v>7.1879</v>
      </c>
      <c r="M79" s="68"/>
      <c r="N79" s="157"/>
      <c r="O79" s="69"/>
      <c r="P79" s="90"/>
      <c r="Q79" s="486"/>
      <c r="R79" s="165"/>
      <c r="S79" s="183"/>
      <c r="T79" s="185"/>
    </row>
    <row r="80" ht="16.5" spans="1:20">
      <c r="A80" s="114" t="s">
        <v>4130</v>
      </c>
      <c r="B80" s="151" t="s">
        <v>1875</v>
      </c>
      <c r="C80" s="152"/>
      <c r="D80" s="46"/>
      <c r="E80" s="121"/>
      <c r="F80" s="54" t="s">
        <v>4081</v>
      </c>
      <c r="G80" s="155" t="s">
        <v>4153</v>
      </c>
      <c r="H80" s="56"/>
      <c r="I80" s="124"/>
      <c r="J80" s="157"/>
      <c r="K80" s="130"/>
      <c r="L80" s="53">
        <v>7.1879</v>
      </c>
      <c r="M80" s="168"/>
      <c r="N80" s="168"/>
      <c r="O80" s="69"/>
      <c r="P80" s="456"/>
      <c r="Q80" s="59"/>
      <c r="R80" s="35"/>
      <c r="S80" s="363"/>
      <c r="T80" s="362"/>
    </row>
    <row r="81" ht="16.5" spans="1:20">
      <c r="A81" s="114" t="s">
        <v>4130</v>
      </c>
      <c r="B81" s="151" t="s">
        <v>1875</v>
      </c>
      <c r="C81" s="152"/>
      <c r="D81" s="46"/>
      <c r="E81" s="519"/>
      <c r="F81" s="58" t="s">
        <v>4139</v>
      </c>
      <c r="G81" s="155" t="s">
        <v>4154</v>
      </c>
      <c r="H81" s="56"/>
      <c r="I81" s="124"/>
      <c r="J81" s="68"/>
      <c r="K81" s="68"/>
      <c r="L81" s="53">
        <v>7.1879</v>
      </c>
      <c r="M81" s="168"/>
      <c r="N81" s="168"/>
      <c r="O81" s="449"/>
      <c r="P81" s="90"/>
      <c r="Q81" s="53"/>
      <c r="R81" s="35"/>
      <c r="S81" s="363"/>
      <c r="T81" s="362"/>
    </row>
    <row r="82" ht="17.25" customHeight="1" spans="1:20">
      <c r="A82" s="114" t="s">
        <v>4130</v>
      </c>
      <c r="B82" s="151" t="s">
        <v>1875</v>
      </c>
      <c r="C82" s="152"/>
      <c r="D82" s="46"/>
      <c r="E82" s="58"/>
      <c r="F82" s="58" t="s">
        <v>4090</v>
      </c>
      <c r="G82" s="155"/>
      <c r="H82" s="56"/>
      <c r="I82" s="124"/>
      <c r="J82" s="68"/>
      <c r="K82" s="130"/>
      <c r="L82" s="53">
        <v>7.1879</v>
      </c>
      <c r="M82" s="68"/>
      <c r="N82" s="157"/>
      <c r="O82" s="69"/>
      <c r="P82" s="90"/>
      <c r="Q82" s="486"/>
      <c r="R82" s="165"/>
      <c r="S82" s="183"/>
      <c r="T82" s="185"/>
    </row>
    <row r="83" ht="16.5" spans="1:20">
      <c r="A83" s="114" t="s">
        <v>4130</v>
      </c>
      <c r="B83" s="151" t="s">
        <v>1875</v>
      </c>
      <c r="C83" s="152"/>
      <c r="D83" s="46"/>
      <c r="E83" s="121"/>
      <c r="F83" s="54" t="s">
        <v>4081</v>
      </c>
      <c r="G83" s="155"/>
      <c r="H83" s="55"/>
      <c r="I83" s="124"/>
      <c r="J83" s="68"/>
      <c r="K83" s="130"/>
      <c r="L83" s="53">
        <v>7.1879</v>
      </c>
      <c r="M83" s="457"/>
      <c r="N83" s="87"/>
      <c r="O83" s="69"/>
      <c r="P83" s="171"/>
      <c r="Q83" s="53"/>
      <c r="R83" s="35"/>
      <c r="S83" s="183"/>
      <c r="T83" s="185"/>
    </row>
    <row r="84" ht="17.25" customHeight="1" spans="1:20">
      <c r="A84" s="114" t="s">
        <v>4130</v>
      </c>
      <c r="B84" s="151" t="s">
        <v>1875</v>
      </c>
      <c r="C84" s="152"/>
      <c r="D84" s="46"/>
      <c r="E84" s="58"/>
      <c r="F84" s="54" t="s">
        <v>4081</v>
      </c>
      <c r="G84" s="155"/>
      <c r="H84" s="55"/>
      <c r="I84" s="124"/>
      <c r="J84" s="68"/>
      <c r="K84" s="130"/>
      <c r="L84" s="53">
        <v>7.1879</v>
      </c>
      <c r="M84" s="457"/>
      <c r="N84" s="87"/>
      <c r="O84" s="69"/>
      <c r="P84" s="90"/>
      <c r="Q84" s="53"/>
      <c r="R84" s="35"/>
      <c r="S84" s="183"/>
      <c r="T84" s="185"/>
    </row>
    <row r="85" ht="17.25" customHeight="1" spans="1:20">
      <c r="A85" s="114" t="s">
        <v>4130</v>
      </c>
      <c r="B85" s="151" t="s">
        <v>1875</v>
      </c>
      <c r="C85" s="152"/>
      <c r="D85" s="46"/>
      <c r="E85" s="58"/>
      <c r="F85" s="54" t="s">
        <v>4081</v>
      </c>
      <c r="G85" s="155"/>
      <c r="H85" s="55"/>
      <c r="I85" s="124"/>
      <c r="J85" s="68"/>
      <c r="K85" s="130"/>
      <c r="L85" s="53">
        <v>7.1879</v>
      </c>
      <c r="M85" s="457"/>
      <c r="N85" s="87"/>
      <c r="O85" s="69"/>
      <c r="P85" s="90"/>
      <c r="Q85" s="53"/>
      <c r="R85" s="35"/>
      <c r="S85" s="183"/>
      <c r="T85" s="185"/>
    </row>
    <row r="86" ht="16.5" spans="1:20">
      <c r="A86" s="114" t="s">
        <v>4130</v>
      </c>
      <c r="B86" s="151" t="s">
        <v>1875</v>
      </c>
      <c r="C86" s="152"/>
      <c r="D86" s="46"/>
      <c r="E86" s="58"/>
      <c r="F86" s="54" t="s">
        <v>4081</v>
      </c>
      <c r="G86" s="155"/>
      <c r="H86" s="55"/>
      <c r="I86" s="124"/>
      <c r="J86" s="157"/>
      <c r="K86" s="130"/>
      <c r="L86" s="53">
        <v>7.1879</v>
      </c>
      <c r="M86" s="168"/>
      <c r="N86" s="168"/>
      <c r="O86" s="69"/>
      <c r="P86" s="90"/>
      <c r="Q86" s="53"/>
      <c r="R86" s="35"/>
      <c r="S86" s="183"/>
      <c r="T86" s="185"/>
    </row>
    <row r="87" ht="17.25" customHeight="1" spans="1:20">
      <c r="A87" s="114" t="s">
        <v>4130</v>
      </c>
      <c r="B87" s="151" t="s">
        <v>1875</v>
      </c>
      <c r="C87" s="152"/>
      <c r="D87" s="46"/>
      <c r="E87" s="58"/>
      <c r="F87" s="54" t="s">
        <v>4081</v>
      </c>
      <c r="G87" s="155"/>
      <c r="H87" s="157"/>
      <c r="I87" s="124"/>
      <c r="J87" s="157"/>
      <c r="K87" s="130"/>
      <c r="L87" s="53">
        <v>7.1879</v>
      </c>
      <c r="M87" s="168"/>
      <c r="N87" s="168"/>
      <c r="O87" s="69"/>
      <c r="P87" s="90"/>
      <c r="Q87" s="53"/>
      <c r="R87" s="35"/>
      <c r="S87" s="183"/>
      <c r="T87" s="185"/>
    </row>
    <row r="88" ht="20.65" customHeight="1" spans="1:20">
      <c r="A88" s="114" t="s">
        <v>4130</v>
      </c>
      <c r="B88" s="151" t="s">
        <v>1875</v>
      </c>
      <c r="C88" s="152"/>
      <c r="D88" s="46"/>
      <c r="E88" s="58"/>
      <c r="F88" s="54" t="s">
        <v>4081</v>
      </c>
      <c r="G88" s="155"/>
      <c r="H88" s="157"/>
      <c r="I88" s="124"/>
      <c r="J88" s="157"/>
      <c r="K88" s="130"/>
      <c r="L88" s="53">
        <v>7.1879</v>
      </c>
      <c r="M88" s="168"/>
      <c r="N88" s="168"/>
      <c r="O88" s="69"/>
      <c r="P88" s="90"/>
      <c r="Q88" s="53"/>
      <c r="R88" s="35"/>
      <c r="S88" s="183"/>
      <c r="T88" s="185"/>
    </row>
    <row r="89" ht="16.5" spans="1:20">
      <c r="A89" s="114" t="s">
        <v>4130</v>
      </c>
      <c r="B89" s="151" t="s">
        <v>1875</v>
      </c>
      <c r="C89" s="152"/>
      <c r="D89" s="46"/>
      <c r="E89" s="58"/>
      <c r="F89" s="54" t="s">
        <v>4081</v>
      </c>
      <c r="G89" s="155"/>
      <c r="H89" s="56"/>
      <c r="I89" s="124"/>
      <c r="J89" s="157"/>
      <c r="K89" s="130"/>
      <c r="L89" s="53">
        <v>7.1879</v>
      </c>
      <c r="M89" s="168"/>
      <c r="N89" s="168"/>
      <c r="O89" s="69"/>
      <c r="P89" s="171"/>
      <c r="Q89" s="53"/>
      <c r="R89" s="35"/>
      <c r="S89" s="183"/>
      <c r="T89" s="185"/>
    </row>
    <row r="90" ht="17.25" customHeight="1" spans="1:20">
      <c r="A90" s="114" t="s">
        <v>4130</v>
      </c>
      <c r="B90" s="151" t="s">
        <v>1875</v>
      </c>
      <c r="C90" s="152"/>
      <c r="D90" s="46"/>
      <c r="E90" s="58"/>
      <c r="F90" s="54" t="s">
        <v>4081</v>
      </c>
      <c r="G90" s="69"/>
      <c r="H90" s="69"/>
      <c r="I90" s="124"/>
      <c r="J90" s="69"/>
      <c r="K90" s="69"/>
      <c r="L90" s="53">
        <v>7.1879</v>
      </c>
      <c r="M90" s="69"/>
      <c r="N90" s="165"/>
      <c r="O90" s="69"/>
      <c r="P90" s="90"/>
      <c r="Q90" s="53"/>
      <c r="R90" s="35"/>
      <c r="S90" s="183"/>
      <c r="T90" s="185"/>
    </row>
    <row r="91" ht="16.5" spans="1:20">
      <c r="A91" s="114" t="s">
        <v>4130</v>
      </c>
      <c r="B91" s="151" t="s">
        <v>1875</v>
      </c>
      <c r="C91" s="40"/>
      <c r="D91" s="46"/>
      <c r="E91" s="53"/>
      <c r="F91" s="54" t="s">
        <v>4093</v>
      </c>
      <c r="G91" s="56" t="s">
        <v>1908</v>
      </c>
      <c r="H91" s="56"/>
      <c r="I91" s="124"/>
      <c r="J91" s="73"/>
      <c r="K91" s="72"/>
      <c r="L91" s="53">
        <v>7.1879</v>
      </c>
      <c r="M91" s="84"/>
      <c r="N91" s="178"/>
      <c r="O91" s="178"/>
      <c r="P91" s="163"/>
      <c r="Q91" s="98"/>
      <c r="R91" s="41"/>
      <c r="S91" s="99"/>
      <c r="T91" s="100"/>
    </row>
    <row r="92" ht="17.25" customHeight="1" spans="1:20">
      <c r="A92" s="114" t="s">
        <v>4130</v>
      </c>
      <c r="B92" s="151" t="s">
        <v>1875</v>
      </c>
      <c r="C92" s="152"/>
      <c r="D92" s="113"/>
      <c r="E92" s="58"/>
      <c r="F92" s="54" t="s">
        <v>4090</v>
      </c>
      <c r="G92" s="155"/>
      <c r="H92" s="56"/>
      <c r="I92" s="124"/>
      <c r="J92" s="157"/>
      <c r="K92" s="130"/>
      <c r="L92" s="53">
        <v>7.1879</v>
      </c>
      <c r="M92" s="168"/>
      <c r="N92" s="168"/>
      <c r="O92" s="69"/>
      <c r="P92" s="90"/>
      <c r="Q92" s="53"/>
      <c r="R92" s="35"/>
      <c r="S92" s="183"/>
      <c r="T92" s="185"/>
    </row>
    <row r="93" ht="19.75" customHeight="1" spans="1:27">
      <c r="A93" s="32" t="s">
        <v>1913</v>
      </c>
      <c r="B93" s="106" t="s">
        <v>1824</v>
      </c>
      <c r="C93" s="112" t="s">
        <v>1248</v>
      </c>
      <c r="D93" s="43">
        <v>220</v>
      </c>
      <c r="E93" s="57"/>
      <c r="F93" s="54"/>
      <c r="G93" s="53"/>
      <c r="H93" s="195"/>
      <c r="I93" s="64"/>
      <c r="J93" s="72"/>
      <c r="K93" s="72"/>
      <c r="L93" s="130"/>
      <c r="M93" s="81"/>
      <c r="N93" s="87"/>
      <c r="O93" s="87"/>
      <c r="P93" s="207"/>
      <c r="Q93" s="59"/>
      <c r="R93" s="39"/>
      <c r="S93" s="363"/>
      <c r="T93" s="364"/>
      <c r="U93" s="417"/>
      <c r="V93" s="417"/>
      <c r="W93" s="417"/>
      <c r="X93" s="417"/>
      <c r="Y93" s="417"/>
      <c r="Z93" s="417"/>
      <c r="AA93" s="417"/>
    </row>
    <row r="94" customFormat="1" ht="16.5" spans="1:27">
      <c r="A94" s="32" t="s">
        <v>1913</v>
      </c>
      <c r="B94" s="106" t="s">
        <v>1824</v>
      </c>
      <c r="C94" s="217" t="s">
        <v>1922</v>
      </c>
      <c r="D94" s="43">
        <v>30</v>
      </c>
      <c r="E94" s="57"/>
      <c r="F94" s="54" t="s">
        <v>4113</v>
      </c>
      <c r="G94" s="155" t="s">
        <v>4155</v>
      </c>
      <c r="H94" s="204"/>
      <c r="I94" s="64"/>
      <c r="J94" s="72"/>
      <c r="K94" s="66"/>
      <c r="L94" s="130">
        <v>7.1879</v>
      </c>
      <c r="M94" s="83" t="s">
        <v>1218</v>
      </c>
      <c r="N94" s="87">
        <v>45653</v>
      </c>
      <c r="O94" s="87">
        <v>45292</v>
      </c>
      <c r="P94" s="207"/>
      <c r="Q94" s="59"/>
      <c r="R94" s="39"/>
      <c r="S94" s="363"/>
      <c r="T94" s="364"/>
      <c r="U94" s="417"/>
      <c r="V94" s="417"/>
      <c r="W94" s="417"/>
      <c r="X94" s="417"/>
      <c r="Y94" s="417"/>
      <c r="Z94" s="417"/>
      <c r="AA94" s="417"/>
    </row>
    <row r="95" customFormat="1" ht="16.5" spans="1:27">
      <c r="A95" s="32" t="s">
        <v>1913</v>
      </c>
      <c r="B95" s="106" t="s">
        <v>1824</v>
      </c>
      <c r="C95" s="217" t="s">
        <v>1922</v>
      </c>
      <c r="D95" s="38"/>
      <c r="E95" s="57"/>
      <c r="F95" s="106"/>
      <c r="G95" s="54" t="s">
        <v>4156</v>
      </c>
      <c r="H95" s="253"/>
      <c r="I95" s="64"/>
      <c r="J95" s="72"/>
      <c r="K95" s="66"/>
      <c r="L95" s="130">
        <v>7.1879</v>
      </c>
      <c r="M95" s="83" t="s">
        <v>1218</v>
      </c>
      <c r="N95" s="87">
        <v>45669</v>
      </c>
      <c r="O95" s="87" t="s">
        <v>2097</v>
      </c>
      <c r="P95" s="207"/>
      <c r="Q95" s="59"/>
      <c r="R95" s="366"/>
      <c r="S95" s="363"/>
      <c r="T95" s="364"/>
      <c r="U95" s="417"/>
      <c r="V95" s="417"/>
      <c r="W95" s="417"/>
      <c r="X95" s="417"/>
      <c r="Y95" s="417"/>
      <c r="Z95" s="417"/>
      <c r="AA95" s="417"/>
    </row>
    <row r="96" s="417" customFormat="1" ht="19.5" customHeight="1" spans="1:23">
      <c r="A96" s="32" t="s">
        <v>1913</v>
      </c>
      <c r="B96" s="106" t="s">
        <v>1824</v>
      </c>
      <c r="C96" s="37" t="s">
        <v>209</v>
      </c>
      <c r="D96" s="38">
        <v>50</v>
      </c>
      <c r="E96" s="520"/>
      <c r="F96" s="106" t="s">
        <v>4095</v>
      </c>
      <c r="G96" s="155" t="s">
        <v>4157</v>
      </c>
      <c r="H96" s="55"/>
      <c r="I96" s="64"/>
      <c r="J96" s="72"/>
      <c r="K96" s="66"/>
      <c r="L96" s="130">
        <v>7.1879</v>
      </c>
      <c r="M96" s="81" t="s">
        <v>1218</v>
      </c>
      <c r="N96" s="81">
        <v>45674</v>
      </c>
      <c r="O96" s="81" t="s">
        <v>1125</v>
      </c>
      <c r="P96" s="521"/>
      <c r="Q96" s="487"/>
      <c r="R96" s="488"/>
      <c r="S96" s="369"/>
      <c r="T96" s="370"/>
      <c r="U96" s="522"/>
      <c r="V96" s="296"/>
      <c r="W96" s="459"/>
    </row>
    <row r="97" customFormat="1" ht="16.5" spans="1:27">
      <c r="A97" s="32" t="s">
        <v>1913</v>
      </c>
      <c r="B97" s="106" t="s">
        <v>1824</v>
      </c>
      <c r="C97" s="37" t="s">
        <v>209</v>
      </c>
      <c r="D97" s="38"/>
      <c r="E97" s="57"/>
      <c r="F97" s="106" t="s">
        <v>4093</v>
      </c>
      <c r="G97" s="58" t="s">
        <v>4158</v>
      </c>
      <c r="H97" s="55"/>
      <c r="I97" s="64"/>
      <c r="J97" s="64"/>
      <c r="K97" s="68"/>
      <c r="L97" s="53" t="s">
        <v>1125</v>
      </c>
      <c r="M97" s="87" t="s">
        <v>1251</v>
      </c>
      <c r="N97" s="87"/>
      <c r="O97" s="87"/>
      <c r="P97" s="207"/>
      <c r="Q97" s="369"/>
      <c r="R97" s="370"/>
      <c r="S97" s="461"/>
      <c r="T97" s="458"/>
      <c r="U97" s="417"/>
      <c r="V97" s="417"/>
      <c r="W97" s="417"/>
      <c r="X97" s="417"/>
      <c r="Y97" s="417"/>
      <c r="Z97" s="417"/>
      <c r="AA97" s="417"/>
    </row>
    <row r="98" s="417" customFormat="1" ht="16.5" spans="1:20">
      <c r="A98" s="32" t="s">
        <v>1913</v>
      </c>
      <c r="B98" s="106" t="s">
        <v>1824</v>
      </c>
      <c r="C98" s="37" t="s">
        <v>209</v>
      </c>
      <c r="D98" s="38"/>
      <c r="E98" s="520"/>
      <c r="F98" s="106" t="s">
        <v>4095</v>
      </c>
      <c r="G98" s="57" t="s">
        <v>4159</v>
      </c>
      <c r="H98" s="55"/>
      <c r="I98" s="64"/>
      <c r="J98" s="72"/>
      <c r="K98" s="72"/>
      <c r="L98" s="130">
        <v>7.1879</v>
      </c>
      <c r="M98" s="81" t="s">
        <v>1218</v>
      </c>
      <c r="N98" s="87">
        <v>45668</v>
      </c>
      <c r="O98" s="87">
        <v>45673</v>
      </c>
      <c r="P98" s="207"/>
      <c r="Q98" s="369"/>
      <c r="R98" s="370"/>
      <c r="S98" s="461"/>
      <c r="T98" s="458"/>
    </row>
    <row r="99" customFormat="1" ht="16.5" spans="1:20">
      <c r="A99" s="32" t="s">
        <v>1913</v>
      </c>
      <c r="B99" s="106" t="s">
        <v>1824</v>
      </c>
      <c r="C99" s="37" t="s">
        <v>209</v>
      </c>
      <c r="D99" s="38"/>
      <c r="E99" s="57"/>
      <c r="F99" s="106" t="s">
        <v>4087</v>
      </c>
      <c r="G99" s="57" t="s">
        <v>4160</v>
      </c>
      <c r="H99" s="55"/>
      <c r="I99" s="64"/>
      <c r="J99" s="72"/>
      <c r="K99" s="68"/>
      <c r="L99" s="130">
        <v>7.1879</v>
      </c>
      <c r="M99" s="81" t="s">
        <v>1218</v>
      </c>
      <c r="N99" s="87">
        <v>45680</v>
      </c>
      <c r="O99" s="87">
        <v>45685</v>
      </c>
      <c r="P99" s="207"/>
      <c r="Q99" s="53"/>
      <c r="R99" s="373"/>
      <c r="S99" s="195"/>
      <c r="T99" s="374"/>
    </row>
    <row r="100" s="417" customFormat="1" ht="33" spans="1:20">
      <c r="A100" s="32" t="s">
        <v>1913</v>
      </c>
      <c r="B100" s="106" t="s">
        <v>1824</v>
      </c>
      <c r="C100" s="192" t="s">
        <v>4161</v>
      </c>
      <c r="D100" s="43">
        <v>130</v>
      </c>
      <c r="E100" s="57"/>
      <c r="F100" s="106" t="s">
        <v>4095</v>
      </c>
      <c r="G100" s="489" t="s">
        <v>4162</v>
      </c>
      <c r="H100" s="204"/>
      <c r="I100" s="64"/>
      <c r="J100" s="72"/>
      <c r="K100" s="66"/>
      <c r="L100" s="130">
        <v>7.1879</v>
      </c>
      <c r="M100" s="81" t="s">
        <v>1218</v>
      </c>
      <c r="N100" s="87">
        <v>45677</v>
      </c>
      <c r="O100" s="87">
        <v>45680</v>
      </c>
      <c r="P100" s="207"/>
      <c r="Q100" s="375"/>
      <c r="R100" s="277"/>
      <c r="S100" s="494"/>
      <c r="T100" s="495"/>
    </row>
    <row r="101" s="417" customFormat="1" ht="33" spans="1:20">
      <c r="A101" s="32" t="s">
        <v>1913</v>
      </c>
      <c r="B101" s="106" t="s">
        <v>1824</v>
      </c>
      <c r="C101" s="192" t="s">
        <v>4161</v>
      </c>
      <c r="D101" s="38"/>
      <c r="E101" s="57"/>
      <c r="F101" s="54"/>
      <c r="G101" s="205"/>
      <c r="H101" s="204"/>
      <c r="I101" s="64"/>
      <c r="J101" s="72"/>
      <c r="K101" s="158"/>
      <c r="L101" s="130">
        <v>7.1879</v>
      </c>
      <c r="M101" s="87"/>
      <c r="N101" s="87"/>
      <c r="O101" s="87"/>
      <c r="P101" s="207"/>
      <c r="Q101" s="375"/>
      <c r="R101" s="277"/>
      <c r="S101" s="494"/>
      <c r="T101" s="495"/>
    </row>
    <row r="102" ht="17.4" customHeight="1" spans="1:27">
      <c r="A102" s="32" t="s">
        <v>1913</v>
      </c>
      <c r="B102" s="106" t="s">
        <v>1824</v>
      </c>
      <c r="C102" s="192" t="s">
        <v>4163</v>
      </c>
      <c r="D102" s="43">
        <v>40</v>
      </c>
      <c r="E102" s="57"/>
      <c r="F102" s="54"/>
      <c r="G102" s="53"/>
      <c r="H102" s="55"/>
      <c r="I102" s="64"/>
      <c r="J102" s="72"/>
      <c r="K102" s="72"/>
      <c r="L102" s="130">
        <v>7.1879</v>
      </c>
      <c r="M102" s="81"/>
      <c r="N102" s="87"/>
      <c r="O102" s="87"/>
      <c r="P102" s="207"/>
      <c r="Q102" s="377"/>
      <c r="R102" s="378"/>
      <c r="S102" s="363"/>
      <c r="T102" s="379"/>
      <c r="U102" s="417"/>
      <c r="V102" s="417"/>
      <c r="W102" s="417"/>
      <c r="X102" s="417"/>
      <c r="Y102" s="417"/>
      <c r="Z102" s="417"/>
      <c r="AA102" s="417"/>
    </row>
    <row r="103" ht="33" spans="1:20">
      <c r="A103" s="32" t="s">
        <v>1913</v>
      </c>
      <c r="B103" s="151" t="s">
        <v>3248</v>
      </c>
      <c r="C103" s="34" t="s">
        <v>1248</v>
      </c>
      <c r="D103" s="35" t="s">
        <v>1125</v>
      </c>
      <c r="E103" s="57"/>
      <c r="F103" s="54" t="s">
        <v>4139</v>
      </c>
      <c r="G103" s="53" t="s">
        <v>4164</v>
      </c>
      <c r="H103" s="195"/>
      <c r="I103" s="64"/>
      <c r="J103" s="72"/>
      <c r="K103" s="72"/>
      <c r="L103" s="130">
        <v>7.1879</v>
      </c>
      <c r="M103" s="81" t="s">
        <v>1218</v>
      </c>
      <c r="N103" s="87" t="s">
        <v>621</v>
      </c>
      <c r="O103" s="87" t="s">
        <v>621</v>
      </c>
      <c r="P103" s="207"/>
      <c r="Q103" s="158"/>
      <c r="R103" s="48"/>
      <c r="S103" s="158"/>
      <c r="T103" s="380"/>
    </row>
    <row r="104" ht="33" spans="1:20">
      <c r="A104" s="32" t="s">
        <v>1913</v>
      </c>
      <c r="B104" s="151" t="s">
        <v>3248</v>
      </c>
      <c r="C104" s="40" t="s">
        <v>1922</v>
      </c>
      <c r="D104" s="41"/>
      <c r="E104" s="155"/>
      <c r="F104" s="201"/>
      <c r="G104" s="58"/>
      <c r="H104" s="221"/>
      <c r="I104" s="71"/>
      <c r="J104" s="66"/>
      <c r="K104" s="66"/>
      <c r="L104" s="490"/>
      <c r="M104" s="87"/>
      <c r="N104" s="87"/>
      <c r="O104" s="87"/>
      <c r="P104" s="492"/>
      <c r="Q104" s="53"/>
      <c r="R104" s="373"/>
      <c r="S104" s="195"/>
      <c r="T104" s="374"/>
    </row>
    <row r="105" customFormat="1" ht="33" spans="1:20">
      <c r="A105" s="32" t="s">
        <v>1913</v>
      </c>
      <c r="B105" s="151" t="s">
        <v>3248</v>
      </c>
      <c r="C105" s="194" t="s">
        <v>209</v>
      </c>
      <c r="D105" s="41"/>
      <c r="E105" s="57"/>
      <c r="F105" s="106" t="s">
        <v>4093</v>
      </c>
      <c r="G105" s="58" t="s">
        <v>4165</v>
      </c>
      <c r="H105" s="221"/>
      <c r="I105" s="71"/>
      <c r="J105" s="66"/>
      <c r="K105" s="66"/>
      <c r="L105" s="221" t="s">
        <v>1125</v>
      </c>
      <c r="M105" s="81" t="s">
        <v>1218</v>
      </c>
      <c r="N105" s="87"/>
      <c r="O105" s="87"/>
      <c r="P105" s="499"/>
      <c r="Q105" s="53"/>
      <c r="R105" s="373"/>
      <c r="S105" s="195"/>
      <c r="T105" s="374"/>
    </row>
    <row r="106" customFormat="1" ht="33" spans="1:20">
      <c r="A106" s="32" t="s">
        <v>1913</v>
      </c>
      <c r="B106" s="151" t="s">
        <v>3248</v>
      </c>
      <c r="C106" s="196"/>
      <c r="D106" s="41"/>
      <c r="E106" s="57"/>
      <c r="F106" s="106" t="s">
        <v>4093</v>
      </c>
      <c r="G106" s="58" t="s">
        <v>4166</v>
      </c>
      <c r="H106" s="221"/>
      <c r="I106" s="71"/>
      <c r="J106" s="66"/>
      <c r="K106" s="66"/>
      <c r="L106" s="221" t="s">
        <v>1125</v>
      </c>
      <c r="M106" s="81" t="s">
        <v>4167</v>
      </c>
      <c r="N106" s="87"/>
      <c r="O106" s="87"/>
      <c r="P106" s="492"/>
      <c r="Q106" s="53"/>
      <c r="R106" s="373"/>
      <c r="S106" s="195"/>
      <c r="T106" s="374"/>
    </row>
    <row r="107" customFormat="1" ht="33" spans="1:20">
      <c r="A107" s="32" t="s">
        <v>1913</v>
      </c>
      <c r="B107" s="151" t="s">
        <v>3248</v>
      </c>
      <c r="C107" s="196"/>
      <c r="D107" s="41"/>
      <c r="E107" s="57"/>
      <c r="F107" s="106" t="s">
        <v>4093</v>
      </c>
      <c r="G107" s="58" t="s">
        <v>4168</v>
      </c>
      <c r="H107" s="221"/>
      <c r="I107" s="71"/>
      <c r="J107" s="66"/>
      <c r="K107" s="66"/>
      <c r="L107" s="221" t="s">
        <v>1125</v>
      </c>
      <c r="M107" s="81" t="s">
        <v>4167</v>
      </c>
      <c r="N107" s="87"/>
      <c r="O107" s="87"/>
      <c r="P107" s="492"/>
      <c r="Q107" s="53"/>
      <c r="R107" s="373"/>
      <c r="S107" s="195"/>
      <c r="T107" s="374"/>
    </row>
    <row r="108" customFormat="1" ht="33" spans="1:20">
      <c r="A108" s="32" t="s">
        <v>1913</v>
      </c>
      <c r="B108" s="151" t="s">
        <v>3248</v>
      </c>
      <c r="C108" s="196"/>
      <c r="D108" s="41"/>
      <c r="E108" s="57"/>
      <c r="F108" s="106" t="s">
        <v>4093</v>
      </c>
      <c r="G108" s="58" t="s">
        <v>4169</v>
      </c>
      <c r="H108" s="221"/>
      <c r="I108" s="71"/>
      <c r="J108" s="66"/>
      <c r="K108" s="66"/>
      <c r="L108" s="221" t="s">
        <v>1125</v>
      </c>
      <c r="M108" s="81">
        <v>45729</v>
      </c>
      <c r="N108" s="87"/>
      <c r="O108" s="87"/>
      <c r="P108" s="499"/>
      <c r="Q108" s="53"/>
      <c r="R108" s="373"/>
      <c r="S108" s="195"/>
      <c r="T108" s="374"/>
    </row>
    <row r="109" customFormat="1" ht="33" spans="1:20">
      <c r="A109" s="32" t="s">
        <v>1913</v>
      </c>
      <c r="B109" s="151" t="s">
        <v>3248</v>
      </c>
      <c r="C109" s="196"/>
      <c r="D109" s="41"/>
      <c r="E109" s="57"/>
      <c r="F109" s="106" t="s">
        <v>4093</v>
      </c>
      <c r="G109" s="58" t="s">
        <v>4158</v>
      </c>
      <c r="H109" s="221"/>
      <c r="I109" s="64"/>
      <c r="J109" s="66"/>
      <c r="K109" s="66"/>
      <c r="L109" s="221" t="s">
        <v>1125</v>
      </c>
      <c r="M109" s="81" t="s">
        <v>4170</v>
      </c>
      <c r="N109" s="87"/>
      <c r="O109" s="87"/>
      <c r="P109" s="492"/>
      <c r="Q109" s="53"/>
      <c r="R109" s="373"/>
      <c r="S109" s="195"/>
      <c r="T109" s="374"/>
    </row>
    <row r="110" customFormat="1" ht="33" spans="1:20">
      <c r="A110" s="32" t="s">
        <v>1913</v>
      </c>
      <c r="B110" s="151" t="s">
        <v>3248</v>
      </c>
      <c r="C110" s="196"/>
      <c r="D110" s="41"/>
      <c r="E110" s="57"/>
      <c r="F110" s="106" t="s">
        <v>4093</v>
      </c>
      <c r="G110" s="58" t="s">
        <v>4171</v>
      </c>
      <c r="H110" s="221"/>
      <c r="I110" s="71"/>
      <c r="J110" s="66"/>
      <c r="K110" s="66"/>
      <c r="L110" s="130">
        <v>7.1879</v>
      </c>
      <c r="M110" s="81">
        <v>45347</v>
      </c>
      <c r="N110" s="87" t="s">
        <v>1966</v>
      </c>
      <c r="O110" s="87" t="s">
        <v>621</v>
      </c>
      <c r="P110" s="499"/>
      <c r="Q110" s="53"/>
      <c r="R110" s="373"/>
      <c r="S110" s="195"/>
      <c r="T110" s="374"/>
    </row>
    <row r="111" customFormat="1" ht="33" spans="1:20">
      <c r="A111" s="32" t="s">
        <v>1913</v>
      </c>
      <c r="B111" s="151" t="s">
        <v>3248</v>
      </c>
      <c r="C111" s="223"/>
      <c r="D111" s="35"/>
      <c r="E111" s="57"/>
      <c r="F111" s="106" t="s">
        <v>4093</v>
      </c>
      <c r="G111" s="54" t="s">
        <v>4172</v>
      </c>
      <c r="H111" s="55"/>
      <c r="I111" s="64"/>
      <c r="J111" s="72"/>
      <c r="K111" s="72"/>
      <c r="L111" s="130">
        <v>7.1879</v>
      </c>
      <c r="M111" s="81">
        <v>45708</v>
      </c>
      <c r="N111" s="87" t="s">
        <v>1966</v>
      </c>
      <c r="O111" s="87" t="s">
        <v>621</v>
      </c>
      <c r="P111" s="499"/>
      <c r="Q111" s="499"/>
      <c r="R111" s="373"/>
      <c r="S111" s="195"/>
      <c r="T111" s="374"/>
    </row>
    <row r="112" ht="16.5" spans="1:20">
      <c r="A112" s="32" t="s">
        <v>1913</v>
      </c>
      <c r="B112" s="197" t="s">
        <v>1875</v>
      </c>
      <c r="C112" s="187" t="s">
        <v>1248</v>
      </c>
      <c r="D112" s="46"/>
      <c r="E112" s="57"/>
      <c r="F112" s="201"/>
      <c r="G112" s="57"/>
      <c r="H112" s="308"/>
      <c r="I112" s="125"/>
      <c r="J112" s="66"/>
      <c r="K112" s="72"/>
      <c r="L112" s="130">
        <v>7.1879</v>
      </c>
      <c r="M112" s="81" t="s">
        <v>1218</v>
      </c>
      <c r="N112" s="87" t="s">
        <v>621</v>
      </c>
      <c r="O112" s="87"/>
      <c r="P112" s="207"/>
      <c r="Q112" s="350"/>
      <c r="R112" s="41"/>
      <c r="S112" s="99"/>
      <c r="T112" s="380"/>
    </row>
    <row r="113" ht="16.5" spans="1:20">
      <c r="A113" s="32" t="s">
        <v>1913</v>
      </c>
      <c r="B113" s="197" t="s">
        <v>1875</v>
      </c>
      <c r="C113" s="40" t="s">
        <v>1922</v>
      </c>
      <c r="D113" s="46"/>
      <c r="E113" s="57"/>
      <c r="F113" s="106"/>
      <c r="G113" s="54"/>
      <c r="H113" s="55"/>
      <c r="I113" s="64"/>
      <c r="J113" s="68"/>
      <c r="K113" s="68"/>
      <c r="L113" s="130">
        <v>7.1879</v>
      </c>
      <c r="M113" s="81"/>
      <c r="N113" s="87"/>
      <c r="O113" s="87"/>
      <c r="P113" s="207"/>
      <c r="Q113" s="53"/>
      <c r="R113" s="373"/>
      <c r="S113" s="195"/>
      <c r="T113" s="374"/>
    </row>
    <row r="114" ht="16.5" spans="1:20">
      <c r="A114" s="32" t="s">
        <v>1913</v>
      </c>
      <c r="B114" s="197" t="s">
        <v>1875</v>
      </c>
      <c r="C114" s="112" t="s">
        <v>209</v>
      </c>
      <c r="D114" s="46"/>
      <c r="E114" s="57"/>
      <c r="F114" s="106" t="s">
        <v>4093</v>
      </c>
      <c r="G114" s="54" t="s">
        <v>1416</v>
      </c>
      <c r="H114" s="55"/>
      <c r="I114" s="64"/>
      <c r="J114" s="68"/>
      <c r="K114" s="68"/>
      <c r="L114" s="130">
        <v>7.1879</v>
      </c>
      <c r="M114" s="81" t="s">
        <v>4167</v>
      </c>
      <c r="N114" s="87" t="s">
        <v>621</v>
      </c>
      <c r="O114" s="87"/>
      <c r="P114" s="207"/>
      <c r="Q114" s="53"/>
      <c r="R114" s="373"/>
      <c r="S114" s="195"/>
      <c r="T114" s="374"/>
    </row>
    <row r="115" ht="16.5" spans="1:20">
      <c r="A115" s="32" t="s">
        <v>1913</v>
      </c>
      <c r="B115" s="197" t="s">
        <v>1875</v>
      </c>
      <c r="C115" s="42"/>
      <c r="D115" s="46"/>
      <c r="E115" s="57"/>
      <c r="F115" s="106" t="s">
        <v>4087</v>
      </c>
      <c r="G115" s="54" t="s">
        <v>4173</v>
      </c>
      <c r="H115" s="55"/>
      <c r="I115" s="64"/>
      <c r="J115" s="68"/>
      <c r="K115" s="68"/>
      <c r="L115" s="130">
        <v>7.1879</v>
      </c>
      <c r="M115" s="81" t="s">
        <v>1218</v>
      </c>
      <c r="N115" s="87" t="s">
        <v>621</v>
      </c>
      <c r="O115" s="87" t="s">
        <v>621</v>
      </c>
      <c r="P115" s="207"/>
      <c r="Q115" s="53"/>
      <c r="R115" s="373"/>
      <c r="S115" s="195"/>
      <c r="T115" s="374"/>
    </row>
    <row r="116" ht="16.5" spans="1:20">
      <c r="A116" s="32" t="s">
        <v>1913</v>
      </c>
      <c r="B116" s="197" t="s">
        <v>1875</v>
      </c>
      <c r="C116" s="42"/>
      <c r="D116" s="46"/>
      <c r="E116" s="57"/>
      <c r="F116" s="106" t="s">
        <v>4087</v>
      </c>
      <c r="G116" s="57" t="s">
        <v>4174</v>
      </c>
      <c r="H116" s="55"/>
      <c r="I116" s="64"/>
      <c r="J116" s="68"/>
      <c r="K116" s="68"/>
      <c r="L116" s="130">
        <v>7.1879</v>
      </c>
      <c r="M116" s="81" t="s">
        <v>1218</v>
      </c>
      <c r="N116" s="87" t="s">
        <v>621</v>
      </c>
      <c r="O116" s="87"/>
      <c r="P116" s="207"/>
      <c r="Q116" s="53"/>
      <c r="R116" s="373"/>
      <c r="S116" s="195"/>
      <c r="T116" s="374"/>
    </row>
    <row r="117" ht="16.5" spans="1:20">
      <c r="A117" s="32" t="s">
        <v>1913</v>
      </c>
      <c r="B117" s="197" t="s">
        <v>1875</v>
      </c>
      <c r="C117" s="42"/>
      <c r="D117" s="46"/>
      <c r="E117" s="57"/>
      <c r="F117" s="106" t="s">
        <v>4113</v>
      </c>
      <c r="G117" s="57" t="s">
        <v>4175</v>
      </c>
      <c r="H117" s="55"/>
      <c r="I117" s="64"/>
      <c r="J117" s="66"/>
      <c r="K117" s="66"/>
      <c r="L117" s="130">
        <v>7.1879</v>
      </c>
      <c r="M117" s="87" t="s">
        <v>1218</v>
      </c>
      <c r="N117" s="87" t="s">
        <v>621</v>
      </c>
      <c r="O117" s="87"/>
      <c r="P117" s="207"/>
      <c r="Q117" s="53"/>
      <c r="R117" s="373"/>
      <c r="S117" s="195"/>
      <c r="T117" s="374"/>
    </row>
    <row r="118" ht="16.5" spans="1:27">
      <c r="A118" s="32" t="s">
        <v>1913</v>
      </c>
      <c r="B118" s="197" t="s">
        <v>1875</v>
      </c>
      <c r="C118" s="42"/>
      <c r="D118" s="46"/>
      <c r="E118" s="57"/>
      <c r="F118" s="106" t="s">
        <v>4095</v>
      </c>
      <c r="G118" s="57" t="s">
        <v>4176</v>
      </c>
      <c r="H118" s="55"/>
      <c r="I118" s="64"/>
      <c r="J118" s="72"/>
      <c r="K118" s="68"/>
      <c r="L118" s="130">
        <v>7.1879</v>
      </c>
      <c r="M118" s="87" t="s">
        <v>1218</v>
      </c>
      <c r="N118" s="87" t="s">
        <v>621</v>
      </c>
      <c r="O118" s="87" t="s">
        <v>621</v>
      </c>
      <c r="P118" s="207"/>
      <c r="Q118" s="369"/>
      <c r="R118" s="370"/>
      <c r="S118" s="461"/>
      <c r="T118" s="458"/>
      <c r="U118" s="417"/>
      <c r="V118" s="417"/>
      <c r="W118" s="417"/>
      <c r="X118" s="417"/>
      <c r="Y118" s="417"/>
      <c r="Z118" s="417"/>
      <c r="AA118" s="417"/>
    </row>
    <row r="119" ht="16.5" spans="1:20">
      <c r="A119" s="32" t="s">
        <v>1913</v>
      </c>
      <c r="B119" s="197" t="s">
        <v>1875</v>
      </c>
      <c r="C119" s="42"/>
      <c r="D119" s="46"/>
      <c r="E119" s="57"/>
      <c r="F119" s="106" t="s">
        <v>4095</v>
      </c>
      <c r="G119" s="54" t="s">
        <v>4177</v>
      </c>
      <c r="H119" s="55"/>
      <c r="I119" s="64"/>
      <c r="J119" s="68"/>
      <c r="K119" s="68"/>
      <c r="L119" s="130">
        <v>7.1879</v>
      </c>
      <c r="M119" s="81" t="s">
        <v>1218</v>
      </c>
      <c r="N119" s="87" t="s">
        <v>621</v>
      </c>
      <c r="O119" s="87"/>
      <c r="P119" s="207"/>
      <c r="Q119" s="53"/>
      <c r="R119" s="373"/>
      <c r="S119" s="195"/>
      <c r="T119" s="374"/>
    </row>
    <row r="120" ht="16.5" spans="1:20">
      <c r="A120" s="32" t="s">
        <v>1913</v>
      </c>
      <c r="B120" s="197" t="s">
        <v>1875</v>
      </c>
      <c r="C120" s="192" t="s">
        <v>4161</v>
      </c>
      <c r="D120" s="46"/>
      <c r="E120" s="57"/>
      <c r="F120" s="106" t="s">
        <v>4090</v>
      </c>
      <c r="G120" s="57" t="s">
        <v>4178</v>
      </c>
      <c r="H120" s="55"/>
      <c r="I120" s="64"/>
      <c r="J120" s="66"/>
      <c r="K120" s="66"/>
      <c r="L120" s="130">
        <v>7.1879</v>
      </c>
      <c r="M120" s="81" t="s">
        <v>4167</v>
      </c>
      <c r="N120" s="87" t="s">
        <v>621</v>
      </c>
      <c r="O120" s="87"/>
      <c r="P120" s="207"/>
      <c r="Q120" s="53"/>
      <c r="R120" s="373"/>
      <c r="S120" s="195"/>
      <c r="T120" s="374"/>
    </row>
    <row r="121" ht="16.5" spans="1:20">
      <c r="A121" s="32" t="s">
        <v>1913</v>
      </c>
      <c r="B121" s="197" t="s">
        <v>1875</v>
      </c>
      <c r="C121" s="37"/>
      <c r="D121" s="46"/>
      <c r="E121" s="57"/>
      <c r="F121" s="106" t="s">
        <v>4090</v>
      </c>
      <c r="G121" s="54" t="s">
        <v>4179</v>
      </c>
      <c r="H121" s="55"/>
      <c r="I121" s="64"/>
      <c r="J121" s="68"/>
      <c r="K121" s="68"/>
      <c r="L121" s="130">
        <v>7.1879</v>
      </c>
      <c r="M121" s="81" t="s">
        <v>4167</v>
      </c>
      <c r="N121" s="87" t="s">
        <v>621</v>
      </c>
      <c r="O121" s="87"/>
      <c r="P121" s="207"/>
      <c r="Q121" s="350"/>
      <c r="R121" s="41"/>
      <c r="S121" s="99"/>
      <c r="T121" s="380"/>
    </row>
    <row r="122" ht="16.5" spans="1:20">
      <c r="A122" s="32" t="s">
        <v>1913</v>
      </c>
      <c r="B122" s="197" t="s">
        <v>1875</v>
      </c>
      <c r="C122" s="192" t="s">
        <v>4163</v>
      </c>
      <c r="D122" s="46"/>
      <c r="E122" s="57"/>
      <c r="F122" s="106" t="s">
        <v>4090</v>
      </c>
      <c r="G122" s="54"/>
      <c r="H122" s="55"/>
      <c r="I122" s="64"/>
      <c r="J122" s="68"/>
      <c r="K122" s="68"/>
      <c r="L122" s="130">
        <v>7.1879</v>
      </c>
      <c r="M122" s="81" t="s">
        <v>1218</v>
      </c>
      <c r="N122" s="87" t="s">
        <v>621</v>
      </c>
      <c r="O122" s="87"/>
      <c r="P122" s="207"/>
      <c r="Q122" s="350"/>
      <c r="R122" s="41"/>
      <c r="S122" s="99"/>
      <c r="T122" s="380"/>
    </row>
    <row r="123" ht="16.5" spans="1:20">
      <c r="A123" s="32" t="s">
        <v>1913</v>
      </c>
      <c r="B123" s="197" t="s">
        <v>1875</v>
      </c>
      <c r="C123" s="193"/>
      <c r="D123" s="46"/>
      <c r="E123" s="57"/>
      <c r="F123" s="106" t="s">
        <v>4090</v>
      </c>
      <c r="G123" s="54" t="s">
        <v>4180</v>
      </c>
      <c r="H123" s="55"/>
      <c r="I123" s="64"/>
      <c r="J123" s="68"/>
      <c r="K123" s="68"/>
      <c r="L123" s="130">
        <v>7.1879</v>
      </c>
      <c r="M123" s="81" t="s">
        <v>1218</v>
      </c>
      <c r="N123" s="87" t="s">
        <v>621</v>
      </c>
      <c r="O123" s="87"/>
      <c r="P123" s="207"/>
      <c r="Q123" s="350"/>
      <c r="R123" s="41"/>
      <c r="S123" s="99"/>
      <c r="T123" s="380"/>
    </row>
    <row r="124" ht="16.5" spans="1:20">
      <c r="A124" s="32" t="s">
        <v>1913</v>
      </c>
      <c r="B124" s="197" t="s">
        <v>1875</v>
      </c>
      <c r="C124" s="37"/>
      <c r="D124" s="46"/>
      <c r="E124" s="57"/>
      <c r="F124" s="106" t="s">
        <v>4090</v>
      </c>
      <c r="G124" s="54" t="s">
        <v>4181</v>
      </c>
      <c r="H124" s="55"/>
      <c r="I124" s="64"/>
      <c r="J124" s="68"/>
      <c r="K124" s="68"/>
      <c r="L124" s="130">
        <v>7.1879</v>
      </c>
      <c r="M124" s="81" t="s">
        <v>1218</v>
      </c>
      <c r="N124" s="87" t="s">
        <v>621</v>
      </c>
      <c r="O124" s="87"/>
      <c r="P124" s="207"/>
      <c r="Q124" s="350"/>
      <c r="R124" s="41"/>
      <c r="S124" s="99"/>
      <c r="T124" s="380"/>
    </row>
    <row r="125" ht="16.5" spans="1:25">
      <c r="A125" s="115" t="s">
        <v>1984</v>
      </c>
      <c r="B125" s="228" t="s">
        <v>1824</v>
      </c>
      <c r="C125" s="112" t="s">
        <v>1120</v>
      </c>
      <c r="D125" s="43">
        <v>189</v>
      </c>
      <c r="E125" s="53"/>
      <c r="F125" s="106" t="s">
        <v>4087</v>
      </c>
      <c r="G125" s="53" t="s">
        <v>4182</v>
      </c>
      <c r="H125" s="55"/>
      <c r="I125" s="64"/>
      <c r="J125" s="72"/>
      <c r="K125" s="64"/>
      <c r="L125" s="130">
        <v>7.1879</v>
      </c>
      <c r="M125" s="364"/>
      <c r="N125" s="364"/>
      <c r="O125" s="81"/>
      <c r="P125" s="82"/>
      <c r="Q125" s="82"/>
      <c r="R125" s="82"/>
      <c r="S125" s="82"/>
      <c r="T125" s="126"/>
      <c r="U125" s="417"/>
      <c r="V125" s="417"/>
      <c r="W125" s="417"/>
      <c r="X125" s="417"/>
      <c r="Y125" s="417"/>
    </row>
    <row r="126" ht="16.5" spans="1:25">
      <c r="A126" s="115" t="s">
        <v>1984</v>
      </c>
      <c r="B126" s="228" t="s">
        <v>1824</v>
      </c>
      <c r="C126" s="112" t="s">
        <v>1120</v>
      </c>
      <c r="D126" s="43"/>
      <c r="E126" s="53"/>
      <c r="F126" s="201" t="s">
        <v>4087</v>
      </c>
      <c r="G126" s="53" t="s">
        <v>4183</v>
      </c>
      <c r="H126" s="308"/>
      <c r="I126" s="64"/>
      <c r="J126" s="72"/>
      <c r="K126" s="64"/>
      <c r="L126" s="130">
        <v>7.1879</v>
      </c>
      <c r="M126" s="364"/>
      <c r="N126" s="364"/>
      <c r="O126" s="81"/>
      <c r="P126" s="264"/>
      <c r="Q126" s="82"/>
      <c r="R126" s="82"/>
      <c r="S126" s="82"/>
      <c r="T126" s="126"/>
      <c r="U126" s="417"/>
      <c r="V126" s="417"/>
      <c r="W126" s="417"/>
      <c r="X126" s="417"/>
      <c r="Y126" s="417"/>
    </row>
    <row r="127" ht="16.5" spans="1:25">
      <c r="A127" s="115" t="s">
        <v>1984</v>
      </c>
      <c r="B127" s="228" t="s">
        <v>1824</v>
      </c>
      <c r="C127" s="112" t="s">
        <v>1120</v>
      </c>
      <c r="D127" s="43"/>
      <c r="E127" s="53"/>
      <c r="F127" s="106" t="s">
        <v>4087</v>
      </c>
      <c r="G127" s="53" t="s">
        <v>4184</v>
      </c>
      <c r="H127" s="55"/>
      <c r="I127" s="64"/>
      <c r="J127" s="72"/>
      <c r="K127" s="64"/>
      <c r="L127" s="130">
        <v>7.1879</v>
      </c>
      <c r="M127" s="364"/>
      <c r="N127" s="364"/>
      <c r="O127" s="81"/>
      <c r="P127" s="264"/>
      <c r="Q127" s="82"/>
      <c r="R127" s="82"/>
      <c r="S127" s="82"/>
      <c r="T127" s="126"/>
      <c r="U127" s="417"/>
      <c r="V127" s="417"/>
      <c r="W127" s="417"/>
      <c r="X127" s="417"/>
      <c r="Y127" s="417"/>
    </row>
    <row r="128" ht="16.5" spans="1:25">
      <c r="A128" s="115" t="s">
        <v>1984</v>
      </c>
      <c r="B128" s="228" t="s">
        <v>1824</v>
      </c>
      <c r="C128" s="112" t="s">
        <v>1120</v>
      </c>
      <c r="D128" s="35"/>
      <c r="E128" s="53"/>
      <c r="F128" s="201" t="s">
        <v>4087</v>
      </c>
      <c r="G128" s="53" t="s">
        <v>4185</v>
      </c>
      <c r="H128" s="308"/>
      <c r="I128" s="64"/>
      <c r="J128" s="72"/>
      <c r="K128" s="64"/>
      <c r="L128" s="130">
        <v>7.1879</v>
      </c>
      <c r="M128" s="364"/>
      <c r="N128" s="364"/>
      <c r="O128" s="81"/>
      <c r="P128" s="82"/>
      <c r="Q128" s="82"/>
      <c r="R128" s="82"/>
      <c r="S128" s="82"/>
      <c r="T128" s="126"/>
      <c r="U128" s="417"/>
      <c r="V128" s="417"/>
      <c r="W128" s="417"/>
      <c r="X128" s="417"/>
      <c r="Y128" s="417"/>
    </row>
    <row r="129" ht="18.75" customHeight="1" spans="1:20">
      <c r="A129" s="115" t="s">
        <v>1984</v>
      </c>
      <c r="B129" s="228" t="s">
        <v>1824</v>
      </c>
      <c r="C129" s="40" t="s">
        <v>1120</v>
      </c>
      <c r="D129" s="43" t="s">
        <v>1125</v>
      </c>
      <c r="E129" s="53"/>
      <c r="F129" s="201" t="s">
        <v>4087</v>
      </c>
      <c r="G129" s="53" t="s">
        <v>4186</v>
      </c>
      <c r="H129" s="308"/>
      <c r="I129" s="64"/>
      <c r="J129" s="66"/>
      <c r="K129" s="71"/>
      <c r="L129" s="130">
        <v>7.1879</v>
      </c>
      <c r="M129" s="423" t="s">
        <v>4187</v>
      </c>
      <c r="N129" s="87">
        <v>45681</v>
      </c>
      <c r="O129" s="87">
        <v>45700</v>
      </c>
      <c r="P129" s="493"/>
      <c r="Q129" s="80"/>
      <c r="R129" s="278"/>
      <c r="S129" s="383"/>
      <c r="T129" s="383"/>
    </row>
    <row r="130" customFormat="1" ht="16.5" spans="1:25">
      <c r="A130" s="115" t="s">
        <v>1984</v>
      </c>
      <c r="B130" s="228" t="s">
        <v>1824</v>
      </c>
      <c r="C130" s="40" t="s">
        <v>1120</v>
      </c>
      <c r="D130" s="39"/>
      <c r="E130" s="53"/>
      <c r="F130" s="106"/>
      <c r="G130" s="53"/>
      <c r="H130" s="55"/>
      <c r="I130" s="64"/>
      <c r="J130" s="72"/>
      <c r="K130" s="64"/>
      <c r="L130" s="130">
        <v>7.1879</v>
      </c>
      <c r="M130" s="364"/>
      <c r="N130" s="530"/>
      <c r="O130" s="81"/>
      <c r="P130" s="264"/>
      <c r="Q130" s="264"/>
      <c r="R130" s="264"/>
      <c r="S130" s="293"/>
      <c r="T130" s="126"/>
      <c r="U130" s="417"/>
      <c r="V130" s="417"/>
      <c r="W130" s="417"/>
      <c r="X130" s="417"/>
      <c r="Y130" s="417"/>
    </row>
    <row r="131" ht="17.6" customHeight="1" spans="1:25">
      <c r="A131" s="115" t="s">
        <v>1984</v>
      </c>
      <c r="B131" s="228" t="s">
        <v>1824</v>
      </c>
      <c r="C131" s="38" t="s">
        <v>509</v>
      </c>
      <c r="D131" s="38">
        <v>58</v>
      </c>
      <c r="E131" s="259"/>
      <c r="F131" s="259"/>
      <c r="G131" s="259"/>
      <c r="H131" s="259"/>
      <c r="I131" s="259"/>
      <c r="J131" s="259"/>
      <c r="K131" s="259"/>
      <c r="L131" s="259"/>
      <c r="M131" s="259"/>
      <c r="N131" s="259"/>
      <c r="O131" s="259"/>
      <c r="P131" s="259"/>
      <c r="Q131" s="388"/>
      <c r="R131" s="39"/>
      <c r="S131" s="280"/>
      <c r="T131" s="285"/>
      <c r="U131" s="417"/>
      <c r="V131" s="417"/>
      <c r="W131" s="417"/>
      <c r="X131" s="417"/>
      <c r="Y131" s="417"/>
    </row>
    <row r="132" ht="17.6" customHeight="1" spans="1:25">
      <c r="A132" s="115" t="s">
        <v>1984</v>
      </c>
      <c r="B132" s="228" t="s">
        <v>1824</v>
      </c>
      <c r="C132" s="38" t="s">
        <v>509</v>
      </c>
      <c r="D132" s="38"/>
      <c r="E132" s="69"/>
      <c r="F132" s="156"/>
      <c r="G132" s="69"/>
      <c r="H132" s="69"/>
      <c r="I132" s="69"/>
      <c r="J132" s="69"/>
      <c r="K132" s="69"/>
      <c r="L132" s="69"/>
      <c r="M132" s="69"/>
      <c r="N132" s="165"/>
      <c r="O132" s="69"/>
      <c r="P132" s="502"/>
      <c r="Q132" s="388"/>
      <c r="R132" s="39"/>
      <c r="S132" s="280"/>
      <c r="T132" s="285"/>
      <c r="U132" s="417"/>
      <c r="V132" s="417"/>
      <c r="W132" s="417"/>
      <c r="X132" s="417"/>
      <c r="Y132" s="417"/>
    </row>
    <row r="133" ht="16.05" customHeight="1" spans="1:25">
      <c r="A133" s="115" t="s">
        <v>1984</v>
      </c>
      <c r="B133" s="228" t="s">
        <v>1824</v>
      </c>
      <c r="C133" s="34" t="s">
        <v>1393</v>
      </c>
      <c r="D133" s="35">
        <v>63</v>
      </c>
      <c r="E133" s="53"/>
      <c r="F133" s="284" t="s">
        <v>4188</v>
      </c>
      <c r="G133" s="106" t="s">
        <v>4189</v>
      </c>
      <c r="H133" s="55"/>
      <c r="I133" s="72"/>
      <c r="J133" s="72"/>
      <c r="K133" s="64"/>
      <c r="L133" s="130">
        <v>7.1879</v>
      </c>
      <c r="M133" s="81" t="s">
        <v>1644</v>
      </c>
      <c r="N133" s="81">
        <v>45674</v>
      </c>
      <c r="O133" s="81">
        <v>45677</v>
      </c>
      <c r="P133" s="521"/>
      <c r="Q133" s="534"/>
      <c r="R133" s="207"/>
      <c r="S133" s="399"/>
      <c r="T133" s="72"/>
      <c r="U133" s="417"/>
      <c r="V133" s="417"/>
      <c r="W133" s="417"/>
      <c r="X133" s="417"/>
      <c r="Y133" s="417"/>
    </row>
    <row r="134" ht="16.05" customHeight="1" spans="1:25">
      <c r="A134" s="115" t="s">
        <v>1984</v>
      </c>
      <c r="B134" s="228" t="s">
        <v>1824</v>
      </c>
      <c r="C134" s="34" t="s">
        <v>1393</v>
      </c>
      <c r="D134" s="35"/>
      <c r="E134" s="53"/>
      <c r="F134" s="247" t="s">
        <v>4090</v>
      </c>
      <c r="G134" s="106" t="s">
        <v>4190</v>
      </c>
      <c r="H134" s="239"/>
      <c r="I134" s="72"/>
      <c r="J134" s="72"/>
      <c r="K134" s="526"/>
      <c r="L134" s="130">
        <v>7.1879</v>
      </c>
      <c r="M134" s="531" t="s">
        <v>4191</v>
      </c>
      <c r="N134" s="81">
        <v>45677</v>
      </c>
      <c r="O134" s="87">
        <v>45684</v>
      </c>
      <c r="P134" s="499"/>
      <c r="Q134" s="534"/>
      <c r="R134" s="207"/>
      <c r="S134" s="399"/>
      <c r="T134" s="72"/>
      <c r="U134" s="417"/>
      <c r="V134" s="417"/>
      <c r="W134" s="417"/>
      <c r="X134" s="417"/>
      <c r="Y134" s="417"/>
    </row>
    <row r="135" customFormat="1" ht="16.05" customHeight="1" spans="1:25">
      <c r="A135" s="115" t="s">
        <v>1984</v>
      </c>
      <c r="B135" s="228" t="s">
        <v>1824</v>
      </c>
      <c r="C135" s="34" t="s">
        <v>1393</v>
      </c>
      <c r="D135" s="35"/>
      <c r="E135" s="53"/>
      <c r="F135" s="247" t="s">
        <v>4192</v>
      </c>
      <c r="G135" s="106" t="s">
        <v>4193</v>
      </c>
      <c r="H135" s="239"/>
      <c r="I135" s="72"/>
      <c r="J135" s="72"/>
      <c r="K135" s="526"/>
      <c r="L135" s="130">
        <v>7.1879</v>
      </c>
      <c r="M135" s="81" t="s">
        <v>1251</v>
      </c>
      <c r="N135" s="81">
        <v>45676</v>
      </c>
      <c r="O135" s="83">
        <v>45684</v>
      </c>
      <c r="P135" s="499"/>
      <c r="Q135" s="534"/>
      <c r="R135" s="207"/>
      <c r="S135" s="399"/>
      <c r="T135" s="72"/>
      <c r="U135" s="417"/>
      <c r="V135" s="417"/>
      <c r="W135" s="417"/>
      <c r="X135" s="417"/>
      <c r="Y135" s="417"/>
    </row>
    <row r="136" customFormat="1" ht="16.05" customHeight="1" spans="1:25">
      <c r="A136" s="115" t="s">
        <v>1984</v>
      </c>
      <c r="B136" s="228" t="s">
        <v>1824</v>
      </c>
      <c r="C136" s="34" t="s">
        <v>1393</v>
      </c>
      <c r="D136" s="35"/>
      <c r="E136" s="53"/>
      <c r="F136" s="54" t="s">
        <v>4192</v>
      </c>
      <c r="G136" s="106" t="s">
        <v>4194</v>
      </c>
      <c r="H136" s="55"/>
      <c r="I136" s="72"/>
      <c r="J136" s="72"/>
      <c r="K136" s="64"/>
      <c r="L136" s="130">
        <v>7.1879</v>
      </c>
      <c r="M136" s="81" t="s">
        <v>1251</v>
      </c>
      <c r="N136" s="81"/>
      <c r="O136" s="83">
        <v>45684</v>
      </c>
      <c r="P136" s="499"/>
      <c r="Q136" s="499"/>
      <c r="R136" s="278"/>
      <c r="S136" s="390"/>
      <c r="T136" s="383"/>
      <c r="U136" s="417"/>
      <c r="V136" s="417"/>
      <c r="W136" s="417"/>
      <c r="X136" s="417"/>
      <c r="Y136" s="417"/>
    </row>
    <row r="137" ht="16.05" customHeight="1" spans="1:25">
      <c r="A137" s="115" t="s">
        <v>1984</v>
      </c>
      <c r="B137" s="228" t="s">
        <v>1824</v>
      </c>
      <c r="C137" s="34" t="s">
        <v>1393</v>
      </c>
      <c r="D137" s="35"/>
      <c r="E137" s="53"/>
      <c r="F137" s="54" t="s">
        <v>4192</v>
      </c>
      <c r="G137" s="106" t="s">
        <v>4195</v>
      </c>
      <c r="H137" s="55"/>
      <c r="I137" s="72"/>
      <c r="J137" s="72"/>
      <c r="K137" s="64"/>
      <c r="L137" s="130">
        <v>7.1879</v>
      </c>
      <c r="M137" s="379" t="s">
        <v>1218</v>
      </c>
      <c r="N137" s="81">
        <v>45661</v>
      </c>
      <c r="O137" s="83">
        <v>45682</v>
      </c>
      <c r="P137" s="499"/>
      <c r="Q137" s="499"/>
      <c r="R137" s="278"/>
      <c r="S137" s="399"/>
      <c r="T137" s="72"/>
      <c r="U137" s="417"/>
      <c r="V137" s="417"/>
      <c r="W137" s="417"/>
      <c r="X137" s="417"/>
      <c r="Y137" s="417"/>
    </row>
    <row r="138" customFormat="1" ht="16.5" spans="1:20">
      <c r="A138" s="115" t="s">
        <v>1984</v>
      </c>
      <c r="B138" s="228" t="s">
        <v>1824</v>
      </c>
      <c r="C138" s="42" t="s">
        <v>4196</v>
      </c>
      <c r="D138" s="46">
        <v>100</v>
      </c>
      <c r="E138" s="524"/>
      <c r="F138" s="236" t="s">
        <v>4192</v>
      </c>
      <c r="G138" s="280" t="s">
        <v>2607</v>
      </c>
      <c r="H138" s="55"/>
      <c r="I138" s="72"/>
      <c r="J138" s="72"/>
      <c r="K138" s="261"/>
      <c r="L138" s="130">
        <v>7.1879</v>
      </c>
      <c r="M138" s="379" t="s">
        <v>1218</v>
      </c>
      <c r="N138" s="444">
        <v>45678</v>
      </c>
      <c r="O138" s="444">
        <v>45682</v>
      </c>
      <c r="P138" s="181"/>
      <c r="Q138" s="402"/>
      <c r="R138" s="403"/>
      <c r="S138" s="405"/>
      <c r="T138" s="406"/>
    </row>
    <row r="139" customFormat="1" ht="16.5" spans="1:20">
      <c r="A139" s="115" t="s">
        <v>1984</v>
      </c>
      <c r="B139" s="228" t="s">
        <v>1824</v>
      </c>
      <c r="C139" s="42" t="s">
        <v>4196</v>
      </c>
      <c r="D139" s="46"/>
      <c r="E139" s="249"/>
      <c r="F139" s="236" t="s">
        <v>4095</v>
      </c>
      <c r="G139" s="280" t="s">
        <v>4197</v>
      </c>
      <c r="H139" s="55"/>
      <c r="I139" s="72"/>
      <c r="J139" s="72"/>
      <c r="K139" s="69"/>
      <c r="L139" s="130">
        <v>7.1879</v>
      </c>
      <c r="M139" s="81">
        <v>45741</v>
      </c>
      <c r="N139" s="444">
        <v>45680</v>
      </c>
      <c r="O139" s="444">
        <v>45686</v>
      </c>
      <c r="P139" s="181"/>
      <c r="Q139" s="535"/>
      <c r="R139" s="41"/>
      <c r="S139" s="40"/>
      <c r="T139" s="66"/>
    </row>
    <row r="140" customFormat="1" ht="16.5" spans="1:20">
      <c r="A140" s="115" t="s">
        <v>1984</v>
      </c>
      <c r="B140" s="228" t="s">
        <v>1824</v>
      </c>
      <c r="C140" s="42" t="s">
        <v>4196</v>
      </c>
      <c r="D140" s="46"/>
      <c r="E140" s="249"/>
      <c r="F140" s="236" t="s">
        <v>4090</v>
      </c>
      <c r="G140" s="280" t="s">
        <v>3848</v>
      </c>
      <c r="H140" s="55"/>
      <c r="I140" s="72"/>
      <c r="J140" s="72"/>
      <c r="K140" s="261"/>
      <c r="L140" s="130">
        <v>7.1879</v>
      </c>
      <c r="M140" s="406"/>
      <c r="N140" s="444">
        <v>45679</v>
      </c>
      <c r="O140" s="444">
        <v>45682</v>
      </c>
      <c r="P140" s="181"/>
      <c r="Q140" s="535"/>
      <c r="R140" s="41"/>
      <c r="S140" s="40"/>
      <c r="T140" s="66"/>
    </row>
    <row r="141" customFormat="1" ht="16.5" spans="1:20">
      <c r="A141" s="115" t="s">
        <v>1984</v>
      </c>
      <c r="B141" s="228" t="s">
        <v>1824</v>
      </c>
      <c r="C141" s="42" t="s">
        <v>4196</v>
      </c>
      <c r="D141" s="46"/>
      <c r="E141" s="249"/>
      <c r="F141" s="236" t="s">
        <v>4090</v>
      </c>
      <c r="G141" s="280" t="s">
        <v>4198</v>
      </c>
      <c r="H141" s="55"/>
      <c r="I141" s="72"/>
      <c r="J141" s="72"/>
      <c r="K141" s="527"/>
      <c r="L141" s="130">
        <v>7.1879</v>
      </c>
      <c r="M141" s="271"/>
      <c r="N141" s="444">
        <v>45681</v>
      </c>
      <c r="O141" s="444">
        <v>45686.29</v>
      </c>
      <c r="P141" s="181"/>
      <c r="Q141" s="535"/>
      <c r="R141" s="41"/>
      <c r="S141" s="40"/>
      <c r="T141" s="66"/>
    </row>
    <row r="142" ht="33" spans="1:22">
      <c r="A142" s="115" t="s">
        <v>1984</v>
      </c>
      <c r="B142" s="230" t="s">
        <v>3248</v>
      </c>
      <c r="C142" s="53" t="s">
        <v>1120</v>
      </c>
      <c r="D142" s="231" t="s">
        <v>1125</v>
      </c>
      <c r="E142" s="53"/>
      <c r="F142" s="54"/>
      <c r="G142" s="53"/>
      <c r="H142" s="55"/>
      <c r="I142" s="72"/>
      <c r="J142" s="64"/>
      <c r="K142" s="253"/>
      <c r="L142" s="130">
        <v>7.1879</v>
      </c>
      <c r="M142" s="81"/>
      <c r="N142" s="81"/>
      <c r="O142" s="81"/>
      <c r="P142" s="82"/>
      <c r="Q142" s="82"/>
      <c r="R142" s="82"/>
      <c r="S142" s="82"/>
      <c r="T142" s="72"/>
      <c r="U142" s="417"/>
      <c r="V142" s="417"/>
    </row>
    <row r="143" customFormat="1" ht="33" spans="1:22">
      <c r="A143" s="115" t="s">
        <v>1984</v>
      </c>
      <c r="B143" s="230" t="s">
        <v>3248</v>
      </c>
      <c r="C143" s="117" t="s">
        <v>509</v>
      </c>
      <c r="D143" s="232"/>
      <c r="E143" s="53"/>
      <c r="F143" s="236" t="s">
        <v>4090</v>
      </c>
      <c r="G143" s="106" t="s">
        <v>4199</v>
      </c>
      <c r="H143" s="56"/>
      <c r="I143" s="252"/>
      <c r="J143" s="64"/>
      <c r="K143" s="252"/>
      <c r="L143" s="130">
        <v>7.1879</v>
      </c>
      <c r="M143" s="364">
        <v>45738</v>
      </c>
      <c r="N143" s="81"/>
      <c r="O143" s="81"/>
      <c r="P143" s="382"/>
      <c r="Q143" s="389"/>
      <c r="R143" s="207"/>
      <c r="S143" s="399"/>
      <c r="T143" s="72"/>
      <c r="U143" s="417"/>
      <c r="V143" s="417"/>
    </row>
    <row r="144" customFormat="1" ht="33" spans="1:22">
      <c r="A144" s="115" t="s">
        <v>1984</v>
      </c>
      <c r="B144" s="230" t="s">
        <v>3248</v>
      </c>
      <c r="C144" s="233"/>
      <c r="D144" s="232"/>
      <c r="E144" s="310"/>
      <c r="F144" s="236"/>
      <c r="G144" s="365"/>
      <c r="H144" s="56"/>
      <c r="I144" s="252"/>
      <c r="J144" s="465"/>
      <c r="K144" s="465"/>
      <c r="L144" s="130"/>
      <c r="M144" s="364"/>
      <c r="N144" s="81"/>
      <c r="O144" s="81"/>
      <c r="P144" s="382"/>
      <c r="Q144" s="389"/>
      <c r="R144" s="207"/>
      <c r="S144" s="399"/>
      <c r="T144" s="72"/>
      <c r="U144" s="417"/>
      <c r="V144" s="417"/>
    </row>
    <row r="145" customFormat="1" ht="33" spans="1:22">
      <c r="A145" s="115" t="s">
        <v>1984</v>
      </c>
      <c r="B145" s="230" t="s">
        <v>3248</v>
      </c>
      <c r="C145" s="233"/>
      <c r="D145" s="232"/>
      <c r="E145" s="310"/>
      <c r="F145" s="236"/>
      <c r="G145" s="365"/>
      <c r="H145" s="56"/>
      <c r="I145" s="252"/>
      <c r="J145" s="465"/>
      <c r="K145" s="465"/>
      <c r="L145" s="130"/>
      <c r="M145" s="364"/>
      <c r="N145" s="81"/>
      <c r="O145" s="81"/>
      <c r="P145" s="382"/>
      <c r="Q145" s="389"/>
      <c r="R145" s="207"/>
      <c r="S145" s="399"/>
      <c r="T145" s="72"/>
      <c r="U145" s="417"/>
      <c r="V145" s="417"/>
    </row>
    <row r="146" ht="35.95" customHeight="1" spans="1:22">
      <c r="A146" s="115" t="s">
        <v>1984</v>
      </c>
      <c r="B146" s="230" t="s">
        <v>3248</v>
      </c>
      <c r="C146" s="117" t="s">
        <v>4200</v>
      </c>
      <c r="D146" s="232"/>
      <c r="E146" s="249"/>
      <c r="F146" s="279" t="s">
        <v>4090</v>
      </c>
      <c r="G146" s="44" t="s">
        <v>1766</v>
      </c>
      <c r="H146" s="239"/>
      <c r="I146" s="71"/>
      <c r="J146" s="498"/>
      <c r="K146" s="498"/>
      <c r="L146" s="528">
        <v>7.1879</v>
      </c>
      <c r="M146" s="87">
        <v>45681</v>
      </c>
      <c r="N146" s="87"/>
      <c r="O146" s="87"/>
      <c r="P146" s="382"/>
      <c r="Q146" s="400"/>
      <c r="R146" s="35"/>
      <c r="S146" s="34"/>
      <c r="T146" s="72"/>
      <c r="U146" s="417"/>
      <c r="V146" s="417"/>
    </row>
    <row r="147" ht="33" spans="1:22">
      <c r="A147" s="115" t="s">
        <v>1984</v>
      </c>
      <c r="B147" s="230" t="s">
        <v>3248</v>
      </c>
      <c r="C147" s="233"/>
      <c r="D147" s="232"/>
      <c r="E147" s="109"/>
      <c r="F147" s="525" t="s">
        <v>4095</v>
      </c>
      <c r="G147" s="106" t="s">
        <v>4201</v>
      </c>
      <c r="H147" s="239"/>
      <c r="I147" s="64"/>
      <c r="J147" s="529"/>
      <c r="K147" s="526"/>
      <c r="L147" s="130">
        <v>7.1879</v>
      </c>
      <c r="M147" s="81" t="s">
        <v>1644</v>
      </c>
      <c r="N147" s="81"/>
      <c r="O147" s="81">
        <v>45685</v>
      </c>
      <c r="P147" s="499"/>
      <c r="Q147" s="400"/>
      <c r="R147" s="35"/>
      <c r="S147" s="34"/>
      <c r="T147" s="72"/>
      <c r="U147" s="417"/>
      <c r="V147" s="417"/>
    </row>
    <row r="148" ht="33" spans="1:22">
      <c r="A148" s="115" t="s">
        <v>1984</v>
      </c>
      <c r="B148" s="230" t="s">
        <v>3248</v>
      </c>
      <c r="C148" s="117" t="s">
        <v>1393</v>
      </c>
      <c r="D148" s="232"/>
      <c r="E148" s="109"/>
      <c r="F148" s="54" t="s">
        <v>4090</v>
      </c>
      <c r="G148" s="35" t="s">
        <v>4202</v>
      </c>
      <c r="H148" s="308"/>
      <c r="I148" s="64"/>
      <c r="J148" s="76"/>
      <c r="K148" s="71"/>
      <c r="L148" s="130">
        <v>7.1879</v>
      </c>
      <c r="M148" s="81">
        <v>45316</v>
      </c>
      <c r="N148" s="81"/>
      <c r="O148" s="83" t="s">
        <v>2097</v>
      </c>
      <c r="P148" s="499"/>
      <c r="Q148" s="400"/>
      <c r="R148" s="35"/>
      <c r="S148" s="34"/>
      <c r="T148" s="72"/>
      <c r="U148" s="417"/>
      <c r="V148" s="417"/>
    </row>
    <row r="149" ht="33" spans="1:22">
      <c r="A149" s="115" t="s">
        <v>1984</v>
      </c>
      <c r="B149" s="230" t="s">
        <v>3248</v>
      </c>
      <c r="C149" s="233"/>
      <c r="D149" s="232"/>
      <c r="E149" s="48"/>
      <c r="F149" s="58" t="s">
        <v>4090</v>
      </c>
      <c r="G149" s="201" t="s">
        <v>4203</v>
      </c>
      <c r="H149" s="239"/>
      <c r="I149" s="71"/>
      <c r="J149" s="71"/>
      <c r="K149" s="71"/>
      <c r="L149" s="528">
        <v>7.1879</v>
      </c>
      <c r="M149" s="87">
        <v>45684</v>
      </c>
      <c r="N149" s="87"/>
      <c r="O149" s="87" t="s">
        <v>2097</v>
      </c>
      <c r="P149" s="86"/>
      <c r="Q149" s="400"/>
      <c r="R149" s="35"/>
      <c r="S149" s="34"/>
      <c r="T149" s="72"/>
      <c r="U149" s="417"/>
      <c r="V149" s="417"/>
    </row>
    <row r="150" ht="33" spans="1:22">
      <c r="A150" s="115" t="s">
        <v>1984</v>
      </c>
      <c r="B150" s="230" t="s">
        <v>3248</v>
      </c>
      <c r="C150" s="43" t="s">
        <v>4196</v>
      </c>
      <c r="D150" s="232"/>
      <c r="E150" s="35"/>
      <c r="F150" s="54" t="s">
        <v>4090</v>
      </c>
      <c r="G150" s="35" t="s">
        <v>4204</v>
      </c>
      <c r="H150" s="239"/>
      <c r="I150" s="64"/>
      <c r="J150" s="253"/>
      <c r="K150" s="253"/>
      <c r="L150" s="130">
        <v>7.1879</v>
      </c>
      <c r="M150" s="81">
        <v>45735</v>
      </c>
      <c r="N150" s="361"/>
      <c r="O150" s="425"/>
      <c r="P150" s="499"/>
      <c r="Q150" s="400"/>
      <c r="R150" s="35"/>
      <c r="S150" s="34"/>
      <c r="T150" s="72"/>
      <c r="U150" s="417"/>
      <c r="V150" s="417"/>
    </row>
    <row r="151" s="418" customFormat="1" ht="14.25" customHeight="1" spans="1:22">
      <c r="A151" s="115" t="s">
        <v>1984</v>
      </c>
      <c r="B151" s="230" t="s">
        <v>3248</v>
      </c>
      <c r="C151" s="42"/>
      <c r="D151" s="46"/>
      <c r="E151" s="249"/>
      <c r="F151" s="236" t="s">
        <v>4095</v>
      </c>
      <c r="G151" s="280" t="s">
        <v>4205</v>
      </c>
      <c r="H151" s="309"/>
      <c r="I151" s="64"/>
      <c r="J151" s="464"/>
      <c r="K151" s="464"/>
      <c r="L151" s="130">
        <v>7.1879</v>
      </c>
      <c r="M151" s="271">
        <v>45741</v>
      </c>
      <c r="N151" s="81"/>
      <c r="O151" s="87"/>
      <c r="P151" s="382"/>
      <c r="Q151" s="402"/>
      <c r="R151" s="403"/>
      <c r="S151" s="404"/>
      <c r="T151" s="387"/>
      <c r="U151" s="417"/>
      <c r="V151" s="417"/>
    </row>
    <row r="152" ht="18.75" customHeight="1" spans="1:20">
      <c r="A152" s="115" t="s">
        <v>1984</v>
      </c>
      <c r="B152" s="54" t="s">
        <v>1875</v>
      </c>
      <c r="C152" s="234" t="s">
        <v>1120</v>
      </c>
      <c r="D152" s="43" t="s">
        <v>1125</v>
      </c>
      <c r="E152" s="53"/>
      <c r="F152" s="201"/>
      <c r="G152" s="53"/>
      <c r="H152" s="308"/>
      <c r="I152" s="64"/>
      <c r="J152" s="66"/>
      <c r="K152" s="71"/>
      <c r="L152" s="130">
        <v>7.1879</v>
      </c>
      <c r="M152" s="474"/>
      <c r="N152" s="87"/>
      <c r="O152" s="87"/>
      <c r="P152" s="493"/>
      <c r="Q152" s="80"/>
      <c r="R152" s="278"/>
      <c r="S152" s="383"/>
      <c r="T152" s="383"/>
    </row>
    <row r="153" ht="16.5" spans="1:20">
      <c r="A153" s="115" t="s">
        <v>1984</v>
      </c>
      <c r="B153" s="54" t="s">
        <v>1875</v>
      </c>
      <c r="C153" s="277"/>
      <c r="D153" s="38"/>
      <c r="E153" s="53"/>
      <c r="F153" s="106"/>
      <c r="G153" s="106"/>
      <c r="H153" s="55"/>
      <c r="I153" s="253"/>
      <c r="J153" s="287"/>
      <c r="K153" s="287"/>
      <c r="L153" s="130">
        <v>7.1879</v>
      </c>
      <c r="M153" s="275"/>
      <c r="N153" s="275"/>
      <c r="O153" s="397"/>
      <c r="P153" s="274"/>
      <c r="Q153" s="80"/>
      <c r="R153" s="278"/>
      <c r="S153" s="383"/>
      <c r="T153" s="383"/>
    </row>
    <row r="154" ht="18.75" customHeight="1" spans="1:20">
      <c r="A154" s="115" t="s">
        <v>1984</v>
      </c>
      <c r="B154" s="54" t="s">
        <v>1875</v>
      </c>
      <c r="C154" s="234" t="s">
        <v>509</v>
      </c>
      <c r="D154" s="35" t="s">
        <v>1125</v>
      </c>
      <c r="E154" s="106"/>
      <c r="F154" s="54" t="s">
        <v>4188</v>
      </c>
      <c r="G154" s="106" t="s">
        <v>4206</v>
      </c>
      <c r="H154" s="55"/>
      <c r="I154" s="253"/>
      <c r="J154" s="252"/>
      <c r="K154" s="64"/>
      <c r="L154" s="130">
        <v>7.1879</v>
      </c>
      <c r="M154" s="81"/>
      <c r="N154" s="81"/>
      <c r="O154" s="81"/>
      <c r="P154" s="89"/>
      <c r="Q154" s="80"/>
      <c r="R154" s="278"/>
      <c r="S154" s="383"/>
      <c r="T154" s="383"/>
    </row>
    <row r="155" ht="16.5" spans="1:20">
      <c r="A155" s="115" t="s">
        <v>1984</v>
      </c>
      <c r="B155" s="54" t="s">
        <v>1875</v>
      </c>
      <c r="C155" s="277"/>
      <c r="D155" s="278"/>
      <c r="E155" s="53"/>
      <c r="F155" s="247" t="s">
        <v>4207</v>
      </c>
      <c r="G155" s="248" t="s">
        <v>4208</v>
      </c>
      <c r="H155" s="55"/>
      <c r="I155" s="253"/>
      <c r="J155" s="252"/>
      <c r="K155" s="252"/>
      <c r="L155" s="130">
        <v>7.1879</v>
      </c>
      <c r="M155" s="289"/>
      <c r="N155" s="81"/>
      <c r="O155" s="87"/>
      <c r="P155" s="266"/>
      <c r="Q155" s="80"/>
      <c r="R155" s="278"/>
      <c r="S155" s="383"/>
      <c r="T155" s="383"/>
    </row>
    <row r="156" ht="19.8" customHeight="1" spans="1:20">
      <c r="A156" s="115" t="s">
        <v>1984</v>
      </c>
      <c r="B156" s="54" t="s">
        <v>1875</v>
      </c>
      <c r="C156" s="234"/>
      <c r="D156" s="35"/>
      <c r="E156" s="53"/>
      <c r="F156" s="247" t="s">
        <v>4207</v>
      </c>
      <c r="G156" s="248" t="s">
        <v>4209</v>
      </c>
      <c r="H156" s="55"/>
      <c r="I156" s="253"/>
      <c r="J156" s="252"/>
      <c r="K156" s="252"/>
      <c r="L156" s="130">
        <v>7.1879</v>
      </c>
      <c r="M156" s="289"/>
      <c r="N156" s="81"/>
      <c r="O156" s="87"/>
      <c r="P156" s="266"/>
      <c r="Q156" s="80"/>
      <c r="R156" s="278"/>
      <c r="S156" s="383"/>
      <c r="T156" s="383"/>
    </row>
    <row r="157" customFormat="1" ht="19.8" customHeight="1" spans="1:20">
      <c r="A157" s="115" t="s">
        <v>1984</v>
      </c>
      <c r="B157" s="54" t="s">
        <v>1875</v>
      </c>
      <c r="C157" s="277"/>
      <c r="D157" s="38"/>
      <c r="E157" s="53"/>
      <c r="F157" s="247" t="s">
        <v>4192</v>
      </c>
      <c r="G157" s="248" t="s">
        <v>4210</v>
      </c>
      <c r="H157" s="55"/>
      <c r="I157" s="253"/>
      <c r="J157" s="252"/>
      <c r="K157" s="252"/>
      <c r="L157" s="130"/>
      <c r="M157" s="289"/>
      <c r="N157" s="81"/>
      <c r="O157" s="87"/>
      <c r="P157" s="266"/>
      <c r="Q157" s="402"/>
      <c r="R157" s="403"/>
      <c r="S157" s="404"/>
      <c r="T157" s="387"/>
    </row>
    <row r="158" customFormat="1" ht="16.5" spans="1:20">
      <c r="A158" s="115" t="s">
        <v>1984</v>
      </c>
      <c r="B158" s="54" t="s">
        <v>1875</v>
      </c>
      <c r="C158" s="523"/>
      <c r="D158" s="46"/>
      <c r="E158" s="53"/>
      <c r="F158" s="257"/>
      <c r="G158" s="257"/>
      <c r="H158" s="257"/>
      <c r="I158" s="393"/>
      <c r="J158" s="257"/>
      <c r="K158" s="258"/>
      <c r="L158" s="130">
        <v>7.1879</v>
      </c>
      <c r="M158" s="81"/>
      <c r="N158" s="268"/>
      <c r="O158" s="81"/>
      <c r="P158" s="136"/>
      <c r="Q158" s="402"/>
      <c r="R158" s="403"/>
      <c r="S158" s="405"/>
      <c r="T158" s="406"/>
    </row>
    <row r="159" customFormat="1" ht="25.7" customHeight="1" spans="1:20">
      <c r="A159" s="115" t="s">
        <v>1984</v>
      </c>
      <c r="B159" s="54" t="s">
        <v>1875</v>
      </c>
      <c r="C159" s="53" t="s">
        <v>1393</v>
      </c>
      <c r="D159" s="35"/>
      <c r="E159" s="249"/>
      <c r="F159" s="236" t="s">
        <v>4090</v>
      </c>
      <c r="G159" s="280" t="s">
        <v>4211</v>
      </c>
      <c r="H159" s="55"/>
      <c r="I159" s="64"/>
      <c r="J159" s="261"/>
      <c r="K159" s="261"/>
      <c r="L159" s="130">
        <v>7.1879</v>
      </c>
      <c r="M159" s="81">
        <v>45348</v>
      </c>
      <c r="N159" s="81"/>
      <c r="O159" s="83"/>
      <c r="P159" s="499"/>
      <c r="Q159" s="80"/>
      <c r="R159" s="278"/>
      <c r="S159" s="383"/>
      <c r="T159" s="383"/>
    </row>
    <row r="160" s="510" customFormat="1" ht="19.45" customHeight="1" spans="1:20">
      <c r="A160" s="115" t="s">
        <v>1984</v>
      </c>
      <c r="B160" s="54" t="s">
        <v>1875</v>
      </c>
      <c r="C160" s="53"/>
      <c r="D160" s="35"/>
      <c r="E160" s="53"/>
      <c r="F160" s="54" t="s">
        <v>4113</v>
      </c>
      <c r="G160" s="280" t="s">
        <v>4212</v>
      </c>
      <c r="H160" s="55"/>
      <c r="I160" s="253"/>
      <c r="J160" s="165"/>
      <c r="K160" s="165"/>
      <c r="L160" s="130">
        <v>7.1879</v>
      </c>
      <c r="M160" s="165"/>
      <c r="N160" s="532"/>
      <c r="O160" s="165"/>
      <c r="P160" s="533"/>
      <c r="Q160" s="80"/>
      <c r="R160" s="278"/>
      <c r="S160" s="383"/>
      <c r="T160" s="383"/>
    </row>
    <row r="161" s="510" customFormat="1" ht="19.45" customHeight="1" spans="1:20">
      <c r="A161" s="115" t="s">
        <v>1984</v>
      </c>
      <c r="B161" s="54" t="s">
        <v>1875</v>
      </c>
      <c r="C161" s="53"/>
      <c r="D161" s="35"/>
      <c r="E161" s="53"/>
      <c r="F161" s="54" t="s">
        <v>4113</v>
      </c>
      <c r="G161" s="280" t="s">
        <v>4213</v>
      </c>
      <c r="H161" s="55"/>
      <c r="I161" s="253"/>
      <c r="J161" s="165"/>
      <c r="K161" s="165"/>
      <c r="L161" s="130">
        <v>7.1879</v>
      </c>
      <c r="M161" s="165"/>
      <c r="N161" s="532"/>
      <c r="O161" s="165"/>
      <c r="P161" s="533"/>
      <c r="Q161" s="80"/>
      <c r="R161" s="278"/>
      <c r="S161" s="383"/>
      <c r="T161" s="383"/>
    </row>
    <row r="162" ht="16.5" spans="1:20">
      <c r="A162" s="115" t="s">
        <v>1984</v>
      </c>
      <c r="B162" s="54" t="s">
        <v>1875</v>
      </c>
      <c r="C162" s="53"/>
      <c r="D162" s="35"/>
      <c r="E162" s="53"/>
      <c r="F162" s="54" t="s">
        <v>4090</v>
      </c>
      <c r="G162" s="106"/>
      <c r="H162" s="55"/>
      <c r="I162" s="253"/>
      <c r="J162" s="64"/>
      <c r="K162" s="64"/>
      <c r="L162" s="130">
        <v>7.1879</v>
      </c>
      <c r="M162" s="81"/>
      <c r="N162" s="81"/>
      <c r="O162" s="81"/>
      <c r="P162" s="382"/>
      <c r="Q162" s="80"/>
      <c r="R162" s="278"/>
      <c r="S162" s="383"/>
      <c r="T162" s="383"/>
    </row>
    <row r="163" customFormat="1" ht="17.65" customHeight="1" spans="1:20">
      <c r="A163" s="115" t="s">
        <v>1984</v>
      </c>
      <c r="B163" s="54" t="s">
        <v>1875</v>
      </c>
      <c r="C163" s="277" t="s">
        <v>4196</v>
      </c>
      <c r="D163" s="35"/>
      <c r="E163" s="53"/>
      <c r="F163" s="201" t="s">
        <v>4090</v>
      </c>
      <c r="G163" s="246" t="s">
        <v>4214</v>
      </c>
      <c r="H163" s="308"/>
      <c r="I163" s="253"/>
      <c r="J163" s="66"/>
      <c r="K163" s="67"/>
      <c r="L163" s="130">
        <v>7.1879</v>
      </c>
      <c r="M163" s="81"/>
      <c r="N163" s="81"/>
      <c r="O163" s="268"/>
      <c r="P163" s="382"/>
      <c r="Q163" s="268"/>
      <c r="R163" s="86"/>
      <c r="S163" s="383"/>
      <c r="T163" s="383"/>
    </row>
    <row r="164" customFormat="1" ht="16.5" spans="1:20">
      <c r="A164" s="115" t="s">
        <v>1984</v>
      </c>
      <c r="B164" s="54" t="s">
        <v>1875</v>
      </c>
      <c r="C164" s="277"/>
      <c r="D164" s="35"/>
      <c r="E164" s="249"/>
      <c r="F164" s="236" t="s">
        <v>4090</v>
      </c>
      <c r="G164" s="280" t="s">
        <v>4215</v>
      </c>
      <c r="H164" s="309"/>
      <c r="I164" s="253"/>
      <c r="J164" s="261"/>
      <c r="K164" s="261"/>
      <c r="L164" s="130">
        <v>7.1879</v>
      </c>
      <c r="M164" s="379"/>
      <c r="N164" s="503"/>
      <c r="O164" s="503"/>
      <c r="P164" s="382"/>
      <c r="Q164" s="415"/>
      <c r="R164" s="416"/>
      <c r="S164" s="383"/>
      <c r="T164" s="383"/>
    </row>
    <row r="165" customFormat="1" ht="16.5" spans="1:20">
      <c r="A165" s="115" t="s">
        <v>1984</v>
      </c>
      <c r="B165" s="54" t="s">
        <v>1875</v>
      </c>
      <c r="C165" s="277"/>
      <c r="D165" s="35"/>
      <c r="E165" s="249"/>
      <c r="F165" s="236" t="s">
        <v>4095</v>
      </c>
      <c r="G165" s="280" t="s">
        <v>4216</v>
      </c>
      <c r="H165" s="309"/>
      <c r="I165" s="253"/>
      <c r="J165" s="261"/>
      <c r="K165" s="261"/>
      <c r="L165" s="130">
        <v>7.1879</v>
      </c>
      <c r="M165" s="379"/>
      <c r="N165" s="503"/>
      <c r="O165" s="503"/>
      <c r="P165" s="382"/>
      <c r="Q165" s="415"/>
      <c r="R165" s="416"/>
      <c r="S165" s="383"/>
      <c r="T165" s="383"/>
    </row>
    <row r="166" customFormat="1" ht="16.5" spans="1:20">
      <c r="A166" s="115" t="s">
        <v>1984</v>
      </c>
      <c r="B166" s="54" t="s">
        <v>1875</v>
      </c>
      <c r="C166" s="277"/>
      <c r="D166" s="35"/>
      <c r="E166" s="249"/>
      <c r="F166" s="236" t="s">
        <v>4090</v>
      </c>
      <c r="G166" s="280" t="s">
        <v>4217</v>
      </c>
      <c r="H166" s="309"/>
      <c r="I166" s="253"/>
      <c r="J166" s="261"/>
      <c r="K166" s="261"/>
      <c r="L166" s="130">
        <v>7.1879</v>
      </c>
      <c r="M166" s="379"/>
      <c r="N166" s="503"/>
      <c r="O166" s="503"/>
      <c r="P166" s="382"/>
      <c r="Q166" s="415"/>
      <c r="R166" s="416"/>
      <c r="S166" s="383"/>
      <c r="T166" s="383"/>
    </row>
    <row r="167" customFormat="1" ht="16.5" spans="1:20">
      <c r="A167" s="115" t="s">
        <v>1984</v>
      </c>
      <c r="B167" s="54" t="s">
        <v>1875</v>
      </c>
      <c r="C167" s="277"/>
      <c r="D167" s="35"/>
      <c r="E167" s="53"/>
      <c r="F167" s="201"/>
      <c r="G167" s="246" t="s">
        <v>382</v>
      </c>
      <c r="H167" s="309"/>
      <c r="I167" s="253"/>
      <c r="J167" s="66"/>
      <c r="K167" s="67"/>
      <c r="L167" s="130">
        <v>7.1879</v>
      </c>
      <c r="M167" s="81"/>
      <c r="N167" s="503"/>
      <c r="O167" s="503"/>
      <c r="P167" s="382"/>
      <c r="Q167" s="415"/>
      <c r="R167" s="416"/>
      <c r="S167" s="383"/>
      <c r="T167" s="383"/>
    </row>
    <row r="168" ht="16.5" spans="1:20">
      <c r="A168" s="302"/>
      <c r="B168" s="315"/>
      <c r="C168" s="302"/>
      <c r="D168" s="302"/>
      <c r="E168" s="302"/>
      <c r="F168" s="315"/>
      <c r="G168" s="302"/>
      <c r="H168" s="319"/>
      <c r="I168" s="319"/>
      <c r="J168" s="319"/>
      <c r="K168" s="319"/>
      <c r="L168" s="319"/>
      <c r="M168" s="319"/>
      <c r="N168" s="319"/>
      <c r="O168" s="319"/>
      <c r="P168" s="331"/>
      <c r="Q168" s="507"/>
      <c r="R168" s="297"/>
      <c r="S168" s="296"/>
      <c r="T168" s="296"/>
    </row>
    <row r="169" ht="16.5" spans="1:20">
      <c r="A169" s="302"/>
      <c r="B169" s="315"/>
      <c r="C169" s="303"/>
      <c r="D169" s="303"/>
      <c r="E169" s="303"/>
      <c r="F169" s="320"/>
      <c r="G169" s="303"/>
      <c r="H169" s="319"/>
      <c r="I169" s="319"/>
      <c r="J169" s="319"/>
      <c r="K169" s="319"/>
      <c r="L169" s="319"/>
      <c r="M169" s="319"/>
      <c r="N169" s="319"/>
      <c r="O169" s="319"/>
      <c r="P169" s="332"/>
      <c r="Q169" s="507"/>
      <c r="R169" s="297"/>
      <c r="S169" s="312"/>
      <c r="T169" s="312"/>
    </row>
    <row r="170" spans="1:20">
      <c r="A170" s="302"/>
      <c r="B170" s="315"/>
      <c r="C170" s="303"/>
      <c r="D170" s="303"/>
      <c r="E170" s="303"/>
      <c r="F170" s="320"/>
      <c r="G170" s="303"/>
      <c r="H170" s="319"/>
      <c r="I170" s="319"/>
      <c r="J170" s="319"/>
      <c r="K170" s="319"/>
      <c r="L170" s="319"/>
      <c r="M170" s="319"/>
      <c r="N170" s="319"/>
      <c r="O170" s="319"/>
      <c r="P170" s="333"/>
      <c r="Q170" s="303"/>
      <c r="R170" s="306"/>
      <c r="S170" s="305"/>
      <c r="T170" s="305"/>
    </row>
    <row r="171" customFormat="1" spans="1:20">
      <c r="A171" s="304"/>
      <c r="B171" s="321"/>
      <c r="C171" s="305"/>
      <c r="D171" s="306"/>
      <c r="E171" s="306"/>
      <c r="F171" s="305"/>
      <c r="G171" s="305"/>
      <c r="H171" s="319"/>
      <c r="I171" s="319"/>
      <c r="J171" s="319"/>
      <c r="K171" s="319"/>
      <c r="L171" s="319"/>
      <c r="M171" s="319"/>
      <c r="N171" s="319"/>
      <c r="O171" s="319"/>
      <c r="P171" s="333"/>
      <c r="Q171" s="305"/>
      <c r="R171" s="306"/>
      <c r="S171" s="305"/>
      <c r="T171" s="305"/>
    </row>
    <row r="172" spans="1:20">
      <c r="A172" s="304"/>
      <c r="B172" s="321"/>
      <c r="C172" s="304"/>
      <c r="D172" s="307"/>
      <c r="E172" s="307"/>
      <c r="F172" s="321"/>
      <c r="G172" s="304"/>
      <c r="H172" s="319"/>
      <c r="I172" s="319"/>
      <c r="J172" s="319"/>
      <c r="K172" s="319"/>
      <c r="L172" s="319"/>
      <c r="M172" s="319"/>
      <c r="N172" s="319"/>
      <c r="O172" s="319"/>
      <c r="P172" s="334"/>
      <c r="Q172" s="304"/>
      <c r="R172" s="508"/>
      <c r="S172" s="304"/>
      <c r="T172" s="304"/>
    </row>
    <row r="173" customFormat="1" spans="1:20">
      <c r="A173" s="24"/>
      <c r="B173" s="25"/>
      <c r="C173" s="25"/>
      <c r="D173" s="24"/>
      <c r="E173" s="24"/>
      <c r="F173" s="25"/>
      <c r="G173" s="24"/>
      <c r="H173" s="319"/>
      <c r="I173" s="319"/>
      <c r="J173" s="319"/>
      <c r="K173" s="319"/>
      <c r="L173" s="319"/>
      <c r="M173" s="319"/>
      <c r="N173" s="319"/>
      <c r="O173" s="319"/>
      <c r="P173" s="27"/>
      <c r="Q173" s="24"/>
      <c r="R173" s="26"/>
      <c r="S173" s="24"/>
      <c r="T173" s="24"/>
    </row>
    <row r="174" customFormat="1" spans="1:20">
      <c r="A174" s="24"/>
      <c r="B174" s="25"/>
      <c r="C174" s="24"/>
      <c r="D174" s="24"/>
      <c r="E174" s="24"/>
      <c r="F174" s="25"/>
      <c r="G174" s="24"/>
      <c r="H174" s="319"/>
      <c r="I174" s="319"/>
      <c r="J174" s="319"/>
      <c r="K174" s="319"/>
      <c r="L174" s="319"/>
      <c r="M174" s="319"/>
      <c r="N174" s="319"/>
      <c r="O174" s="319"/>
      <c r="P174" s="27"/>
      <c r="Q174" s="24"/>
      <c r="R174" s="26"/>
      <c r="S174" s="24"/>
      <c r="T174" s="24"/>
    </row>
    <row r="175" customFormat="1" spans="1:20">
      <c r="A175" s="24"/>
      <c r="B175" s="25"/>
      <c r="C175" s="24"/>
      <c r="D175" s="24"/>
      <c r="E175" s="24"/>
      <c r="F175" s="25"/>
      <c r="G175" s="24"/>
      <c r="H175" s="319"/>
      <c r="I175" s="319"/>
      <c r="J175" s="319"/>
      <c r="K175" s="319"/>
      <c r="L175" s="319"/>
      <c r="M175" s="319"/>
      <c r="N175" s="319"/>
      <c r="O175" s="319"/>
      <c r="P175" s="27"/>
      <c r="Q175" s="24"/>
      <c r="R175" s="26"/>
      <c r="S175" s="24"/>
      <c r="T175" s="24"/>
    </row>
    <row r="176" customFormat="1" spans="1:20">
      <c r="A176" s="24"/>
      <c r="B176" s="25"/>
      <c r="C176" s="24"/>
      <c r="D176" s="24"/>
      <c r="E176" s="316"/>
      <c r="F176" s="322"/>
      <c r="G176" s="316"/>
      <c r="H176" s="319"/>
      <c r="I176" s="319"/>
      <c r="J176" s="319"/>
      <c r="K176" s="319"/>
      <c r="L176" s="319"/>
      <c r="M176" s="319"/>
      <c r="N176" s="319"/>
      <c r="O176" s="319"/>
      <c r="P176" s="27"/>
      <c r="Q176" s="24"/>
      <c r="R176" s="26"/>
      <c r="S176" s="24"/>
      <c r="T176" s="24"/>
    </row>
    <row r="177" ht="20.25" customHeight="1" spans="1:20">
      <c r="A177" s="304"/>
      <c r="B177" s="321"/>
      <c r="C177" s="304"/>
      <c r="D177" s="304"/>
      <c r="E177" s="316"/>
      <c r="F177" s="322"/>
      <c r="G177" s="316"/>
      <c r="H177" s="319"/>
      <c r="I177" s="319"/>
      <c r="J177" s="319"/>
      <c r="K177" s="319"/>
      <c r="L177" s="319"/>
      <c r="M177" s="319"/>
      <c r="N177" s="319"/>
      <c r="O177" s="319"/>
      <c r="P177" s="334"/>
      <c r="Q177" s="304"/>
      <c r="R177" s="509"/>
      <c r="S177" s="304"/>
      <c r="T177" s="304"/>
    </row>
  </sheetData>
  <sheetProtection formatCells="0" formatColumns="0" formatRows="0" insertRows="0" insertColumns="0" insertHyperlinks="0" deleteColumns="0" deleteRows="0" sort="0" autoFilter="0" pivotTables="0"/>
  <mergeCells count="45">
    <mergeCell ref="A1:S1"/>
    <mergeCell ref="P125:S125"/>
    <mergeCell ref="P128:S128"/>
    <mergeCell ref="P142:S142"/>
    <mergeCell ref="C23:C24"/>
    <mergeCell ref="C26:C27"/>
    <mergeCell ref="C28:C39"/>
    <mergeCell ref="C40:C41"/>
    <mergeCell ref="C42:C46"/>
    <mergeCell ref="C58:C59"/>
    <mergeCell ref="C61:C63"/>
    <mergeCell ref="C64:C74"/>
    <mergeCell ref="C75:C92"/>
    <mergeCell ref="C105:C111"/>
    <mergeCell ref="C114:C119"/>
    <mergeCell ref="C120:C121"/>
    <mergeCell ref="C122:C124"/>
    <mergeCell ref="C143:C145"/>
    <mergeCell ref="C146:C147"/>
    <mergeCell ref="C148:C149"/>
    <mergeCell ref="C150:C151"/>
    <mergeCell ref="C152:C153"/>
    <mergeCell ref="C154:C158"/>
    <mergeCell ref="C159:C162"/>
    <mergeCell ref="C163:C167"/>
    <mergeCell ref="D5:D6"/>
    <mergeCell ref="D7:D11"/>
    <mergeCell ref="D12:D19"/>
    <mergeCell ref="D20:D24"/>
    <mergeCell ref="D25:D42"/>
    <mergeCell ref="D47:D52"/>
    <mergeCell ref="D53:D57"/>
    <mergeCell ref="D58:D61"/>
    <mergeCell ref="D64:D92"/>
    <mergeCell ref="D94:D95"/>
    <mergeCell ref="D96:D99"/>
    <mergeCell ref="D100:D101"/>
    <mergeCell ref="D103:D104"/>
    <mergeCell ref="D125:D130"/>
    <mergeCell ref="D131:D132"/>
    <mergeCell ref="D133:D137"/>
    <mergeCell ref="D138:D141"/>
    <mergeCell ref="D142:D151"/>
    <mergeCell ref="D152:D153"/>
    <mergeCell ref="D154:D167"/>
  </mergeCells>
  <dataValidations count="3">
    <dataValidation type="list" allowBlank="1" showErrorMessage="1" errorTitle="错误提示" error="请输入下拉列表中的值" sqref="F10 F22 F159 F41:F46 F125:F130 F133:F157 F162:F1048576">
      <formula1>"经销商增量-占比高,经销商增量-占比低,经销商开发,ODM开发,ODM增量,现有连锁增量,区域新连锁开发,全球新连锁开发,其他"</formula1>
    </dataValidation>
    <dataValidation type="list" allowBlank="1" showErrorMessage="1" errorTitle="错误提示" error="请输入下拉列表中的值" id="{e3cc978c-dad8-47be-a37a-77e1ed18047e}" sqref="B2:B1048576">
      <formula1>"本月预计发货订单,已确认订单（明确本月不发货）,洽谈中"</formula1>
    </dataValidation>
    <dataValidation type="list" allowBlank="1" showErrorMessage="1" errorTitle="错误提示" error="请输入下拉列表中的值" sqref="F2:F5 F7:F9 F13:F20 F23:F40 F47:F76 F78:F124">
      <formula1>"经销商增量-占比高,经销商增量-占比低,经销商开发-重点空白,ODM开发+增量,现有连锁增量,新连锁开发-区域,新连锁开发-全球"</formula1>
    </dataValidation>
  </dataValidations>
  <pageMargins left="0.75" right="0.75" top="1" bottom="1" header="0.5" footer="0.5"/>
  <headerFooter/>
  <ignoredErrors>
    <ignoredError sqref="F120:F124 F92 F69 F82" listDataValidation="1"/>
  </ignoredErrors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5"/>
  <dimension ref="A1:AJ228"/>
  <sheetViews>
    <sheetView zoomScale="70" zoomScaleNormal="70" workbookViewId="0">
      <selection activeCell="F2" sqref="F$1:F$1048576"/>
    </sheetView>
  </sheetViews>
  <sheetFormatPr defaultColWidth="9" defaultRowHeight="13.5"/>
  <cols>
    <col min="1" max="1" width="8.75833333333333" style="24" customWidth="1"/>
    <col min="2" max="2" width="16.0416666666667" style="25" customWidth="1"/>
    <col min="3" max="3" width="12.4416666666667" style="24" customWidth="1"/>
    <col min="4" max="4" width="11" style="24" customWidth="1"/>
    <col min="5" max="5" width="23.875" style="24" customWidth="1"/>
    <col min="6" max="6" width="16.4416666666667" style="25" customWidth="1"/>
    <col min="7" max="7" width="19.4" style="24" customWidth="1"/>
    <col min="8" max="8" width="14.825" style="24" customWidth="1"/>
    <col min="9" max="9" width="15.375" style="24" customWidth="1"/>
    <col min="10" max="10" width="13.875" style="24" customWidth="1"/>
    <col min="11" max="11" width="13.8" style="24" customWidth="1"/>
    <col min="12" max="12" width="9" style="24" customWidth="1"/>
    <col min="13" max="13" width="14.3166666666667" style="24" customWidth="1"/>
    <col min="14" max="14" width="14.3166666666667" style="26" customWidth="1"/>
    <col min="15" max="15" width="14.3166666666667" style="24" customWidth="1"/>
    <col min="16" max="16" width="76.2583333333333" style="27" customWidth="1"/>
    <col min="17" max="17" width="23.3166666666667" style="24" customWidth="1"/>
    <col min="18" max="18" width="15.875" style="26" customWidth="1"/>
    <col min="19" max="19" width="13.125" style="24"/>
    <col min="20" max="20" width="44.5666666666667" style="24" customWidth="1"/>
    <col min="24" max="24" width="12.5"/>
  </cols>
  <sheetData>
    <row r="1" ht="19.2" customHeight="1" spans="1:20">
      <c r="A1" s="28" t="s">
        <v>4218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420"/>
      <c r="O1" s="420"/>
      <c r="P1" s="421"/>
      <c r="Q1" s="28"/>
      <c r="R1" s="28"/>
      <c r="S1" s="28"/>
      <c r="T1" s="426"/>
    </row>
    <row r="2" ht="25.3" customHeight="1" spans="1:20">
      <c r="A2" s="29" t="s">
        <v>1092</v>
      </c>
      <c r="B2" s="469" t="s">
        <v>1820</v>
      </c>
      <c r="C2" s="30" t="s">
        <v>1946</v>
      </c>
      <c r="D2" s="31" t="s">
        <v>3619</v>
      </c>
      <c r="E2" s="31" t="s">
        <v>1822</v>
      </c>
      <c r="F2" s="50" t="s">
        <v>4081</v>
      </c>
      <c r="G2" s="51" t="s">
        <v>1095</v>
      </c>
      <c r="H2" s="52" t="s">
        <v>4082</v>
      </c>
      <c r="I2" s="62" t="s">
        <v>1716</v>
      </c>
      <c r="J2" s="62" t="s">
        <v>1717</v>
      </c>
      <c r="K2" s="62" t="s">
        <v>1718</v>
      </c>
      <c r="L2" s="63" t="s">
        <v>1866</v>
      </c>
      <c r="M2" s="78" t="s">
        <v>1098</v>
      </c>
      <c r="N2" s="79" t="s">
        <v>3620</v>
      </c>
      <c r="O2" s="79" t="s">
        <v>1214</v>
      </c>
      <c r="P2" s="80" t="s">
        <v>4083</v>
      </c>
      <c r="Q2" s="342" t="s">
        <v>7</v>
      </c>
      <c r="R2" s="278" t="s">
        <v>8</v>
      </c>
      <c r="S2" s="343" t="s">
        <v>9</v>
      </c>
      <c r="T2" s="427" t="s">
        <v>1291</v>
      </c>
    </row>
    <row r="3" ht="16.5" spans="1:20">
      <c r="A3" s="36" t="s">
        <v>4084</v>
      </c>
      <c r="B3" s="33" t="s">
        <v>1824</v>
      </c>
      <c r="C3" s="34" t="s">
        <v>2382</v>
      </c>
      <c r="D3" s="35"/>
      <c r="E3" s="53"/>
      <c r="F3" s="54"/>
      <c r="G3" s="55"/>
      <c r="H3" s="55"/>
      <c r="I3" s="64"/>
      <c r="J3" s="64"/>
      <c r="K3" s="64"/>
      <c r="L3" s="65"/>
      <c r="M3" s="81"/>
      <c r="N3" s="81"/>
      <c r="O3" s="81"/>
      <c r="Q3" s="344"/>
      <c r="R3" s="41"/>
      <c r="S3" s="99"/>
      <c r="T3" s="72"/>
    </row>
    <row r="4" ht="16.5" spans="1:20">
      <c r="A4" s="36" t="s">
        <v>4084</v>
      </c>
      <c r="B4" s="33" t="s">
        <v>1824</v>
      </c>
      <c r="C4" s="187" t="s">
        <v>4085</v>
      </c>
      <c r="D4" s="43">
        <v>80</v>
      </c>
      <c r="E4" s="53"/>
      <c r="F4" s="54" t="s">
        <v>4081</v>
      </c>
      <c r="G4" s="57" t="s">
        <v>4112</v>
      </c>
      <c r="H4" s="56"/>
      <c r="I4" s="64"/>
      <c r="J4" s="64"/>
      <c r="K4" s="64"/>
      <c r="L4" s="53">
        <v>7.1693</v>
      </c>
      <c r="M4" s="81" t="s">
        <v>4115</v>
      </c>
      <c r="N4" s="81">
        <v>45712</v>
      </c>
      <c r="O4" s="81">
        <v>45714</v>
      </c>
      <c r="P4" s="344"/>
      <c r="Q4" s="344"/>
      <c r="R4" s="41"/>
      <c r="S4" s="99"/>
      <c r="T4" s="72"/>
    </row>
    <row r="5" ht="16.5" spans="1:20">
      <c r="A5" s="36" t="s">
        <v>4084</v>
      </c>
      <c r="B5" s="33" t="s">
        <v>1824</v>
      </c>
      <c r="C5" s="48" t="s">
        <v>3748</v>
      </c>
      <c r="D5" s="38">
        <v>75</v>
      </c>
      <c r="E5" s="53"/>
      <c r="F5" s="54" t="s">
        <v>4095</v>
      </c>
      <c r="G5" s="57" t="s">
        <v>3714</v>
      </c>
      <c r="H5" s="56"/>
      <c r="I5" s="64"/>
      <c r="J5" s="64"/>
      <c r="K5" s="64"/>
      <c r="L5" s="53">
        <v>7.1693</v>
      </c>
      <c r="M5" s="81">
        <v>45708</v>
      </c>
      <c r="N5" s="81">
        <v>45710</v>
      </c>
      <c r="O5" s="81">
        <v>45714</v>
      </c>
      <c r="P5" s="344"/>
      <c r="Q5" s="344"/>
      <c r="R5" s="41"/>
      <c r="S5" s="99"/>
      <c r="T5" s="72"/>
    </row>
    <row r="6" ht="14.9" customHeight="1" spans="1:20">
      <c r="A6" s="36" t="s">
        <v>4084</v>
      </c>
      <c r="B6" s="33" t="s">
        <v>1824</v>
      </c>
      <c r="C6" s="48" t="s">
        <v>3748</v>
      </c>
      <c r="D6" s="46"/>
      <c r="E6" s="53"/>
      <c r="F6" s="54" t="s">
        <v>4081</v>
      </c>
      <c r="G6" s="57" t="s">
        <v>4219</v>
      </c>
      <c r="H6" s="56"/>
      <c r="I6" s="64"/>
      <c r="J6" s="64"/>
      <c r="K6" s="64"/>
      <c r="L6" s="53">
        <v>7.1693</v>
      </c>
      <c r="M6" s="81" t="s">
        <v>4115</v>
      </c>
      <c r="N6" s="472">
        <v>45716</v>
      </c>
      <c r="O6" s="473">
        <v>45719</v>
      </c>
      <c r="P6" s="344"/>
      <c r="Q6" s="69"/>
      <c r="R6" s="165"/>
      <c r="S6" s="69"/>
      <c r="T6" s="69"/>
    </row>
    <row r="7" ht="16.5" spans="1:20">
      <c r="A7" s="36" t="s">
        <v>4084</v>
      </c>
      <c r="B7" s="33" t="s">
        <v>1824</v>
      </c>
      <c r="C7" s="48" t="s">
        <v>3748</v>
      </c>
      <c r="D7" s="38"/>
      <c r="E7" s="53"/>
      <c r="F7" s="54" t="s">
        <v>4113</v>
      </c>
      <c r="G7" s="57" t="s">
        <v>4220</v>
      </c>
      <c r="H7" s="56"/>
      <c r="I7" s="64"/>
      <c r="J7" s="71"/>
      <c r="K7" s="71"/>
      <c r="L7" s="53">
        <v>7.1693</v>
      </c>
      <c r="M7" s="81">
        <v>45708</v>
      </c>
      <c r="N7" s="87">
        <v>45709</v>
      </c>
      <c r="O7" s="87">
        <v>45714</v>
      </c>
      <c r="P7" s="86"/>
      <c r="Q7" s="98"/>
      <c r="R7" s="41"/>
      <c r="S7" s="40"/>
      <c r="T7" s="428"/>
    </row>
    <row r="8" ht="14.9" customHeight="1" spans="1:20">
      <c r="A8" s="36" t="s">
        <v>4084</v>
      </c>
      <c r="B8" s="33" t="s">
        <v>1824</v>
      </c>
      <c r="C8" s="37" t="s">
        <v>4092</v>
      </c>
      <c r="D8" s="41">
        <v>65</v>
      </c>
      <c r="E8" s="48"/>
      <c r="F8" s="57" t="s">
        <v>4093</v>
      </c>
      <c r="G8" s="53" t="s">
        <v>4094</v>
      </c>
      <c r="H8" s="55"/>
      <c r="I8" s="71"/>
      <c r="J8" s="72"/>
      <c r="K8" s="72"/>
      <c r="L8" s="53">
        <v>7.1693</v>
      </c>
      <c r="M8" s="81"/>
      <c r="N8" s="81"/>
      <c r="O8" s="81">
        <v>45692</v>
      </c>
      <c r="P8" s="82"/>
      <c r="Q8" s="98"/>
      <c r="R8" s="41"/>
      <c r="S8" s="40"/>
      <c r="T8" s="428"/>
    </row>
    <row r="9" ht="14.9" customHeight="1" spans="1:20">
      <c r="A9" s="36" t="s">
        <v>4084</v>
      </c>
      <c r="B9" s="33" t="s">
        <v>1824</v>
      </c>
      <c r="C9" s="37" t="s">
        <v>4092</v>
      </c>
      <c r="D9" s="41"/>
      <c r="E9" s="53"/>
      <c r="F9" s="54" t="s">
        <v>4095</v>
      </c>
      <c r="G9" s="53" t="s">
        <v>4098</v>
      </c>
      <c r="H9" s="56"/>
      <c r="I9" s="71"/>
      <c r="J9" s="73"/>
      <c r="K9" s="73"/>
      <c r="L9" s="53">
        <v>7.1693</v>
      </c>
      <c r="M9" s="81"/>
      <c r="N9" s="81"/>
      <c r="O9" s="81">
        <v>45691</v>
      </c>
      <c r="P9" s="82"/>
      <c r="Q9" s="98"/>
      <c r="R9" s="41"/>
      <c r="S9" s="40"/>
      <c r="T9" s="428"/>
    </row>
    <row r="10" ht="14.9" customHeight="1" spans="1:20">
      <c r="A10" s="36" t="s">
        <v>4084</v>
      </c>
      <c r="B10" s="33" t="s">
        <v>1824</v>
      </c>
      <c r="C10" s="37" t="s">
        <v>4092</v>
      </c>
      <c r="D10" s="41"/>
      <c r="E10" s="53"/>
      <c r="F10" s="53" t="s">
        <v>4095</v>
      </c>
      <c r="G10" s="53" t="s">
        <v>4099</v>
      </c>
      <c r="H10" s="56"/>
      <c r="I10" s="71"/>
      <c r="J10" s="71"/>
      <c r="K10" s="71"/>
      <c r="L10" s="53">
        <v>7.1693</v>
      </c>
      <c r="M10" s="81"/>
      <c r="N10" s="81"/>
      <c r="O10" s="81">
        <v>45691</v>
      </c>
      <c r="P10" s="82"/>
      <c r="Q10" s="98"/>
      <c r="R10" s="41"/>
      <c r="S10" s="40"/>
      <c r="T10" s="428"/>
    </row>
    <row r="11" ht="14.9" customHeight="1" spans="1:20">
      <c r="A11" s="36" t="s">
        <v>4084</v>
      </c>
      <c r="B11" s="33" t="s">
        <v>1824</v>
      </c>
      <c r="C11" s="37" t="s">
        <v>4092</v>
      </c>
      <c r="D11" s="41"/>
      <c r="E11" s="53"/>
      <c r="F11" s="53" t="s">
        <v>4095</v>
      </c>
      <c r="G11" s="53" t="s">
        <v>4221</v>
      </c>
      <c r="H11" s="56"/>
      <c r="I11" s="71"/>
      <c r="J11" s="71"/>
      <c r="K11" s="71"/>
      <c r="L11" s="53">
        <v>7.1693</v>
      </c>
      <c r="M11" s="81">
        <v>45703</v>
      </c>
      <c r="N11" s="81">
        <v>45707</v>
      </c>
      <c r="O11" s="81">
        <v>45713</v>
      </c>
      <c r="P11" s="82"/>
      <c r="Q11" s="98"/>
      <c r="R11" s="41"/>
      <c r="S11" s="40"/>
      <c r="T11" s="428"/>
    </row>
    <row r="12" ht="17.1" customHeight="1" spans="1:20">
      <c r="A12" s="36" t="s">
        <v>4084</v>
      </c>
      <c r="B12" s="33" t="s">
        <v>1824</v>
      </c>
      <c r="C12" s="37" t="s">
        <v>4092</v>
      </c>
      <c r="D12" s="46"/>
      <c r="E12" s="53"/>
      <c r="F12" s="54" t="s">
        <v>4122</v>
      </c>
      <c r="G12" s="53" t="s">
        <v>4222</v>
      </c>
      <c r="H12" s="56"/>
      <c r="I12" s="71"/>
      <c r="J12" s="73"/>
      <c r="K12" s="72"/>
      <c r="L12" s="53">
        <v>7.1693</v>
      </c>
      <c r="M12" s="85">
        <v>45715</v>
      </c>
      <c r="N12" s="474">
        <v>45715</v>
      </c>
      <c r="O12" s="81">
        <v>45721</v>
      </c>
      <c r="P12" s="86"/>
      <c r="Q12" s="98"/>
      <c r="R12" s="41"/>
      <c r="S12" s="99"/>
      <c r="T12" s="100"/>
    </row>
    <row r="13" ht="16.5" spans="1:20">
      <c r="A13" s="36" t="s">
        <v>4084</v>
      </c>
      <c r="B13" s="33" t="s">
        <v>1824</v>
      </c>
      <c r="C13" s="40" t="s">
        <v>2361</v>
      </c>
      <c r="D13" s="35">
        <v>115</v>
      </c>
      <c r="E13" s="53"/>
      <c r="F13" s="53" t="s">
        <v>4093</v>
      </c>
      <c r="G13" s="53" t="s">
        <v>4109</v>
      </c>
      <c r="H13" s="56"/>
      <c r="I13" s="71"/>
      <c r="J13" s="71"/>
      <c r="K13" s="64"/>
      <c r="L13" s="53">
        <v>7.1693</v>
      </c>
      <c r="M13" s="474">
        <v>45682</v>
      </c>
      <c r="N13" s="81">
        <v>45701</v>
      </c>
      <c r="O13" s="81">
        <v>45707</v>
      </c>
      <c r="P13" s="82"/>
      <c r="Q13" s="429"/>
      <c r="R13" s="346"/>
      <c r="S13" s="102"/>
      <c r="T13" s="72"/>
    </row>
    <row r="14" ht="16.5" spans="1:20">
      <c r="A14" s="36" t="s">
        <v>4084</v>
      </c>
      <c r="B14" s="33" t="s">
        <v>1824</v>
      </c>
      <c r="C14" s="40" t="s">
        <v>2361</v>
      </c>
      <c r="D14" s="35"/>
      <c r="E14" s="53"/>
      <c r="F14" s="53" t="s">
        <v>4093</v>
      </c>
      <c r="G14" s="53" t="s">
        <v>4223</v>
      </c>
      <c r="H14" s="56"/>
      <c r="I14" s="71"/>
      <c r="J14" s="71"/>
      <c r="K14" s="64"/>
      <c r="L14" s="53">
        <v>7.1693</v>
      </c>
      <c r="M14" s="474">
        <v>45682</v>
      </c>
      <c r="N14" s="81">
        <v>45701</v>
      </c>
      <c r="O14" s="81">
        <v>45707</v>
      </c>
      <c r="P14" s="82"/>
      <c r="Q14" s="141"/>
      <c r="R14" s="346"/>
      <c r="S14" s="102"/>
      <c r="T14" s="72"/>
    </row>
    <row r="15" ht="16.5" spans="1:20">
      <c r="A15" s="36" t="s">
        <v>4084</v>
      </c>
      <c r="B15" s="33" t="s">
        <v>1824</v>
      </c>
      <c r="C15" s="40" t="s">
        <v>2361</v>
      </c>
      <c r="D15" s="35"/>
      <c r="E15" s="53"/>
      <c r="F15" s="54" t="s">
        <v>4095</v>
      </c>
      <c r="G15" s="53" t="s">
        <v>4224</v>
      </c>
      <c r="H15" s="56"/>
      <c r="I15" s="71"/>
      <c r="J15" s="64"/>
      <c r="K15" s="64"/>
      <c r="L15" s="53">
        <v>7.1693</v>
      </c>
      <c r="M15" s="81" t="s">
        <v>4115</v>
      </c>
      <c r="N15" s="81">
        <v>45706</v>
      </c>
      <c r="O15" s="81">
        <v>45711</v>
      </c>
      <c r="P15" s="82"/>
      <c r="Q15" s="347"/>
      <c r="R15" s="346"/>
      <c r="S15" s="99"/>
      <c r="T15" s="72"/>
    </row>
    <row r="16" ht="16.5" spans="1:20">
      <c r="A16" s="36" t="s">
        <v>4084</v>
      </c>
      <c r="B16" s="33" t="s">
        <v>1824</v>
      </c>
      <c r="C16" s="40" t="s">
        <v>2361</v>
      </c>
      <c r="D16" s="35"/>
      <c r="E16" s="53"/>
      <c r="F16" s="53" t="s">
        <v>4093</v>
      </c>
      <c r="G16" s="53" t="s">
        <v>4225</v>
      </c>
      <c r="H16" s="56"/>
      <c r="I16" s="71"/>
      <c r="J16" s="71"/>
      <c r="K16" s="64"/>
      <c r="L16" s="53">
        <v>7.1693</v>
      </c>
      <c r="M16" s="81" t="s">
        <v>4115</v>
      </c>
      <c r="N16" s="81">
        <v>45707</v>
      </c>
      <c r="O16" s="81">
        <v>45707</v>
      </c>
      <c r="P16" s="82"/>
      <c r="Q16" s="347"/>
      <c r="R16" s="346"/>
      <c r="S16" s="99"/>
      <c r="T16" s="72"/>
    </row>
    <row r="17" ht="33" spans="1:20">
      <c r="A17" s="36" t="s">
        <v>4084</v>
      </c>
      <c r="B17" s="203" t="s">
        <v>3248</v>
      </c>
      <c r="C17" s="186" t="s">
        <v>2382</v>
      </c>
      <c r="D17" s="107" t="s">
        <v>1125</v>
      </c>
      <c r="E17" s="53"/>
      <c r="F17" s="58"/>
      <c r="G17" s="53"/>
      <c r="H17" s="55"/>
      <c r="I17" s="64"/>
      <c r="J17" s="70"/>
      <c r="K17" s="70"/>
      <c r="L17" s="53"/>
      <c r="M17" s="81"/>
      <c r="N17" s="88"/>
      <c r="O17" s="88"/>
      <c r="P17" s="89"/>
      <c r="Q17" s="98"/>
      <c r="R17" s="41"/>
      <c r="S17" s="40"/>
      <c r="T17" s="72"/>
    </row>
    <row r="18" ht="33" spans="1:20">
      <c r="A18" s="36" t="s">
        <v>4084</v>
      </c>
      <c r="B18" s="203" t="s">
        <v>3248</v>
      </c>
      <c r="C18" s="217" t="s">
        <v>3748</v>
      </c>
      <c r="D18" s="46"/>
      <c r="E18" s="53"/>
      <c r="F18" s="58" t="s">
        <v>4093</v>
      </c>
      <c r="G18" s="53" t="s">
        <v>4226</v>
      </c>
      <c r="H18" s="55"/>
      <c r="I18" s="71"/>
      <c r="J18" s="70"/>
      <c r="K18" s="70"/>
      <c r="L18" s="53">
        <v>7.1879</v>
      </c>
      <c r="M18" s="81"/>
      <c r="N18" s="88"/>
      <c r="O18" s="88"/>
      <c r="P18" s="89"/>
      <c r="Q18" s="98"/>
      <c r="R18" s="41"/>
      <c r="S18" s="40"/>
      <c r="T18" s="72"/>
    </row>
    <row r="19" ht="33" spans="1:20">
      <c r="A19" s="36" t="s">
        <v>4084</v>
      </c>
      <c r="B19" s="203" t="s">
        <v>3248</v>
      </c>
      <c r="C19" s="219"/>
      <c r="D19" s="46"/>
      <c r="E19" s="53"/>
      <c r="F19" s="54" t="s">
        <v>4113</v>
      </c>
      <c r="G19" s="57" t="s">
        <v>4119</v>
      </c>
      <c r="H19" s="56"/>
      <c r="I19" s="71"/>
      <c r="J19" s="69"/>
      <c r="K19" s="69"/>
      <c r="L19" s="53">
        <v>7.1879</v>
      </c>
      <c r="M19" s="425"/>
      <c r="N19" s="361"/>
      <c r="O19" s="425"/>
      <c r="P19" s="475"/>
      <c r="Q19" s="69"/>
      <c r="R19" s="165"/>
      <c r="S19" s="69"/>
      <c r="T19" s="69"/>
    </row>
    <row r="20" ht="33" spans="1:20">
      <c r="A20" s="36" t="s">
        <v>4084</v>
      </c>
      <c r="B20" s="203" t="s">
        <v>3248</v>
      </c>
      <c r="C20" s="34" t="s">
        <v>4092</v>
      </c>
      <c r="D20" s="46"/>
      <c r="E20" s="53"/>
      <c r="F20" s="54" t="s">
        <v>4122</v>
      </c>
      <c r="G20" s="53" t="s">
        <v>4227</v>
      </c>
      <c r="H20" s="56"/>
      <c r="I20" s="71"/>
      <c r="J20" s="73"/>
      <c r="K20" s="72"/>
      <c r="L20" s="53">
        <v>7.1879</v>
      </c>
      <c r="M20" s="81"/>
      <c r="N20" s="81"/>
      <c r="O20" s="81"/>
      <c r="P20" s="82"/>
      <c r="Q20" s="345"/>
      <c r="R20" s="346"/>
      <c r="S20" s="99"/>
      <c r="T20" s="72"/>
    </row>
    <row r="21" ht="33" spans="1:20">
      <c r="A21" s="36" t="s">
        <v>4084</v>
      </c>
      <c r="B21" s="203" t="s">
        <v>3248</v>
      </c>
      <c r="C21" s="34"/>
      <c r="D21" s="38"/>
      <c r="E21" s="53"/>
      <c r="F21" s="53" t="s">
        <v>4095</v>
      </c>
      <c r="G21" s="53" t="s">
        <v>4228</v>
      </c>
      <c r="H21" s="56"/>
      <c r="I21" s="71"/>
      <c r="J21" s="71"/>
      <c r="K21" s="71"/>
      <c r="L21" s="53">
        <v>7.1879</v>
      </c>
      <c r="M21" s="81">
        <v>45740</v>
      </c>
      <c r="N21" s="424"/>
      <c r="O21" s="423"/>
      <c r="P21" s="90"/>
      <c r="Q21" s="345"/>
      <c r="R21" s="346"/>
      <c r="S21" s="99"/>
      <c r="T21" s="72"/>
    </row>
    <row r="22" ht="18" customHeight="1" spans="1:20">
      <c r="A22" s="36" t="s">
        <v>4084</v>
      </c>
      <c r="B22" s="203" t="s">
        <v>3248</v>
      </c>
      <c r="C22" s="34"/>
      <c r="D22" s="46"/>
      <c r="E22" s="53"/>
      <c r="F22" s="54" t="s">
        <v>4122</v>
      </c>
      <c r="G22" s="53" t="s">
        <v>4229</v>
      </c>
      <c r="H22" s="56"/>
      <c r="I22" s="71"/>
      <c r="J22" s="73"/>
      <c r="K22" s="72"/>
      <c r="L22" s="53">
        <v>7.1693</v>
      </c>
      <c r="M22" s="85"/>
      <c r="N22" s="157"/>
      <c r="O22" s="423"/>
      <c r="P22" s="90"/>
      <c r="Q22" s="98"/>
      <c r="R22" s="41"/>
      <c r="S22" s="99"/>
      <c r="T22" s="100"/>
    </row>
    <row r="23" ht="33" spans="1:20">
      <c r="A23" s="36" t="s">
        <v>4084</v>
      </c>
      <c r="B23" s="203" t="s">
        <v>3248</v>
      </c>
      <c r="C23" s="42" t="s">
        <v>2361</v>
      </c>
      <c r="D23" s="38"/>
      <c r="E23" s="53"/>
      <c r="F23" s="53" t="s">
        <v>4095</v>
      </c>
      <c r="G23" s="53" t="s">
        <v>4230</v>
      </c>
      <c r="H23" s="56"/>
      <c r="I23" s="71"/>
      <c r="J23" s="71"/>
      <c r="K23" s="71"/>
      <c r="L23" s="53">
        <v>7.1693</v>
      </c>
      <c r="M23" s="81" t="s">
        <v>4115</v>
      </c>
      <c r="N23" s="424"/>
      <c r="O23" s="423"/>
      <c r="P23" s="90"/>
      <c r="Q23" s="345"/>
      <c r="R23" s="346"/>
      <c r="S23" s="99"/>
      <c r="T23" s="72"/>
    </row>
    <row r="24" ht="33" spans="1:20">
      <c r="A24" s="36" t="s">
        <v>4084</v>
      </c>
      <c r="B24" s="203" t="s">
        <v>3248</v>
      </c>
      <c r="C24" s="104"/>
      <c r="D24" s="104"/>
      <c r="E24" s="53"/>
      <c r="F24" s="53" t="s">
        <v>4093</v>
      </c>
      <c r="G24" s="53" t="s">
        <v>4110</v>
      </c>
      <c r="H24" s="56"/>
      <c r="I24" s="71"/>
      <c r="J24" s="64"/>
      <c r="K24" s="64"/>
      <c r="L24" s="53">
        <v>7.1693</v>
      </c>
      <c r="M24" s="81" t="s">
        <v>4115</v>
      </c>
      <c r="N24" s="81"/>
      <c r="O24" s="81"/>
      <c r="P24" s="82"/>
      <c r="Q24" s="350"/>
      <c r="R24" s="41"/>
      <c r="S24" s="99"/>
      <c r="T24" s="72"/>
    </row>
    <row r="25" ht="33" spans="1:20">
      <c r="A25" s="36" t="s">
        <v>4084</v>
      </c>
      <c r="B25" s="203" t="s">
        <v>3248</v>
      </c>
      <c r="C25" s="104"/>
      <c r="D25" s="104"/>
      <c r="E25" s="53"/>
      <c r="F25" s="53" t="s">
        <v>4095</v>
      </c>
      <c r="G25" s="53" t="s">
        <v>4231</v>
      </c>
      <c r="H25" s="56"/>
      <c r="I25" s="71"/>
      <c r="J25" s="71"/>
      <c r="K25" s="71"/>
      <c r="L25" s="53">
        <v>7.1693</v>
      </c>
      <c r="M25" s="81" t="s">
        <v>4115</v>
      </c>
      <c r="N25" s="424">
        <v>45706</v>
      </c>
      <c r="O25" s="423"/>
      <c r="P25" s="90"/>
      <c r="Q25" s="350"/>
      <c r="R25" s="41"/>
      <c r="S25" s="99"/>
      <c r="T25" s="72"/>
    </row>
    <row r="26" ht="33" spans="1:20">
      <c r="A26" s="36" t="s">
        <v>4084</v>
      </c>
      <c r="B26" s="203" t="s">
        <v>3248</v>
      </c>
      <c r="C26" s="104"/>
      <c r="D26" s="104"/>
      <c r="E26" s="53"/>
      <c r="F26" s="53" t="s">
        <v>4095</v>
      </c>
      <c r="G26" s="53" t="s">
        <v>4232</v>
      </c>
      <c r="H26" s="56"/>
      <c r="I26" s="71"/>
      <c r="J26" s="68"/>
      <c r="K26" s="68"/>
      <c r="L26" s="53">
        <v>7.1693</v>
      </c>
      <c r="M26" s="81"/>
      <c r="N26" s="81"/>
      <c r="O26" s="81"/>
      <c r="P26" s="82"/>
      <c r="Q26" s="350"/>
      <c r="R26" s="41"/>
      <c r="S26" s="99"/>
      <c r="T26" s="72"/>
    </row>
    <row r="27" ht="33" spans="1:20">
      <c r="A27" s="36" t="s">
        <v>4084</v>
      </c>
      <c r="B27" s="203" t="s">
        <v>3248</v>
      </c>
      <c r="C27" s="104"/>
      <c r="D27" s="104"/>
      <c r="E27" s="57"/>
      <c r="F27" s="53" t="s">
        <v>4095</v>
      </c>
      <c r="G27" s="59" t="s">
        <v>4233</v>
      </c>
      <c r="H27" s="56"/>
      <c r="I27" s="71"/>
      <c r="J27" s="68"/>
      <c r="K27" s="68"/>
      <c r="L27" s="53">
        <v>7.1693</v>
      </c>
      <c r="M27" s="81" t="s">
        <v>4115</v>
      </c>
      <c r="N27" s="424">
        <v>45713</v>
      </c>
      <c r="O27" s="423">
        <v>45713</v>
      </c>
      <c r="P27" s="90"/>
      <c r="Q27" s="350"/>
      <c r="R27" s="41"/>
      <c r="S27" s="99"/>
      <c r="T27" s="72"/>
    </row>
    <row r="28" ht="33" spans="1:20">
      <c r="A28" s="36" t="s">
        <v>4084</v>
      </c>
      <c r="B28" s="203" t="s">
        <v>3248</v>
      </c>
      <c r="C28" s="470" t="s">
        <v>4085</v>
      </c>
      <c r="D28" s="104"/>
      <c r="E28" s="53"/>
      <c r="F28" s="58" t="s">
        <v>4081</v>
      </c>
      <c r="G28" s="48" t="s">
        <v>4234</v>
      </c>
      <c r="H28" s="48"/>
      <c r="I28" s="71"/>
      <c r="J28" s="68"/>
      <c r="K28" s="68"/>
      <c r="L28" s="53">
        <v>7.1693</v>
      </c>
      <c r="M28" s="422">
        <v>45714</v>
      </c>
      <c r="N28" s="157"/>
      <c r="O28" s="202"/>
      <c r="P28" s="344"/>
      <c r="Q28" s="350"/>
      <c r="R28" s="41"/>
      <c r="S28" s="99"/>
      <c r="T28" s="72"/>
    </row>
    <row r="29" ht="33" spans="1:20">
      <c r="A29" s="36" t="s">
        <v>4084</v>
      </c>
      <c r="B29" s="203" t="s">
        <v>3248</v>
      </c>
      <c r="C29" s="104"/>
      <c r="D29" s="104"/>
      <c r="E29" s="53"/>
      <c r="F29" s="58" t="s">
        <v>4081</v>
      </c>
      <c r="G29" s="48" t="s">
        <v>2903</v>
      </c>
      <c r="H29" s="48"/>
      <c r="I29" s="71"/>
      <c r="J29" s="68"/>
      <c r="K29" s="68"/>
      <c r="L29" s="53">
        <v>7.1693</v>
      </c>
      <c r="M29" s="422" t="s">
        <v>4115</v>
      </c>
      <c r="N29" s="157"/>
      <c r="O29" s="202"/>
      <c r="P29" s="344"/>
      <c r="Q29" s="350"/>
      <c r="R29" s="41"/>
      <c r="S29" s="99"/>
      <c r="T29" s="72"/>
    </row>
    <row r="30" ht="33" spans="1:20">
      <c r="A30" s="36" t="s">
        <v>4084</v>
      </c>
      <c r="B30" s="203" t="s">
        <v>3248</v>
      </c>
      <c r="C30" s="471"/>
      <c r="D30" s="104"/>
      <c r="E30" s="53"/>
      <c r="F30" s="58" t="s">
        <v>4081</v>
      </c>
      <c r="G30" s="48" t="s">
        <v>4235</v>
      </c>
      <c r="H30" s="48"/>
      <c r="I30" s="71"/>
      <c r="J30" s="68"/>
      <c r="K30" s="68"/>
      <c r="L30" s="53">
        <v>7.1693</v>
      </c>
      <c r="M30" s="422">
        <v>45807</v>
      </c>
      <c r="N30" s="157"/>
      <c r="O30" s="202"/>
      <c r="P30" s="344"/>
      <c r="Q30" s="350"/>
      <c r="R30" s="41"/>
      <c r="S30" s="99"/>
      <c r="T30" s="72"/>
    </row>
    <row r="31" ht="19.75" customHeight="1" spans="1:20">
      <c r="A31" s="36" t="s">
        <v>4084</v>
      </c>
      <c r="B31" s="106" t="s">
        <v>1875</v>
      </c>
      <c r="C31" s="40" t="s">
        <v>2382</v>
      </c>
      <c r="D31" s="107" t="s">
        <v>1125</v>
      </c>
      <c r="E31" s="53"/>
      <c r="F31" s="54"/>
      <c r="G31" s="53"/>
      <c r="H31" s="56"/>
      <c r="I31" s="71"/>
      <c r="J31" s="68"/>
      <c r="K31" s="68"/>
      <c r="L31" s="53"/>
      <c r="M31" s="422"/>
      <c r="N31" s="157"/>
      <c r="O31" s="202"/>
      <c r="P31" s="90"/>
      <c r="Q31" s="350"/>
      <c r="R31" s="41"/>
      <c r="S31" s="99"/>
      <c r="T31" s="72"/>
    </row>
    <row r="32" ht="14.9" customHeight="1" spans="1:20">
      <c r="A32" s="36" t="s">
        <v>4084</v>
      </c>
      <c r="B32" s="106" t="s">
        <v>1875</v>
      </c>
      <c r="C32" s="103" t="s">
        <v>4085</v>
      </c>
      <c r="D32" s="46"/>
      <c r="E32" s="53"/>
      <c r="F32" s="54" t="s">
        <v>4081</v>
      </c>
      <c r="G32" s="57" t="s">
        <v>4236</v>
      </c>
      <c r="H32" s="56"/>
      <c r="I32" s="71"/>
      <c r="J32" s="67"/>
      <c r="K32" s="71"/>
      <c r="L32" s="53">
        <f>L21</f>
        <v>7.1879</v>
      </c>
      <c r="M32" s="81"/>
      <c r="N32" s="87"/>
      <c r="O32" s="87"/>
      <c r="P32" s="86"/>
      <c r="Q32" s="69"/>
      <c r="R32" s="165"/>
      <c r="S32" s="69"/>
      <c r="T32" s="69"/>
    </row>
    <row r="33" ht="14.9" customHeight="1" spans="1:20">
      <c r="A33" s="36" t="s">
        <v>4084</v>
      </c>
      <c r="B33" s="106" t="s">
        <v>1875</v>
      </c>
      <c r="C33" s="40" t="s">
        <v>3748</v>
      </c>
      <c r="D33" s="46"/>
      <c r="E33" s="53"/>
      <c r="F33" s="54" t="s">
        <v>4113</v>
      </c>
      <c r="G33" s="57" t="s">
        <v>4114</v>
      </c>
      <c r="H33" s="56"/>
      <c r="I33" s="71"/>
      <c r="J33" s="67"/>
      <c r="K33" s="71"/>
      <c r="L33" s="53">
        <v>7.1879</v>
      </c>
      <c r="M33" s="81" t="s">
        <v>4115</v>
      </c>
      <c r="N33" s="87"/>
      <c r="O33" s="87"/>
      <c r="P33" s="86"/>
      <c r="Q33" s="69"/>
      <c r="R33" s="165"/>
      <c r="S33" s="69"/>
      <c r="T33" s="69"/>
    </row>
    <row r="34" ht="14.9" customHeight="1" spans="1:20">
      <c r="A34" s="36" t="s">
        <v>4084</v>
      </c>
      <c r="B34" s="106" t="s">
        <v>1875</v>
      </c>
      <c r="C34" s="40"/>
      <c r="D34" s="46"/>
      <c r="E34" s="53"/>
      <c r="F34" s="54" t="s">
        <v>4113</v>
      </c>
      <c r="G34" s="57" t="s">
        <v>4116</v>
      </c>
      <c r="H34" s="56"/>
      <c r="I34" s="71"/>
      <c r="J34" s="67"/>
      <c r="K34" s="71"/>
      <c r="L34" s="53">
        <v>7.1879</v>
      </c>
      <c r="M34" s="81" t="s">
        <v>4115</v>
      </c>
      <c r="N34" s="87"/>
      <c r="O34" s="87"/>
      <c r="P34" s="86"/>
      <c r="Q34" s="69"/>
      <c r="R34" s="165"/>
      <c r="S34" s="69"/>
      <c r="T34" s="69"/>
    </row>
    <row r="35" ht="14.9" customHeight="1" spans="1:20">
      <c r="A35" s="36" t="s">
        <v>4084</v>
      </c>
      <c r="B35" s="106" t="s">
        <v>1875</v>
      </c>
      <c r="C35" s="40"/>
      <c r="D35" s="46"/>
      <c r="E35" s="53"/>
      <c r="F35" s="54" t="s">
        <v>4081</v>
      </c>
      <c r="G35" s="57" t="s">
        <v>4237</v>
      </c>
      <c r="H35" s="56"/>
      <c r="I35" s="71"/>
      <c r="J35" s="69"/>
      <c r="K35" s="69"/>
      <c r="L35" s="53">
        <v>7.1879</v>
      </c>
      <c r="M35" s="69"/>
      <c r="N35" s="165"/>
      <c r="O35" s="69"/>
      <c r="P35" s="181"/>
      <c r="Q35" s="69"/>
      <c r="R35" s="165"/>
      <c r="S35" s="69"/>
      <c r="T35" s="69"/>
    </row>
    <row r="36" ht="14.9" customHeight="1" spans="1:20">
      <c r="A36" s="36" t="s">
        <v>4084</v>
      </c>
      <c r="B36" s="106" t="s">
        <v>1875</v>
      </c>
      <c r="C36" s="40"/>
      <c r="D36" s="46"/>
      <c r="E36" s="53"/>
      <c r="F36" s="54" t="s">
        <v>4081</v>
      </c>
      <c r="G36" s="57"/>
      <c r="H36" s="56"/>
      <c r="I36" s="71"/>
      <c r="J36" s="69"/>
      <c r="K36" s="69"/>
      <c r="L36" s="53"/>
      <c r="M36" s="69"/>
      <c r="N36" s="165"/>
      <c r="O36" s="69"/>
      <c r="P36" s="181"/>
      <c r="Q36" s="69"/>
      <c r="R36" s="165"/>
      <c r="S36" s="69"/>
      <c r="T36" s="69"/>
    </row>
    <row r="37" ht="14.9" customHeight="1" spans="1:20">
      <c r="A37" s="36" t="s">
        <v>4084</v>
      </c>
      <c r="B37" s="106" t="s">
        <v>1875</v>
      </c>
      <c r="C37" s="40"/>
      <c r="D37" s="46"/>
      <c r="E37" s="53"/>
      <c r="F37" s="54" t="s">
        <v>4095</v>
      </c>
      <c r="G37" s="57"/>
      <c r="H37" s="56"/>
      <c r="I37" s="71"/>
      <c r="J37" s="69"/>
      <c r="K37" s="69"/>
      <c r="L37" s="53"/>
      <c r="M37" s="69"/>
      <c r="N37" s="165"/>
      <c r="O37" s="69"/>
      <c r="P37" s="181"/>
      <c r="Q37" s="69"/>
      <c r="R37" s="165"/>
      <c r="S37" s="69"/>
      <c r="T37" s="69"/>
    </row>
    <row r="38" ht="14.9" customHeight="1" spans="1:20">
      <c r="A38" s="36" t="s">
        <v>4084</v>
      </c>
      <c r="B38" s="106" t="s">
        <v>1875</v>
      </c>
      <c r="C38" s="40"/>
      <c r="D38" s="46"/>
      <c r="E38" s="53"/>
      <c r="F38" s="54" t="s">
        <v>4093</v>
      </c>
      <c r="G38" s="57"/>
      <c r="H38" s="56"/>
      <c r="I38" s="71"/>
      <c r="J38" s="69"/>
      <c r="K38" s="69"/>
      <c r="L38" s="53"/>
      <c r="M38" s="69"/>
      <c r="N38" s="165"/>
      <c r="O38" s="69"/>
      <c r="P38" s="181"/>
      <c r="Q38" s="69"/>
      <c r="R38" s="165"/>
      <c r="S38" s="69"/>
      <c r="T38" s="69"/>
    </row>
    <row r="39" ht="14.9" customHeight="1" spans="1:20">
      <c r="A39" s="36" t="s">
        <v>4084</v>
      </c>
      <c r="B39" s="106" t="s">
        <v>1875</v>
      </c>
      <c r="C39" s="40"/>
      <c r="D39" s="46"/>
      <c r="E39" s="53"/>
      <c r="F39" s="54" t="s">
        <v>4081</v>
      </c>
      <c r="G39" s="57" t="s">
        <v>4117</v>
      </c>
      <c r="H39" s="56"/>
      <c r="I39" s="71"/>
      <c r="J39" s="69"/>
      <c r="K39" s="69"/>
      <c r="L39" s="53"/>
      <c r="M39" s="69"/>
      <c r="N39" s="165"/>
      <c r="O39" s="69"/>
      <c r="P39" s="181"/>
      <c r="Q39" s="69"/>
      <c r="R39" s="165"/>
      <c r="S39" s="69"/>
      <c r="T39" s="69"/>
    </row>
    <row r="40" ht="14.9" customHeight="1" spans="1:20">
      <c r="A40" s="36" t="s">
        <v>4084</v>
      </c>
      <c r="B40" s="106" t="s">
        <v>1875</v>
      </c>
      <c r="C40" s="40"/>
      <c r="D40" s="46"/>
      <c r="E40" s="53"/>
      <c r="F40" s="54" t="s">
        <v>4081</v>
      </c>
      <c r="G40" s="57" t="s">
        <v>4118</v>
      </c>
      <c r="H40" s="56"/>
      <c r="I40" s="71"/>
      <c r="J40" s="69"/>
      <c r="K40" s="69"/>
      <c r="L40" s="53"/>
      <c r="M40" s="69"/>
      <c r="N40" s="165"/>
      <c r="O40" s="69"/>
      <c r="P40" s="181"/>
      <c r="Q40" s="69"/>
      <c r="R40" s="165"/>
      <c r="S40" s="69"/>
      <c r="T40" s="69"/>
    </row>
    <row r="41" ht="14.9" customHeight="1" spans="1:20">
      <c r="A41" s="36" t="s">
        <v>4084</v>
      </c>
      <c r="B41" s="106" t="s">
        <v>1875</v>
      </c>
      <c r="C41" s="40"/>
      <c r="D41" s="46"/>
      <c r="E41" s="53"/>
      <c r="F41" s="54" t="s">
        <v>4081</v>
      </c>
      <c r="G41" s="57" t="s">
        <v>4219</v>
      </c>
      <c r="H41" s="56"/>
      <c r="I41" s="71"/>
      <c r="J41" s="69"/>
      <c r="K41" s="69"/>
      <c r="L41" s="53"/>
      <c r="M41" s="69"/>
      <c r="N41" s="165"/>
      <c r="O41" s="69"/>
      <c r="P41" s="181"/>
      <c r="Q41" s="69"/>
      <c r="R41" s="165"/>
      <c r="S41" s="69"/>
      <c r="T41" s="69"/>
    </row>
    <row r="42" ht="14.9" customHeight="1" spans="1:20">
      <c r="A42" s="36" t="s">
        <v>4084</v>
      </c>
      <c r="B42" s="106" t="s">
        <v>1875</v>
      </c>
      <c r="C42" s="476"/>
      <c r="D42" s="46"/>
      <c r="E42" s="53"/>
      <c r="F42" s="54" t="s">
        <v>4113</v>
      </c>
      <c r="G42" s="57" t="s">
        <v>4116</v>
      </c>
      <c r="H42" s="56"/>
      <c r="I42" s="71"/>
      <c r="J42" s="67"/>
      <c r="K42" s="71"/>
      <c r="L42" s="53">
        <v>7.1693</v>
      </c>
      <c r="M42" s="81" t="s">
        <v>4115</v>
      </c>
      <c r="N42" s="87"/>
      <c r="O42" s="87"/>
      <c r="P42" s="86"/>
      <c r="Q42" s="98"/>
      <c r="R42" s="41"/>
      <c r="S42" s="40"/>
      <c r="T42" s="428"/>
    </row>
    <row r="43" ht="14.9" customHeight="1" spans="1:20">
      <c r="A43" s="36" t="s">
        <v>4084</v>
      </c>
      <c r="B43" s="106" t="s">
        <v>1875</v>
      </c>
      <c r="C43" s="40"/>
      <c r="D43" s="46"/>
      <c r="E43" s="53"/>
      <c r="F43" s="54" t="s">
        <v>4081</v>
      </c>
      <c r="G43" s="57"/>
      <c r="H43" s="56"/>
      <c r="I43" s="71"/>
      <c r="J43" s="69"/>
      <c r="K43" s="69"/>
      <c r="L43" s="53"/>
      <c r="M43" s="69"/>
      <c r="N43" s="165"/>
      <c r="O43" s="69"/>
      <c r="P43" s="181"/>
      <c r="Q43" s="69"/>
      <c r="R43" s="165"/>
      <c r="S43" s="69"/>
      <c r="T43" s="69"/>
    </row>
    <row r="44" ht="14.9" customHeight="1" spans="1:20">
      <c r="A44" s="36" t="s">
        <v>4084</v>
      </c>
      <c r="B44" s="106" t="s">
        <v>1875</v>
      </c>
      <c r="C44" s="40"/>
      <c r="D44" s="46"/>
      <c r="E44" s="53"/>
      <c r="F44" s="54" t="s">
        <v>4113</v>
      </c>
      <c r="G44" s="57" t="s">
        <v>4119</v>
      </c>
      <c r="H44" s="56"/>
      <c r="I44" s="71"/>
      <c r="J44" s="69"/>
      <c r="K44" s="69"/>
      <c r="L44" s="53"/>
      <c r="M44" s="69"/>
      <c r="N44" s="165"/>
      <c r="O44" s="69"/>
      <c r="P44" s="181"/>
      <c r="Q44" s="69"/>
      <c r="R44" s="165"/>
      <c r="S44" s="69"/>
      <c r="T44" s="69"/>
    </row>
    <row r="45" ht="14.9" customHeight="1" spans="1:20">
      <c r="A45" s="36" t="s">
        <v>4084</v>
      </c>
      <c r="B45" s="106" t="s">
        <v>1875</v>
      </c>
      <c r="C45" s="40"/>
      <c r="D45" s="46"/>
      <c r="E45" s="53"/>
      <c r="F45" s="54" t="s">
        <v>4093</v>
      </c>
      <c r="G45" s="53" t="s">
        <v>4120</v>
      </c>
      <c r="H45" s="56"/>
      <c r="I45" s="71"/>
      <c r="J45" s="68"/>
      <c r="K45" s="68"/>
      <c r="L45" s="53">
        <v>7.1693</v>
      </c>
      <c r="M45" s="422"/>
      <c r="N45" s="157"/>
      <c r="O45" s="202"/>
      <c r="P45" s="90"/>
      <c r="Q45" s="69"/>
      <c r="R45" s="165"/>
      <c r="S45" s="69"/>
      <c r="T45" s="69"/>
    </row>
    <row r="46" ht="16.5" spans="1:20">
      <c r="A46" s="36" t="s">
        <v>4084</v>
      </c>
      <c r="B46" s="106" t="s">
        <v>1875</v>
      </c>
      <c r="C46" s="37" t="s">
        <v>4092</v>
      </c>
      <c r="D46" s="41"/>
      <c r="E46" s="53"/>
      <c r="F46" s="54" t="s">
        <v>4081</v>
      </c>
      <c r="G46" s="53" t="s">
        <v>4121</v>
      </c>
      <c r="H46" s="56"/>
      <c r="I46" s="71"/>
      <c r="J46" s="72"/>
      <c r="K46" s="70"/>
      <c r="L46" s="53">
        <v>7.1693</v>
      </c>
      <c r="M46" s="81" t="s">
        <v>4115</v>
      </c>
      <c r="N46" s="81"/>
      <c r="O46" s="81">
        <v>45712</v>
      </c>
      <c r="P46" s="86"/>
      <c r="Q46" s="347"/>
      <c r="R46" s="346"/>
      <c r="S46" s="99"/>
      <c r="T46" s="72"/>
    </row>
    <row r="47" ht="18" customHeight="1" spans="1:20">
      <c r="A47" s="36" t="s">
        <v>4084</v>
      </c>
      <c r="B47" s="106" t="s">
        <v>1875</v>
      </c>
      <c r="C47" s="37"/>
      <c r="D47" s="46"/>
      <c r="E47" s="53"/>
      <c r="F47" s="54" t="s">
        <v>4090</v>
      </c>
      <c r="G47" s="53" t="s">
        <v>4238</v>
      </c>
      <c r="H47" s="56"/>
      <c r="I47" s="71"/>
      <c r="J47" s="73"/>
      <c r="K47" s="72"/>
      <c r="L47" s="53">
        <v>7.1693</v>
      </c>
      <c r="M47" s="85"/>
      <c r="N47" s="157"/>
      <c r="O47" s="423"/>
      <c r="P47" s="90"/>
      <c r="Q47" s="98"/>
      <c r="R47" s="41"/>
      <c r="S47" s="99"/>
      <c r="T47" s="100"/>
    </row>
    <row r="48" ht="18" customHeight="1" spans="1:20">
      <c r="A48" s="36" t="s">
        <v>4084</v>
      </c>
      <c r="B48" s="106" t="s">
        <v>1875</v>
      </c>
      <c r="C48" s="37"/>
      <c r="D48" s="46"/>
      <c r="E48" s="53"/>
      <c r="F48" s="54" t="s">
        <v>4090</v>
      </c>
      <c r="G48" s="53" t="s">
        <v>4239</v>
      </c>
      <c r="H48" s="56"/>
      <c r="I48" s="71"/>
      <c r="J48" s="73"/>
      <c r="K48" s="72"/>
      <c r="L48" s="53">
        <v>7.1693</v>
      </c>
      <c r="M48" s="85"/>
      <c r="N48" s="157"/>
      <c r="O48" s="423"/>
      <c r="P48" s="90"/>
      <c r="Q48" s="98"/>
      <c r="R48" s="41"/>
      <c r="S48" s="99"/>
      <c r="T48" s="100"/>
    </row>
    <row r="49" ht="18" customHeight="1" spans="1:20">
      <c r="A49" s="36" t="s">
        <v>4084</v>
      </c>
      <c r="B49" s="106" t="s">
        <v>1875</v>
      </c>
      <c r="C49" s="37"/>
      <c r="D49" s="46"/>
      <c r="E49" s="57"/>
      <c r="F49" s="54" t="s">
        <v>4090</v>
      </c>
      <c r="G49" s="53" t="s">
        <v>4240</v>
      </c>
      <c r="H49" s="56"/>
      <c r="I49" s="71"/>
      <c r="J49" s="73"/>
      <c r="K49" s="72"/>
      <c r="L49" s="53">
        <v>7.1693</v>
      </c>
      <c r="M49" s="85"/>
      <c r="N49" s="157"/>
      <c r="O49" s="423"/>
      <c r="P49" s="90"/>
      <c r="Q49" s="98"/>
      <c r="R49" s="41"/>
      <c r="S49" s="99"/>
      <c r="T49" s="100"/>
    </row>
    <row r="50" ht="18" customHeight="1" spans="1:20">
      <c r="A50" s="36" t="s">
        <v>4084</v>
      </c>
      <c r="B50" s="106" t="s">
        <v>1875</v>
      </c>
      <c r="C50" s="37"/>
      <c r="D50" s="46"/>
      <c r="E50" s="57"/>
      <c r="F50" s="54" t="s">
        <v>4090</v>
      </c>
      <c r="G50" s="53" t="s">
        <v>4241</v>
      </c>
      <c r="H50" s="56"/>
      <c r="I50" s="71"/>
      <c r="J50" s="73"/>
      <c r="K50" s="72"/>
      <c r="L50" s="53"/>
      <c r="M50" s="85"/>
      <c r="N50" s="157"/>
      <c r="O50" s="423"/>
      <c r="P50" s="90"/>
      <c r="Q50" s="98"/>
      <c r="R50" s="41"/>
      <c r="S50" s="99"/>
      <c r="T50" s="100"/>
    </row>
    <row r="51" ht="18" customHeight="1" spans="1:20">
      <c r="A51" s="36" t="s">
        <v>4084</v>
      </c>
      <c r="B51" s="106" t="s">
        <v>1875</v>
      </c>
      <c r="C51" s="112" t="s">
        <v>2361</v>
      </c>
      <c r="D51" s="46"/>
      <c r="E51" s="57"/>
      <c r="F51" s="53" t="s">
        <v>4095</v>
      </c>
      <c r="G51" s="53" t="s">
        <v>4242</v>
      </c>
      <c r="H51" s="56"/>
      <c r="I51" s="71"/>
      <c r="J51" s="73"/>
      <c r="K51" s="72"/>
      <c r="L51" s="53">
        <v>7.1693</v>
      </c>
      <c r="M51" s="85"/>
      <c r="N51" s="157"/>
      <c r="O51" s="423"/>
      <c r="P51" s="90"/>
      <c r="Q51" s="98"/>
      <c r="R51" s="41"/>
      <c r="S51" s="99"/>
      <c r="T51" s="100"/>
    </row>
    <row r="52" ht="18" customHeight="1" spans="1:20">
      <c r="A52" s="36" t="s">
        <v>4084</v>
      </c>
      <c r="B52" s="106" t="s">
        <v>1875</v>
      </c>
      <c r="C52" s="42"/>
      <c r="D52" s="46"/>
      <c r="E52" s="57"/>
      <c r="F52" s="53" t="s">
        <v>4095</v>
      </c>
      <c r="G52" s="53" t="s">
        <v>4243</v>
      </c>
      <c r="H52" s="56"/>
      <c r="I52" s="71"/>
      <c r="J52" s="73"/>
      <c r="K52" s="72"/>
      <c r="L52" s="53">
        <v>7.1693</v>
      </c>
      <c r="M52" s="85"/>
      <c r="N52" s="157"/>
      <c r="O52" s="423"/>
      <c r="P52" s="90"/>
      <c r="Q52" s="98"/>
      <c r="R52" s="41"/>
      <c r="S52" s="99"/>
      <c r="T52" s="100"/>
    </row>
    <row r="53" ht="18" customHeight="1" spans="1:20">
      <c r="A53" s="36" t="s">
        <v>4084</v>
      </c>
      <c r="B53" s="106" t="s">
        <v>1875</v>
      </c>
      <c r="C53" s="42"/>
      <c r="D53" s="46"/>
      <c r="E53" s="53"/>
      <c r="F53" s="54" t="s">
        <v>4095</v>
      </c>
      <c r="G53" s="53" t="s">
        <v>4244</v>
      </c>
      <c r="H53" s="56"/>
      <c r="I53" s="71"/>
      <c r="J53" s="73"/>
      <c r="K53" s="72"/>
      <c r="L53" s="53">
        <v>7.1693</v>
      </c>
      <c r="M53" s="85"/>
      <c r="N53" s="157"/>
      <c r="O53" s="423"/>
      <c r="P53" s="86"/>
      <c r="Q53" s="98"/>
      <c r="R53" s="41"/>
      <c r="S53" s="99"/>
      <c r="T53" s="100"/>
    </row>
    <row r="54" ht="18" customHeight="1" spans="1:20">
      <c r="A54" s="36" t="s">
        <v>4084</v>
      </c>
      <c r="B54" s="106" t="s">
        <v>1875</v>
      </c>
      <c r="C54" s="42"/>
      <c r="D54" s="46"/>
      <c r="E54" s="53"/>
      <c r="F54" s="54" t="s">
        <v>4122</v>
      </c>
      <c r="G54" s="53" t="s">
        <v>4126</v>
      </c>
      <c r="H54" s="56"/>
      <c r="I54" s="71"/>
      <c r="J54" s="73"/>
      <c r="K54" s="72"/>
      <c r="L54" s="53">
        <v>7.1693</v>
      </c>
      <c r="M54" s="81"/>
      <c r="N54" s="178"/>
      <c r="O54" s="178"/>
      <c r="P54" s="82"/>
      <c r="Q54" s="98"/>
      <c r="R54" s="41"/>
      <c r="S54" s="99"/>
      <c r="T54" s="100"/>
    </row>
    <row r="55" ht="18" customHeight="1" spans="1:20">
      <c r="A55" s="36" t="s">
        <v>4084</v>
      </c>
      <c r="B55" s="106" t="s">
        <v>1875</v>
      </c>
      <c r="C55" s="42"/>
      <c r="D55" s="46"/>
      <c r="E55" s="53"/>
      <c r="F55" s="54" t="s">
        <v>4122</v>
      </c>
      <c r="G55" s="53" t="s">
        <v>4225</v>
      </c>
      <c r="H55" s="56"/>
      <c r="I55" s="71"/>
      <c r="J55" s="73"/>
      <c r="K55" s="72"/>
      <c r="L55" s="53">
        <v>7.1693</v>
      </c>
      <c r="M55" s="85"/>
      <c r="N55" s="157"/>
      <c r="O55" s="423"/>
      <c r="P55" s="90"/>
      <c r="Q55" s="98"/>
      <c r="R55" s="41"/>
      <c r="S55" s="99"/>
      <c r="T55" s="100"/>
    </row>
    <row r="56" ht="18" customHeight="1" spans="1:20">
      <c r="A56" s="36" t="s">
        <v>4084</v>
      </c>
      <c r="B56" s="106" t="s">
        <v>1875</v>
      </c>
      <c r="C56" s="42"/>
      <c r="D56" s="46"/>
      <c r="E56" s="53"/>
      <c r="F56" s="54" t="s">
        <v>4095</v>
      </c>
      <c r="G56" s="53" t="s">
        <v>4245</v>
      </c>
      <c r="H56" s="56"/>
      <c r="I56" s="71"/>
      <c r="J56" s="73"/>
      <c r="K56" s="72"/>
      <c r="L56" s="53">
        <v>7.1693</v>
      </c>
      <c r="M56" s="85"/>
      <c r="N56" s="157"/>
      <c r="O56" s="423"/>
      <c r="P56" s="90"/>
      <c r="Q56" s="98"/>
      <c r="R56" s="41"/>
      <c r="S56" s="99"/>
      <c r="T56" s="100"/>
    </row>
    <row r="57" ht="16.5" spans="1:20">
      <c r="A57" s="36" t="s">
        <v>4084</v>
      </c>
      <c r="B57" s="106" t="s">
        <v>1875</v>
      </c>
      <c r="C57" s="471"/>
      <c r="D57" s="104"/>
      <c r="E57" s="53"/>
      <c r="F57" s="54" t="s">
        <v>4095</v>
      </c>
      <c r="G57" s="53" t="s">
        <v>4246</v>
      </c>
      <c r="H57" s="105"/>
      <c r="I57" s="110"/>
      <c r="J57" s="73"/>
      <c r="K57" s="72"/>
      <c r="L57" s="53">
        <v>7.1693</v>
      </c>
      <c r="M57" s="81"/>
      <c r="N57" s="178"/>
      <c r="O57" s="178"/>
      <c r="P57" s="82"/>
      <c r="Q57" s="98"/>
      <c r="R57" s="41"/>
      <c r="S57" s="40"/>
      <c r="T57" s="72"/>
    </row>
    <row r="58" ht="17.25" customHeight="1" spans="1:36">
      <c r="A58" s="431" t="s">
        <v>4130</v>
      </c>
      <c r="B58" s="106" t="s">
        <v>1824</v>
      </c>
      <c r="C58" s="40" t="s">
        <v>1825</v>
      </c>
      <c r="D58" s="35"/>
      <c r="E58" s="120"/>
      <c r="F58" s="118" t="s">
        <v>4093</v>
      </c>
      <c r="G58" s="117" t="s">
        <v>4144</v>
      </c>
      <c r="H58" s="119"/>
      <c r="I58" s="124"/>
      <c r="J58" s="124"/>
      <c r="K58" s="129"/>
      <c r="L58" s="53">
        <v>7.1693</v>
      </c>
      <c r="M58" s="477">
        <v>45715</v>
      </c>
      <c r="N58" s="134">
        <v>45715</v>
      </c>
      <c r="O58" s="134">
        <v>45723</v>
      </c>
      <c r="P58" s="159"/>
      <c r="Q58" s="98"/>
      <c r="R58" s="41"/>
      <c r="S58" s="40"/>
      <c r="T58" s="348"/>
      <c r="U58" s="417"/>
      <c r="V58" s="417"/>
      <c r="W58" s="417"/>
      <c r="X58" s="417"/>
      <c r="Y58" s="417"/>
      <c r="Z58" s="417"/>
      <c r="AA58" s="417"/>
      <c r="AB58" s="417"/>
      <c r="AC58" s="417"/>
      <c r="AD58" s="417"/>
      <c r="AE58" s="417"/>
      <c r="AF58" s="417"/>
      <c r="AG58" s="417"/>
      <c r="AH58" s="417"/>
      <c r="AI58" s="417"/>
      <c r="AJ58" s="417"/>
    </row>
    <row r="59" ht="17.25" customHeight="1" spans="1:36">
      <c r="A59" s="431" t="s">
        <v>4130</v>
      </c>
      <c r="B59" s="106" t="s">
        <v>1824</v>
      </c>
      <c r="C59" s="40" t="s">
        <v>1825</v>
      </c>
      <c r="D59" s="35"/>
      <c r="E59" s="58"/>
      <c r="F59" s="54" t="s">
        <v>4087</v>
      </c>
      <c r="G59" s="117" t="s">
        <v>4247</v>
      </c>
      <c r="H59" s="119"/>
      <c r="I59" s="124"/>
      <c r="J59" s="124"/>
      <c r="K59" s="129"/>
      <c r="L59" s="53">
        <v>7.1693</v>
      </c>
      <c r="M59" s="477" t="s">
        <v>1218</v>
      </c>
      <c r="N59" s="134">
        <v>45716</v>
      </c>
      <c r="O59" s="134">
        <v>45723</v>
      </c>
      <c r="P59" s="159"/>
      <c r="Q59" s="479"/>
      <c r="R59" s="41"/>
      <c r="S59" s="40"/>
      <c r="T59" s="348"/>
      <c r="U59" s="417"/>
      <c r="V59" s="417"/>
      <c r="W59" s="417"/>
      <c r="X59" s="417"/>
      <c r="Y59" s="417"/>
      <c r="Z59" s="417"/>
      <c r="AA59" s="417"/>
      <c r="AB59" s="417"/>
      <c r="AC59" s="417"/>
      <c r="AD59" s="417"/>
      <c r="AE59" s="417"/>
      <c r="AF59" s="417"/>
      <c r="AG59" s="417"/>
      <c r="AH59" s="417"/>
      <c r="AI59" s="417"/>
      <c r="AJ59" s="417"/>
    </row>
    <row r="60" ht="17.25" customHeight="1" spans="1:36">
      <c r="A60" s="431" t="s">
        <v>4130</v>
      </c>
      <c r="B60" s="106" t="s">
        <v>1824</v>
      </c>
      <c r="C60" s="40" t="s">
        <v>1825</v>
      </c>
      <c r="D60" s="35"/>
      <c r="E60" s="58"/>
      <c r="F60" s="54" t="s">
        <v>4087</v>
      </c>
      <c r="G60" s="117" t="s">
        <v>4248</v>
      </c>
      <c r="H60" s="119"/>
      <c r="I60" s="124"/>
      <c r="J60" s="124"/>
      <c r="K60" s="124"/>
      <c r="L60" s="53">
        <v>7.1693</v>
      </c>
      <c r="M60" s="477" t="s">
        <v>1218</v>
      </c>
      <c r="N60" s="134">
        <v>45716</v>
      </c>
      <c r="O60" s="134">
        <v>45723</v>
      </c>
      <c r="P60" s="159"/>
      <c r="Q60" s="98"/>
      <c r="R60" s="41"/>
      <c r="S60" s="40"/>
      <c r="T60" s="348"/>
      <c r="U60" s="417"/>
      <c r="V60" s="417"/>
      <c r="W60" s="417"/>
      <c r="X60" s="417"/>
      <c r="Y60" s="417"/>
      <c r="Z60" s="417"/>
      <c r="AA60" s="417"/>
      <c r="AB60" s="417"/>
      <c r="AC60" s="417"/>
      <c r="AD60" s="417"/>
      <c r="AE60" s="417"/>
      <c r="AF60" s="417"/>
      <c r="AG60" s="417"/>
      <c r="AH60" s="417"/>
      <c r="AI60" s="417"/>
      <c r="AJ60" s="417"/>
    </row>
    <row r="61" customFormat="1" ht="17.25" customHeight="1" spans="1:36">
      <c r="A61" s="431" t="s">
        <v>4130</v>
      </c>
      <c r="B61" s="106" t="s">
        <v>1824</v>
      </c>
      <c r="C61" s="40" t="s">
        <v>224</v>
      </c>
      <c r="D61" s="35"/>
      <c r="E61" s="54"/>
      <c r="F61" s="58" t="s">
        <v>4139</v>
      </c>
      <c r="G61" s="155" t="s">
        <v>4146</v>
      </c>
      <c r="H61" s="56"/>
      <c r="I61" s="71"/>
      <c r="J61" s="64"/>
      <c r="K61" s="64"/>
      <c r="L61" s="53">
        <v>7.1693</v>
      </c>
      <c r="M61" s="134" t="s">
        <v>1218</v>
      </c>
      <c r="N61" s="134">
        <v>45714</v>
      </c>
      <c r="O61" s="134">
        <v>45721</v>
      </c>
      <c r="P61" s="159"/>
      <c r="Q61" s="259"/>
      <c r="R61" s="53"/>
      <c r="S61" s="349"/>
      <c r="T61" s="480"/>
      <c r="U61" s="417"/>
      <c r="V61" s="417"/>
      <c r="W61" s="417"/>
      <c r="X61" s="417"/>
      <c r="Y61" s="417"/>
      <c r="Z61" s="417"/>
      <c r="AA61" s="417"/>
      <c r="AB61" s="417"/>
      <c r="AC61" s="417"/>
      <c r="AD61" s="417"/>
      <c r="AE61" s="417"/>
      <c r="AF61" s="417"/>
      <c r="AG61" s="417"/>
      <c r="AH61" s="417"/>
      <c r="AI61" s="417"/>
      <c r="AJ61" s="417"/>
    </row>
    <row r="62" ht="17.25" customHeight="1" spans="1:36">
      <c r="A62" s="431" t="s">
        <v>4130</v>
      </c>
      <c r="B62" s="106" t="s">
        <v>1824</v>
      </c>
      <c r="C62" s="40" t="s">
        <v>224</v>
      </c>
      <c r="D62" s="35"/>
      <c r="E62" s="54"/>
      <c r="F62" s="58" t="s">
        <v>4139</v>
      </c>
      <c r="G62" s="155" t="s">
        <v>4147</v>
      </c>
      <c r="H62" s="56"/>
      <c r="I62" s="71"/>
      <c r="J62" s="64"/>
      <c r="K62" s="64"/>
      <c r="L62" s="53">
        <v>7.1693</v>
      </c>
      <c r="M62" s="477" t="s">
        <v>1218</v>
      </c>
      <c r="N62" s="134">
        <v>45707</v>
      </c>
      <c r="O62" s="134">
        <v>45710</v>
      </c>
      <c r="P62" s="478"/>
      <c r="Q62" s="53"/>
      <c r="R62" s="35"/>
      <c r="S62" s="183"/>
      <c r="T62" s="353"/>
      <c r="U62" s="417"/>
      <c r="V62" s="417"/>
      <c r="W62" s="417"/>
      <c r="X62" s="417"/>
      <c r="Y62" s="417"/>
      <c r="Z62" s="417"/>
      <c r="AA62" s="417"/>
      <c r="AB62" s="417"/>
      <c r="AC62" s="417"/>
      <c r="AD62" s="417"/>
      <c r="AE62" s="417"/>
      <c r="AF62" s="417"/>
      <c r="AG62" s="417"/>
      <c r="AH62" s="417"/>
      <c r="AI62" s="417"/>
      <c r="AJ62" s="417"/>
    </row>
    <row r="63" ht="17.25" customHeight="1" spans="1:36">
      <c r="A63" s="431" t="s">
        <v>4130</v>
      </c>
      <c r="B63" s="106" t="s">
        <v>1824</v>
      </c>
      <c r="C63" s="40" t="s">
        <v>224</v>
      </c>
      <c r="D63" s="35"/>
      <c r="E63" s="54"/>
      <c r="F63" s="58" t="s">
        <v>4139</v>
      </c>
      <c r="G63" s="155" t="s">
        <v>4249</v>
      </c>
      <c r="H63" s="56"/>
      <c r="I63" s="71"/>
      <c r="J63" s="64"/>
      <c r="K63" s="64"/>
      <c r="L63" s="53">
        <v>7.1693</v>
      </c>
      <c r="M63" s="455"/>
      <c r="N63" s="81">
        <v>45710</v>
      </c>
      <c r="O63" s="87">
        <v>45717</v>
      </c>
      <c r="P63" s="160"/>
      <c r="Q63" s="53"/>
      <c r="R63" s="35"/>
      <c r="S63" s="183"/>
      <c r="T63" s="353"/>
      <c r="U63" s="417"/>
      <c r="V63" s="417"/>
      <c r="W63" s="417"/>
      <c r="X63" s="417"/>
      <c r="Y63" s="417"/>
      <c r="Z63" s="417"/>
      <c r="AA63" s="417"/>
      <c r="AB63" s="417"/>
      <c r="AC63" s="417"/>
      <c r="AD63" s="417"/>
      <c r="AE63" s="417"/>
      <c r="AF63" s="417"/>
      <c r="AG63" s="417"/>
      <c r="AH63" s="417"/>
      <c r="AI63" s="417"/>
      <c r="AJ63" s="417"/>
    </row>
    <row r="64" ht="17.25" customHeight="1" spans="1:36">
      <c r="A64" s="431" t="s">
        <v>4130</v>
      </c>
      <c r="B64" s="106" t="s">
        <v>1824</v>
      </c>
      <c r="C64" s="40" t="s">
        <v>224</v>
      </c>
      <c r="D64" s="35"/>
      <c r="E64" s="54"/>
      <c r="F64" s="58" t="s">
        <v>4139</v>
      </c>
      <c r="G64" s="155" t="s">
        <v>4250</v>
      </c>
      <c r="H64" s="56"/>
      <c r="I64" s="71"/>
      <c r="J64" s="64"/>
      <c r="K64" s="64"/>
      <c r="L64" s="53">
        <v>7.1693</v>
      </c>
      <c r="M64" s="455"/>
      <c r="N64" s="81">
        <v>45710</v>
      </c>
      <c r="O64" s="87">
        <v>45717</v>
      </c>
      <c r="P64" s="160"/>
      <c r="Q64" s="53"/>
      <c r="R64" s="35"/>
      <c r="S64" s="183"/>
      <c r="T64" s="353"/>
      <c r="U64" s="417"/>
      <c r="V64" s="417"/>
      <c r="W64" s="417"/>
      <c r="X64" s="417"/>
      <c r="Y64" s="417"/>
      <c r="Z64" s="417"/>
      <c r="AA64" s="417"/>
      <c r="AB64" s="417"/>
      <c r="AC64" s="417"/>
      <c r="AD64" s="417"/>
      <c r="AE64" s="417"/>
      <c r="AF64" s="417"/>
      <c r="AG64" s="417"/>
      <c r="AH64" s="417"/>
      <c r="AI64" s="417"/>
      <c r="AJ64" s="417"/>
    </row>
    <row r="65" ht="16.5" spans="1:36">
      <c r="A65" s="431" t="s">
        <v>4130</v>
      </c>
      <c r="B65" s="106" t="s">
        <v>1824</v>
      </c>
      <c r="C65" s="40" t="s">
        <v>224</v>
      </c>
      <c r="D65" s="35"/>
      <c r="E65" s="54"/>
      <c r="F65" s="54" t="s">
        <v>4139</v>
      </c>
      <c r="G65" s="155" t="s">
        <v>4251</v>
      </c>
      <c r="H65" s="56"/>
      <c r="I65" s="71"/>
      <c r="J65" s="64"/>
      <c r="K65" s="64"/>
      <c r="L65" s="53">
        <v>7.1693</v>
      </c>
      <c r="M65" s="455"/>
      <c r="N65" s="134">
        <v>45710</v>
      </c>
      <c r="O65" s="87">
        <v>45715</v>
      </c>
      <c r="P65" s="90"/>
      <c r="Q65" s="53"/>
      <c r="R65" s="35"/>
      <c r="S65" s="183"/>
      <c r="T65" s="353"/>
      <c r="U65" s="417"/>
      <c r="V65" s="417"/>
      <c r="W65" s="417"/>
      <c r="X65" s="417"/>
      <c r="Y65" s="417"/>
      <c r="Z65" s="417"/>
      <c r="AA65" s="417"/>
      <c r="AB65" s="417"/>
      <c r="AC65" s="417"/>
      <c r="AD65" s="417"/>
      <c r="AE65" s="417"/>
      <c r="AF65" s="417"/>
      <c r="AG65" s="417"/>
      <c r="AH65" s="417"/>
      <c r="AI65" s="417"/>
      <c r="AJ65" s="417"/>
    </row>
    <row r="66" s="417" customFormat="1" ht="16.5" spans="1:20">
      <c r="A66" s="431" t="s">
        <v>4130</v>
      </c>
      <c r="B66" s="106" t="s">
        <v>1824</v>
      </c>
      <c r="C66" s="40" t="s">
        <v>224</v>
      </c>
      <c r="D66" s="35"/>
      <c r="E66" s="54"/>
      <c r="F66" s="54" t="s">
        <v>4081</v>
      </c>
      <c r="G66" s="57" t="s">
        <v>4148</v>
      </c>
      <c r="H66" s="56"/>
      <c r="I66" s="71"/>
      <c r="J66" s="64"/>
      <c r="K66" s="64"/>
      <c r="L66" s="53">
        <v>7.1693</v>
      </c>
      <c r="M66" s="425"/>
      <c r="N66" s="81">
        <v>45714</v>
      </c>
      <c r="O66" s="87">
        <v>45718</v>
      </c>
      <c r="P66" s="481"/>
      <c r="Q66" s="53"/>
      <c r="R66" s="35"/>
      <c r="S66" s="183"/>
      <c r="T66" s="364"/>
    </row>
    <row r="67" s="417" customFormat="1" ht="16.5" spans="1:20">
      <c r="A67" s="431" t="s">
        <v>4130</v>
      </c>
      <c r="B67" s="106" t="s">
        <v>1824</v>
      </c>
      <c r="C67" s="40" t="s">
        <v>224</v>
      </c>
      <c r="D67" s="35"/>
      <c r="E67" s="54"/>
      <c r="F67" s="58" t="s">
        <v>4095</v>
      </c>
      <c r="G67" s="441" t="s">
        <v>4252</v>
      </c>
      <c r="H67" s="56"/>
      <c r="I67" s="71"/>
      <c r="J67" s="64"/>
      <c r="K67" s="68"/>
      <c r="L67" s="53">
        <v>7.1693</v>
      </c>
      <c r="M67" s="68"/>
      <c r="N67" s="134">
        <v>45713</v>
      </c>
      <c r="O67" s="81">
        <v>45720</v>
      </c>
      <c r="P67" s="90"/>
      <c r="Q67" s="53"/>
      <c r="R67" s="35"/>
      <c r="S67" s="183"/>
      <c r="T67" s="355"/>
    </row>
    <row r="68" ht="18" customHeight="1" spans="1:20">
      <c r="A68" s="431" t="s">
        <v>4130</v>
      </c>
      <c r="B68" s="106" t="s">
        <v>3248</v>
      </c>
      <c r="C68" s="112" t="s">
        <v>1825</v>
      </c>
      <c r="D68" s="116" t="s">
        <v>1125</v>
      </c>
      <c r="E68" s="58"/>
      <c r="F68" s="58" t="s">
        <v>4093</v>
      </c>
      <c r="G68" s="117" t="s">
        <v>4145</v>
      </c>
      <c r="H68" s="119"/>
      <c r="I68" s="124"/>
      <c r="J68" s="128"/>
      <c r="K68" s="129"/>
      <c r="L68" s="53">
        <v>7.1693</v>
      </c>
      <c r="M68" s="206" t="s">
        <v>4132</v>
      </c>
      <c r="N68" s="446"/>
      <c r="O68" s="134" t="s">
        <v>4253</v>
      </c>
      <c r="P68" s="159"/>
      <c r="Q68" s="479"/>
      <c r="R68" s="346"/>
      <c r="S68" s="40"/>
      <c r="T68" s="348"/>
    </row>
    <row r="69" ht="18" customHeight="1" spans="1:20">
      <c r="A69" s="431" t="s">
        <v>4130</v>
      </c>
      <c r="B69" s="106" t="s">
        <v>3248</v>
      </c>
      <c r="C69" s="42"/>
      <c r="D69" s="103"/>
      <c r="E69" s="58"/>
      <c r="F69" s="58" t="s">
        <v>4093</v>
      </c>
      <c r="G69" s="117" t="s">
        <v>4254</v>
      </c>
      <c r="H69" s="119"/>
      <c r="I69" s="124"/>
      <c r="J69" s="128"/>
      <c r="K69" s="129"/>
      <c r="L69" s="53">
        <v>7.1693</v>
      </c>
      <c r="M69" s="206" t="s">
        <v>4132</v>
      </c>
      <c r="N69" s="446"/>
      <c r="O69" s="134" t="s">
        <v>4253</v>
      </c>
      <c r="P69" s="159"/>
      <c r="Q69" s="479"/>
      <c r="R69" s="346"/>
      <c r="S69" s="40"/>
      <c r="T69" s="348"/>
    </row>
    <row r="70" ht="18" customHeight="1" spans="1:20">
      <c r="A70" s="431" t="s">
        <v>4130</v>
      </c>
      <c r="B70" s="106" t="s">
        <v>3248</v>
      </c>
      <c r="C70" s="42"/>
      <c r="D70" s="103"/>
      <c r="E70" s="58"/>
      <c r="F70" s="58" t="s">
        <v>4093</v>
      </c>
      <c r="G70" s="117" t="s">
        <v>4255</v>
      </c>
      <c r="H70" s="119"/>
      <c r="I70" s="124"/>
      <c r="J70" s="128"/>
      <c r="K70" s="129"/>
      <c r="L70" s="53">
        <v>7.1693</v>
      </c>
      <c r="M70" s="206" t="s">
        <v>4132</v>
      </c>
      <c r="N70" s="446"/>
      <c r="O70" s="134" t="s">
        <v>4253</v>
      </c>
      <c r="P70" s="159"/>
      <c r="Q70" s="479"/>
      <c r="R70" s="346"/>
      <c r="S70" s="40"/>
      <c r="T70" s="348"/>
    </row>
    <row r="71" ht="17.25" customHeight="1" spans="1:20">
      <c r="A71" s="431" t="s">
        <v>4130</v>
      </c>
      <c r="B71" s="106" t="s">
        <v>3248</v>
      </c>
      <c r="C71" s="42"/>
      <c r="D71" s="103"/>
      <c r="E71" s="116"/>
      <c r="F71" s="118" t="s">
        <v>4256</v>
      </c>
      <c r="G71" s="117" t="s">
        <v>4257</v>
      </c>
      <c r="H71" s="119"/>
      <c r="I71" s="124"/>
      <c r="J71" s="128"/>
      <c r="K71" s="129"/>
      <c r="L71" s="53">
        <v>7.1693</v>
      </c>
      <c r="M71" s="53" t="s">
        <v>4258</v>
      </c>
      <c r="N71" s="446"/>
      <c r="O71" s="447" t="s">
        <v>4259</v>
      </c>
      <c r="P71" s="159"/>
      <c r="Q71" s="98"/>
      <c r="R71" s="346"/>
      <c r="S71" s="40"/>
      <c r="T71" s="348"/>
    </row>
    <row r="72" ht="17.25" customHeight="1" spans="1:20">
      <c r="A72" s="431" t="s">
        <v>4130</v>
      </c>
      <c r="B72" s="106" t="s">
        <v>3248</v>
      </c>
      <c r="C72" s="42"/>
      <c r="D72" s="103"/>
      <c r="E72" s="116"/>
      <c r="F72" s="118" t="s">
        <v>4256</v>
      </c>
      <c r="G72" s="117" t="s">
        <v>4260</v>
      </c>
      <c r="H72" s="119"/>
      <c r="I72" s="124"/>
      <c r="J72" s="128"/>
      <c r="K72" s="129"/>
      <c r="L72" s="53">
        <v>7.1693</v>
      </c>
      <c r="M72" s="53" t="s">
        <v>4258</v>
      </c>
      <c r="N72" s="446"/>
      <c r="O72" s="447" t="s">
        <v>4259</v>
      </c>
      <c r="P72" s="159"/>
      <c r="Q72" s="98"/>
      <c r="R72" s="453"/>
      <c r="S72" s="44"/>
      <c r="T72" s="348"/>
    </row>
    <row r="73" ht="17.25" customHeight="1" spans="1:20">
      <c r="A73" s="431" t="s">
        <v>4130</v>
      </c>
      <c r="B73" s="106" t="s">
        <v>3248</v>
      </c>
      <c r="C73" s="42"/>
      <c r="D73" s="103"/>
      <c r="E73" s="48"/>
      <c r="F73" s="58" t="s">
        <v>4113</v>
      </c>
      <c r="G73" s="117" t="s">
        <v>4149</v>
      </c>
      <c r="H73" s="119"/>
      <c r="I73" s="124"/>
      <c r="J73" s="433"/>
      <c r="K73" s="433"/>
      <c r="L73" s="53">
        <v>7.1693</v>
      </c>
      <c r="M73" s="259"/>
      <c r="N73" s="433"/>
      <c r="O73" s="433"/>
      <c r="P73" s="482"/>
      <c r="Q73" s="53"/>
      <c r="R73" s="39"/>
      <c r="S73" s="363"/>
      <c r="T73" s="362"/>
    </row>
    <row r="74" ht="17.25" customHeight="1" spans="1:20">
      <c r="A74" s="431" t="s">
        <v>4130</v>
      </c>
      <c r="B74" s="106" t="s">
        <v>3248</v>
      </c>
      <c r="C74" s="42"/>
      <c r="D74" s="103"/>
      <c r="E74" s="54"/>
      <c r="F74" s="54" t="s">
        <v>4093</v>
      </c>
      <c r="G74" s="198" t="s">
        <v>4261</v>
      </c>
      <c r="H74" s="119"/>
      <c r="I74" s="124"/>
      <c r="J74" s="125"/>
      <c r="K74" s="125"/>
      <c r="L74" s="53">
        <v>7.1693</v>
      </c>
      <c r="M74" s="448"/>
      <c r="N74" s="134"/>
      <c r="O74" s="131"/>
      <c r="P74" s="159"/>
      <c r="Q74" s="53"/>
      <c r="R74" s="113"/>
      <c r="S74" s="363"/>
      <c r="T74" s="353"/>
    </row>
    <row r="75" ht="17.25" customHeight="1" spans="1:20">
      <c r="A75" s="431" t="s">
        <v>4130</v>
      </c>
      <c r="B75" s="106" t="s">
        <v>3248</v>
      </c>
      <c r="C75" s="112" t="s">
        <v>224</v>
      </c>
      <c r="D75" s="103"/>
      <c r="E75" s="54"/>
      <c r="F75" s="54" t="s">
        <v>4095</v>
      </c>
      <c r="G75" s="155" t="s">
        <v>4262</v>
      </c>
      <c r="H75" s="56"/>
      <c r="I75" s="71"/>
      <c r="J75" s="64"/>
      <c r="K75" s="64"/>
      <c r="L75" s="53">
        <v>7.1693</v>
      </c>
      <c r="M75" s="448"/>
      <c r="N75" s="134">
        <v>45708</v>
      </c>
      <c r="O75" s="81">
        <v>45712</v>
      </c>
      <c r="P75" s="159"/>
      <c r="Q75" s="53"/>
      <c r="R75" s="41"/>
      <c r="S75" s="183"/>
      <c r="T75" s="353"/>
    </row>
    <row r="76" ht="17.25" customHeight="1" spans="1:20">
      <c r="A76" s="431" t="s">
        <v>4130</v>
      </c>
      <c r="B76" s="106" t="s">
        <v>3248</v>
      </c>
      <c r="C76" s="42"/>
      <c r="D76" s="103"/>
      <c r="E76" s="54"/>
      <c r="F76" s="58" t="s">
        <v>4139</v>
      </c>
      <c r="G76" s="441" t="s">
        <v>4154</v>
      </c>
      <c r="H76" s="56"/>
      <c r="I76" s="71"/>
      <c r="J76" s="68"/>
      <c r="K76" s="68"/>
      <c r="L76" s="53">
        <v>7.1693</v>
      </c>
      <c r="M76" s="483"/>
      <c r="N76" s="132"/>
      <c r="O76" s="81"/>
      <c r="P76" s="160"/>
      <c r="Q76" s="257"/>
      <c r="R76" s="35"/>
      <c r="S76" s="183"/>
      <c r="T76" s="355"/>
    </row>
    <row r="77" ht="17.25" customHeight="1" spans="1:20">
      <c r="A77" s="431" t="s">
        <v>4130</v>
      </c>
      <c r="B77" s="106" t="s">
        <v>3248</v>
      </c>
      <c r="C77" s="42"/>
      <c r="D77" s="103"/>
      <c r="E77" s="54"/>
      <c r="F77" s="58" t="s">
        <v>4095</v>
      </c>
      <c r="G77" s="441" t="s">
        <v>4263</v>
      </c>
      <c r="H77" s="56"/>
      <c r="I77" s="71"/>
      <c r="J77" s="68"/>
      <c r="K77" s="68"/>
      <c r="L77" s="53">
        <v>7.1693</v>
      </c>
      <c r="M77" s="68"/>
      <c r="N77" s="81">
        <v>45714</v>
      </c>
      <c r="O77" s="81">
        <v>45718</v>
      </c>
      <c r="P77" s="90"/>
      <c r="Q77" s="257"/>
      <c r="R77" s="35"/>
      <c r="S77" s="183"/>
      <c r="T77" s="355"/>
    </row>
    <row r="78" ht="17.25" customHeight="1" spans="1:20">
      <c r="A78" s="431" t="s">
        <v>4130</v>
      </c>
      <c r="B78" s="106" t="s">
        <v>3248</v>
      </c>
      <c r="C78" s="42"/>
      <c r="D78" s="103"/>
      <c r="E78" s="54"/>
      <c r="F78" s="54" t="s">
        <v>4095</v>
      </c>
      <c r="G78" s="155" t="s">
        <v>4264</v>
      </c>
      <c r="H78" s="56"/>
      <c r="I78" s="71"/>
      <c r="J78" s="64"/>
      <c r="K78" s="64"/>
      <c r="L78" s="53">
        <v>7.1693</v>
      </c>
      <c r="M78" s="448"/>
      <c r="N78" s="134"/>
      <c r="O78" s="141"/>
      <c r="P78" s="160"/>
      <c r="Q78" s="53"/>
      <c r="R78" s="113"/>
      <c r="S78" s="363"/>
      <c r="T78" s="353"/>
    </row>
    <row r="79" ht="17.25" customHeight="1" spans="1:20">
      <c r="A79" s="431" t="s">
        <v>4130</v>
      </c>
      <c r="B79" s="106" t="s">
        <v>3248</v>
      </c>
      <c r="C79" s="44"/>
      <c r="D79" s="103"/>
      <c r="E79" s="54"/>
      <c r="F79" s="54" t="s">
        <v>4081</v>
      </c>
      <c r="G79" s="155" t="s">
        <v>4265</v>
      </c>
      <c r="H79" s="56"/>
      <c r="I79" s="71"/>
      <c r="J79" s="68"/>
      <c r="K79" s="68"/>
      <c r="L79" s="53">
        <v>7.1693</v>
      </c>
      <c r="M79" s="455"/>
      <c r="N79" s="455"/>
      <c r="O79" s="449"/>
      <c r="P79" s="159"/>
      <c r="Q79" s="53"/>
      <c r="R79" s="39"/>
      <c r="S79" s="363"/>
      <c r="T79" s="357"/>
    </row>
    <row r="80" ht="17.25" customHeight="1" spans="1:20">
      <c r="A80" s="431" t="s">
        <v>4130</v>
      </c>
      <c r="B80" s="151" t="s">
        <v>1875</v>
      </c>
      <c r="C80" s="440" t="s">
        <v>1825</v>
      </c>
      <c r="D80" s="107" t="s">
        <v>1125</v>
      </c>
      <c r="E80" s="48"/>
      <c r="F80" s="58" t="s">
        <v>4113</v>
      </c>
      <c r="G80" s="53"/>
      <c r="H80" s="56"/>
      <c r="I80" s="124"/>
      <c r="J80" s="68"/>
      <c r="K80" s="68"/>
      <c r="L80" s="53">
        <v>7.1693</v>
      </c>
      <c r="M80" s="68"/>
      <c r="N80" s="157"/>
      <c r="O80" s="202"/>
      <c r="P80" s="90"/>
      <c r="Q80" s="98"/>
      <c r="R80" s="41"/>
      <c r="S80" s="99"/>
      <c r="T80" s="348"/>
    </row>
    <row r="81" ht="17.25" customHeight="1" spans="1:20">
      <c r="A81" s="431" t="s">
        <v>4130</v>
      </c>
      <c r="B81" s="151" t="s">
        <v>1875</v>
      </c>
      <c r="C81" s="152"/>
      <c r="D81" s="46"/>
      <c r="E81" s="442"/>
      <c r="F81" s="58" t="s">
        <v>4090</v>
      </c>
      <c r="G81" s="117"/>
      <c r="H81" s="56"/>
      <c r="I81" s="124"/>
      <c r="J81" s="128"/>
      <c r="K81" s="128"/>
      <c r="L81" s="53">
        <v>7.1693</v>
      </c>
      <c r="M81" s="68"/>
      <c r="N81" s="157"/>
      <c r="O81" s="202"/>
      <c r="P81" s="160"/>
      <c r="Q81" s="98"/>
      <c r="R81" s="41"/>
      <c r="S81" s="99"/>
      <c r="T81" s="348"/>
    </row>
    <row r="82" ht="17.25" customHeight="1" spans="1:20">
      <c r="A82" s="431" t="s">
        <v>4130</v>
      </c>
      <c r="B82" s="151" t="s">
        <v>1875</v>
      </c>
      <c r="C82" s="152"/>
      <c r="D82" s="46"/>
      <c r="E82" s="154"/>
      <c r="F82" s="118" t="s">
        <v>4093</v>
      </c>
      <c r="G82" s="117"/>
      <c r="H82" s="56"/>
      <c r="I82" s="124"/>
      <c r="J82" s="128"/>
      <c r="K82" s="128"/>
      <c r="L82" s="53">
        <v>7.1693</v>
      </c>
      <c r="M82" s="68"/>
      <c r="N82" s="157"/>
      <c r="O82" s="202"/>
      <c r="P82" s="160"/>
      <c r="Q82" s="98"/>
      <c r="R82" s="41"/>
      <c r="S82" s="99"/>
      <c r="T82" s="348"/>
    </row>
    <row r="83" ht="17.25" customHeight="1" spans="1:20">
      <c r="A83" s="431" t="s">
        <v>4130</v>
      </c>
      <c r="B83" s="151" t="s">
        <v>1875</v>
      </c>
      <c r="C83" s="152"/>
      <c r="D83" s="46"/>
      <c r="E83" s="154"/>
      <c r="F83" s="118" t="s">
        <v>4093</v>
      </c>
      <c r="G83" s="117"/>
      <c r="H83" s="56"/>
      <c r="I83" s="124"/>
      <c r="J83" s="128"/>
      <c r="K83" s="128"/>
      <c r="L83" s="53">
        <v>7.1693</v>
      </c>
      <c r="M83" s="68"/>
      <c r="N83" s="157"/>
      <c r="O83" s="202"/>
      <c r="P83" s="161"/>
      <c r="Q83" s="98"/>
      <c r="R83" s="41"/>
      <c r="S83" s="99"/>
      <c r="T83" s="348"/>
    </row>
    <row r="84" ht="17.25" customHeight="1" spans="1:20">
      <c r="A84" s="431" t="s">
        <v>4130</v>
      </c>
      <c r="B84" s="151" t="s">
        <v>1875</v>
      </c>
      <c r="C84" s="152"/>
      <c r="D84" s="46"/>
      <c r="E84" s="154"/>
      <c r="F84" s="118" t="s">
        <v>4093</v>
      </c>
      <c r="G84" s="117"/>
      <c r="H84" s="56"/>
      <c r="I84" s="124"/>
      <c r="J84" s="128"/>
      <c r="K84" s="128"/>
      <c r="L84" s="53">
        <v>7.1693</v>
      </c>
      <c r="M84" s="68"/>
      <c r="N84" s="157"/>
      <c r="O84" s="202"/>
      <c r="P84" s="161"/>
      <c r="Q84" s="98"/>
      <c r="R84" s="41"/>
      <c r="S84" s="99"/>
      <c r="T84" s="348"/>
    </row>
    <row r="85" ht="17.25" customHeight="1" spans="1:20">
      <c r="A85" s="431" t="s">
        <v>4130</v>
      </c>
      <c r="B85" s="151" t="s">
        <v>1875</v>
      </c>
      <c r="C85" s="152"/>
      <c r="D85" s="46"/>
      <c r="E85" s="154"/>
      <c r="F85" s="118" t="s">
        <v>4093</v>
      </c>
      <c r="G85" s="53"/>
      <c r="H85" s="56"/>
      <c r="I85" s="124"/>
      <c r="J85" s="68"/>
      <c r="K85" s="68"/>
      <c r="L85" s="53">
        <v>7.1693</v>
      </c>
      <c r="M85" s="68"/>
      <c r="N85" s="157"/>
      <c r="O85" s="202"/>
      <c r="P85" s="160"/>
      <c r="Q85" s="98"/>
      <c r="R85" s="41"/>
      <c r="S85" s="99"/>
      <c r="T85" s="358"/>
    </row>
    <row r="86" ht="17.25" customHeight="1" spans="1:20">
      <c r="A86" s="431" t="s">
        <v>4130</v>
      </c>
      <c r="B86" s="151" t="s">
        <v>1875</v>
      </c>
      <c r="C86" s="152"/>
      <c r="D86" s="46"/>
      <c r="E86" s="58"/>
      <c r="F86" s="58" t="s">
        <v>4090</v>
      </c>
      <c r="G86" s="53"/>
      <c r="H86" s="56"/>
      <c r="I86" s="124"/>
      <c r="J86" s="68"/>
      <c r="K86" s="68"/>
      <c r="L86" s="53">
        <v>7.1693</v>
      </c>
      <c r="M86" s="68"/>
      <c r="N86" s="157"/>
      <c r="O86" s="449"/>
      <c r="P86" s="86"/>
      <c r="Q86" s="98"/>
      <c r="R86" s="41"/>
      <c r="S86" s="99"/>
      <c r="T86" s="348"/>
    </row>
    <row r="87" ht="17.25" customHeight="1" spans="1:20">
      <c r="A87" s="431" t="s">
        <v>4130</v>
      </c>
      <c r="B87" s="151" t="s">
        <v>1875</v>
      </c>
      <c r="C87" s="152"/>
      <c r="D87" s="46"/>
      <c r="E87" s="58"/>
      <c r="F87" s="58" t="s">
        <v>4093</v>
      </c>
      <c r="G87" s="53"/>
      <c r="H87" s="56"/>
      <c r="I87" s="124"/>
      <c r="J87" s="68"/>
      <c r="K87" s="68"/>
      <c r="L87" s="53">
        <v>7.1693</v>
      </c>
      <c r="M87" s="68"/>
      <c r="N87" s="157"/>
      <c r="O87" s="449"/>
      <c r="P87" s="163"/>
      <c r="Q87" s="163"/>
      <c r="R87" s="41"/>
      <c r="S87" s="99"/>
      <c r="T87" s="348"/>
    </row>
    <row r="88" ht="17.25" customHeight="1" spans="1:20">
      <c r="A88" s="431" t="s">
        <v>4130</v>
      </c>
      <c r="B88" s="151" t="s">
        <v>1875</v>
      </c>
      <c r="C88" s="152"/>
      <c r="D88" s="46"/>
      <c r="E88" s="58"/>
      <c r="F88" s="58" t="s">
        <v>4093</v>
      </c>
      <c r="G88" s="155"/>
      <c r="H88" s="56"/>
      <c r="I88" s="124"/>
      <c r="J88" s="68"/>
      <c r="K88" s="68"/>
      <c r="L88" s="53">
        <v>7.1693</v>
      </c>
      <c r="M88" s="68"/>
      <c r="N88" s="157"/>
      <c r="O88" s="449"/>
      <c r="P88" s="90"/>
      <c r="Q88" s="350"/>
      <c r="R88" s="359"/>
      <c r="S88" s="99"/>
      <c r="T88" s="100"/>
    </row>
    <row r="89" ht="17.25" customHeight="1" spans="1:20">
      <c r="A89" s="431" t="s">
        <v>4130</v>
      </c>
      <c r="B89" s="151" t="s">
        <v>1875</v>
      </c>
      <c r="C89" s="152"/>
      <c r="D89" s="46"/>
      <c r="E89" s="58"/>
      <c r="F89" s="58" t="s">
        <v>4093</v>
      </c>
      <c r="G89" s="155"/>
      <c r="H89" s="56"/>
      <c r="I89" s="124"/>
      <c r="J89" s="68"/>
      <c r="K89" s="68"/>
      <c r="L89" s="53">
        <v>7.1693</v>
      </c>
      <c r="M89" s="68"/>
      <c r="N89" s="157"/>
      <c r="O89" s="449"/>
      <c r="P89" s="90"/>
      <c r="Q89" s="350"/>
      <c r="R89" s="359"/>
      <c r="S89" s="99"/>
      <c r="T89" s="100"/>
    </row>
    <row r="90" ht="17.25" customHeight="1" spans="1:20">
      <c r="A90" s="431" t="s">
        <v>4130</v>
      </c>
      <c r="B90" s="151" t="s">
        <v>1875</v>
      </c>
      <c r="C90" s="152"/>
      <c r="D90" s="46"/>
      <c r="E90" s="58"/>
      <c r="F90" s="58" t="s">
        <v>4093</v>
      </c>
      <c r="G90" s="155"/>
      <c r="H90" s="56"/>
      <c r="I90" s="124"/>
      <c r="J90" s="68"/>
      <c r="K90" s="68"/>
      <c r="L90" s="53">
        <v>7.1693</v>
      </c>
      <c r="M90" s="68"/>
      <c r="N90" s="157"/>
      <c r="O90" s="449"/>
      <c r="P90" s="90"/>
      <c r="Q90" s="350"/>
      <c r="R90" s="359"/>
      <c r="S90" s="99"/>
      <c r="T90" s="100"/>
    </row>
    <row r="91" ht="17.25" customHeight="1" spans="1:20">
      <c r="A91" s="431" t="s">
        <v>4130</v>
      </c>
      <c r="B91" s="151" t="s">
        <v>1875</v>
      </c>
      <c r="C91" s="152"/>
      <c r="D91" s="46"/>
      <c r="E91" s="58"/>
      <c r="F91" s="58" t="s">
        <v>4113</v>
      </c>
      <c r="G91" s="155"/>
      <c r="H91" s="56"/>
      <c r="I91" s="124"/>
      <c r="J91" s="68"/>
      <c r="K91" s="68"/>
      <c r="L91" s="53">
        <v>7.1693</v>
      </c>
      <c r="M91" s="68"/>
      <c r="N91" s="157"/>
      <c r="O91" s="449"/>
      <c r="P91" s="90"/>
      <c r="Q91" s="350"/>
      <c r="R91" s="359"/>
      <c r="S91" s="99"/>
      <c r="T91" s="100"/>
    </row>
    <row r="92" ht="17.25" customHeight="1" spans="1:20">
      <c r="A92" s="431" t="s">
        <v>4130</v>
      </c>
      <c r="B92" s="151" t="s">
        <v>1875</v>
      </c>
      <c r="C92" s="152"/>
      <c r="D92" s="46"/>
      <c r="E92" s="58"/>
      <c r="F92" s="58" t="s">
        <v>4081</v>
      </c>
      <c r="G92" s="155"/>
      <c r="H92" s="56"/>
      <c r="I92" s="124"/>
      <c r="J92" s="68"/>
      <c r="K92" s="68"/>
      <c r="L92" s="53">
        <v>7.1693</v>
      </c>
      <c r="M92" s="68"/>
      <c r="N92" s="157"/>
      <c r="O92" s="449"/>
      <c r="P92" s="90"/>
      <c r="Q92" s="350"/>
      <c r="R92" s="359"/>
      <c r="S92" s="99"/>
      <c r="T92" s="100"/>
    </row>
    <row r="93" ht="17.25" customHeight="1" spans="1:20">
      <c r="A93" s="431" t="s">
        <v>4130</v>
      </c>
      <c r="B93" s="151" t="s">
        <v>1875</v>
      </c>
      <c r="C93" s="153"/>
      <c r="D93" s="46"/>
      <c r="E93" s="58"/>
      <c r="F93" s="58" t="s">
        <v>4093</v>
      </c>
      <c r="G93" s="155"/>
      <c r="H93" s="56"/>
      <c r="I93" s="124"/>
      <c r="J93" s="68"/>
      <c r="K93" s="68"/>
      <c r="L93" s="53">
        <v>7.1693</v>
      </c>
      <c r="M93" s="68"/>
      <c r="N93" s="157"/>
      <c r="O93" s="449"/>
      <c r="P93" s="90"/>
      <c r="Q93" s="350"/>
      <c r="R93" s="359"/>
      <c r="S93" s="99"/>
      <c r="T93" s="100"/>
    </row>
    <row r="94" ht="17.25" customHeight="1" spans="1:20">
      <c r="A94" s="431" t="s">
        <v>4130</v>
      </c>
      <c r="B94" s="151" t="s">
        <v>1875</v>
      </c>
      <c r="C94" s="152" t="s">
        <v>224</v>
      </c>
      <c r="D94" s="46"/>
      <c r="E94" s="58"/>
      <c r="F94" s="54" t="s">
        <v>4095</v>
      </c>
      <c r="G94" s="441" t="s">
        <v>4151</v>
      </c>
      <c r="H94" s="56"/>
      <c r="I94" s="71"/>
      <c r="J94" s="68"/>
      <c r="K94" s="130"/>
      <c r="L94" s="53">
        <v>7.1693</v>
      </c>
      <c r="M94" s="68"/>
      <c r="N94" s="202"/>
      <c r="O94" s="451"/>
      <c r="P94" s="90"/>
      <c r="Q94" s="53"/>
      <c r="R94" s="35"/>
      <c r="S94" s="183"/>
      <c r="T94" s="185"/>
    </row>
    <row r="95" ht="17.25" customHeight="1" spans="1:20">
      <c r="A95" s="431" t="s">
        <v>4130</v>
      </c>
      <c r="B95" s="151" t="s">
        <v>1875</v>
      </c>
      <c r="C95" s="152"/>
      <c r="D95" s="46"/>
      <c r="E95" s="58"/>
      <c r="F95" s="54" t="s">
        <v>4095</v>
      </c>
      <c r="G95" s="441" t="s">
        <v>4264</v>
      </c>
      <c r="H95" s="56"/>
      <c r="I95" s="124"/>
      <c r="J95" s="68"/>
      <c r="K95" s="130"/>
      <c r="L95" s="53">
        <v>7.1693</v>
      </c>
      <c r="M95" s="68"/>
      <c r="N95" s="484"/>
      <c r="O95" s="451"/>
      <c r="P95" s="90"/>
      <c r="Q95" s="53"/>
      <c r="R95" s="35"/>
      <c r="S95" s="183"/>
      <c r="T95" s="185"/>
    </row>
    <row r="96" ht="17.25" customHeight="1" spans="1:20">
      <c r="A96" s="431" t="s">
        <v>4130</v>
      </c>
      <c r="B96" s="151" t="s">
        <v>1875</v>
      </c>
      <c r="C96" s="152"/>
      <c r="D96" s="46"/>
      <c r="E96" s="121"/>
      <c r="F96" s="54" t="s">
        <v>4081</v>
      </c>
      <c r="G96" s="155" t="s">
        <v>4150</v>
      </c>
      <c r="H96" s="56"/>
      <c r="I96" s="124"/>
      <c r="J96" s="68"/>
      <c r="K96" s="130"/>
      <c r="L96" s="53">
        <v>7.1693</v>
      </c>
      <c r="M96" s="68"/>
      <c r="N96" s="455">
        <v>45708</v>
      </c>
      <c r="O96" s="146">
        <v>45713</v>
      </c>
      <c r="P96" s="90"/>
      <c r="Q96" s="53"/>
      <c r="R96" s="35"/>
      <c r="S96" s="183"/>
      <c r="T96" s="184"/>
    </row>
    <row r="97" ht="16.5" spans="1:20">
      <c r="A97" s="431" t="s">
        <v>4130</v>
      </c>
      <c r="B97" s="151" t="s">
        <v>1875</v>
      </c>
      <c r="C97" s="152"/>
      <c r="D97" s="46"/>
      <c r="E97" s="58"/>
      <c r="F97" s="54" t="s">
        <v>4090</v>
      </c>
      <c r="G97" s="57" t="s">
        <v>4266</v>
      </c>
      <c r="H97" s="56"/>
      <c r="I97" s="71"/>
      <c r="J97" s="158"/>
      <c r="K97" s="130"/>
      <c r="L97" s="53">
        <v>7.1693</v>
      </c>
      <c r="M97" s="158"/>
      <c r="N97" s="130"/>
      <c r="O97" s="425"/>
      <c r="P97" s="136"/>
      <c r="Q97" s="486"/>
      <c r="R97" s="165"/>
      <c r="S97" s="183"/>
      <c r="T97" s="185"/>
    </row>
    <row r="98" ht="16.5" spans="1:20">
      <c r="A98" s="431" t="s">
        <v>4130</v>
      </c>
      <c r="B98" s="151" t="s">
        <v>1875</v>
      </c>
      <c r="C98" s="152"/>
      <c r="D98" s="46"/>
      <c r="E98" s="58"/>
      <c r="F98" s="54" t="s">
        <v>4090</v>
      </c>
      <c r="G98" s="57" t="s">
        <v>4267</v>
      </c>
      <c r="H98" s="56"/>
      <c r="I98" s="71"/>
      <c r="J98" s="130"/>
      <c r="K98" s="130"/>
      <c r="L98" s="53">
        <v>7.1693</v>
      </c>
      <c r="M98" s="146"/>
      <c r="N98" s="146"/>
      <c r="O98" s="425"/>
      <c r="P98" s="136"/>
      <c r="Q98" s="53"/>
      <c r="R98" s="165"/>
      <c r="S98" s="183"/>
      <c r="T98" s="185"/>
    </row>
    <row r="99" ht="16.5" spans="1:20">
      <c r="A99" s="431" t="s">
        <v>4130</v>
      </c>
      <c r="B99" s="151" t="s">
        <v>1875</v>
      </c>
      <c r="C99" s="152"/>
      <c r="D99" s="46"/>
      <c r="E99" s="121"/>
      <c r="F99" s="54" t="s">
        <v>4090</v>
      </c>
      <c r="G99" s="57" t="s">
        <v>4268</v>
      </c>
      <c r="H99" s="56"/>
      <c r="I99" s="71"/>
      <c r="J99" s="130"/>
      <c r="K99" s="130"/>
      <c r="L99" s="53">
        <v>7.1693</v>
      </c>
      <c r="M99" s="146"/>
      <c r="N99" s="146"/>
      <c r="O99" s="425"/>
      <c r="P99" s="136"/>
      <c r="Q99" s="53"/>
      <c r="R99" s="165"/>
      <c r="S99" s="183"/>
      <c r="T99" s="185"/>
    </row>
    <row r="100" ht="16.5" spans="1:20">
      <c r="A100" s="431" t="s">
        <v>4130</v>
      </c>
      <c r="B100" s="151" t="s">
        <v>1875</v>
      </c>
      <c r="C100" s="152"/>
      <c r="D100" s="46"/>
      <c r="E100" s="121"/>
      <c r="F100" s="54" t="s">
        <v>4090</v>
      </c>
      <c r="G100" s="57"/>
      <c r="H100" s="56"/>
      <c r="I100" s="124"/>
      <c r="J100" s="130"/>
      <c r="K100" s="130"/>
      <c r="L100" s="53">
        <v>7.1693</v>
      </c>
      <c r="M100" s="146"/>
      <c r="N100" s="146"/>
      <c r="O100" s="425"/>
      <c r="P100" s="136"/>
      <c r="Q100" s="53"/>
      <c r="R100" s="165"/>
      <c r="S100" s="183"/>
      <c r="T100" s="185"/>
    </row>
    <row r="101" ht="16.5" spans="1:20">
      <c r="A101" s="431" t="s">
        <v>4130</v>
      </c>
      <c r="B101" s="151" t="s">
        <v>1875</v>
      </c>
      <c r="C101" s="152"/>
      <c r="D101" s="46"/>
      <c r="E101" s="54"/>
      <c r="F101" s="58" t="s">
        <v>4095</v>
      </c>
      <c r="G101" s="155" t="s">
        <v>4152</v>
      </c>
      <c r="H101" s="56"/>
      <c r="I101" s="124"/>
      <c r="J101" s="68"/>
      <c r="K101" s="130"/>
      <c r="L101" s="53">
        <v>7.1693</v>
      </c>
      <c r="M101" s="68"/>
      <c r="N101" s="157"/>
      <c r="O101" s="69"/>
      <c r="P101" s="90"/>
      <c r="Q101" s="486"/>
      <c r="R101" s="165"/>
      <c r="S101" s="183"/>
      <c r="T101" s="185"/>
    </row>
    <row r="102" ht="16.5" spans="1:20">
      <c r="A102" s="431" t="s">
        <v>4130</v>
      </c>
      <c r="B102" s="151" t="s">
        <v>1875</v>
      </c>
      <c r="C102" s="152"/>
      <c r="D102" s="46"/>
      <c r="E102" s="121"/>
      <c r="F102" s="54" t="s">
        <v>4113</v>
      </c>
      <c r="G102" s="454" t="s">
        <v>658</v>
      </c>
      <c r="H102" s="55"/>
      <c r="I102" s="71"/>
      <c r="J102" s="68"/>
      <c r="K102" s="130"/>
      <c r="L102" s="53">
        <v>7.1693</v>
      </c>
      <c r="M102" s="68"/>
      <c r="N102" s="455">
        <v>45708</v>
      </c>
      <c r="O102" s="168">
        <v>45711</v>
      </c>
      <c r="P102" s="90"/>
      <c r="Q102" s="53"/>
      <c r="R102" s="35"/>
      <c r="S102" s="183"/>
      <c r="T102" s="184"/>
    </row>
    <row r="103" ht="16.5" spans="1:20">
      <c r="A103" s="431" t="s">
        <v>4130</v>
      </c>
      <c r="B103" s="151" t="s">
        <v>1875</v>
      </c>
      <c r="C103" s="152"/>
      <c r="D103" s="46"/>
      <c r="E103" s="121"/>
      <c r="F103" s="54" t="s">
        <v>4081</v>
      </c>
      <c r="G103" s="155" t="s">
        <v>4153</v>
      </c>
      <c r="H103" s="56"/>
      <c r="I103" s="124"/>
      <c r="J103" s="157"/>
      <c r="K103" s="130"/>
      <c r="L103" s="53">
        <v>7.1693</v>
      </c>
      <c r="M103" s="168"/>
      <c r="N103" s="168"/>
      <c r="O103" s="69"/>
      <c r="P103" s="456"/>
      <c r="Q103" s="59"/>
      <c r="R103" s="35"/>
      <c r="S103" s="363"/>
      <c r="T103" s="362"/>
    </row>
    <row r="104" ht="16.5" spans="1:20">
      <c r="A104" s="431" t="s">
        <v>4130</v>
      </c>
      <c r="B104" s="151" t="s">
        <v>1875</v>
      </c>
      <c r="C104" s="152"/>
      <c r="D104" s="46"/>
      <c r="E104" s="121"/>
      <c r="F104" s="54" t="s">
        <v>4081</v>
      </c>
      <c r="G104" s="155"/>
      <c r="H104" s="55"/>
      <c r="I104" s="124"/>
      <c r="J104" s="68"/>
      <c r="K104" s="130"/>
      <c r="L104" s="53">
        <v>7.1693</v>
      </c>
      <c r="M104" s="457"/>
      <c r="N104" s="87"/>
      <c r="O104" s="69"/>
      <c r="P104" s="171"/>
      <c r="Q104" s="53"/>
      <c r="R104" s="35"/>
      <c r="S104" s="183"/>
      <c r="T104" s="185"/>
    </row>
    <row r="105" ht="17.25" customHeight="1" spans="1:20">
      <c r="A105" s="431" t="s">
        <v>4130</v>
      </c>
      <c r="B105" s="151" t="s">
        <v>1875</v>
      </c>
      <c r="C105" s="152"/>
      <c r="D105" s="46"/>
      <c r="E105" s="58"/>
      <c r="F105" s="54" t="s">
        <v>4081</v>
      </c>
      <c r="G105" s="155"/>
      <c r="H105" s="55"/>
      <c r="I105" s="124"/>
      <c r="J105" s="68"/>
      <c r="K105" s="130"/>
      <c r="L105" s="53">
        <v>7.1693</v>
      </c>
      <c r="M105" s="457"/>
      <c r="N105" s="87"/>
      <c r="O105" s="69"/>
      <c r="P105" s="90"/>
      <c r="Q105" s="53"/>
      <c r="R105" s="35"/>
      <c r="S105" s="183"/>
      <c r="T105" s="185"/>
    </row>
    <row r="106" ht="16.5" spans="1:20">
      <c r="A106" s="431" t="s">
        <v>4130</v>
      </c>
      <c r="B106" s="151" t="s">
        <v>1875</v>
      </c>
      <c r="C106" s="152"/>
      <c r="D106" s="46"/>
      <c r="E106" s="58"/>
      <c r="F106" s="54" t="s">
        <v>4081</v>
      </c>
      <c r="G106" s="155"/>
      <c r="H106" s="55"/>
      <c r="I106" s="124"/>
      <c r="J106" s="157"/>
      <c r="K106" s="130"/>
      <c r="L106" s="53">
        <v>7.1693</v>
      </c>
      <c r="M106" s="168"/>
      <c r="N106" s="168"/>
      <c r="O106" s="69"/>
      <c r="P106" s="90"/>
      <c r="Q106" s="53"/>
      <c r="R106" s="35"/>
      <c r="S106" s="183"/>
      <c r="T106" s="185"/>
    </row>
    <row r="107" ht="17.25" customHeight="1" spans="1:20">
      <c r="A107" s="431" t="s">
        <v>4130</v>
      </c>
      <c r="B107" s="151" t="s">
        <v>1875</v>
      </c>
      <c r="C107" s="152"/>
      <c r="D107" s="46"/>
      <c r="E107" s="58"/>
      <c r="F107" s="54" t="s">
        <v>4081</v>
      </c>
      <c r="G107" s="155"/>
      <c r="H107" s="157"/>
      <c r="I107" s="124"/>
      <c r="J107" s="157"/>
      <c r="K107" s="130"/>
      <c r="L107" s="53">
        <v>7.1693</v>
      </c>
      <c r="M107" s="168"/>
      <c r="N107" s="168"/>
      <c r="O107" s="69"/>
      <c r="P107" s="90"/>
      <c r="Q107" s="53"/>
      <c r="R107" s="35"/>
      <c r="S107" s="183"/>
      <c r="T107" s="185"/>
    </row>
    <row r="108" ht="20.65" customHeight="1" spans="1:20">
      <c r="A108" s="431" t="s">
        <v>4130</v>
      </c>
      <c r="B108" s="151" t="s">
        <v>1875</v>
      </c>
      <c r="C108" s="152"/>
      <c r="D108" s="46"/>
      <c r="E108" s="58"/>
      <c r="F108" s="54" t="s">
        <v>4081</v>
      </c>
      <c r="G108" s="155"/>
      <c r="H108" s="157"/>
      <c r="I108" s="124"/>
      <c r="J108" s="157"/>
      <c r="K108" s="130"/>
      <c r="L108" s="53">
        <v>7.1693</v>
      </c>
      <c r="M108" s="168"/>
      <c r="N108" s="168"/>
      <c r="O108" s="69"/>
      <c r="P108" s="90"/>
      <c r="Q108" s="53"/>
      <c r="R108" s="35"/>
      <c r="S108" s="183"/>
      <c r="T108" s="185"/>
    </row>
    <row r="109" ht="16.5" spans="1:20">
      <c r="A109" s="431" t="s">
        <v>4130</v>
      </c>
      <c r="B109" s="151" t="s">
        <v>1875</v>
      </c>
      <c r="C109" s="152"/>
      <c r="D109" s="46"/>
      <c r="E109" s="58"/>
      <c r="F109" s="54" t="s">
        <v>4081</v>
      </c>
      <c r="G109" s="155"/>
      <c r="H109" s="56"/>
      <c r="I109" s="124"/>
      <c r="J109" s="157"/>
      <c r="K109" s="130"/>
      <c r="L109" s="53">
        <v>7.1693</v>
      </c>
      <c r="M109" s="168"/>
      <c r="N109" s="168"/>
      <c r="O109" s="69"/>
      <c r="P109" s="171"/>
      <c r="Q109" s="53"/>
      <c r="R109" s="35"/>
      <c r="S109" s="183"/>
      <c r="T109" s="185"/>
    </row>
    <row r="110" ht="17.25" customHeight="1" spans="1:20">
      <c r="A110" s="431" t="s">
        <v>4130</v>
      </c>
      <c r="B110" s="151" t="s">
        <v>1875</v>
      </c>
      <c r="C110" s="152"/>
      <c r="D110" s="46"/>
      <c r="E110" s="58"/>
      <c r="F110" s="54" t="s">
        <v>4081</v>
      </c>
      <c r="G110" s="69"/>
      <c r="H110" s="69"/>
      <c r="I110" s="124"/>
      <c r="J110" s="69"/>
      <c r="K110" s="69"/>
      <c r="L110" s="53">
        <v>7.1693</v>
      </c>
      <c r="M110" s="69"/>
      <c r="N110" s="165"/>
      <c r="O110" s="69"/>
      <c r="P110" s="90"/>
      <c r="Q110" s="53"/>
      <c r="R110" s="35"/>
      <c r="S110" s="183"/>
      <c r="T110" s="185"/>
    </row>
    <row r="111" ht="16.5" spans="1:20">
      <c r="A111" s="431" t="s">
        <v>4130</v>
      </c>
      <c r="B111" s="151" t="s">
        <v>1875</v>
      </c>
      <c r="C111" s="40"/>
      <c r="D111" s="46"/>
      <c r="E111" s="53"/>
      <c r="F111" s="54" t="s">
        <v>4093</v>
      </c>
      <c r="G111" s="56" t="s">
        <v>1908</v>
      </c>
      <c r="H111" s="56"/>
      <c r="I111" s="124"/>
      <c r="J111" s="73"/>
      <c r="K111" s="72"/>
      <c r="L111" s="53">
        <v>7.1693</v>
      </c>
      <c r="M111" s="84"/>
      <c r="N111" s="178"/>
      <c r="O111" s="178"/>
      <c r="P111" s="163"/>
      <c r="Q111" s="98"/>
      <c r="R111" s="41"/>
      <c r="S111" s="99"/>
      <c r="T111" s="100"/>
    </row>
    <row r="112" ht="16.5" spans="1:26">
      <c r="A112" s="32" t="s">
        <v>1913</v>
      </c>
      <c r="B112" s="106" t="s">
        <v>1824</v>
      </c>
      <c r="C112" s="112" t="s">
        <v>1248</v>
      </c>
      <c r="D112" s="43">
        <v>170</v>
      </c>
      <c r="E112" s="194"/>
      <c r="F112" s="120" t="s">
        <v>4139</v>
      </c>
      <c r="G112" s="53" t="s">
        <v>4164</v>
      </c>
      <c r="H112" s="195"/>
      <c r="I112" s="64"/>
      <c r="J112" s="64"/>
      <c r="K112" s="72"/>
      <c r="L112" s="53">
        <v>7.1693</v>
      </c>
      <c r="M112" s="81" t="s">
        <v>1218</v>
      </c>
      <c r="N112" s="87">
        <v>45703</v>
      </c>
      <c r="O112" s="87">
        <v>45706</v>
      </c>
      <c r="P112" s="207"/>
      <c r="Q112" s="59"/>
      <c r="R112" s="39"/>
      <c r="S112" s="363"/>
      <c r="T112" s="364"/>
      <c r="U112" s="417"/>
      <c r="V112" s="417"/>
      <c r="W112" s="417"/>
      <c r="X112" s="417"/>
      <c r="Y112" s="417"/>
      <c r="Z112" s="417"/>
    </row>
    <row r="113" customFormat="1" ht="16.5" spans="1:26">
      <c r="A113" s="32" t="s">
        <v>1913</v>
      </c>
      <c r="B113" s="106" t="s">
        <v>1824</v>
      </c>
      <c r="C113" s="112" t="s">
        <v>1248</v>
      </c>
      <c r="D113" s="38"/>
      <c r="E113" s="196"/>
      <c r="F113" s="197"/>
      <c r="G113" s="53" t="s">
        <v>4269</v>
      </c>
      <c r="H113" s="195"/>
      <c r="I113" s="64"/>
      <c r="J113" s="72"/>
      <c r="K113" s="72"/>
      <c r="L113" s="53">
        <v>7.1693</v>
      </c>
      <c r="M113" s="81" t="s">
        <v>1218</v>
      </c>
      <c r="N113" s="81">
        <v>45713</v>
      </c>
      <c r="O113" s="81" t="s">
        <v>621</v>
      </c>
      <c r="P113" s="207"/>
      <c r="Q113" s="59"/>
      <c r="R113" s="39"/>
      <c r="S113" s="363"/>
      <c r="T113" s="364"/>
      <c r="U113" s="417"/>
      <c r="V113" s="417"/>
      <c r="W113" s="417"/>
      <c r="X113" s="417"/>
      <c r="Y113" s="417"/>
      <c r="Z113" s="417"/>
    </row>
    <row r="114" customFormat="1" ht="16.5" spans="1:26">
      <c r="A114" s="32" t="s">
        <v>1913</v>
      </c>
      <c r="B114" s="106" t="s">
        <v>1824</v>
      </c>
      <c r="C114" s="112" t="s">
        <v>1248</v>
      </c>
      <c r="D114" s="38"/>
      <c r="E114" s="196"/>
      <c r="F114" s="197"/>
      <c r="G114" s="53" t="s">
        <v>4270</v>
      </c>
      <c r="H114" s="195"/>
      <c r="I114" s="64"/>
      <c r="J114" s="72"/>
      <c r="K114" s="72"/>
      <c r="L114" s="53">
        <v>7.1693</v>
      </c>
      <c r="M114" s="81" t="s">
        <v>1218</v>
      </c>
      <c r="N114" s="81">
        <v>45715</v>
      </c>
      <c r="O114" s="485">
        <v>45719</v>
      </c>
      <c r="P114" s="207"/>
      <c r="Q114" s="59"/>
      <c r="R114" s="39"/>
      <c r="S114" s="363"/>
      <c r="T114" s="364"/>
      <c r="U114" s="417"/>
      <c r="V114" s="417"/>
      <c r="W114" s="417"/>
      <c r="X114" s="417"/>
      <c r="Y114" s="417"/>
      <c r="Z114" s="417"/>
    </row>
    <row r="115" customFormat="1" ht="16.5" spans="1:26">
      <c r="A115" s="32" t="s">
        <v>1913</v>
      </c>
      <c r="B115" s="106" t="s">
        <v>1824</v>
      </c>
      <c r="C115" s="112" t="s">
        <v>1248</v>
      </c>
      <c r="D115" s="38"/>
      <c r="E115" s="223"/>
      <c r="F115" s="205"/>
      <c r="G115" s="53" t="s">
        <v>4271</v>
      </c>
      <c r="H115" s="195"/>
      <c r="I115" s="64"/>
      <c r="J115" s="72"/>
      <c r="K115" s="72"/>
      <c r="L115" s="53">
        <v>7.1693</v>
      </c>
      <c r="M115" s="81" t="s">
        <v>1218</v>
      </c>
      <c r="N115" s="81">
        <v>45716</v>
      </c>
      <c r="O115" s="485">
        <v>45723</v>
      </c>
      <c r="P115" s="207"/>
      <c r="Q115" s="59"/>
      <c r="R115" s="39"/>
      <c r="S115" s="363"/>
      <c r="T115" s="364"/>
      <c r="U115" s="417"/>
      <c r="V115" s="417"/>
      <c r="W115" s="417"/>
      <c r="X115" s="417"/>
      <c r="Y115" s="417"/>
      <c r="Z115" s="417"/>
    </row>
    <row r="116" customFormat="1" ht="16.5" spans="1:26">
      <c r="A116" s="32" t="s">
        <v>1913</v>
      </c>
      <c r="B116" s="106" t="s">
        <v>1824</v>
      </c>
      <c r="C116" s="112" t="s">
        <v>1248</v>
      </c>
      <c r="D116" s="38"/>
      <c r="E116" s="57"/>
      <c r="F116" s="54" t="s">
        <v>4095</v>
      </c>
      <c r="G116" s="53" t="s">
        <v>4272</v>
      </c>
      <c r="H116" s="195"/>
      <c r="I116" s="64"/>
      <c r="J116" s="72"/>
      <c r="K116" s="72"/>
      <c r="L116" s="53">
        <v>7.1693</v>
      </c>
      <c r="M116" s="81" t="s">
        <v>1218</v>
      </c>
      <c r="N116" s="87">
        <v>45712</v>
      </c>
      <c r="O116" s="81">
        <v>45715</v>
      </c>
      <c r="P116" s="207"/>
      <c r="Q116" s="59"/>
      <c r="R116" s="39"/>
      <c r="S116" s="363"/>
      <c r="T116" s="364"/>
      <c r="U116" s="417"/>
      <c r="V116" s="417"/>
      <c r="W116" s="417"/>
      <c r="X116" s="417"/>
      <c r="Y116" s="417"/>
      <c r="Z116" s="417"/>
    </row>
    <row r="117" customFormat="1" ht="16.5" spans="1:26">
      <c r="A117" s="32" t="s">
        <v>1913</v>
      </c>
      <c r="B117" s="106" t="s">
        <v>1824</v>
      </c>
      <c r="C117" s="217" t="s">
        <v>1922</v>
      </c>
      <c r="D117" s="43">
        <v>30</v>
      </c>
      <c r="E117" s="57"/>
      <c r="F117" s="106" t="s">
        <v>4113</v>
      </c>
      <c r="G117" s="54" t="s">
        <v>4273</v>
      </c>
      <c r="H117" s="55"/>
      <c r="I117" s="64"/>
      <c r="J117" s="64"/>
      <c r="K117" s="72"/>
      <c r="L117" s="53">
        <v>7.1693</v>
      </c>
      <c r="M117" s="81" t="s">
        <v>1218</v>
      </c>
      <c r="N117" s="87">
        <v>45695</v>
      </c>
      <c r="O117" s="81">
        <v>45699</v>
      </c>
      <c r="P117" s="207"/>
      <c r="Q117" s="59"/>
      <c r="R117" s="39"/>
      <c r="S117" s="363"/>
      <c r="T117" s="364"/>
      <c r="U117" s="417"/>
      <c r="V117" s="417"/>
      <c r="W117" s="417"/>
      <c r="X117" s="417"/>
      <c r="Y117" s="417"/>
      <c r="Z117" s="417"/>
    </row>
    <row r="118" customFormat="1" ht="16.5" spans="1:26">
      <c r="A118" s="32" t="s">
        <v>1913</v>
      </c>
      <c r="B118" s="106" t="s">
        <v>1824</v>
      </c>
      <c r="C118" s="217" t="s">
        <v>1922</v>
      </c>
      <c r="D118" s="38"/>
      <c r="E118" s="57"/>
      <c r="F118" s="106" t="s">
        <v>4113</v>
      </c>
      <c r="G118" s="54" t="s">
        <v>4274</v>
      </c>
      <c r="H118" s="195"/>
      <c r="I118" s="64"/>
      <c r="J118" s="64"/>
      <c r="K118" s="68"/>
      <c r="L118" s="53">
        <v>7.1693</v>
      </c>
      <c r="M118" s="81" t="s">
        <v>1218</v>
      </c>
      <c r="N118" s="81">
        <v>45715</v>
      </c>
      <c r="O118" s="485">
        <v>45718</v>
      </c>
      <c r="P118" s="207"/>
      <c r="Q118" s="59"/>
      <c r="R118" s="366"/>
      <c r="S118" s="363"/>
      <c r="T118" s="364"/>
      <c r="U118" s="417"/>
      <c r="V118" s="417"/>
      <c r="W118" s="417"/>
      <c r="X118" s="417"/>
      <c r="Y118" s="417"/>
      <c r="Z118" s="417"/>
    </row>
    <row r="119" s="417" customFormat="1" ht="19.5" customHeight="1" spans="1:22">
      <c r="A119" s="32" t="s">
        <v>1913</v>
      </c>
      <c r="B119" s="106" t="s">
        <v>1824</v>
      </c>
      <c r="C119" s="187" t="s">
        <v>209</v>
      </c>
      <c r="D119" s="43">
        <v>50</v>
      </c>
      <c r="E119" s="194"/>
      <c r="F119" s="106" t="s">
        <v>4093</v>
      </c>
      <c r="G119" s="58" t="s">
        <v>4165</v>
      </c>
      <c r="H119" s="221"/>
      <c r="I119" s="71"/>
      <c r="J119" s="72"/>
      <c r="K119" s="72"/>
      <c r="L119" s="53" t="s">
        <v>1125</v>
      </c>
      <c r="M119" s="81" t="s">
        <v>1218</v>
      </c>
      <c r="N119" s="87">
        <v>45699</v>
      </c>
      <c r="O119" s="87">
        <v>45701</v>
      </c>
      <c r="P119" s="207"/>
      <c r="Q119" s="81"/>
      <c r="R119" s="207"/>
      <c r="S119" s="369"/>
      <c r="T119" s="370"/>
      <c r="U119" s="34">
        <v>1</v>
      </c>
      <c r="V119" s="458"/>
    </row>
    <row r="120" ht="16.5" spans="1:26">
      <c r="A120" s="32" t="s">
        <v>1913</v>
      </c>
      <c r="B120" s="106" t="s">
        <v>1824</v>
      </c>
      <c r="C120" s="187" t="s">
        <v>209</v>
      </c>
      <c r="D120" s="38"/>
      <c r="E120" s="196"/>
      <c r="F120" s="106" t="s">
        <v>4093</v>
      </c>
      <c r="G120" s="54" t="s">
        <v>4169</v>
      </c>
      <c r="H120" s="221"/>
      <c r="I120" s="71"/>
      <c r="J120" s="72"/>
      <c r="K120" s="68"/>
      <c r="L120" s="53" t="s">
        <v>1125</v>
      </c>
      <c r="M120" s="81">
        <v>45715</v>
      </c>
      <c r="N120" s="81">
        <v>45715</v>
      </c>
      <c r="O120" s="485">
        <v>45722</v>
      </c>
      <c r="P120" s="207"/>
      <c r="Q120" s="369"/>
      <c r="R120" s="370"/>
      <c r="S120" s="461"/>
      <c r="T120" s="458"/>
      <c r="U120" s="417"/>
      <c r="V120" s="417"/>
      <c r="W120" s="417"/>
      <c r="X120" s="417"/>
      <c r="Y120" s="417"/>
      <c r="Z120" s="417"/>
    </row>
    <row r="121" customFormat="1" ht="16.5" spans="1:26">
      <c r="A121" s="32" t="s">
        <v>1913</v>
      </c>
      <c r="B121" s="106" t="s">
        <v>1824</v>
      </c>
      <c r="C121" s="187" t="s">
        <v>209</v>
      </c>
      <c r="D121" s="38"/>
      <c r="E121" s="223"/>
      <c r="F121" s="106" t="s">
        <v>4093</v>
      </c>
      <c r="G121" s="58" t="s">
        <v>4158</v>
      </c>
      <c r="H121" s="221"/>
      <c r="I121" s="64"/>
      <c r="J121" s="259"/>
      <c r="K121" s="64"/>
      <c r="L121" s="53" t="s">
        <v>1125</v>
      </c>
      <c r="M121" s="87" t="s">
        <v>1251</v>
      </c>
      <c r="N121" s="87">
        <v>45696</v>
      </c>
      <c r="O121" s="87">
        <v>45701</v>
      </c>
      <c r="P121" s="207"/>
      <c r="Q121" s="369"/>
      <c r="R121" s="370"/>
      <c r="S121" s="461"/>
      <c r="T121" s="458"/>
      <c r="U121" s="417"/>
      <c r="V121" s="417"/>
      <c r="W121" s="417"/>
      <c r="X121" s="417"/>
      <c r="Y121" s="417"/>
      <c r="Z121" s="417"/>
    </row>
    <row r="122" s="417" customFormat="1" ht="16.5" spans="1:20">
      <c r="A122" s="32" t="s">
        <v>1913</v>
      </c>
      <c r="B122" s="106" t="s">
        <v>1824</v>
      </c>
      <c r="C122" s="187" t="s">
        <v>209</v>
      </c>
      <c r="D122" s="38"/>
      <c r="E122" s="57"/>
      <c r="F122" s="54" t="s">
        <v>4095</v>
      </c>
      <c r="G122" s="54" t="s">
        <v>4275</v>
      </c>
      <c r="H122" s="204"/>
      <c r="I122" s="64"/>
      <c r="J122" s="64"/>
      <c r="K122" s="72"/>
      <c r="L122" s="53">
        <v>7.1693</v>
      </c>
      <c r="M122" s="81" t="s">
        <v>1218</v>
      </c>
      <c r="N122" s="81">
        <v>45707</v>
      </c>
      <c r="O122" s="81" t="s">
        <v>1125</v>
      </c>
      <c r="P122" s="207"/>
      <c r="Q122" s="369"/>
      <c r="R122" s="370"/>
      <c r="S122" s="371"/>
      <c r="T122" s="372"/>
    </row>
    <row r="123" customFormat="1" ht="16.5" spans="1:26">
      <c r="A123" s="32" t="s">
        <v>1913</v>
      </c>
      <c r="B123" s="106" t="s">
        <v>1824</v>
      </c>
      <c r="C123" s="187" t="s">
        <v>209</v>
      </c>
      <c r="D123" s="38"/>
      <c r="E123" s="194"/>
      <c r="F123" s="54" t="s">
        <v>4095</v>
      </c>
      <c r="G123" s="58" t="s">
        <v>4276</v>
      </c>
      <c r="H123" s="221"/>
      <c r="I123" s="64"/>
      <c r="J123" s="64"/>
      <c r="K123" s="64"/>
      <c r="L123" s="53">
        <v>7.1693</v>
      </c>
      <c r="M123" s="87" t="s">
        <v>4277</v>
      </c>
      <c r="N123" s="87">
        <v>45702</v>
      </c>
      <c r="O123" s="87">
        <v>45706</v>
      </c>
      <c r="P123" s="207"/>
      <c r="Q123" s="369"/>
      <c r="R123" s="370"/>
      <c r="S123" s="371"/>
      <c r="T123" s="372"/>
      <c r="U123" s="417"/>
      <c r="V123" s="417"/>
      <c r="W123" s="417"/>
      <c r="X123" s="417"/>
      <c r="Y123" s="417"/>
      <c r="Z123" s="417"/>
    </row>
    <row r="124" s="417" customFormat="1" ht="16.5" spans="1:20">
      <c r="A124" s="32" t="s">
        <v>1913</v>
      </c>
      <c r="B124" s="106" t="s">
        <v>1824</v>
      </c>
      <c r="C124" s="187" t="s">
        <v>209</v>
      </c>
      <c r="D124" s="38"/>
      <c r="E124" s="223"/>
      <c r="F124" s="54" t="s">
        <v>4095</v>
      </c>
      <c r="G124" s="57" t="s">
        <v>4278</v>
      </c>
      <c r="H124" s="204"/>
      <c r="I124" s="64"/>
      <c r="J124" s="257"/>
      <c r="K124" s="72"/>
      <c r="L124" s="53"/>
      <c r="M124" s="81"/>
      <c r="N124" s="81"/>
      <c r="O124" s="81"/>
      <c r="P124" s="207"/>
      <c r="Q124" s="369"/>
      <c r="R124" s="370"/>
      <c r="S124" s="371"/>
      <c r="T124" s="372"/>
    </row>
    <row r="125" s="417" customFormat="1" ht="16.5" spans="1:20">
      <c r="A125" s="32" t="s">
        <v>1913</v>
      </c>
      <c r="B125" s="106" t="s">
        <v>1824</v>
      </c>
      <c r="C125" s="187" t="s">
        <v>209</v>
      </c>
      <c r="D125" s="38"/>
      <c r="E125" s="57"/>
      <c r="F125" s="106" t="s">
        <v>4087</v>
      </c>
      <c r="G125" s="57" t="s">
        <v>4175</v>
      </c>
      <c r="H125" s="55"/>
      <c r="I125" s="64"/>
      <c r="J125" s="64"/>
      <c r="K125" s="72"/>
      <c r="L125" s="53">
        <v>7.1693</v>
      </c>
      <c r="M125" s="87" t="s">
        <v>4277</v>
      </c>
      <c r="N125" s="87">
        <v>45715</v>
      </c>
      <c r="O125" s="485">
        <v>45722</v>
      </c>
      <c r="P125" s="207"/>
      <c r="Q125" s="369"/>
      <c r="R125" s="370"/>
      <c r="S125" s="371"/>
      <c r="T125" s="372"/>
    </row>
    <row r="126" s="417" customFormat="1" ht="19.5" customHeight="1" spans="1:22">
      <c r="A126" s="32" t="s">
        <v>1913</v>
      </c>
      <c r="B126" s="106" t="s">
        <v>1824</v>
      </c>
      <c r="C126" s="187" t="s">
        <v>209</v>
      </c>
      <c r="D126" s="38"/>
      <c r="E126" s="57"/>
      <c r="F126" s="54" t="s">
        <v>4087</v>
      </c>
      <c r="G126" s="53" t="s">
        <v>4279</v>
      </c>
      <c r="H126" s="55"/>
      <c r="I126" s="71"/>
      <c r="J126" s="72"/>
      <c r="K126" s="72"/>
      <c r="L126" s="53">
        <v>7.1693</v>
      </c>
      <c r="M126" s="81" t="s">
        <v>1218</v>
      </c>
      <c r="N126" s="87">
        <v>45695</v>
      </c>
      <c r="O126" s="87">
        <v>45699</v>
      </c>
      <c r="P126" s="207"/>
      <c r="Q126" s="487"/>
      <c r="R126" s="488"/>
      <c r="S126" s="369"/>
      <c r="T126" s="370"/>
      <c r="U126" s="296"/>
      <c r="V126" s="459"/>
    </row>
    <row r="127" s="417" customFormat="1" ht="16.5" spans="1:20">
      <c r="A127" s="32" t="s">
        <v>1913</v>
      </c>
      <c r="B127" s="106" t="s">
        <v>1824</v>
      </c>
      <c r="C127" s="187" t="s">
        <v>209</v>
      </c>
      <c r="D127" s="38"/>
      <c r="E127" s="57"/>
      <c r="F127" s="54" t="s">
        <v>4087</v>
      </c>
      <c r="G127" s="53" t="s">
        <v>4280</v>
      </c>
      <c r="H127" s="55"/>
      <c r="I127" s="71"/>
      <c r="J127" s="72"/>
      <c r="K127" s="72"/>
      <c r="L127" s="53">
        <v>7.1693</v>
      </c>
      <c r="M127" s="81" t="s">
        <v>1218</v>
      </c>
      <c r="N127" s="81">
        <v>45713</v>
      </c>
      <c r="O127" s="485">
        <v>45720</v>
      </c>
      <c r="P127" s="207"/>
      <c r="Q127" s="369"/>
      <c r="R127" s="370"/>
      <c r="S127" s="371"/>
      <c r="T127" s="372"/>
    </row>
    <row r="128" customFormat="1" ht="16.5" spans="1:20">
      <c r="A128" s="32" t="s">
        <v>1913</v>
      </c>
      <c r="B128" s="106" t="s">
        <v>1824</v>
      </c>
      <c r="C128" s="187" t="s">
        <v>209</v>
      </c>
      <c r="D128" s="38"/>
      <c r="E128" s="57"/>
      <c r="F128" s="106" t="s">
        <v>4087</v>
      </c>
      <c r="G128" s="57" t="s">
        <v>4281</v>
      </c>
      <c r="H128" s="239"/>
      <c r="I128" s="64"/>
      <c r="J128" s="259"/>
      <c r="K128" s="72"/>
      <c r="L128" s="130">
        <v>7.1879</v>
      </c>
      <c r="M128" s="81" t="s">
        <v>1218</v>
      </c>
      <c r="N128" s="87">
        <v>45680</v>
      </c>
      <c r="O128" s="87">
        <v>45689</v>
      </c>
      <c r="P128" s="207"/>
      <c r="Q128" s="53"/>
      <c r="R128" s="373"/>
      <c r="S128" s="195"/>
      <c r="T128" s="374"/>
    </row>
    <row r="129" s="417" customFormat="1" ht="16.5" spans="1:20">
      <c r="A129" s="32" t="s">
        <v>1913</v>
      </c>
      <c r="B129" s="106" t="s">
        <v>1824</v>
      </c>
      <c r="C129" s="187" t="s">
        <v>209</v>
      </c>
      <c r="D129" s="38"/>
      <c r="E129" s="57"/>
      <c r="F129" s="54" t="s">
        <v>4095</v>
      </c>
      <c r="G129" s="54" t="s">
        <v>4282</v>
      </c>
      <c r="H129" s="55"/>
      <c r="I129" s="64"/>
      <c r="J129" s="72"/>
      <c r="K129" s="72"/>
      <c r="L129" s="53">
        <v>7.1693</v>
      </c>
      <c r="M129" s="81" t="s">
        <v>1218</v>
      </c>
      <c r="N129" s="81">
        <v>45713</v>
      </c>
      <c r="O129" s="485">
        <v>45719</v>
      </c>
      <c r="P129" s="207"/>
      <c r="Q129" s="53"/>
      <c r="R129" s="373"/>
      <c r="S129" s="195"/>
      <c r="T129" s="374"/>
    </row>
    <row r="130" s="417" customFormat="1" ht="33" spans="1:20">
      <c r="A130" s="32" t="s">
        <v>1913</v>
      </c>
      <c r="B130" s="106" t="s">
        <v>1824</v>
      </c>
      <c r="C130" s="192" t="s">
        <v>4161</v>
      </c>
      <c r="D130" s="43">
        <v>100</v>
      </c>
      <c r="E130" s="194"/>
      <c r="F130" s="203" t="s">
        <v>4139</v>
      </c>
      <c r="G130" s="201" t="s">
        <v>4283</v>
      </c>
      <c r="H130" s="55"/>
      <c r="I130" s="64"/>
      <c r="J130" s="64"/>
      <c r="K130" s="72"/>
      <c r="L130" s="53">
        <v>7.1693</v>
      </c>
      <c r="M130" s="87">
        <v>45704</v>
      </c>
      <c r="N130" s="87">
        <v>45709</v>
      </c>
      <c r="O130" s="81">
        <v>45709</v>
      </c>
      <c r="P130" s="207"/>
      <c r="Q130" s="375"/>
      <c r="R130" s="277"/>
      <c r="S130" s="494"/>
      <c r="T130" s="495"/>
    </row>
    <row r="131" s="417" customFormat="1" ht="33" spans="1:20">
      <c r="A131" s="32" t="s">
        <v>1913</v>
      </c>
      <c r="B131" s="106" t="s">
        <v>1824</v>
      </c>
      <c r="C131" s="192" t="s">
        <v>4161</v>
      </c>
      <c r="D131" s="38"/>
      <c r="E131" s="155"/>
      <c r="F131" s="58" t="s">
        <v>4087</v>
      </c>
      <c r="G131" s="489" t="s">
        <v>4284</v>
      </c>
      <c r="H131" s="204"/>
      <c r="I131" s="64"/>
      <c r="J131" s="64"/>
      <c r="K131" s="158"/>
      <c r="L131" s="53">
        <v>7.1693</v>
      </c>
      <c r="M131" s="87" t="s">
        <v>1218</v>
      </c>
      <c r="N131" s="81">
        <v>45715</v>
      </c>
      <c r="O131" s="81">
        <v>45721</v>
      </c>
      <c r="P131" s="207"/>
      <c r="Q131" s="375"/>
      <c r="R131" s="277"/>
      <c r="S131" s="494"/>
      <c r="T131" s="495"/>
    </row>
    <row r="132" ht="33" spans="1:26">
      <c r="A132" s="32" t="s">
        <v>1913</v>
      </c>
      <c r="B132" s="106" t="s">
        <v>1824</v>
      </c>
      <c r="C132" s="192" t="s">
        <v>4163</v>
      </c>
      <c r="D132" s="43">
        <v>20</v>
      </c>
      <c r="E132" s="57"/>
      <c r="F132" s="106" t="s">
        <v>4093</v>
      </c>
      <c r="G132" s="58" t="s">
        <v>4171</v>
      </c>
      <c r="H132" s="221"/>
      <c r="I132" s="71"/>
      <c r="J132" s="72"/>
      <c r="K132" s="72"/>
      <c r="L132" s="53">
        <v>7.1693</v>
      </c>
      <c r="M132" s="81">
        <v>45708</v>
      </c>
      <c r="N132" s="81">
        <v>45708</v>
      </c>
      <c r="O132" s="81">
        <v>45710</v>
      </c>
      <c r="P132" s="207"/>
      <c r="Q132" s="377"/>
      <c r="R132" s="378"/>
      <c r="S132" s="363"/>
      <c r="T132" s="379"/>
      <c r="U132" s="417"/>
      <c r="V132" s="417"/>
      <c r="W132" s="417"/>
      <c r="X132" s="417"/>
      <c r="Y132" s="417"/>
      <c r="Z132" s="417"/>
    </row>
    <row r="133" ht="33" spans="1:26">
      <c r="A133" s="32" t="s">
        <v>1913</v>
      </c>
      <c r="B133" s="106" t="s">
        <v>1824</v>
      </c>
      <c r="C133" s="192" t="s">
        <v>4163</v>
      </c>
      <c r="D133" s="38"/>
      <c r="E133" s="57"/>
      <c r="F133" s="106" t="s">
        <v>4093</v>
      </c>
      <c r="G133" s="54" t="s">
        <v>4172</v>
      </c>
      <c r="H133" s="55"/>
      <c r="I133" s="64"/>
      <c r="J133" s="64"/>
      <c r="K133" s="72"/>
      <c r="L133" s="53">
        <v>7.1693</v>
      </c>
      <c r="M133" s="81">
        <v>45705</v>
      </c>
      <c r="N133" s="81">
        <v>45713</v>
      </c>
      <c r="O133" s="81">
        <v>45718</v>
      </c>
      <c r="P133" s="207"/>
      <c r="Q133" s="377"/>
      <c r="R133" s="378"/>
      <c r="S133" s="363"/>
      <c r="T133" s="379"/>
      <c r="U133" s="417"/>
      <c r="V133" s="417"/>
      <c r="W133" s="417"/>
      <c r="X133" s="417"/>
      <c r="Y133" s="417"/>
      <c r="Z133" s="417"/>
    </row>
    <row r="134" ht="33" spans="1:20">
      <c r="A134" s="32" t="s">
        <v>1913</v>
      </c>
      <c r="B134" s="151" t="s">
        <v>3248</v>
      </c>
      <c r="C134" s="34" t="s">
        <v>1248</v>
      </c>
      <c r="D134" s="35"/>
      <c r="E134" s="57"/>
      <c r="F134" s="106"/>
      <c r="G134" s="54"/>
      <c r="H134" s="200"/>
      <c r="I134" s="64"/>
      <c r="J134" s="64"/>
      <c r="K134" s="64"/>
      <c r="L134" s="225"/>
      <c r="M134" s="81"/>
      <c r="N134" s="87"/>
      <c r="O134" s="87"/>
      <c r="P134" s="207"/>
      <c r="Q134" s="158"/>
      <c r="R134" s="48"/>
      <c r="S134" s="158"/>
      <c r="T134" s="380"/>
    </row>
    <row r="135" ht="33" spans="1:20">
      <c r="A135" s="32" t="s">
        <v>1913</v>
      </c>
      <c r="B135" s="151" t="s">
        <v>3248</v>
      </c>
      <c r="C135" s="40" t="s">
        <v>1922</v>
      </c>
      <c r="D135" s="41"/>
      <c r="E135" s="155"/>
      <c r="F135" s="201"/>
      <c r="G135" s="58"/>
      <c r="H135" s="221"/>
      <c r="I135" s="71"/>
      <c r="J135" s="66"/>
      <c r="K135" s="66"/>
      <c r="L135" s="490"/>
      <c r="M135" s="87"/>
      <c r="N135" s="87"/>
      <c r="O135" s="87"/>
      <c r="P135" s="492"/>
      <c r="Q135" s="53"/>
      <c r="R135" s="373"/>
      <c r="S135" s="195"/>
      <c r="T135" s="374"/>
    </row>
    <row r="136" customFormat="1" ht="33" spans="1:20">
      <c r="A136" s="32" t="s">
        <v>1913</v>
      </c>
      <c r="B136" s="151" t="s">
        <v>3248</v>
      </c>
      <c r="C136" s="194" t="s">
        <v>209</v>
      </c>
      <c r="D136" s="41"/>
      <c r="E136" s="57"/>
      <c r="F136" s="106" t="s">
        <v>4093</v>
      </c>
      <c r="G136" s="57" t="s">
        <v>4285</v>
      </c>
      <c r="H136" s="55"/>
      <c r="I136" s="64"/>
      <c r="J136" s="68"/>
      <c r="K136" s="68"/>
      <c r="L136" s="53" t="s">
        <v>1125</v>
      </c>
      <c r="M136" s="81" t="s">
        <v>4167</v>
      </c>
      <c r="N136" s="87">
        <v>45754</v>
      </c>
      <c r="O136" s="87"/>
      <c r="P136" s="207"/>
      <c r="Q136" s="53"/>
      <c r="R136" s="373"/>
      <c r="S136" s="195"/>
      <c r="T136" s="374"/>
    </row>
    <row r="137" customFormat="1" ht="33" spans="1:20">
      <c r="A137" s="32" t="s">
        <v>1913</v>
      </c>
      <c r="B137" s="151" t="s">
        <v>3248</v>
      </c>
      <c r="C137" s="196"/>
      <c r="D137" s="41"/>
      <c r="E137" s="57"/>
      <c r="F137" s="106" t="s">
        <v>4093</v>
      </c>
      <c r="G137" s="54" t="s">
        <v>4172</v>
      </c>
      <c r="H137" s="55"/>
      <c r="I137" s="64"/>
      <c r="J137" s="68"/>
      <c r="K137" s="68"/>
      <c r="L137" s="53">
        <v>7.1693</v>
      </c>
      <c r="M137" s="81"/>
      <c r="N137" s="81" t="s">
        <v>2792</v>
      </c>
      <c r="O137" s="81"/>
      <c r="P137" s="207"/>
      <c r="Q137" s="53"/>
      <c r="R137" s="373"/>
      <c r="S137" s="195"/>
      <c r="T137" s="374"/>
    </row>
    <row r="138" ht="16.5" spans="1:20">
      <c r="A138" s="32" t="s">
        <v>1913</v>
      </c>
      <c r="B138" s="197" t="s">
        <v>1875</v>
      </c>
      <c r="C138" s="187" t="s">
        <v>1248</v>
      </c>
      <c r="D138" s="46"/>
      <c r="E138" s="57"/>
      <c r="F138" s="54" t="s">
        <v>4095</v>
      </c>
      <c r="G138" s="53" t="s">
        <v>4286</v>
      </c>
      <c r="H138" s="195"/>
      <c r="I138" s="64"/>
      <c r="J138" s="72"/>
      <c r="K138" s="72"/>
      <c r="L138" s="53">
        <v>7.1693</v>
      </c>
      <c r="M138" s="81" t="s">
        <v>1218</v>
      </c>
      <c r="N138" s="87" t="s">
        <v>621</v>
      </c>
      <c r="O138" s="485">
        <v>45716</v>
      </c>
      <c r="P138" s="207"/>
      <c r="Q138" s="350"/>
      <c r="R138" s="41"/>
      <c r="S138" s="99"/>
      <c r="T138" s="380"/>
    </row>
    <row r="139" ht="16.5" spans="1:20">
      <c r="A139" s="32" t="s">
        <v>1913</v>
      </c>
      <c r="B139" s="197" t="s">
        <v>1875</v>
      </c>
      <c r="C139" s="40" t="s">
        <v>1922</v>
      </c>
      <c r="D139" s="46"/>
      <c r="E139" s="57"/>
      <c r="F139" s="54" t="s">
        <v>4139</v>
      </c>
      <c r="G139" s="54" t="s">
        <v>4287</v>
      </c>
      <c r="H139" s="55"/>
      <c r="I139" s="64"/>
      <c r="J139" s="68"/>
      <c r="K139" s="68"/>
      <c r="L139" s="53">
        <v>7.1693</v>
      </c>
      <c r="M139" s="81" t="s">
        <v>1218</v>
      </c>
      <c r="N139" s="87" t="s">
        <v>621</v>
      </c>
      <c r="O139" s="87"/>
      <c r="P139" s="207"/>
      <c r="Q139" s="53"/>
      <c r="R139" s="373"/>
      <c r="S139" s="195"/>
      <c r="T139" s="374"/>
    </row>
    <row r="140" ht="16.5" spans="1:20">
      <c r="A140" s="32" t="s">
        <v>1913</v>
      </c>
      <c r="B140" s="197" t="s">
        <v>1875</v>
      </c>
      <c r="C140" s="40"/>
      <c r="D140" s="46"/>
      <c r="E140" s="57"/>
      <c r="F140" s="54" t="s">
        <v>4139</v>
      </c>
      <c r="G140" s="205" t="s">
        <v>4288</v>
      </c>
      <c r="H140" s="204"/>
      <c r="I140" s="64"/>
      <c r="J140" s="72"/>
      <c r="K140" s="158"/>
      <c r="L140" s="53">
        <v>7.1693</v>
      </c>
      <c r="M140" s="87" t="s">
        <v>1218</v>
      </c>
      <c r="N140" s="87" t="s">
        <v>621</v>
      </c>
      <c r="O140" s="485">
        <v>45713</v>
      </c>
      <c r="P140" s="207"/>
      <c r="Q140" s="53"/>
      <c r="R140" s="373"/>
      <c r="S140" s="195"/>
      <c r="T140" s="374"/>
    </row>
    <row r="141" ht="16.5" spans="1:20">
      <c r="A141" s="32" t="s">
        <v>1913</v>
      </c>
      <c r="B141" s="197" t="s">
        <v>1875</v>
      </c>
      <c r="C141" s="40"/>
      <c r="D141" s="46"/>
      <c r="E141" s="57"/>
      <c r="F141" s="106" t="s">
        <v>4090</v>
      </c>
      <c r="G141" s="57" t="s">
        <v>4178</v>
      </c>
      <c r="H141" s="55"/>
      <c r="I141" s="64"/>
      <c r="J141" s="66"/>
      <c r="K141" s="66"/>
      <c r="L141" s="53">
        <v>7.1693</v>
      </c>
      <c r="M141" s="81" t="s">
        <v>4167</v>
      </c>
      <c r="N141" s="87" t="s">
        <v>621</v>
      </c>
      <c r="O141" s="87"/>
      <c r="P141" s="207"/>
      <c r="Q141" s="53"/>
      <c r="R141" s="373"/>
      <c r="S141" s="195"/>
      <c r="T141" s="374"/>
    </row>
    <row r="142" ht="16.5" spans="1:20">
      <c r="A142" s="32" t="s">
        <v>1913</v>
      </c>
      <c r="B142" s="197" t="s">
        <v>1875</v>
      </c>
      <c r="C142" s="40"/>
      <c r="D142" s="46"/>
      <c r="E142" s="57"/>
      <c r="F142" s="106" t="s">
        <v>4090</v>
      </c>
      <c r="G142" s="54" t="s">
        <v>4179</v>
      </c>
      <c r="H142" s="55"/>
      <c r="I142" s="64"/>
      <c r="J142" s="68"/>
      <c r="K142" s="68"/>
      <c r="L142" s="53">
        <v>7.1693</v>
      </c>
      <c r="M142" s="81" t="s">
        <v>4167</v>
      </c>
      <c r="N142" s="87" t="s">
        <v>621</v>
      </c>
      <c r="O142" s="87"/>
      <c r="P142" s="207"/>
      <c r="Q142" s="53"/>
      <c r="R142" s="373"/>
      <c r="S142" s="195"/>
      <c r="T142" s="374"/>
    </row>
    <row r="143" ht="16.5" spans="1:20">
      <c r="A143" s="32" t="s">
        <v>1913</v>
      </c>
      <c r="B143" s="197" t="s">
        <v>1875</v>
      </c>
      <c r="C143" s="40"/>
      <c r="D143" s="46"/>
      <c r="E143" s="57"/>
      <c r="F143" s="106" t="s">
        <v>4090</v>
      </c>
      <c r="G143" s="54" t="s">
        <v>4289</v>
      </c>
      <c r="H143" s="204"/>
      <c r="I143" s="64"/>
      <c r="J143" s="68"/>
      <c r="K143" s="68"/>
      <c r="L143" s="53">
        <v>7.1693</v>
      </c>
      <c r="M143" s="81" t="s">
        <v>1218</v>
      </c>
      <c r="N143" s="87" t="s">
        <v>621</v>
      </c>
      <c r="O143" s="87"/>
      <c r="P143" s="207"/>
      <c r="Q143" s="53"/>
      <c r="R143" s="373"/>
      <c r="S143" s="195"/>
      <c r="T143" s="374"/>
    </row>
    <row r="144" ht="16.5" spans="1:20">
      <c r="A144" s="32" t="s">
        <v>1913</v>
      </c>
      <c r="B144" s="197" t="s">
        <v>1875</v>
      </c>
      <c r="C144" s="40"/>
      <c r="D144" s="46"/>
      <c r="E144" s="57"/>
      <c r="F144" s="54" t="s">
        <v>4139</v>
      </c>
      <c r="G144" s="54" t="s">
        <v>4290</v>
      </c>
      <c r="H144" s="204"/>
      <c r="I144" s="64"/>
      <c r="J144" s="68"/>
      <c r="K144" s="68"/>
      <c r="L144" s="53">
        <v>7.1693</v>
      </c>
      <c r="M144" s="81"/>
      <c r="N144" s="87"/>
      <c r="O144" s="87"/>
      <c r="P144" s="207"/>
      <c r="Q144" s="53"/>
      <c r="R144" s="373"/>
      <c r="S144" s="195"/>
      <c r="T144" s="374"/>
    </row>
    <row r="145" ht="16.5" spans="1:20">
      <c r="A145" s="32" t="s">
        <v>1913</v>
      </c>
      <c r="B145" s="197" t="s">
        <v>1875</v>
      </c>
      <c r="C145" s="42" t="s">
        <v>209</v>
      </c>
      <c r="D145" s="46"/>
      <c r="E145" s="57"/>
      <c r="F145" s="106" t="s">
        <v>4093</v>
      </c>
      <c r="G145" s="57" t="s">
        <v>4168</v>
      </c>
      <c r="H145" s="55"/>
      <c r="I145" s="64"/>
      <c r="J145" s="68"/>
      <c r="K145" s="68"/>
      <c r="L145" s="53" t="s">
        <v>1125</v>
      </c>
      <c r="M145" s="81" t="s">
        <v>4167</v>
      </c>
      <c r="N145" s="87"/>
      <c r="O145" s="87"/>
      <c r="P145" s="207"/>
      <c r="Q145" s="53"/>
      <c r="R145" s="373"/>
      <c r="S145" s="195"/>
      <c r="T145" s="374"/>
    </row>
    <row r="146" ht="16.5" spans="1:20">
      <c r="A146" s="32" t="s">
        <v>1913</v>
      </c>
      <c r="B146" s="197" t="s">
        <v>1875</v>
      </c>
      <c r="C146" s="42"/>
      <c r="D146" s="46"/>
      <c r="E146" s="57"/>
      <c r="F146" s="106" t="s">
        <v>4093</v>
      </c>
      <c r="G146" s="57" t="s">
        <v>4166</v>
      </c>
      <c r="H146" s="55"/>
      <c r="I146" s="64"/>
      <c r="J146" s="68"/>
      <c r="K146" s="68"/>
      <c r="L146" s="53" t="s">
        <v>1125</v>
      </c>
      <c r="M146" s="81" t="s">
        <v>4167</v>
      </c>
      <c r="N146" s="87"/>
      <c r="O146" s="87"/>
      <c r="P146" s="207"/>
      <c r="Q146" s="53"/>
      <c r="R146" s="373"/>
      <c r="S146" s="195"/>
      <c r="T146" s="374"/>
    </row>
    <row r="147" ht="16.5" spans="1:20">
      <c r="A147" s="32" t="s">
        <v>1913</v>
      </c>
      <c r="B147" s="197" t="s">
        <v>1875</v>
      </c>
      <c r="C147" s="42"/>
      <c r="D147" s="46"/>
      <c r="E147" s="57"/>
      <c r="F147" s="106" t="s">
        <v>4093</v>
      </c>
      <c r="G147" s="57" t="s">
        <v>4291</v>
      </c>
      <c r="H147" s="55"/>
      <c r="I147" s="64"/>
      <c r="J147" s="68"/>
      <c r="K147" s="68"/>
      <c r="L147" s="53" t="s">
        <v>1125</v>
      </c>
      <c r="M147" s="81" t="s">
        <v>4167</v>
      </c>
      <c r="N147" s="87"/>
      <c r="O147" s="87"/>
      <c r="P147" s="207"/>
      <c r="Q147" s="53"/>
      <c r="R147" s="373"/>
      <c r="S147" s="195"/>
      <c r="T147" s="374"/>
    </row>
    <row r="148" ht="16.5" spans="1:20">
      <c r="A148" s="32" t="s">
        <v>1913</v>
      </c>
      <c r="B148" s="197" t="s">
        <v>1875</v>
      </c>
      <c r="C148" s="42"/>
      <c r="D148" s="46"/>
      <c r="E148" s="57"/>
      <c r="F148" s="106" t="s">
        <v>4095</v>
      </c>
      <c r="G148" s="57" t="s">
        <v>4292</v>
      </c>
      <c r="H148" s="55"/>
      <c r="I148" s="64"/>
      <c r="J148" s="68"/>
      <c r="K148" s="68"/>
      <c r="L148" s="53">
        <v>7.1693</v>
      </c>
      <c r="M148" s="81" t="s">
        <v>1218</v>
      </c>
      <c r="N148" s="87" t="s">
        <v>621</v>
      </c>
      <c r="O148" s="87"/>
      <c r="P148" s="207"/>
      <c r="Q148" s="53"/>
      <c r="R148" s="373"/>
      <c r="S148" s="195"/>
      <c r="T148" s="374"/>
    </row>
    <row r="149" ht="16.5" spans="1:20">
      <c r="A149" s="32" t="s">
        <v>1913</v>
      </c>
      <c r="B149" s="197" t="s">
        <v>1875</v>
      </c>
      <c r="C149" s="42"/>
      <c r="D149" s="46"/>
      <c r="E149" s="57"/>
      <c r="F149" s="106" t="s">
        <v>4087</v>
      </c>
      <c r="G149" s="57" t="s">
        <v>4175</v>
      </c>
      <c r="H149" s="55"/>
      <c r="I149" s="64"/>
      <c r="J149" s="68"/>
      <c r="K149" s="68"/>
      <c r="L149" s="53">
        <v>7.1693</v>
      </c>
      <c r="M149" s="81" t="s">
        <v>1218</v>
      </c>
      <c r="N149" s="87" t="s">
        <v>621</v>
      </c>
      <c r="O149" s="87"/>
      <c r="P149" s="207"/>
      <c r="Q149" s="53"/>
      <c r="R149" s="373"/>
      <c r="S149" s="195"/>
      <c r="T149" s="374"/>
    </row>
    <row r="150" ht="16.5" spans="1:20">
      <c r="A150" s="32" t="s">
        <v>1913</v>
      </c>
      <c r="B150" s="197" t="s">
        <v>1875</v>
      </c>
      <c r="C150" s="42"/>
      <c r="D150" s="46"/>
      <c r="E150" s="57"/>
      <c r="F150" s="106" t="s">
        <v>4095</v>
      </c>
      <c r="G150" s="54" t="s">
        <v>4177</v>
      </c>
      <c r="H150" s="55"/>
      <c r="I150" s="64"/>
      <c r="J150" s="68"/>
      <c r="K150" s="68"/>
      <c r="L150" s="53">
        <v>7.1693</v>
      </c>
      <c r="M150" s="81" t="s">
        <v>1218</v>
      </c>
      <c r="N150" s="87" t="s">
        <v>621</v>
      </c>
      <c r="O150" s="87"/>
      <c r="P150" s="207"/>
      <c r="Q150" s="53"/>
      <c r="R150" s="373"/>
      <c r="S150" s="195"/>
      <c r="T150" s="374"/>
    </row>
    <row r="151" ht="16.5" spans="1:20">
      <c r="A151" s="32" t="s">
        <v>1913</v>
      </c>
      <c r="B151" s="197" t="s">
        <v>1875</v>
      </c>
      <c r="C151" s="42"/>
      <c r="D151" s="46"/>
      <c r="E151" s="57"/>
      <c r="F151" s="106" t="s">
        <v>4095</v>
      </c>
      <c r="G151" s="54" t="s">
        <v>4293</v>
      </c>
      <c r="H151" s="55"/>
      <c r="I151" s="64"/>
      <c r="J151" s="68"/>
      <c r="K151" s="68"/>
      <c r="L151" s="53">
        <v>7.1693</v>
      </c>
      <c r="M151" s="81" t="s">
        <v>1218</v>
      </c>
      <c r="N151" s="87" t="s">
        <v>621</v>
      </c>
      <c r="O151" s="87"/>
      <c r="P151" s="207"/>
      <c r="Q151" s="53"/>
      <c r="R151" s="373"/>
      <c r="S151" s="195"/>
      <c r="T151" s="374"/>
    </row>
    <row r="152" ht="16.5" spans="1:20">
      <c r="A152" s="32" t="s">
        <v>1913</v>
      </c>
      <c r="B152" s="197" t="s">
        <v>1875</v>
      </c>
      <c r="C152" s="42"/>
      <c r="D152" s="46"/>
      <c r="E152" s="57"/>
      <c r="F152" s="106" t="s">
        <v>4093</v>
      </c>
      <c r="G152" s="54" t="s">
        <v>1416</v>
      </c>
      <c r="H152" s="55"/>
      <c r="I152" s="64"/>
      <c r="J152" s="68"/>
      <c r="K152" s="68"/>
      <c r="L152" s="53">
        <v>7.1693</v>
      </c>
      <c r="M152" s="81" t="s">
        <v>4167</v>
      </c>
      <c r="N152" s="87" t="s">
        <v>621</v>
      </c>
      <c r="O152" s="87"/>
      <c r="P152" s="207"/>
      <c r="Q152" s="53"/>
      <c r="R152" s="373"/>
      <c r="S152" s="195"/>
      <c r="T152" s="374"/>
    </row>
    <row r="153" ht="16.5" spans="1:20">
      <c r="A153" s="32" t="s">
        <v>1913</v>
      </c>
      <c r="B153" s="197" t="s">
        <v>1875</v>
      </c>
      <c r="C153" s="192" t="s">
        <v>4163</v>
      </c>
      <c r="D153" s="46"/>
      <c r="E153" s="57"/>
      <c r="F153" s="106"/>
      <c r="G153" s="54"/>
      <c r="H153" s="55"/>
      <c r="I153" s="64"/>
      <c r="J153" s="68"/>
      <c r="K153" s="68"/>
      <c r="L153" s="53"/>
      <c r="M153" s="81"/>
      <c r="N153" s="87"/>
      <c r="O153" s="87"/>
      <c r="P153" s="207"/>
      <c r="Q153" s="53"/>
      <c r="R153" s="373"/>
      <c r="S153" s="195"/>
      <c r="T153" s="374"/>
    </row>
    <row r="154" ht="16.5" spans="1:20">
      <c r="A154" s="32" t="s">
        <v>1913</v>
      </c>
      <c r="B154" s="197" t="s">
        <v>1875</v>
      </c>
      <c r="C154" s="37"/>
      <c r="D154" s="46"/>
      <c r="E154" s="57"/>
      <c r="F154" s="106"/>
      <c r="G154" s="54"/>
      <c r="H154" s="55"/>
      <c r="I154" s="64"/>
      <c r="J154" s="68"/>
      <c r="K154" s="68"/>
      <c r="L154" s="65"/>
      <c r="M154" s="81"/>
      <c r="N154" s="87"/>
      <c r="O154" s="87"/>
      <c r="P154" s="207"/>
      <c r="Q154" s="350"/>
      <c r="R154" s="41"/>
      <c r="S154" s="99"/>
      <c r="T154" s="380"/>
    </row>
    <row r="155" ht="16.5" spans="1:24">
      <c r="A155" s="115" t="s">
        <v>1984</v>
      </c>
      <c r="B155" s="228" t="s">
        <v>1824</v>
      </c>
      <c r="C155" s="112" t="s">
        <v>1120</v>
      </c>
      <c r="D155" s="43">
        <v>77</v>
      </c>
      <c r="E155" s="53"/>
      <c r="F155" s="201"/>
      <c r="G155" s="53"/>
      <c r="H155" s="308"/>
      <c r="I155" s="64"/>
      <c r="J155" s="72"/>
      <c r="K155" s="64"/>
      <c r="L155" s="130"/>
      <c r="M155" s="364"/>
      <c r="N155" s="364"/>
      <c r="O155" s="81"/>
      <c r="P155" s="135"/>
      <c r="Q155" s="135"/>
      <c r="R155" s="82"/>
      <c r="S155" s="82"/>
      <c r="T155" s="126"/>
      <c r="U155" s="417"/>
      <c r="V155" s="417"/>
      <c r="W155" s="417"/>
      <c r="X155" s="417"/>
    </row>
    <row r="156" ht="18.75" customHeight="1" spans="1:20">
      <c r="A156" s="115" t="s">
        <v>1984</v>
      </c>
      <c r="B156" s="230" t="s">
        <v>1824</v>
      </c>
      <c r="C156" s="112" t="s">
        <v>1120</v>
      </c>
      <c r="D156" s="38"/>
      <c r="E156" s="53"/>
      <c r="F156" s="201" t="s">
        <v>4087</v>
      </c>
      <c r="G156" s="53" t="s">
        <v>4294</v>
      </c>
      <c r="H156" s="55"/>
      <c r="I156" s="64"/>
      <c r="J156" s="66"/>
      <c r="K156" s="71"/>
      <c r="L156" s="53">
        <v>7.1693</v>
      </c>
      <c r="M156" s="81" t="s">
        <v>1644</v>
      </c>
      <c r="N156" s="87">
        <v>45715</v>
      </c>
      <c r="O156" s="87">
        <v>45719</v>
      </c>
      <c r="P156" s="493"/>
      <c r="Q156" s="496"/>
      <c r="R156" s="278"/>
      <c r="S156" s="383"/>
      <c r="T156" s="383"/>
    </row>
    <row r="157" ht="18.75" customHeight="1" spans="1:20">
      <c r="A157" s="115" t="s">
        <v>1984</v>
      </c>
      <c r="B157" s="230" t="s">
        <v>1824</v>
      </c>
      <c r="C157" s="112" t="s">
        <v>1120</v>
      </c>
      <c r="D157" s="39"/>
      <c r="E157" s="53"/>
      <c r="F157" s="201" t="s">
        <v>4087</v>
      </c>
      <c r="G157" s="53" t="s">
        <v>4295</v>
      </c>
      <c r="H157" s="55"/>
      <c r="I157" s="252"/>
      <c r="J157" s="66"/>
      <c r="K157" s="491"/>
      <c r="L157" s="53">
        <v>7.1693</v>
      </c>
      <c r="M157" s="423">
        <v>45713</v>
      </c>
      <c r="N157" s="87">
        <v>45715</v>
      </c>
      <c r="O157" s="87">
        <v>45719</v>
      </c>
      <c r="P157" s="493"/>
      <c r="Q157" s="385"/>
      <c r="R157" s="386"/>
      <c r="S157" s="387"/>
      <c r="T157" s="387"/>
    </row>
    <row r="158" ht="17.6" customHeight="1" spans="1:24">
      <c r="A158" s="115" t="s">
        <v>1984</v>
      </c>
      <c r="B158" s="230" t="s">
        <v>1824</v>
      </c>
      <c r="C158" s="38" t="s">
        <v>509</v>
      </c>
      <c r="D158" s="39">
        <v>82</v>
      </c>
      <c r="E158" s="53"/>
      <c r="F158" s="236" t="s">
        <v>4090</v>
      </c>
      <c r="G158" s="106" t="s">
        <v>4296</v>
      </c>
      <c r="H158" s="64"/>
      <c r="I158" s="64"/>
      <c r="J158" s="64"/>
      <c r="K158" s="252"/>
      <c r="L158" s="53">
        <v>7.1693</v>
      </c>
      <c r="M158" s="81" t="s">
        <v>1644</v>
      </c>
      <c r="N158" s="81">
        <v>45714</v>
      </c>
      <c r="O158" s="81">
        <v>45718</v>
      </c>
      <c r="P158" s="382"/>
      <c r="Q158" s="388"/>
      <c r="R158" s="39"/>
      <c r="S158" s="280"/>
      <c r="T158" s="285"/>
      <c r="U158" s="417"/>
      <c r="V158" s="417"/>
      <c r="W158" s="417"/>
      <c r="X158" s="417"/>
    </row>
    <row r="159" ht="17.6" customHeight="1" spans="1:24">
      <c r="A159" s="115" t="s">
        <v>1984</v>
      </c>
      <c r="B159" s="230" t="s">
        <v>1824</v>
      </c>
      <c r="C159" s="38" t="s">
        <v>509</v>
      </c>
      <c r="D159" s="35"/>
      <c r="E159" s="53"/>
      <c r="F159" s="381" t="s">
        <v>4090</v>
      </c>
      <c r="G159" s="248" t="s">
        <v>4297</v>
      </c>
      <c r="H159" s="55"/>
      <c r="I159" s="392"/>
      <c r="J159" s="252"/>
      <c r="K159" s="252"/>
      <c r="L159" s="53">
        <v>7.1693</v>
      </c>
      <c r="M159" s="81" t="s">
        <v>1644</v>
      </c>
      <c r="N159" s="81">
        <v>45713</v>
      </c>
      <c r="O159" s="87">
        <v>45717</v>
      </c>
      <c r="P159" s="266"/>
      <c r="Q159" s="388"/>
      <c r="R159" s="39"/>
      <c r="S159" s="280"/>
      <c r="T159" s="285"/>
      <c r="U159" s="417"/>
      <c r="V159" s="417"/>
      <c r="W159" s="417"/>
      <c r="X159" s="417"/>
    </row>
    <row r="160" ht="17.6" customHeight="1" spans="1:24">
      <c r="A160" s="115" t="s">
        <v>1984</v>
      </c>
      <c r="B160" s="230" t="s">
        <v>1824</v>
      </c>
      <c r="C160" s="38" t="s">
        <v>509</v>
      </c>
      <c r="D160" s="35"/>
      <c r="E160" s="53"/>
      <c r="F160" s="381" t="s">
        <v>4095</v>
      </c>
      <c r="G160" s="248" t="s">
        <v>1037</v>
      </c>
      <c r="H160" s="55"/>
      <c r="I160" s="392"/>
      <c r="J160" s="252"/>
      <c r="K160" s="252"/>
      <c r="L160" s="53">
        <v>7.1693</v>
      </c>
      <c r="M160" s="271">
        <v>45704</v>
      </c>
      <c r="N160" s="81">
        <v>45706</v>
      </c>
      <c r="O160" s="87" t="s">
        <v>3579</v>
      </c>
      <c r="P160" s="266"/>
      <c r="Q160" s="388"/>
      <c r="R160" s="39"/>
      <c r="S160" s="280"/>
      <c r="T160" s="285"/>
      <c r="U160" s="417"/>
      <c r="V160" s="417"/>
      <c r="W160" s="417"/>
      <c r="X160" s="417"/>
    </row>
    <row r="161" ht="16.5" spans="1:24">
      <c r="A161" s="115" t="s">
        <v>1984</v>
      </c>
      <c r="B161" s="230" t="s">
        <v>1824</v>
      </c>
      <c r="C161" s="34" t="s">
        <v>1393</v>
      </c>
      <c r="D161" s="35">
        <v>52</v>
      </c>
      <c r="E161" s="53"/>
      <c r="F161" s="54" t="s">
        <v>4113</v>
      </c>
      <c r="G161" s="44" t="s">
        <v>4212</v>
      </c>
      <c r="H161" s="55"/>
      <c r="I161" s="253"/>
      <c r="J161" s="252"/>
      <c r="K161" s="256"/>
      <c r="L161" s="53">
        <v>7.1693</v>
      </c>
      <c r="M161" s="81">
        <v>45712</v>
      </c>
      <c r="N161" s="81">
        <v>45713</v>
      </c>
      <c r="O161" s="81">
        <v>45718</v>
      </c>
      <c r="P161" s="82"/>
      <c r="Q161" s="267"/>
      <c r="R161" s="207"/>
      <c r="S161" s="34"/>
      <c r="T161" s="72"/>
      <c r="U161" s="417"/>
      <c r="V161" s="417"/>
      <c r="W161" s="417"/>
      <c r="X161" s="417"/>
    </row>
    <row r="162" customFormat="1" ht="16.5" spans="1:24">
      <c r="A162" s="115" t="s">
        <v>1984</v>
      </c>
      <c r="B162" s="230" t="s">
        <v>1824</v>
      </c>
      <c r="C162" s="34" t="s">
        <v>1393</v>
      </c>
      <c r="D162" s="35"/>
      <c r="E162" s="53"/>
      <c r="F162" s="54" t="s">
        <v>4113</v>
      </c>
      <c r="G162" s="248" t="s">
        <v>4298</v>
      </c>
      <c r="H162" s="55"/>
      <c r="I162" s="64"/>
      <c r="J162" s="238"/>
      <c r="K162" s="261"/>
      <c r="L162" s="53">
        <v>7.1693</v>
      </c>
      <c r="M162" s="81" t="s">
        <v>1644</v>
      </c>
      <c r="N162" s="81">
        <v>45713</v>
      </c>
      <c r="O162" s="81">
        <v>45718</v>
      </c>
      <c r="P162" s="82"/>
      <c r="Q162" s="267"/>
      <c r="R162" s="207"/>
      <c r="S162" s="399"/>
      <c r="T162" s="72"/>
      <c r="U162" s="417"/>
      <c r="V162" s="417"/>
      <c r="W162" s="417"/>
      <c r="X162" s="417"/>
    </row>
    <row r="163" customFormat="1" ht="33" spans="1:20">
      <c r="A163" s="115" t="s">
        <v>1984</v>
      </c>
      <c r="B163" s="230" t="s">
        <v>1824</v>
      </c>
      <c r="C163" s="34" t="s">
        <v>1393</v>
      </c>
      <c r="D163" s="35"/>
      <c r="E163" s="48"/>
      <c r="F163" s="54" t="s">
        <v>4090</v>
      </c>
      <c r="G163" s="497" t="s">
        <v>4299</v>
      </c>
      <c r="H163" s="55"/>
      <c r="I163" s="64"/>
      <c r="J163" s="261"/>
      <c r="K163" s="261"/>
      <c r="L163" s="53">
        <v>7.1693</v>
      </c>
      <c r="M163" s="81" t="s">
        <v>1644</v>
      </c>
      <c r="N163" s="81">
        <v>45706</v>
      </c>
      <c r="O163" s="83">
        <v>45709</v>
      </c>
      <c r="P163" s="499"/>
      <c r="Q163" s="389"/>
      <c r="R163" s="278"/>
      <c r="S163" s="390"/>
      <c r="T163" s="383"/>
    </row>
    <row r="164" customFormat="1" ht="16.5" spans="1:20">
      <c r="A164" s="115" t="s">
        <v>1984</v>
      </c>
      <c r="B164" s="230" t="s">
        <v>1824</v>
      </c>
      <c r="C164" s="34" t="s">
        <v>1393</v>
      </c>
      <c r="D164" s="35"/>
      <c r="E164" s="53"/>
      <c r="F164" s="54" t="s">
        <v>4090</v>
      </c>
      <c r="G164" s="106" t="s">
        <v>4300</v>
      </c>
      <c r="H164" s="55"/>
      <c r="I164" s="64"/>
      <c r="J164" s="64"/>
      <c r="K164" s="64"/>
      <c r="L164" s="53">
        <v>7.1693</v>
      </c>
      <c r="M164" s="81" t="s">
        <v>1644</v>
      </c>
      <c r="N164" s="81">
        <v>45714</v>
      </c>
      <c r="O164" s="81">
        <v>45718</v>
      </c>
      <c r="P164" s="382"/>
      <c r="Q164" s="389"/>
      <c r="R164" s="278"/>
      <c r="S164" s="390"/>
      <c r="T164" s="383"/>
    </row>
    <row r="165" customFormat="1" ht="16.5" spans="1:20">
      <c r="A165" s="115" t="s">
        <v>1984</v>
      </c>
      <c r="B165" s="230" t="s">
        <v>1824</v>
      </c>
      <c r="C165" s="42" t="s">
        <v>4196</v>
      </c>
      <c r="D165" s="38">
        <v>99</v>
      </c>
      <c r="E165" s="249"/>
      <c r="F165" s="236" t="s">
        <v>4095</v>
      </c>
      <c r="G165" s="280" t="s">
        <v>4301</v>
      </c>
      <c r="H165" s="309"/>
      <c r="I165" s="253"/>
      <c r="J165" s="261"/>
      <c r="K165" s="261"/>
      <c r="L165" s="53">
        <v>7.1693</v>
      </c>
      <c r="M165" s="81" t="s">
        <v>1644</v>
      </c>
      <c r="N165" s="81">
        <v>45700</v>
      </c>
      <c r="O165" s="87">
        <v>45702</v>
      </c>
      <c r="P165" s="413"/>
      <c r="Q165" s="400"/>
      <c r="R165" s="35"/>
      <c r="S165" s="34"/>
      <c r="T165" s="66"/>
    </row>
    <row r="166" customFormat="1" ht="16.5" spans="1:20">
      <c r="A166" s="115" t="s">
        <v>1984</v>
      </c>
      <c r="B166" s="230" t="s">
        <v>1824</v>
      </c>
      <c r="C166" s="42" t="s">
        <v>4196</v>
      </c>
      <c r="D166" s="38"/>
      <c r="E166" s="53"/>
      <c r="F166" s="106" t="s">
        <v>4139</v>
      </c>
      <c r="G166" s="106" t="s">
        <v>4217</v>
      </c>
      <c r="H166" s="309"/>
      <c r="I166" s="253"/>
      <c r="J166" s="324"/>
      <c r="K166" s="324"/>
      <c r="L166" s="53">
        <v>7.1693</v>
      </c>
      <c r="M166" s="271">
        <v>45708</v>
      </c>
      <c r="N166" s="271">
        <v>45715</v>
      </c>
      <c r="O166" s="500" t="s">
        <v>4302</v>
      </c>
      <c r="P166" s="382"/>
      <c r="Q166" s="400"/>
      <c r="R166" s="35"/>
      <c r="S166" s="34"/>
      <c r="T166" s="66"/>
    </row>
    <row r="167" customFormat="1" ht="16.5" spans="1:20">
      <c r="A167" s="115" t="s">
        <v>1984</v>
      </c>
      <c r="B167" s="230" t="s">
        <v>1824</v>
      </c>
      <c r="C167" s="42" t="s">
        <v>4196</v>
      </c>
      <c r="D167" s="38"/>
      <c r="E167" s="249"/>
      <c r="F167" s="236" t="s">
        <v>4095</v>
      </c>
      <c r="G167" s="280" t="s">
        <v>4216</v>
      </c>
      <c r="H167" s="309"/>
      <c r="I167" s="253"/>
      <c r="J167" s="324"/>
      <c r="K167" s="263"/>
      <c r="L167" s="53">
        <v>7.1693</v>
      </c>
      <c r="M167" s="87">
        <v>45708</v>
      </c>
      <c r="N167" s="81">
        <v>45713</v>
      </c>
      <c r="O167" s="87">
        <v>45719</v>
      </c>
      <c r="P167" s="501"/>
      <c r="Q167" s="80"/>
      <c r="R167" s="278"/>
      <c r="S167" s="343"/>
      <c r="T167" s="401"/>
    </row>
    <row r="168" ht="33" spans="1:21">
      <c r="A168" s="115" t="s">
        <v>1984</v>
      </c>
      <c r="B168" s="106" t="s">
        <v>3248</v>
      </c>
      <c r="C168" s="53" t="s">
        <v>1120</v>
      </c>
      <c r="D168" s="231" t="s">
        <v>1125</v>
      </c>
      <c r="E168" s="53"/>
      <c r="F168" s="54"/>
      <c r="G168" s="53"/>
      <c r="H168" s="55"/>
      <c r="I168" s="72"/>
      <c r="J168" s="64"/>
      <c r="K168" s="253"/>
      <c r="L168" s="53">
        <v>7.1693</v>
      </c>
      <c r="M168" s="81"/>
      <c r="N168" s="81"/>
      <c r="O168" s="81"/>
      <c r="P168" s="82"/>
      <c r="Q168" s="82"/>
      <c r="R168" s="82"/>
      <c r="S168" s="82"/>
      <c r="T168" s="72"/>
      <c r="U168" s="417"/>
    </row>
    <row r="169" s="417" customFormat="1" ht="33" spans="1:20">
      <c r="A169" s="115" t="s">
        <v>1984</v>
      </c>
      <c r="B169" s="106" t="s">
        <v>3248</v>
      </c>
      <c r="C169" s="117" t="s">
        <v>509</v>
      </c>
      <c r="D169" s="232"/>
      <c r="E169" s="53"/>
      <c r="F169" s="236" t="s">
        <v>4090</v>
      </c>
      <c r="G169" s="106" t="s">
        <v>4199</v>
      </c>
      <c r="H169" s="56"/>
      <c r="I169" s="252"/>
      <c r="J169" s="64"/>
      <c r="K169" s="252"/>
      <c r="L169" s="53">
        <v>7.1693</v>
      </c>
      <c r="M169" s="364">
        <v>45738</v>
      </c>
      <c r="N169" s="81"/>
      <c r="O169" s="81"/>
      <c r="P169" s="382"/>
      <c r="Q169" s="389"/>
      <c r="R169" s="207"/>
      <c r="S169" s="399"/>
      <c r="T169" s="72"/>
    </row>
    <row r="170" ht="33" spans="1:21">
      <c r="A170" s="115" t="s">
        <v>1984</v>
      </c>
      <c r="B170" s="106" t="s">
        <v>3248</v>
      </c>
      <c r="C170" s="53" t="s">
        <v>1393</v>
      </c>
      <c r="D170" s="232"/>
      <c r="E170" s="249"/>
      <c r="F170" s="236" t="s">
        <v>4090</v>
      </c>
      <c r="G170" s="280" t="s">
        <v>4303</v>
      </c>
      <c r="H170" s="55"/>
      <c r="I170" s="253"/>
      <c r="J170" s="261"/>
      <c r="K170" s="261"/>
      <c r="L170" s="53">
        <v>7.1693</v>
      </c>
      <c r="M170" s="81" t="s">
        <v>3624</v>
      </c>
      <c r="N170" s="81"/>
      <c r="O170" s="83">
        <v>45717</v>
      </c>
      <c r="P170" s="499"/>
      <c r="Q170" s="400"/>
      <c r="R170" s="35"/>
      <c r="S170" s="34"/>
      <c r="T170" s="72"/>
      <c r="U170" s="417"/>
    </row>
    <row r="171" ht="33" spans="1:21">
      <c r="A171" s="115" t="s">
        <v>1984</v>
      </c>
      <c r="B171" s="106" t="s">
        <v>3248</v>
      </c>
      <c r="C171" s="53"/>
      <c r="D171" s="232"/>
      <c r="E171" s="53"/>
      <c r="F171" s="54" t="s">
        <v>4090</v>
      </c>
      <c r="G171" s="72" t="s">
        <v>4304</v>
      </c>
      <c r="H171" s="55"/>
      <c r="I171" s="64"/>
      <c r="J171" s="253"/>
      <c r="K171" s="253"/>
      <c r="L171" s="53">
        <v>7.1693</v>
      </c>
      <c r="M171" s="81" t="s">
        <v>1644</v>
      </c>
      <c r="N171" s="81">
        <v>45714</v>
      </c>
      <c r="O171" s="81">
        <v>45716</v>
      </c>
      <c r="P171" s="82"/>
      <c r="Q171" s="400"/>
      <c r="R171" s="35"/>
      <c r="S171" s="34"/>
      <c r="T171" s="72"/>
      <c r="U171" s="417"/>
    </row>
    <row r="172" ht="33" spans="1:21">
      <c r="A172" s="115" t="s">
        <v>1984</v>
      </c>
      <c r="B172" s="106" t="s">
        <v>3248</v>
      </c>
      <c r="C172" s="43" t="s">
        <v>4196</v>
      </c>
      <c r="D172" s="232"/>
      <c r="E172" s="35"/>
      <c r="F172" s="54" t="s">
        <v>4090</v>
      </c>
      <c r="G172" s="35" t="s">
        <v>4204</v>
      </c>
      <c r="H172" s="239"/>
      <c r="I172" s="64"/>
      <c r="J172" s="253"/>
      <c r="K172" s="253"/>
      <c r="L172" s="53">
        <v>7.1693</v>
      </c>
      <c r="M172" s="81">
        <v>45735</v>
      </c>
      <c r="N172" s="361"/>
      <c r="O172" s="425"/>
      <c r="P172" s="499"/>
      <c r="Q172" s="400"/>
      <c r="R172" s="35"/>
      <c r="S172" s="34"/>
      <c r="T172" s="72"/>
      <c r="U172" s="417"/>
    </row>
    <row r="173" customFormat="1" ht="33" spans="1:20">
      <c r="A173" s="115" t="s">
        <v>1984</v>
      </c>
      <c r="B173" s="106" t="s">
        <v>3248</v>
      </c>
      <c r="C173" s="277"/>
      <c r="D173" s="35"/>
      <c r="E173" s="249"/>
      <c r="F173" s="236" t="s">
        <v>4095</v>
      </c>
      <c r="G173" s="280" t="s">
        <v>4205</v>
      </c>
      <c r="H173" s="309"/>
      <c r="I173" s="64"/>
      <c r="J173" s="464"/>
      <c r="K173" s="464"/>
      <c r="L173" s="53">
        <v>7.1693</v>
      </c>
      <c r="M173" s="271">
        <v>45741</v>
      </c>
      <c r="N173" s="81"/>
      <c r="O173" s="87"/>
      <c r="P173" s="499"/>
      <c r="Q173" s="80"/>
      <c r="R173" s="278"/>
      <c r="S173" s="383"/>
      <c r="T173" s="383"/>
    </row>
    <row r="174" ht="18.75" customHeight="1" spans="1:20">
      <c r="A174" s="115" t="s">
        <v>1984</v>
      </c>
      <c r="B174" s="123" t="s">
        <v>1875</v>
      </c>
      <c r="C174" s="234" t="s">
        <v>1120</v>
      </c>
      <c r="D174" s="43" t="s">
        <v>1125</v>
      </c>
      <c r="E174" s="53"/>
      <c r="F174" s="201" t="s">
        <v>4087</v>
      </c>
      <c r="G174" s="53" t="s">
        <v>4305</v>
      </c>
      <c r="H174" s="308"/>
      <c r="I174" s="64"/>
      <c r="J174" s="66"/>
      <c r="K174" s="71"/>
      <c r="L174" s="53">
        <v>7.1693</v>
      </c>
      <c r="M174" s="474"/>
      <c r="N174" s="87"/>
      <c r="O174" s="87"/>
      <c r="P174" s="493"/>
      <c r="Q174" s="80"/>
      <c r="R174" s="278"/>
      <c r="S174" s="383"/>
      <c r="T174" s="383"/>
    </row>
    <row r="175" ht="18.75" customHeight="1" spans="1:20">
      <c r="A175" s="115" t="s">
        <v>1984</v>
      </c>
      <c r="B175" s="123" t="s">
        <v>1875</v>
      </c>
      <c r="C175" s="53" t="s">
        <v>509</v>
      </c>
      <c r="D175" s="35" t="s">
        <v>1125</v>
      </c>
      <c r="E175" s="106"/>
      <c r="F175" s="54" t="s">
        <v>4188</v>
      </c>
      <c r="G175" s="106" t="s">
        <v>4206</v>
      </c>
      <c r="H175" s="55"/>
      <c r="I175" s="253"/>
      <c r="J175" s="252"/>
      <c r="K175" s="64"/>
      <c r="L175" s="53">
        <v>7.1693</v>
      </c>
      <c r="M175" s="81"/>
      <c r="N175" s="81"/>
      <c r="O175" s="81"/>
      <c r="P175" s="89"/>
      <c r="Q175" s="80"/>
      <c r="R175" s="278"/>
      <c r="S175" s="383"/>
      <c r="T175" s="383"/>
    </row>
    <row r="176" ht="18.75" customHeight="1" spans="1:20">
      <c r="A176" s="115" t="s">
        <v>1984</v>
      </c>
      <c r="B176" s="123" t="s">
        <v>1875</v>
      </c>
      <c r="C176" s="233"/>
      <c r="D176" s="35"/>
      <c r="E176" s="53"/>
      <c r="F176" s="236" t="s">
        <v>4095</v>
      </c>
      <c r="G176" s="106"/>
      <c r="H176" s="252"/>
      <c r="I176" s="252"/>
      <c r="J176" s="64"/>
      <c r="K176" s="252"/>
      <c r="L176" s="53">
        <v>7.1693</v>
      </c>
      <c r="M176" s="53"/>
      <c r="N176" s="81"/>
      <c r="O176" s="81"/>
      <c r="P176" s="382"/>
      <c r="Q176" s="385"/>
      <c r="R176" s="386"/>
      <c r="S176" s="387"/>
      <c r="T176" s="387"/>
    </row>
    <row r="177" ht="17.6" customHeight="1" spans="1:24">
      <c r="A177" s="115" t="s">
        <v>1984</v>
      </c>
      <c r="B177" s="123" t="s">
        <v>1875</v>
      </c>
      <c r="C177" s="38"/>
      <c r="D177" s="35"/>
      <c r="E177" s="53"/>
      <c r="F177" s="247" t="s">
        <v>4192</v>
      </c>
      <c r="G177" s="248" t="s">
        <v>4210</v>
      </c>
      <c r="H177" s="56"/>
      <c r="I177" s="392"/>
      <c r="J177" s="252"/>
      <c r="K177" s="252"/>
      <c r="L177" s="53">
        <v>7.1693</v>
      </c>
      <c r="M177" s="289"/>
      <c r="N177" s="81">
        <v>45712</v>
      </c>
      <c r="O177" s="87"/>
      <c r="P177" s="266"/>
      <c r="Q177" s="388"/>
      <c r="R177" s="39"/>
      <c r="S177" s="280"/>
      <c r="T177" s="285"/>
      <c r="U177" s="417"/>
      <c r="V177" s="417"/>
      <c r="W177" s="417"/>
      <c r="X177" s="417"/>
    </row>
    <row r="178" ht="16.5" spans="1:20">
      <c r="A178" s="115" t="s">
        <v>1984</v>
      </c>
      <c r="B178" s="123" t="s">
        <v>1875</v>
      </c>
      <c r="C178" s="53"/>
      <c r="D178" s="278"/>
      <c r="E178" s="53"/>
      <c r="F178" s="247" t="s">
        <v>4207</v>
      </c>
      <c r="G178" s="248" t="s">
        <v>4208</v>
      </c>
      <c r="H178" s="55"/>
      <c r="I178" s="253"/>
      <c r="J178" s="252"/>
      <c r="K178" s="252"/>
      <c r="L178" s="53">
        <v>7.1693</v>
      </c>
      <c r="M178" s="289"/>
      <c r="N178" s="81"/>
      <c r="O178" s="87"/>
      <c r="P178" s="266"/>
      <c r="Q178" s="80"/>
      <c r="R178" s="278"/>
      <c r="S178" s="383"/>
      <c r="T178" s="383"/>
    </row>
    <row r="179" ht="19.8" customHeight="1" spans="1:20">
      <c r="A179" s="115" t="s">
        <v>1984</v>
      </c>
      <c r="B179" s="123" t="s">
        <v>1875</v>
      </c>
      <c r="C179" s="53"/>
      <c r="D179" s="35"/>
      <c r="E179" s="53"/>
      <c r="F179" s="247" t="s">
        <v>4207</v>
      </c>
      <c r="G179" s="248" t="s">
        <v>4209</v>
      </c>
      <c r="H179" s="55"/>
      <c r="I179" s="253"/>
      <c r="J179" s="252"/>
      <c r="K179" s="252"/>
      <c r="L179" s="53">
        <v>7.1693</v>
      </c>
      <c r="M179" s="289"/>
      <c r="N179" s="81"/>
      <c r="O179" s="87"/>
      <c r="P179" s="266"/>
      <c r="Q179" s="80"/>
      <c r="R179" s="278"/>
      <c r="S179" s="383"/>
      <c r="T179" s="383"/>
    </row>
    <row r="180" customFormat="1" ht="19.8" customHeight="1" spans="1:20">
      <c r="A180" s="115" t="s">
        <v>1984</v>
      </c>
      <c r="B180" s="123" t="s">
        <v>1875</v>
      </c>
      <c r="C180" s="53"/>
      <c r="D180" s="38"/>
      <c r="E180" s="53"/>
      <c r="F180" s="247"/>
      <c r="G180" s="248"/>
      <c r="H180" s="55"/>
      <c r="I180" s="253"/>
      <c r="J180" s="252"/>
      <c r="K180" s="252"/>
      <c r="L180" s="130"/>
      <c r="M180" s="289"/>
      <c r="N180" s="81"/>
      <c r="O180" s="87"/>
      <c r="P180" s="266"/>
      <c r="Q180" s="402"/>
      <c r="R180" s="403"/>
      <c r="S180" s="404"/>
      <c r="T180" s="387"/>
    </row>
    <row r="181" customFormat="1" ht="16.5" spans="1:20">
      <c r="A181" s="115" t="s">
        <v>1984</v>
      </c>
      <c r="B181" s="123" t="s">
        <v>1875</v>
      </c>
      <c r="C181" s="53"/>
      <c r="D181" s="46"/>
      <c r="E181" s="53"/>
      <c r="F181" s="54"/>
      <c r="G181" s="248"/>
      <c r="H181" s="55"/>
      <c r="I181" s="393"/>
      <c r="J181" s="394"/>
      <c r="K181" s="395"/>
      <c r="L181" s="130"/>
      <c r="M181" s="271"/>
      <c r="N181" s="268"/>
      <c r="O181" s="81"/>
      <c r="P181" s="136"/>
      <c r="Q181" s="402"/>
      <c r="R181" s="403"/>
      <c r="S181" s="405"/>
      <c r="T181" s="406"/>
    </row>
    <row r="182" customFormat="1" ht="16.5" spans="1:20">
      <c r="A182" s="115" t="s">
        <v>1984</v>
      </c>
      <c r="B182" s="123" t="s">
        <v>1875</v>
      </c>
      <c r="C182" s="53" t="s">
        <v>1393</v>
      </c>
      <c r="D182" s="46"/>
      <c r="E182" s="53"/>
      <c r="F182" s="54" t="s">
        <v>4113</v>
      </c>
      <c r="G182" s="248" t="s">
        <v>4213</v>
      </c>
      <c r="H182" s="55"/>
      <c r="I182" s="64"/>
      <c r="J182" s="257"/>
      <c r="K182" s="258"/>
      <c r="L182" s="53">
        <v>7.1693</v>
      </c>
      <c r="M182" s="81"/>
      <c r="N182" s="268"/>
      <c r="O182" s="81"/>
      <c r="P182" s="136"/>
      <c r="Q182" s="402"/>
      <c r="R182" s="403"/>
      <c r="S182" s="405"/>
      <c r="T182" s="406"/>
    </row>
    <row r="183" customFormat="1" ht="16.5" spans="1:20">
      <c r="A183" s="115" t="s">
        <v>1984</v>
      </c>
      <c r="B183" s="123" t="s">
        <v>1875</v>
      </c>
      <c r="C183" s="53"/>
      <c r="D183" s="35"/>
      <c r="E183" s="249"/>
      <c r="F183" s="279" t="s">
        <v>4090</v>
      </c>
      <c r="G183" s="44" t="s">
        <v>4306</v>
      </c>
      <c r="H183" s="239"/>
      <c r="I183" s="71"/>
      <c r="J183" s="498"/>
      <c r="K183" s="498"/>
      <c r="L183" s="53">
        <v>7.1693</v>
      </c>
      <c r="M183" s="81">
        <v>45741</v>
      </c>
      <c r="N183" s="81"/>
      <c r="O183" s="87"/>
      <c r="P183" s="499"/>
      <c r="Q183" s="80"/>
      <c r="R183" s="278"/>
      <c r="S183" s="383"/>
      <c r="T183" s="383"/>
    </row>
    <row r="184" customFormat="1" ht="16.5" spans="1:20">
      <c r="A184" s="115" t="s">
        <v>1984</v>
      </c>
      <c r="B184" s="123" t="s">
        <v>1875</v>
      </c>
      <c r="C184" s="53"/>
      <c r="D184" s="35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80"/>
      <c r="R184" s="278"/>
      <c r="S184" s="383"/>
      <c r="T184" s="383"/>
    </row>
    <row r="185" ht="16.5" spans="1:20">
      <c r="A185" s="115" t="s">
        <v>1984</v>
      </c>
      <c r="B185" s="123" t="s">
        <v>1875</v>
      </c>
      <c r="C185" s="53"/>
      <c r="D185" s="35"/>
      <c r="E185" s="69"/>
      <c r="F185" s="156"/>
      <c r="G185" s="69"/>
      <c r="H185" s="69"/>
      <c r="I185" s="69"/>
      <c r="J185" s="69"/>
      <c r="K185" s="69"/>
      <c r="L185" s="69"/>
      <c r="M185" s="69"/>
      <c r="N185" s="165"/>
      <c r="O185" s="69"/>
      <c r="P185" s="502"/>
      <c r="Q185" s="80"/>
      <c r="R185" s="278"/>
      <c r="S185" s="383"/>
      <c r="T185" s="383"/>
    </row>
    <row r="186" customFormat="1" ht="16.5" spans="1:20">
      <c r="A186" s="115" t="s">
        <v>1984</v>
      </c>
      <c r="B186" s="123" t="s">
        <v>1875</v>
      </c>
      <c r="C186" s="53" t="s">
        <v>4196</v>
      </c>
      <c r="D186" s="35"/>
      <c r="E186" s="59"/>
      <c r="F186" s="365" t="s">
        <v>4090</v>
      </c>
      <c r="G186" s="365" t="s">
        <v>4307</v>
      </c>
      <c r="H186" s="204"/>
      <c r="I186" s="324"/>
      <c r="J186" s="287"/>
      <c r="K186" s="287"/>
      <c r="L186" s="53">
        <v>7.1693</v>
      </c>
      <c r="M186" s="275"/>
      <c r="N186" s="275"/>
      <c r="O186" s="397"/>
      <c r="P186" s="398"/>
      <c r="Q186" s="397"/>
      <c r="R186" s="408"/>
      <c r="S186" s="383"/>
      <c r="T186" s="383"/>
    </row>
    <row r="187" customFormat="1" ht="16.5" spans="1:20">
      <c r="A187" s="115" t="s">
        <v>1984</v>
      </c>
      <c r="B187" s="123" t="s">
        <v>1875</v>
      </c>
      <c r="C187" s="53"/>
      <c r="D187" s="35"/>
      <c r="E187" s="310"/>
      <c r="F187" s="236" t="s">
        <v>4090</v>
      </c>
      <c r="G187" s="285" t="s">
        <v>4308</v>
      </c>
      <c r="H187" s="309"/>
      <c r="I187" s="64"/>
      <c r="J187" s="261"/>
      <c r="K187" s="261"/>
      <c r="L187" s="53">
        <v>7.1693</v>
      </c>
      <c r="M187" s="81"/>
      <c r="N187" s="81"/>
      <c r="O187" s="81"/>
      <c r="P187" s="290"/>
      <c r="Q187" s="267"/>
      <c r="R187" s="408"/>
      <c r="S187" s="383"/>
      <c r="T187" s="383"/>
    </row>
    <row r="188" customFormat="1" ht="16.5" spans="1:20">
      <c r="A188" s="115" t="s">
        <v>1984</v>
      </c>
      <c r="B188" s="123" t="s">
        <v>1875</v>
      </c>
      <c r="C188" s="53"/>
      <c r="D188" s="35"/>
      <c r="E188" s="310"/>
      <c r="F188" s="236" t="s">
        <v>4095</v>
      </c>
      <c r="G188" s="285" t="s">
        <v>4309</v>
      </c>
      <c r="H188" s="309"/>
      <c r="I188" s="64"/>
      <c r="J188" s="261"/>
      <c r="K188" s="261"/>
      <c r="L188" s="53"/>
      <c r="M188" s="271"/>
      <c r="N188" s="271"/>
      <c r="O188" s="500"/>
      <c r="P188" s="290"/>
      <c r="Q188" s="409"/>
      <c r="R188" s="408"/>
      <c r="S188" s="383"/>
      <c r="T188" s="383"/>
    </row>
    <row r="189" customFormat="1" ht="16.5" spans="1:20">
      <c r="A189" s="115" t="s">
        <v>1984</v>
      </c>
      <c r="B189" s="123" t="s">
        <v>1875</v>
      </c>
      <c r="C189" s="53"/>
      <c r="D189" s="35"/>
      <c r="E189" s="53"/>
      <c r="F189" s="106" t="s">
        <v>4090</v>
      </c>
      <c r="G189" s="106" t="s">
        <v>4310</v>
      </c>
      <c r="H189" s="55"/>
      <c r="I189" s="253"/>
      <c r="J189" s="287"/>
      <c r="K189" s="287"/>
      <c r="L189" s="53">
        <v>7.1693</v>
      </c>
      <c r="M189" s="275"/>
      <c r="N189" s="275"/>
      <c r="O189" s="397"/>
      <c r="P189" s="382"/>
      <c r="Q189" s="397"/>
      <c r="R189" s="408"/>
      <c r="S189" s="383"/>
      <c r="T189" s="383"/>
    </row>
    <row r="190" customFormat="1" ht="17.65" customHeight="1" spans="1:20">
      <c r="A190" s="115" t="s">
        <v>1984</v>
      </c>
      <c r="B190" s="123" t="s">
        <v>1875</v>
      </c>
      <c r="C190" s="53"/>
      <c r="D190" s="35"/>
      <c r="E190" s="53"/>
      <c r="F190" s="201" t="s">
        <v>4090</v>
      </c>
      <c r="G190" s="246" t="s">
        <v>4214</v>
      </c>
      <c r="H190" s="308"/>
      <c r="I190" s="253"/>
      <c r="J190" s="66"/>
      <c r="K190" s="67"/>
      <c r="L190" s="53">
        <v>7.1693</v>
      </c>
      <c r="M190" s="81"/>
      <c r="N190" s="81"/>
      <c r="O190" s="268"/>
      <c r="P190" s="382"/>
      <c r="Q190" s="268"/>
      <c r="R190" s="86"/>
      <c r="S190" s="383"/>
      <c r="T190" s="383"/>
    </row>
    <row r="191" customFormat="1" ht="16.5" spans="1:20">
      <c r="A191" s="115" t="s">
        <v>1984</v>
      </c>
      <c r="B191" s="123" t="s">
        <v>1875</v>
      </c>
      <c r="C191" s="40"/>
      <c r="D191" s="232"/>
      <c r="E191" s="249"/>
      <c r="F191" s="236" t="s">
        <v>4095</v>
      </c>
      <c r="G191" s="280" t="s">
        <v>4311</v>
      </c>
      <c r="H191" s="309"/>
      <c r="I191" s="253"/>
      <c r="J191" s="261"/>
      <c r="K191" s="261"/>
      <c r="L191" s="53">
        <v>7.1693</v>
      </c>
      <c r="M191" s="271"/>
      <c r="N191" s="467"/>
      <c r="O191" s="468"/>
      <c r="P191" s="413"/>
      <c r="Q191" s="400"/>
      <c r="R191" s="35"/>
      <c r="S191" s="34"/>
      <c r="T191" s="66"/>
    </row>
    <row r="192" customFormat="1" ht="16.5" spans="1:20">
      <c r="A192" s="115" t="s">
        <v>1984</v>
      </c>
      <c r="B192" s="123" t="s">
        <v>1875</v>
      </c>
      <c r="C192" s="40"/>
      <c r="D192" s="232"/>
      <c r="E192" s="53"/>
      <c r="F192" s="201" t="s">
        <v>4090</v>
      </c>
      <c r="G192" s="246" t="s">
        <v>382</v>
      </c>
      <c r="H192" s="309"/>
      <c r="I192" s="253"/>
      <c r="J192" s="263"/>
      <c r="K192" s="263"/>
      <c r="L192" s="53">
        <v>7.1693</v>
      </c>
      <c r="M192" s="406"/>
      <c r="N192" s="503"/>
      <c r="O192" s="503"/>
      <c r="P192" s="408"/>
      <c r="Q192" s="80"/>
      <c r="R192" s="278"/>
      <c r="S192" s="343"/>
      <c r="T192" s="401"/>
    </row>
    <row r="193" customFormat="1" ht="16.5" spans="1:20">
      <c r="A193" s="115" t="s">
        <v>1984</v>
      </c>
      <c r="B193" s="123" t="s">
        <v>1875</v>
      </c>
      <c r="C193" s="40"/>
      <c r="D193" s="232"/>
      <c r="E193" s="249"/>
      <c r="F193" s="201" t="s">
        <v>4090</v>
      </c>
      <c r="G193" s="311"/>
      <c r="H193" s="309"/>
      <c r="I193" s="253"/>
      <c r="J193" s="263"/>
      <c r="K193" s="263"/>
      <c r="L193" s="53">
        <v>7.1693</v>
      </c>
      <c r="M193" s="406"/>
      <c r="N193" s="503"/>
      <c r="O193" s="503"/>
      <c r="P193" s="408"/>
      <c r="Q193" s="80"/>
      <c r="R193" s="278"/>
      <c r="S193" s="343"/>
      <c r="T193" s="401"/>
    </row>
    <row r="194" customFormat="1" ht="16.5" spans="1:20">
      <c r="A194" s="115" t="s">
        <v>1984</v>
      </c>
      <c r="B194" s="123" t="s">
        <v>1875</v>
      </c>
      <c r="C194" s="53"/>
      <c r="D194" s="35"/>
      <c r="E194" s="249"/>
      <c r="F194" s="236" t="s">
        <v>4090</v>
      </c>
      <c r="G194" s="280" t="s">
        <v>4215</v>
      </c>
      <c r="H194" s="309"/>
      <c r="I194" s="253"/>
      <c r="J194" s="261"/>
      <c r="K194" s="261"/>
      <c r="L194" s="53">
        <v>7.1693</v>
      </c>
      <c r="M194" s="379"/>
      <c r="N194" s="503"/>
      <c r="O194" s="503"/>
      <c r="P194" s="382"/>
      <c r="Q194" s="415"/>
      <c r="R194" s="416"/>
      <c r="S194" s="383"/>
      <c r="T194" s="383"/>
    </row>
    <row r="195" ht="16.5" spans="1:20">
      <c r="A195" s="299"/>
      <c r="B195" s="504"/>
      <c r="C195" s="299"/>
      <c r="D195" s="300"/>
      <c r="E195" s="297"/>
      <c r="F195" s="312"/>
      <c r="G195" s="296"/>
      <c r="H195" s="296"/>
      <c r="I195" s="325"/>
      <c r="J195" s="325"/>
      <c r="K195" s="325"/>
      <c r="L195" s="296"/>
      <c r="M195" s="296"/>
      <c r="N195" s="330"/>
      <c r="O195" s="330"/>
      <c r="P195" s="207"/>
      <c r="Q195" s="296"/>
      <c r="R195" s="297"/>
      <c r="S195" s="296"/>
      <c r="T195" s="296"/>
    </row>
    <row r="196" ht="16.5" spans="1:20">
      <c r="A196" s="299"/>
      <c r="B196" s="505"/>
      <c r="C196" s="301"/>
      <c r="D196" s="300"/>
      <c r="E196" s="297"/>
      <c r="F196" s="312"/>
      <c r="G196" s="296"/>
      <c r="H196" s="296"/>
      <c r="I196" s="325"/>
      <c r="J196" s="325"/>
      <c r="K196" s="325"/>
      <c r="L196" s="296"/>
      <c r="M196" s="296"/>
      <c r="N196" s="330"/>
      <c r="O196" s="330"/>
      <c r="P196" s="331"/>
      <c r="Q196" s="296"/>
      <c r="R196" s="297"/>
      <c r="S196" s="296"/>
      <c r="T196" s="296"/>
    </row>
    <row r="197" ht="16.5" spans="1:20">
      <c r="A197" s="295"/>
      <c r="B197" s="506"/>
      <c r="C197" s="296"/>
      <c r="D197" s="297"/>
      <c r="E197" s="297"/>
      <c r="F197" s="312"/>
      <c r="G197" s="296"/>
      <c r="H197" s="296"/>
      <c r="I197" s="325"/>
      <c r="J197" s="325"/>
      <c r="K197" s="325"/>
      <c r="L197" s="296"/>
      <c r="M197" s="296"/>
      <c r="N197" s="330"/>
      <c r="O197" s="330"/>
      <c r="P197" s="331"/>
      <c r="Q197" s="296"/>
      <c r="R197" s="297"/>
      <c r="S197" s="296"/>
      <c r="T197" s="296"/>
    </row>
    <row r="198" ht="16.5" spans="1:20">
      <c r="A198" s="295"/>
      <c r="B198" s="506"/>
      <c r="C198" s="296"/>
      <c r="D198" s="297"/>
      <c r="E198" s="297"/>
      <c r="F198" s="312"/>
      <c r="G198" s="296"/>
      <c r="H198" s="296"/>
      <c r="I198" s="327"/>
      <c r="J198" s="327"/>
      <c r="K198" s="327"/>
      <c r="L198" s="296"/>
      <c r="M198" s="296"/>
      <c r="N198" s="330"/>
      <c r="O198" s="330"/>
      <c r="P198" s="331"/>
      <c r="Q198" s="296"/>
      <c r="R198" s="297"/>
      <c r="S198" s="296"/>
      <c r="T198" s="296"/>
    </row>
    <row r="199" ht="16.5" spans="1:20">
      <c r="A199" s="302"/>
      <c r="B199" s="315"/>
      <c r="C199" s="302"/>
      <c r="D199" s="302"/>
      <c r="E199" s="302"/>
      <c r="F199" s="315"/>
      <c r="G199" s="302"/>
      <c r="H199" s="319"/>
      <c r="I199" s="319"/>
      <c r="J199" s="319"/>
      <c r="K199" s="319"/>
      <c r="L199" s="319"/>
      <c r="M199" s="319"/>
      <c r="N199" s="319"/>
      <c r="O199" s="319"/>
      <c r="P199" s="331"/>
      <c r="Q199" s="507"/>
      <c r="R199" s="297"/>
      <c r="S199" s="296"/>
      <c r="T199" s="296"/>
    </row>
    <row r="200" ht="16.5" spans="1:20">
      <c r="A200" s="302"/>
      <c r="B200" s="315"/>
      <c r="C200" s="303"/>
      <c r="D200" s="303"/>
      <c r="E200" s="303"/>
      <c r="F200" s="320"/>
      <c r="G200" s="303"/>
      <c r="H200" s="319"/>
      <c r="I200" s="319"/>
      <c r="J200" s="319"/>
      <c r="K200" s="319"/>
      <c r="L200" s="319"/>
      <c r="M200" s="319"/>
      <c r="N200" s="319"/>
      <c r="O200" s="319"/>
      <c r="P200" s="332"/>
      <c r="Q200" s="507"/>
      <c r="R200" s="297"/>
      <c r="S200" s="312"/>
      <c r="T200" s="312"/>
    </row>
    <row r="201" spans="1:20">
      <c r="A201" s="302"/>
      <c r="B201" s="315"/>
      <c r="C201" s="303"/>
      <c r="D201" s="303"/>
      <c r="E201" s="303"/>
      <c r="F201" s="320"/>
      <c r="G201" s="303"/>
      <c r="H201" s="319"/>
      <c r="I201" s="319"/>
      <c r="J201" s="319"/>
      <c r="K201" s="319"/>
      <c r="L201" s="319"/>
      <c r="M201" s="319"/>
      <c r="N201" s="319"/>
      <c r="O201" s="319"/>
      <c r="P201" s="333"/>
      <c r="Q201" s="303"/>
      <c r="R201" s="306"/>
      <c r="S201" s="305"/>
      <c r="T201" s="305"/>
    </row>
    <row r="202" customFormat="1" spans="1:20">
      <c r="A202" s="304"/>
      <c r="B202" s="321"/>
      <c r="C202" s="305"/>
      <c r="D202" s="306"/>
      <c r="E202" s="306"/>
      <c r="F202" s="305"/>
      <c r="G202" s="305"/>
      <c r="H202" s="319"/>
      <c r="I202" s="319"/>
      <c r="J202" s="319"/>
      <c r="K202" s="319"/>
      <c r="L202" s="319"/>
      <c r="M202" s="319"/>
      <c r="N202" s="319"/>
      <c r="O202" s="319"/>
      <c r="P202" s="333"/>
      <c r="Q202" s="305"/>
      <c r="R202" s="306"/>
      <c r="S202" s="305"/>
      <c r="T202" s="305"/>
    </row>
    <row r="203" spans="1:20">
      <c r="A203" s="304"/>
      <c r="B203" s="321"/>
      <c r="C203" s="304"/>
      <c r="D203" s="307"/>
      <c r="E203" s="307"/>
      <c r="F203" s="321"/>
      <c r="G203" s="304"/>
      <c r="H203" s="319"/>
      <c r="I203" s="319"/>
      <c r="J203" s="319"/>
      <c r="K203" s="319"/>
      <c r="L203" s="319"/>
      <c r="M203" s="319"/>
      <c r="N203" s="319"/>
      <c r="O203" s="319"/>
      <c r="P203" s="334"/>
      <c r="Q203" s="304"/>
      <c r="R203" s="508"/>
      <c r="S203" s="304"/>
      <c r="T203" s="304"/>
    </row>
    <row r="204" customFormat="1" spans="1:20">
      <c r="A204" s="24"/>
      <c r="B204" s="25"/>
      <c r="C204" s="25"/>
      <c r="D204" s="24"/>
      <c r="E204" s="24"/>
      <c r="F204" s="25"/>
      <c r="G204" s="24"/>
      <c r="H204" s="319"/>
      <c r="I204" s="319"/>
      <c r="J204" s="319"/>
      <c r="K204" s="319"/>
      <c r="L204" s="319"/>
      <c r="M204" s="319"/>
      <c r="N204" s="319"/>
      <c r="O204" s="319"/>
      <c r="P204" s="27"/>
      <c r="Q204" s="24"/>
      <c r="R204" s="26"/>
      <c r="S204" s="24"/>
      <c r="T204" s="24"/>
    </row>
    <row r="205" customFormat="1" spans="1:20">
      <c r="A205" s="24"/>
      <c r="B205" s="25"/>
      <c r="C205" s="24"/>
      <c r="D205" s="24"/>
      <c r="E205" s="24"/>
      <c r="F205" s="25"/>
      <c r="G205" s="24"/>
      <c r="H205" s="319"/>
      <c r="I205" s="319"/>
      <c r="J205" s="319"/>
      <c r="K205" s="319"/>
      <c r="L205" s="319"/>
      <c r="M205" s="319"/>
      <c r="N205" s="319"/>
      <c r="O205" s="319"/>
      <c r="P205" s="27"/>
      <c r="Q205" s="24"/>
      <c r="R205" s="26"/>
      <c r="S205" s="24"/>
      <c r="T205" s="24"/>
    </row>
    <row r="206" customFormat="1" spans="1:20">
      <c r="A206" s="24"/>
      <c r="B206" s="25"/>
      <c r="C206" s="24"/>
      <c r="D206" s="24"/>
      <c r="E206" s="24"/>
      <c r="F206" s="25"/>
      <c r="G206" s="24"/>
      <c r="H206" s="319"/>
      <c r="I206" s="319"/>
      <c r="J206" s="319"/>
      <c r="K206" s="319"/>
      <c r="L206" s="319"/>
      <c r="M206" s="319"/>
      <c r="N206" s="319"/>
      <c r="O206" s="319"/>
      <c r="P206" s="27"/>
      <c r="Q206" s="24"/>
      <c r="R206" s="26"/>
      <c r="S206" s="24"/>
      <c r="T206" s="24"/>
    </row>
    <row r="207" customFormat="1" spans="1:20">
      <c r="A207" s="24"/>
      <c r="B207" s="25"/>
      <c r="C207" s="24"/>
      <c r="D207" s="24"/>
      <c r="E207" s="316"/>
      <c r="F207" s="322"/>
      <c r="G207" s="316"/>
      <c r="H207" s="319"/>
      <c r="I207" s="319"/>
      <c r="J207" s="319"/>
      <c r="K207" s="319"/>
      <c r="L207" s="319"/>
      <c r="M207" s="319"/>
      <c r="N207" s="319"/>
      <c r="O207" s="319"/>
      <c r="P207" s="27"/>
      <c r="Q207" s="24"/>
      <c r="R207" s="26"/>
      <c r="S207" s="24"/>
      <c r="T207" s="24"/>
    </row>
    <row r="208" ht="20.25" customHeight="1" spans="1:20">
      <c r="A208" s="304"/>
      <c r="B208" s="321"/>
      <c r="C208" s="304"/>
      <c r="D208" s="304"/>
      <c r="E208" s="316"/>
      <c r="F208" s="322"/>
      <c r="G208" s="316"/>
      <c r="H208" s="319"/>
      <c r="I208" s="319"/>
      <c r="J208" s="319"/>
      <c r="K208" s="319"/>
      <c r="L208" s="319"/>
      <c r="M208" s="319"/>
      <c r="N208" s="319"/>
      <c r="O208" s="319"/>
      <c r="P208" s="334"/>
      <c r="Q208" s="304"/>
      <c r="R208" s="509"/>
      <c r="S208" s="304"/>
      <c r="T208" s="304"/>
    </row>
    <row r="228" ht="36.1" customHeight="1"/>
  </sheetData>
  <sheetProtection formatCells="0" formatColumns="0" formatRows="0" insertRows="0" insertColumns="0" insertHyperlinks="0" deleteColumns="0" deleteRows="0" sort="0" autoFilter="0" pivotTables="0"/>
  <mergeCells count="51">
    <mergeCell ref="A1:S1"/>
    <mergeCell ref="P155:S155"/>
    <mergeCell ref="P156:Q156"/>
    <mergeCell ref="P168:S168"/>
    <mergeCell ref="C18:C19"/>
    <mergeCell ref="C20:C22"/>
    <mergeCell ref="C28:C30"/>
    <mergeCell ref="C33:C45"/>
    <mergeCell ref="C46:C50"/>
    <mergeCell ref="C51:C56"/>
    <mergeCell ref="C68:C74"/>
    <mergeCell ref="C75:C79"/>
    <mergeCell ref="C80:C93"/>
    <mergeCell ref="C94:C111"/>
    <mergeCell ref="C136:C137"/>
    <mergeCell ref="C139:C144"/>
    <mergeCell ref="C145:C152"/>
    <mergeCell ref="C153:C154"/>
    <mergeCell ref="C170:C171"/>
    <mergeCell ref="C172:C173"/>
    <mergeCell ref="C175:C181"/>
    <mergeCell ref="C182:C185"/>
    <mergeCell ref="C186:C194"/>
    <mergeCell ref="D5:D7"/>
    <mergeCell ref="D8:D12"/>
    <mergeCell ref="D13:D16"/>
    <mergeCell ref="D17:D23"/>
    <mergeCell ref="D31:D56"/>
    <mergeCell ref="D58:D60"/>
    <mergeCell ref="D61:D67"/>
    <mergeCell ref="D68:D79"/>
    <mergeCell ref="D80:D111"/>
    <mergeCell ref="D112:D116"/>
    <mergeCell ref="D117:D118"/>
    <mergeCell ref="D119:D129"/>
    <mergeCell ref="D130:D131"/>
    <mergeCell ref="D132:D133"/>
    <mergeCell ref="D134:D135"/>
    <mergeCell ref="D139:D154"/>
    <mergeCell ref="D155:D157"/>
    <mergeCell ref="D158:D160"/>
    <mergeCell ref="D161:D164"/>
    <mergeCell ref="D165:D167"/>
    <mergeCell ref="D168:D173"/>
    <mergeCell ref="D175:D194"/>
    <mergeCell ref="E112:E115"/>
    <mergeCell ref="E119:E121"/>
    <mergeCell ref="E123:E124"/>
    <mergeCell ref="E126:E127"/>
    <mergeCell ref="F112:F115"/>
    <mergeCell ref="R13:R14"/>
  </mergeCells>
  <dataValidations count="3">
    <dataValidation type="list" allowBlank="1" showErrorMessage="1" errorTitle="错误提示" error="请输入下拉列表中的值" sqref="F9 F12 F15 F20 F22 F183 F186 F28:F30 F47:F50 F53:F57 F155:F160 F164:F170 F172:F180 F188:F1048576">
      <formula1>"经销商增量-占比高,经销商增量-占比低,经销商开发,ODM开发,ODM增量,现有连锁增量,区域新连锁开发,全球新连锁开发,其他"</formula1>
    </dataValidation>
    <dataValidation type="list" allowBlank="1" showErrorMessage="1" errorTitle="错误提示" error="请输入下拉列表中的值" id="{e3cc978c-dad8-47be-a37a-77e1ed18047e}" sqref="B2:B1048576">
      <formula1>"本月预计发货订单,已确认订单（明确本月不发货）,洽谈中"</formula1>
    </dataValidation>
    <dataValidation type="list" allowBlank="1" showErrorMessage="1" errorTitle="错误提示" error="请输入下拉列表中的值" sqref="F2:F8 F17:F19 F23:F27 F31:F45 F51:F52 F58:F154">
      <formula1>"经销商增量-占比高,经销商增量-占比低,经销商开发-重点空白,ODM开发+增量,现有连锁增量,新连锁开发-区域,新连锁开发-全球"</formula1>
    </dataValidation>
  </dataValidations>
  <pageMargins left="0.75" right="0.75" top="1" bottom="1" header="0.5" footer="0.5"/>
  <headerFooter/>
  <ignoredErrors>
    <ignoredError sqref="F28:F30 F97:F101 F103:F106 F141:F143 F81 F86:F90 F93:F94" listDataValidation="1"/>
  </ignoredErrors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6"/>
  <dimension ref="A1:AK240"/>
  <sheetViews>
    <sheetView zoomScale="70" zoomScaleNormal="70" topLeftCell="I14" workbookViewId="0">
      <selection activeCell="H24" sqref="H24"/>
    </sheetView>
  </sheetViews>
  <sheetFormatPr defaultColWidth="9" defaultRowHeight="13.5"/>
  <cols>
    <col min="1" max="1" width="8.75833333333333" style="24" customWidth="1"/>
    <col min="2" max="2" width="16.0416666666667" style="25" customWidth="1"/>
    <col min="3" max="3" width="12.4416666666667" style="24" customWidth="1"/>
    <col min="4" max="4" width="15.375" style="24" customWidth="1"/>
    <col min="5" max="5" width="23.875" style="24" customWidth="1"/>
    <col min="6" max="6" width="16.4416666666667" style="25" customWidth="1"/>
    <col min="7" max="7" width="19.4" style="24" customWidth="1"/>
    <col min="8" max="8" width="14.825" style="24" customWidth="1"/>
    <col min="9" max="9" width="15.375" style="24" customWidth="1"/>
    <col min="10" max="10" width="13.875" style="24" customWidth="1"/>
    <col min="11" max="11" width="13.8" style="24" customWidth="1"/>
    <col min="12" max="12" width="9" style="24" customWidth="1"/>
    <col min="13" max="13" width="14.875" style="24" customWidth="1"/>
    <col min="14" max="14" width="11.125" style="26" customWidth="1"/>
    <col min="15" max="15" width="11.125" style="24" customWidth="1"/>
    <col min="16" max="16" width="76.2583333333333" style="27" customWidth="1"/>
    <col min="17" max="17" width="23.3166666666667" style="24" customWidth="1"/>
    <col min="18" max="18" width="15.875" style="26" customWidth="1"/>
    <col min="19" max="19" width="13.125" style="24"/>
    <col min="20" max="20" width="44.5666666666667" style="24" customWidth="1"/>
  </cols>
  <sheetData>
    <row r="1" ht="19.2" customHeight="1" spans="1:20">
      <c r="A1" s="28" t="s">
        <v>4312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420"/>
      <c r="O1" s="420"/>
      <c r="P1" s="421"/>
      <c r="Q1" s="28"/>
      <c r="R1" s="28"/>
      <c r="S1" s="28"/>
      <c r="T1" s="426"/>
    </row>
    <row r="2" ht="65.7" customHeight="1" spans="1:20">
      <c r="A2" s="29" t="s">
        <v>1092</v>
      </c>
      <c r="B2" s="29" t="s">
        <v>1820</v>
      </c>
      <c r="C2" s="30" t="s">
        <v>1946</v>
      </c>
      <c r="D2" s="31" t="s">
        <v>3619</v>
      </c>
      <c r="E2" s="31" t="s">
        <v>1822</v>
      </c>
      <c r="F2" s="50" t="s">
        <v>4081</v>
      </c>
      <c r="G2" s="51" t="s">
        <v>1095</v>
      </c>
      <c r="H2" s="52" t="s">
        <v>4082</v>
      </c>
      <c r="I2" s="62" t="s">
        <v>1716</v>
      </c>
      <c r="J2" s="62" t="s">
        <v>1717</v>
      </c>
      <c r="K2" s="62" t="s">
        <v>1718</v>
      </c>
      <c r="L2" s="63" t="s">
        <v>1866</v>
      </c>
      <c r="M2" s="78" t="s">
        <v>1098</v>
      </c>
      <c r="N2" s="79" t="s">
        <v>3620</v>
      </c>
      <c r="O2" s="79" t="s">
        <v>1214</v>
      </c>
      <c r="P2" s="80" t="s">
        <v>4313</v>
      </c>
      <c r="Q2" s="342" t="s">
        <v>7</v>
      </c>
      <c r="R2" s="278" t="s">
        <v>8</v>
      </c>
      <c r="S2" s="343" t="s">
        <v>9</v>
      </c>
      <c r="T2" s="427" t="s">
        <v>1291</v>
      </c>
    </row>
    <row r="3" ht="16.5" spans="1:21">
      <c r="A3" s="36" t="s">
        <v>4084</v>
      </c>
      <c r="B3" s="419" t="s">
        <v>1824</v>
      </c>
      <c r="C3" s="34" t="s">
        <v>2382</v>
      </c>
      <c r="D3" s="35"/>
      <c r="E3" s="53"/>
      <c r="F3" s="54"/>
      <c r="G3" s="55"/>
      <c r="H3" s="55"/>
      <c r="I3" s="64"/>
      <c r="J3" s="64"/>
      <c r="K3" s="64"/>
      <c r="L3" s="65"/>
      <c r="M3" s="81"/>
      <c r="N3" s="81"/>
      <c r="O3" s="81"/>
      <c r="P3" s="82"/>
      <c r="Q3" s="344"/>
      <c r="R3" s="41"/>
      <c r="S3" s="99"/>
      <c r="T3" s="72"/>
      <c r="U3">
        <v>2300</v>
      </c>
    </row>
    <row r="4" ht="16.5" spans="1:20">
      <c r="A4" s="36" t="s">
        <v>4084</v>
      </c>
      <c r="B4" s="419" t="s">
        <v>1824</v>
      </c>
      <c r="C4" s="187" t="s">
        <v>4085</v>
      </c>
      <c r="D4" s="43">
        <v>145</v>
      </c>
      <c r="E4" s="109"/>
      <c r="F4" s="54" t="s">
        <v>4093</v>
      </c>
      <c r="G4" s="55" t="s">
        <v>4314</v>
      </c>
      <c r="H4" s="55"/>
      <c r="I4" s="64"/>
      <c r="J4" s="64"/>
      <c r="K4" s="64"/>
      <c r="L4" s="53">
        <v>7.1745</v>
      </c>
      <c r="M4" s="81">
        <v>45742</v>
      </c>
      <c r="N4" s="81"/>
      <c r="O4" s="81"/>
      <c r="P4" s="82"/>
      <c r="Q4" s="344"/>
      <c r="R4" s="41"/>
      <c r="S4" s="99"/>
      <c r="T4" s="72"/>
    </row>
    <row r="5" ht="14.9" customHeight="1" spans="1:21">
      <c r="A5" s="36" t="s">
        <v>4084</v>
      </c>
      <c r="B5" s="419" t="s">
        <v>1824</v>
      </c>
      <c r="C5" s="187" t="s">
        <v>4085</v>
      </c>
      <c r="D5" s="39"/>
      <c r="E5" s="53"/>
      <c r="F5" s="58" t="s">
        <v>4207</v>
      </c>
      <c r="G5" s="48" t="s">
        <v>4315</v>
      </c>
      <c r="H5" s="56"/>
      <c r="I5" s="66"/>
      <c r="J5" s="68"/>
      <c r="K5" s="68"/>
      <c r="L5" s="53">
        <v>7.1745</v>
      </c>
      <c r="M5" s="422"/>
      <c r="N5" s="157"/>
      <c r="O5" s="423">
        <v>45747</v>
      </c>
      <c r="P5" s="82"/>
      <c r="Q5" s="344"/>
      <c r="R5" s="41"/>
      <c r="S5" s="99"/>
      <c r="T5" s="72"/>
      <c r="U5">
        <v>701</v>
      </c>
    </row>
    <row r="6" ht="16.5" spans="1:20">
      <c r="A6" s="36" t="s">
        <v>4084</v>
      </c>
      <c r="B6" s="419" t="s">
        <v>1824</v>
      </c>
      <c r="C6" s="40" t="s">
        <v>3748</v>
      </c>
      <c r="D6" s="46">
        <v>40</v>
      </c>
      <c r="E6" s="109"/>
      <c r="F6" s="54" t="s">
        <v>4081</v>
      </c>
      <c r="G6" s="57" t="s">
        <v>4237</v>
      </c>
      <c r="H6" s="56"/>
      <c r="I6" s="71"/>
      <c r="J6" s="69"/>
      <c r="K6" s="69"/>
      <c r="L6" s="53">
        <v>7.1745</v>
      </c>
      <c r="M6" s="242" t="s">
        <v>1218</v>
      </c>
      <c r="N6" s="165"/>
      <c r="O6" s="424">
        <v>45745</v>
      </c>
      <c r="P6" s="86"/>
      <c r="Q6" s="69"/>
      <c r="R6" s="165"/>
      <c r="S6" s="69"/>
      <c r="T6" s="69"/>
    </row>
    <row r="7" ht="14.9" customHeight="1" spans="1:20">
      <c r="A7" s="36" t="s">
        <v>4084</v>
      </c>
      <c r="B7" s="419" t="s">
        <v>1824</v>
      </c>
      <c r="C7" s="40" t="s">
        <v>3748</v>
      </c>
      <c r="D7" s="46"/>
      <c r="E7" s="53"/>
      <c r="F7" s="54" t="s">
        <v>4113</v>
      </c>
      <c r="G7" s="57" t="s">
        <v>4316</v>
      </c>
      <c r="H7" s="56"/>
      <c r="I7" s="71"/>
      <c r="J7" s="71"/>
      <c r="K7" s="71"/>
      <c r="L7" s="53">
        <v>7.1745</v>
      </c>
      <c r="M7" s="81">
        <v>45735</v>
      </c>
      <c r="N7" s="87">
        <v>45735</v>
      </c>
      <c r="O7" s="87">
        <v>45742</v>
      </c>
      <c r="P7" s="86"/>
      <c r="Q7" s="98"/>
      <c r="R7" s="41"/>
      <c r="S7" s="40"/>
      <c r="T7" s="428"/>
    </row>
    <row r="8" ht="17.1" customHeight="1" spans="1:20">
      <c r="A8" s="36" t="s">
        <v>4084</v>
      </c>
      <c r="B8" s="419" t="s">
        <v>1824</v>
      </c>
      <c r="C8" s="40" t="s">
        <v>3748</v>
      </c>
      <c r="D8" s="46"/>
      <c r="E8" s="53"/>
      <c r="F8" s="54"/>
      <c r="G8" s="57"/>
      <c r="H8" s="56"/>
      <c r="I8" s="71"/>
      <c r="J8" s="64"/>
      <c r="K8" s="64"/>
      <c r="L8" s="53">
        <v>7.1745</v>
      </c>
      <c r="M8" s="81"/>
      <c r="N8" s="81"/>
      <c r="O8" s="81"/>
      <c r="P8" s="82"/>
      <c r="Q8" s="98"/>
      <c r="R8" s="41"/>
      <c r="S8" s="40"/>
      <c r="T8" s="428"/>
    </row>
    <row r="9" ht="17.1" customHeight="1" spans="1:20">
      <c r="A9" s="36" t="s">
        <v>4084</v>
      </c>
      <c r="B9" s="419" t="s">
        <v>1824</v>
      </c>
      <c r="C9" s="34" t="s">
        <v>4092</v>
      </c>
      <c r="D9" s="41">
        <v>40</v>
      </c>
      <c r="E9" s="53"/>
      <c r="F9" s="54" t="s">
        <v>4090</v>
      </c>
      <c r="G9" s="53" t="s">
        <v>4239</v>
      </c>
      <c r="H9" s="56"/>
      <c r="I9" s="71"/>
      <c r="J9" s="73"/>
      <c r="K9" s="72"/>
      <c r="L9" s="53">
        <v>7.1745</v>
      </c>
      <c r="M9" s="85">
        <v>45735</v>
      </c>
      <c r="N9" s="424">
        <v>45739</v>
      </c>
      <c r="O9" s="423">
        <v>45745</v>
      </c>
      <c r="P9" s="90"/>
      <c r="Q9" s="98"/>
      <c r="R9" s="41"/>
      <c r="S9" s="99"/>
      <c r="T9" s="100"/>
    </row>
    <row r="10" ht="16.5" spans="1:20">
      <c r="A10" s="36" t="s">
        <v>4084</v>
      </c>
      <c r="B10" s="419" t="s">
        <v>1824</v>
      </c>
      <c r="C10" s="40" t="s">
        <v>2361</v>
      </c>
      <c r="D10" s="38">
        <v>94</v>
      </c>
      <c r="E10" s="109"/>
      <c r="F10" s="54" t="s">
        <v>4113</v>
      </c>
      <c r="G10" s="57" t="s">
        <v>4114</v>
      </c>
      <c r="H10" s="56"/>
      <c r="I10" s="71"/>
      <c r="J10" s="67"/>
      <c r="K10" s="71"/>
      <c r="L10" s="53">
        <v>7.1745</v>
      </c>
      <c r="M10" s="81" t="s">
        <v>4115</v>
      </c>
      <c r="N10" s="87">
        <v>45738</v>
      </c>
      <c r="O10" s="87"/>
      <c r="P10" s="86"/>
      <c r="Q10" s="101"/>
      <c r="R10" s="41"/>
      <c r="S10" s="102"/>
      <c r="T10" s="100"/>
    </row>
    <row r="11" ht="16.5" spans="1:20">
      <c r="A11" s="36" t="s">
        <v>4084</v>
      </c>
      <c r="B11" s="419" t="s">
        <v>1824</v>
      </c>
      <c r="C11" s="40" t="s">
        <v>2361</v>
      </c>
      <c r="D11" s="38"/>
      <c r="E11" s="53"/>
      <c r="F11" s="53" t="s">
        <v>4095</v>
      </c>
      <c r="G11" s="53" t="s">
        <v>4230</v>
      </c>
      <c r="H11" s="56"/>
      <c r="I11" s="71"/>
      <c r="J11" s="71"/>
      <c r="K11" s="71"/>
      <c r="L11" s="53">
        <v>7.1745</v>
      </c>
      <c r="M11" s="81">
        <v>45738</v>
      </c>
      <c r="N11" s="87">
        <v>45740</v>
      </c>
      <c r="O11" s="423">
        <v>45744</v>
      </c>
      <c r="P11" s="90"/>
      <c r="Q11" s="429"/>
      <c r="R11" s="346"/>
      <c r="S11" s="102"/>
      <c r="T11" s="72"/>
    </row>
    <row r="12" ht="16.5" spans="1:20">
      <c r="A12" s="36" t="s">
        <v>4084</v>
      </c>
      <c r="B12" s="419" t="s">
        <v>1824</v>
      </c>
      <c r="C12" s="40" t="s">
        <v>2361</v>
      </c>
      <c r="D12" s="38"/>
      <c r="E12" s="53"/>
      <c r="F12" s="53" t="s">
        <v>4095</v>
      </c>
      <c r="G12" s="53" t="s">
        <v>4317</v>
      </c>
      <c r="H12" s="56"/>
      <c r="I12" s="71"/>
      <c r="J12" s="64"/>
      <c r="K12" s="64"/>
      <c r="L12" s="53">
        <v>7.1745</v>
      </c>
      <c r="M12" s="81" t="s">
        <v>4115</v>
      </c>
      <c r="N12" s="87">
        <v>45740</v>
      </c>
      <c r="O12" s="423">
        <v>45744</v>
      </c>
      <c r="P12" s="82"/>
      <c r="Q12" s="141"/>
      <c r="R12" s="346"/>
      <c r="S12" s="102"/>
      <c r="T12" s="72"/>
    </row>
    <row r="13" ht="16.5" spans="1:20">
      <c r="A13" s="36" t="s">
        <v>4084</v>
      </c>
      <c r="B13" s="419" t="s">
        <v>1824</v>
      </c>
      <c r="C13" s="40" t="s">
        <v>2361</v>
      </c>
      <c r="D13" s="38"/>
      <c r="E13" s="109"/>
      <c r="F13" s="53" t="s">
        <v>4095</v>
      </c>
      <c r="G13" s="53" t="s">
        <v>4231</v>
      </c>
      <c r="H13" s="56"/>
      <c r="I13" s="71"/>
      <c r="J13" s="71"/>
      <c r="K13" s="71"/>
      <c r="L13" s="53">
        <v>7.1745</v>
      </c>
      <c r="M13" s="81" t="s">
        <v>4115</v>
      </c>
      <c r="N13" s="424">
        <v>45737</v>
      </c>
      <c r="O13" s="423">
        <v>45744</v>
      </c>
      <c r="P13" s="90"/>
      <c r="Q13" s="347"/>
      <c r="R13" s="346"/>
      <c r="S13" s="99"/>
      <c r="T13" s="72"/>
    </row>
    <row r="14" ht="16.5" spans="1:20">
      <c r="A14" s="36" t="s">
        <v>4084</v>
      </c>
      <c r="B14" s="419" t="s">
        <v>1824</v>
      </c>
      <c r="C14" s="42" t="s">
        <v>2361</v>
      </c>
      <c r="D14" s="38"/>
      <c r="E14" s="53"/>
      <c r="F14" s="53" t="s">
        <v>4093</v>
      </c>
      <c r="G14" s="53" t="s">
        <v>4110</v>
      </c>
      <c r="H14" s="56"/>
      <c r="I14" s="71"/>
      <c r="J14" s="75"/>
      <c r="K14" s="75"/>
      <c r="L14" s="53">
        <v>7.1745</v>
      </c>
      <c r="M14" s="81" t="s">
        <v>4115</v>
      </c>
      <c r="N14" s="424">
        <v>45741</v>
      </c>
      <c r="O14" s="423">
        <v>45747</v>
      </c>
      <c r="P14" s="90"/>
      <c r="Q14" s="68"/>
      <c r="R14" s="68"/>
      <c r="S14" s="99"/>
      <c r="T14" s="348"/>
    </row>
    <row r="15" ht="33" spans="1:20">
      <c r="A15" s="36" t="s">
        <v>4084</v>
      </c>
      <c r="B15" s="196" t="s">
        <v>3248</v>
      </c>
      <c r="C15" s="186" t="s">
        <v>4085</v>
      </c>
      <c r="D15" s="46"/>
      <c r="E15" s="53"/>
      <c r="F15" s="54" t="s">
        <v>4081</v>
      </c>
      <c r="G15" s="57" t="s">
        <v>4236</v>
      </c>
      <c r="H15" s="56"/>
      <c r="I15" s="71"/>
      <c r="J15" s="67"/>
      <c r="K15" s="71"/>
      <c r="L15" s="53">
        <v>7.1879</v>
      </c>
      <c r="M15" s="81">
        <v>45777</v>
      </c>
      <c r="N15" s="87" t="s">
        <v>2219</v>
      </c>
      <c r="O15" s="87"/>
      <c r="P15" s="86"/>
      <c r="Q15" s="98"/>
      <c r="R15" s="41"/>
      <c r="S15" s="40"/>
      <c r="T15" s="72"/>
    </row>
    <row r="16" ht="18" customHeight="1" spans="1:20">
      <c r="A16" s="36" t="s">
        <v>4084</v>
      </c>
      <c r="B16" s="196" t="s">
        <v>3248</v>
      </c>
      <c r="C16" s="112" t="s">
        <v>3748</v>
      </c>
      <c r="D16" s="46"/>
      <c r="E16" s="53"/>
      <c r="F16" s="58" t="s">
        <v>4093</v>
      </c>
      <c r="G16" s="53" t="s">
        <v>4226</v>
      </c>
      <c r="H16" s="55"/>
      <c r="I16" s="71"/>
      <c r="J16" s="70"/>
      <c r="K16" s="70"/>
      <c r="L16" s="53">
        <v>7.1879</v>
      </c>
      <c r="M16" s="81"/>
      <c r="N16" s="88"/>
      <c r="O16" s="88"/>
      <c r="P16" s="89"/>
      <c r="Q16" s="98"/>
      <c r="R16" s="41"/>
      <c r="S16" s="40"/>
      <c r="T16" s="72"/>
    </row>
    <row r="17" ht="18" customHeight="1" spans="1:20">
      <c r="A17" s="36" t="s">
        <v>4084</v>
      </c>
      <c r="B17" s="196" t="s">
        <v>3248</v>
      </c>
      <c r="C17" s="42"/>
      <c r="D17" s="46"/>
      <c r="E17" s="53"/>
      <c r="F17" s="58" t="s">
        <v>4093</v>
      </c>
      <c r="G17" s="53" t="s">
        <v>4318</v>
      </c>
      <c r="H17" s="55"/>
      <c r="I17" s="71"/>
      <c r="J17" s="70"/>
      <c r="K17" s="70"/>
      <c r="L17" s="53">
        <v>7.1879</v>
      </c>
      <c r="M17" s="81">
        <v>45777</v>
      </c>
      <c r="N17" s="88">
        <v>45777</v>
      </c>
      <c r="O17" s="88"/>
      <c r="P17" s="89"/>
      <c r="Q17" s="98"/>
      <c r="R17" s="41"/>
      <c r="S17" s="40"/>
      <c r="T17" s="72"/>
    </row>
    <row r="18" ht="18" customHeight="1" spans="1:20">
      <c r="A18" s="36" t="s">
        <v>4084</v>
      </c>
      <c r="B18" s="196" t="s">
        <v>3248</v>
      </c>
      <c r="C18" s="42"/>
      <c r="D18" s="46"/>
      <c r="E18" s="53"/>
      <c r="F18" s="54" t="s">
        <v>4113</v>
      </c>
      <c r="G18" s="57" t="s">
        <v>4116</v>
      </c>
      <c r="H18" s="56"/>
      <c r="I18" s="71"/>
      <c r="J18" s="67"/>
      <c r="K18" s="71"/>
      <c r="L18" s="53">
        <v>7.1745</v>
      </c>
      <c r="M18" s="81" t="s">
        <v>4115</v>
      </c>
      <c r="N18" s="87"/>
      <c r="O18" s="87"/>
      <c r="P18" s="86"/>
      <c r="Q18" s="69"/>
      <c r="R18" s="165"/>
      <c r="S18" s="69"/>
      <c r="T18" s="69"/>
    </row>
    <row r="19" ht="33" spans="1:22">
      <c r="A19" s="36" t="s">
        <v>4084</v>
      </c>
      <c r="B19" s="196" t="s">
        <v>3248</v>
      </c>
      <c r="C19" s="42"/>
      <c r="D19" s="46"/>
      <c r="E19" s="53"/>
      <c r="F19" s="54" t="s">
        <v>4113</v>
      </c>
      <c r="G19" s="57" t="s">
        <v>4119</v>
      </c>
      <c r="H19" s="56"/>
      <c r="I19" s="71"/>
      <c r="J19" s="69"/>
      <c r="K19" s="69"/>
      <c r="L19" s="53">
        <v>7.1879</v>
      </c>
      <c r="M19" s="81" t="s">
        <v>4319</v>
      </c>
      <c r="N19" s="361"/>
      <c r="O19" s="425"/>
      <c r="P19" s="86"/>
      <c r="Q19" s="69"/>
      <c r="R19" s="165"/>
      <c r="S19" s="69"/>
      <c r="T19" s="69"/>
      <c r="V19" s="417"/>
    </row>
    <row r="20" ht="33" spans="1:22">
      <c r="A20" s="36" t="s">
        <v>4084</v>
      </c>
      <c r="B20" s="196" t="s">
        <v>3248</v>
      </c>
      <c r="C20" s="34" t="s">
        <v>4092</v>
      </c>
      <c r="D20" s="47"/>
      <c r="E20" s="53"/>
      <c r="F20" s="54" t="s">
        <v>4122</v>
      </c>
      <c r="G20" s="53" t="s">
        <v>4227</v>
      </c>
      <c r="H20" s="56"/>
      <c r="I20" s="71"/>
      <c r="J20" s="73"/>
      <c r="K20" s="72"/>
      <c r="L20" s="53">
        <v>7.1745</v>
      </c>
      <c r="M20" s="81">
        <v>45762</v>
      </c>
      <c r="N20" s="81"/>
      <c r="O20" s="81"/>
      <c r="P20" s="82"/>
      <c r="Q20" s="345"/>
      <c r="R20" s="346"/>
      <c r="S20" s="99"/>
      <c r="T20" s="72"/>
      <c r="V20" s="417"/>
    </row>
    <row r="21" ht="19.75" customHeight="1" spans="1:20">
      <c r="A21" s="36" t="s">
        <v>4084</v>
      </c>
      <c r="B21" s="196" t="s">
        <v>3248</v>
      </c>
      <c r="C21" s="34"/>
      <c r="D21" s="47"/>
      <c r="E21" s="53"/>
      <c r="F21" s="54" t="s">
        <v>4122</v>
      </c>
      <c r="G21" s="53" t="s">
        <v>4229</v>
      </c>
      <c r="H21" s="56"/>
      <c r="I21" s="71"/>
      <c r="J21" s="73"/>
      <c r="K21" s="72"/>
      <c r="L21" s="53">
        <v>7.1745</v>
      </c>
      <c r="M21" s="85">
        <v>45777</v>
      </c>
      <c r="N21" s="157"/>
      <c r="O21" s="423"/>
      <c r="P21" s="82"/>
      <c r="Q21" s="98"/>
      <c r="R21" s="41"/>
      <c r="S21" s="99"/>
      <c r="T21" s="100"/>
    </row>
    <row r="22" ht="14.9" customHeight="1" spans="1:20">
      <c r="A22" s="36" t="s">
        <v>4084</v>
      </c>
      <c r="B22" s="196" t="s">
        <v>3248</v>
      </c>
      <c r="C22" s="34"/>
      <c r="D22" s="47"/>
      <c r="E22" s="57"/>
      <c r="F22" s="54" t="s">
        <v>4122</v>
      </c>
      <c r="G22" s="53" t="s">
        <v>4320</v>
      </c>
      <c r="H22" s="56"/>
      <c r="I22" s="71"/>
      <c r="J22" s="73"/>
      <c r="K22" s="72"/>
      <c r="L22" s="53">
        <v>7.1745</v>
      </c>
      <c r="M22" s="85"/>
      <c r="N22" s="424"/>
      <c r="O22" s="423"/>
      <c r="P22" s="82"/>
      <c r="Q22" s="98"/>
      <c r="R22" s="41"/>
      <c r="S22" s="99"/>
      <c r="T22" s="100"/>
    </row>
    <row r="23" ht="14.9" customHeight="1" spans="1:20">
      <c r="A23" s="36" t="s">
        <v>4084</v>
      </c>
      <c r="B23" s="196" t="s">
        <v>3248</v>
      </c>
      <c r="C23" s="37"/>
      <c r="D23" s="47"/>
      <c r="E23" s="53"/>
      <c r="F23" s="54" t="s">
        <v>4095</v>
      </c>
      <c r="G23" s="53" t="s">
        <v>4245</v>
      </c>
      <c r="H23" s="56"/>
      <c r="I23" s="71"/>
      <c r="J23" s="73"/>
      <c r="K23" s="72"/>
      <c r="L23" s="53">
        <v>7.1745</v>
      </c>
      <c r="M23" s="85" t="s">
        <v>4115</v>
      </c>
      <c r="N23" s="424">
        <v>45741</v>
      </c>
      <c r="O23" s="423">
        <v>45745</v>
      </c>
      <c r="P23" s="82"/>
      <c r="Q23" s="98"/>
      <c r="R23" s="41"/>
      <c r="S23" s="99"/>
      <c r="T23" s="100"/>
    </row>
    <row r="24" ht="14.9" customHeight="1" spans="1:20">
      <c r="A24" s="36" t="s">
        <v>4084</v>
      </c>
      <c r="B24" s="196" t="s">
        <v>3248</v>
      </c>
      <c r="C24" s="42" t="s">
        <v>2361</v>
      </c>
      <c r="D24" s="46"/>
      <c r="E24" s="53"/>
      <c r="F24" s="54" t="s">
        <v>4122</v>
      </c>
      <c r="G24" s="53" t="s">
        <v>4321</v>
      </c>
      <c r="H24" s="56"/>
      <c r="I24" s="71"/>
      <c r="J24" s="73"/>
      <c r="K24" s="72"/>
      <c r="L24" s="53">
        <v>7.1745</v>
      </c>
      <c r="M24" s="85">
        <v>45797</v>
      </c>
      <c r="N24" s="157"/>
      <c r="O24" s="423"/>
      <c r="P24" s="90"/>
      <c r="Q24" s="98"/>
      <c r="R24" s="41"/>
      <c r="S24" s="99"/>
      <c r="T24" s="100"/>
    </row>
    <row r="25" ht="14.9" customHeight="1" spans="1:21">
      <c r="A25" s="36" t="s">
        <v>4084</v>
      </c>
      <c r="B25" s="196" t="s">
        <v>3248</v>
      </c>
      <c r="C25" s="42"/>
      <c r="D25" s="38"/>
      <c r="E25" s="53"/>
      <c r="F25" s="54" t="s">
        <v>4122</v>
      </c>
      <c r="G25" s="53" t="s">
        <v>4126</v>
      </c>
      <c r="H25" s="56"/>
      <c r="I25" s="71"/>
      <c r="J25" s="64"/>
      <c r="K25" s="64"/>
      <c r="L25" s="53">
        <v>7.1745</v>
      </c>
      <c r="M25" s="81" t="s">
        <v>4115</v>
      </c>
      <c r="N25" s="81"/>
      <c r="O25" s="81"/>
      <c r="P25" s="82"/>
      <c r="Q25" s="347"/>
      <c r="R25" s="430"/>
      <c r="S25" s="349"/>
      <c r="T25" s="72"/>
      <c r="U25" s="417"/>
    </row>
    <row r="26" ht="14.9" customHeight="1" spans="1:21">
      <c r="A26" s="36" t="s">
        <v>4084</v>
      </c>
      <c r="B26" s="196" t="s">
        <v>3248</v>
      </c>
      <c r="C26" s="42"/>
      <c r="D26" s="104"/>
      <c r="E26" s="53"/>
      <c r="F26" s="54" t="s">
        <v>4122</v>
      </c>
      <c r="G26" s="53" t="s">
        <v>4125</v>
      </c>
      <c r="H26" s="56"/>
      <c r="I26" s="71"/>
      <c r="J26" s="64"/>
      <c r="K26" s="64"/>
      <c r="L26" s="53">
        <v>7.1745</v>
      </c>
      <c r="M26" s="81"/>
      <c r="N26" s="81"/>
      <c r="O26" s="81"/>
      <c r="P26" s="82"/>
      <c r="Q26" s="344"/>
      <c r="R26" s="35"/>
      <c r="S26" s="349"/>
      <c r="T26" s="72"/>
      <c r="U26" s="417"/>
    </row>
    <row r="27" ht="14.9" customHeight="1" spans="1:20">
      <c r="A27" s="36" t="s">
        <v>4084</v>
      </c>
      <c r="B27" s="57" t="s">
        <v>1875</v>
      </c>
      <c r="C27" s="40" t="s">
        <v>2382</v>
      </c>
      <c r="D27" s="107" t="s">
        <v>1125</v>
      </c>
      <c r="E27" s="53"/>
      <c r="F27" s="54"/>
      <c r="G27" s="53"/>
      <c r="H27" s="56"/>
      <c r="I27" s="71"/>
      <c r="J27" s="68"/>
      <c r="K27" s="68"/>
      <c r="L27" s="53"/>
      <c r="M27" s="422"/>
      <c r="N27" s="157"/>
      <c r="O27" s="202"/>
      <c r="P27" s="90"/>
      <c r="Q27" s="350"/>
      <c r="R27" s="41"/>
      <c r="S27" s="99"/>
      <c r="T27" s="72"/>
    </row>
    <row r="28" ht="14.9" customHeight="1" spans="1:20">
      <c r="A28" s="36" t="s">
        <v>4084</v>
      </c>
      <c r="B28" s="57" t="s">
        <v>1875</v>
      </c>
      <c r="C28" s="48" t="s">
        <v>4085</v>
      </c>
      <c r="D28" s="47"/>
      <c r="E28" s="53"/>
      <c r="F28" s="54" t="s">
        <v>4081</v>
      </c>
      <c r="G28" s="57" t="s">
        <v>4209</v>
      </c>
      <c r="H28" s="56"/>
      <c r="I28" s="71"/>
      <c r="J28" s="67"/>
      <c r="K28" s="71"/>
      <c r="L28" s="53">
        <v>7.1879</v>
      </c>
      <c r="M28" s="81">
        <v>45807</v>
      </c>
      <c r="N28" s="87" t="s">
        <v>2219</v>
      </c>
      <c r="O28" s="87"/>
      <c r="P28" s="86"/>
      <c r="Q28" s="69"/>
      <c r="R28" s="165"/>
      <c r="S28" s="69"/>
      <c r="T28" s="69"/>
    </row>
    <row r="29" ht="18" customHeight="1" spans="1:20">
      <c r="A29" s="36" t="s">
        <v>4084</v>
      </c>
      <c r="B29" s="57" t="s">
        <v>1875</v>
      </c>
      <c r="C29" s="48"/>
      <c r="D29" s="47"/>
      <c r="E29" s="53"/>
      <c r="F29" s="54" t="s">
        <v>4256</v>
      </c>
      <c r="G29" s="57" t="s">
        <v>4322</v>
      </c>
      <c r="H29" s="56"/>
      <c r="I29" s="71"/>
      <c r="J29" s="69"/>
      <c r="K29" s="69"/>
      <c r="L29" s="53">
        <v>7.1879</v>
      </c>
      <c r="M29" s="81">
        <v>45750</v>
      </c>
      <c r="N29" s="165"/>
      <c r="O29" s="69"/>
      <c r="P29" s="82"/>
      <c r="Q29" s="69"/>
      <c r="R29" s="165"/>
      <c r="S29" s="69"/>
      <c r="T29" s="69"/>
    </row>
    <row r="30" ht="18" customHeight="1" spans="1:20">
      <c r="A30" s="36" t="s">
        <v>4084</v>
      </c>
      <c r="B30" s="57" t="s">
        <v>1875</v>
      </c>
      <c r="C30" s="48"/>
      <c r="D30" s="47"/>
      <c r="E30" s="53"/>
      <c r="F30" s="54" t="s">
        <v>4081</v>
      </c>
      <c r="G30" s="57" t="s">
        <v>4323</v>
      </c>
      <c r="H30" s="56"/>
      <c r="I30" s="71"/>
      <c r="J30" s="69"/>
      <c r="K30" s="69"/>
      <c r="L30" s="53">
        <v>7.1879</v>
      </c>
      <c r="M30" s="81">
        <v>45777</v>
      </c>
      <c r="N30" s="165"/>
      <c r="O30" s="69"/>
      <c r="P30" s="82"/>
      <c r="Q30" s="69"/>
      <c r="R30" s="165"/>
      <c r="S30" s="69"/>
      <c r="T30" s="69"/>
    </row>
    <row r="31" ht="18" customHeight="1" spans="1:20">
      <c r="A31" s="36" t="s">
        <v>4084</v>
      </c>
      <c r="B31" s="57" t="s">
        <v>1875</v>
      </c>
      <c r="C31" s="48"/>
      <c r="D31" s="47"/>
      <c r="E31" s="53"/>
      <c r="F31" s="54" t="s">
        <v>4081</v>
      </c>
      <c r="G31" s="57" t="s">
        <v>4324</v>
      </c>
      <c r="H31" s="56"/>
      <c r="I31" s="71"/>
      <c r="J31" s="69"/>
      <c r="K31" s="69"/>
      <c r="L31" s="53">
        <v>7.1879</v>
      </c>
      <c r="M31" s="81">
        <v>45777</v>
      </c>
      <c r="N31" s="165"/>
      <c r="O31" s="69"/>
      <c r="P31" s="82"/>
      <c r="Q31" s="69"/>
      <c r="R31" s="165"/>
      <c r="S31" s="69"/>
      <c r="T31" s="69"/>
    </row>
    <row r="32" ht="18" customHeight="1" spans="1:20">
      <c r="A32" s="36" t="s">
        <v>4084</v>
      </c>
      <c r="B32" s="57" t="s">
        <v>1875</v>
      </c>
      <c r="C32" s="48"/>
      <c r="D32" s="47"/>
      <c r="E32" s="53"/>
      <c r="F32" s="54" t="s">
        <v>4113</v>
      </c>
      <c r="G32" s="57" t="s">
        <v>4325</v>
      </c>
      <c r="H32" s="56"/>
      <c r="I32" s="71"/>
      <c r="J32" s="69"/>
      <c r="K32" s="69"/>
      <c r="L32" s="53"/>
      <c r="M32" s="69"/>
      <c r="N32" s="165"/>
      <c r="O32" s="69"/>
      <c r="P32" s="82"/>
      <c r="Q32" s="69"/>
      <c r="R32" s="165"/>
      <c r="S32" s="69"/>
      <c r="T32" s="69"/>
    </row>
    <row r="33" ht="18" customHeight="1" spans="1:20">
      <c r="A33" s="36" t="s">
        <v>4084</v>
      </c>
      <c r="B33" s="57" t="s">
        <v>1875</v>
      </c>
      <c r="C33" s="42" t="s">
        <v>3748</v>
      </c>
      <c r="D33" s="46"/>
      <c r="E33" s="53"/>
      <c r="F33" s="54" t="s">
        <v>4095</v>
      </c>
      <c r="G33" s="57"/>
      <c r="H33" s="56"/>
      <c r="I33" s="71"/>
      <c r="J33" s="69"/>
      <c r="K33" s="69"/>
      <c r="L33" s="53"/>
      <c r="M33" s="69"/>
      <c r="N33" s="165"/>
      <c r="O33" s="69"/>
      <c r="P33" s="82"/>
      <c r="Q33" s="69"/>
      <c r="R33" s="165"/>
      <c r="S33" s="69"/>
      <c r="T33" s="69"/>
    </row>
    <row r="34" ht="18" customHeight="1" spans="1:20">
      <c r="A34" s="36" t="s">
        <v>4084</v>
      </c>
      <c r="B34" s="57" t="s">
        <v>1875</v>
      </c>
      <c r="C34" s="42"/>
      <c r="D34" s="46"/>
      <c r="E34" s="53"/>
      <c r="F34" s="54" t="s">
        <v>4081</v>
      </c>
      <c r="G34" s="57" t="s">
        <v>1114</v>
      </c>
      <c r="H34" s="56"/>
      <c r="I34" s="71"/>
      <c r="J34" s="69"/>
      <c r="K34" s="69"/>
      <c r="L34" s="53">
        <v>7.1745</v>
      </c>
      <c r="M34" s="69"/>
      <c r="N34" s="165"/>
      <c r="O34" s="69"/>
      <c r="P34" s="82"/>
      <c r="Q34" s="69"/>
      <c r="R34" s="165"/>
      <c r="S34" s="69"/>
      <c r="T34" s="69"/>
    </row>
    <row r="35" ht="18" customHeight="1" spans="1:20">
      <c r="A35" s="36" t="s">
        <v>4084</v>
      </c>
      <c r="B35" s="57" t="s">
        <v>1875</v>
      </c>
      <c r="C35" s="42"/>
      <c r="D35" s="46"/>
      <c r="E35" s="53"/>
      <c r="F35" s="54" t="s">
        <v>4093</v>
      </c>
      <c r="G35" s="57"/>
      <c r="H35" s="56"/>
      <c r="I35" s="71"/>
      <c r="J35" s="69"/>
      <c r="K35" s="69"/>
      <c r="L35" s="53"/>
      <c r="M35" s="69"/>
      <c r="N35" s="165"/>
      <c r="O35" s="69"/>
      <c r="P35" s="82"/>
      <c r="Q35" s="69"/>
      <c r="R35" s="165"/>
      <c r="S35" s="69"/>
      <c r="T35" s="69"/>
    </row>
    <row r="36" ht="18" customHeight="1" spans="1:20">
      <c r="A36" s="36" t="s">
        <v>4084</v>
      </c>
      <c r="B36" s="57" t="s">
        <v>1875</v>
      </c>
      <c r="C36" s="42"/>
      <c r="D36" s="46"/>
      <c r="E36" s="53"/>
      <c r="F36" s="54" t="s">
        <v>4081</v>
      </c>
      <c r="G36" s="57" t="s">
        <v>4326</v>
      </c>
      <c r="H36" s="56"/>
      <c r="I36" s="71"/>
      <c r="J36" s="69"/>
      <c r="K36" s="69"/>
      <c r="L36" s="53">
        <v>7.1745</v>
      </c>
      <c r="M36" s="69"/>
      <c r="N36" s="165"/>
      <c r="O36" s="69"/>
      <c r="P36" s="86"/>
      <c r="Q36" s="69"/>
      <c r="R36" s="165"/>
      <c r="S36" s="69"/>
      <c r="T36" s="69"/>
    </row>
    <row r="37" ht="18" customHeight="1" spans="1:20">
      <c r="A37" s="36" t="s">
        <v>4084</v>
      </c>
      <c r="B37" s="57" t="s">
        <v>1875</v>
      </c>
      <c r="C37" s="42"/>
      <c r="D37" s="46"/>
      <c r="E37" s="53"/>
      <c r="F37" s="54" t="s">
        <v>4081</v>
      </c>
      <c r="G37" s="57" t="s">
        <v>4118</v>
      </c>
      <c r="H37" s="56"/>
      <c r="I37" s="71"/>
      <c r="J37" s="69"/>
      <c r="K37" s="69"/>
      <c r="L37" s="53"/>
      <c r="M37" s="69"/>
      <c r="N37" s="165"/>
      <c r="O37" s="69"/>
      <c r="P37" s="82"/>
      <c r="Q37" s="69"/>
      <c r="R37" s="165"/>
      <c r="S37" s="69"/>
      <c r="T37" s="69"/>
    </row>
    <row r="38" ht="18" customHeight="1" spans="1:20">
      <c r="A38" s="36" t="s">
        <v>4084</v>
      </c>
      <c r="B38" s="57" t="s">
        <v>1875</v>
      </c>
      <c r="C38" s="42"/>
      <c r="D38" s="46"/>
      <c r="E38" s="53"/>
      <c r="F38" s="54" t="s">
        <v>4081</v>
      </c>
      <c r="G38" s="57" t="s">
        <v>4327</v>
      </c>
      <c r="H38" s="56"/>
      <c r="I38" s="71"/>
      <c r="J38" s="69"/>
      <c r="K38" s="69"/>
      <c r="L38" s="53"/>
      <c r="M38" s="69"/>
      <c r="N38" s="165"/>
      <c r="O38" s="69"/>
      <c r="P38" s="82"/>
      <c r="Q38" s="69"/>
      <c r="R38" s="165"/>
      <c r="S38" s="69"/>
      <c r="T38" s="69"/>
    </row>
    <row r="39" ht="16.5" spans="1:20">
      <c r="A39" s="36" t="s">
        <v>4084</v>
      </c>
      <c r="B39" s="57" t="s">
        <v>1875</v>
      </c>
      <c r="C39" s="187" t="s">
        <v>4092</v>
      </c>
      <c r="D39" s="46"/>
      <c r="E39" s="53"/>
      <c r="F39" s="54" t="s">
        <v>4090</v>
      </c>
      <c r="G39" s="53" t="s">
        <v>4238</v>
      </c>
      <c r="H39" s="56"/>
      <c r="I39" s="71"/>
      <c r="J39" s="73"/>
      <c r="K39" s="72"/>
      <c r="L39" s="53">
        <v>7.1745</v>
      </c>
      <c r="M39" s="85"/>
      <c r="N39" s="157"/>
      <c r="O39" s="423"/>
      <c r="P39" s="90"/>
      <c r="Q39" s="98"/>
      <c r="R39" s="41"/>
      <c r="S39" s="99"/>
      <c r="T39" s="100"/>
    </row>
    <row r="40" ht="17.25" customHeight="1" spans="1:37">
      <c r="A40" s="36" t="s">
        <v>4084</v>
      </c>
      <c r="B40" s="57" t="s">
        <v>1875</v>
      </c>
      <c r="C40" s="37"/>
      <c r="D40" s="46"/>
      <c r="E40" s="57"/>
      <c r="F40" s="54" t="s">
        <v>4090</v>
      </c>
      <c r="G40" s="53" t="s">
        <v>4240</v>
      </c>
      <c r="H40" s="56"/>
      <c r="I40" s="71"/>
      <c r="J40" s="73"/>
      <c r="K40" s="72"/>
      <c r="L40" s="53">
        <v>7.1745</v>
      </c>
      <c r="M40" s="85"/>
      <c r="N40" s="157"/>
      <c r="O40" s="423"/>
      <c r="P40" s="90"/>
      <c r="Q40" s="98"/>
      <c r="R40" s="41"/>
      <c r="S40" s="99"/>
      <c r="T40" s="100"/>
      <c r="V40" s="417"/>
      <c r="W40" s="417"/>
      <c r="X40" s="417"/>
      <c r="Y40" s="417"/>
      <c r="Z40" s="417"/>
      <c r="AA40" s="417"/>
      <c r="AB40" s="417"/>
      <c r="AC40" s="417"/>
      <c r="AD40" s="417"/>
      <c r="AE40" s="417"/>
      <c r="AF40" s="417"/>
      <c r="AG40" s="417"/>
      <c r="AH40" s="417"/>
      <c r="AI40" s="417"/>
      <c r="AJ40" s="417"/>
      <c r="AK40" s="417"/>
    </row>
    <row r="41" ht="17.25" customHeight="1" spans="1:37">
      <c r="A41" s="36" t="s">
        <v>4084</v>
      </c>
      <c r="B41" s="57" t="s">
        <v>1875</v>
      </c>
      <c r="C41" s="37"/>
      <c r="D41" s="46"/>
      <c r="E41" s="57"/>
      <c r="F41" s="54" t="s">
        <v>4090</v>
      </c>
      <c r="G41" s="53" t="s">
        <v>4241</v>
      </c>
      <c r="H41" s="56"/>
      <c r="I41" s="71"/>
      <c r="J41" s="73"/>
      <c r="K41" s="72"/>
      <c r="L41" s="53">
        <v>7.1745</v>
      </c>
      <c r="M41" s="85"/>
      <c r="N41" s="157"/>
      <c r="O41" s="423"/>
      <c r="P41" s="90"/>
      <c r="Q41" s="98"/>
      <c r="R41" s="41"/>
      <c r="S41" s="99"/>
      <c r="T41" s="100"/>
      <c r="V41" s="417"/>
      <c r="W41" s="417"/>
      <c r="X41" s="417"/>
      <c r="Y41" s="417"/>
      <c r="Z41" s="417"/>
      <c r="AA41" s="417"/>
      <c r="AB41" s="417"/>
      <c r="AC41" s="417"/>
      <c r="AD41" s="417"/>
      <c r="AE41" s="417"/>
      <c r="AF41" s="417"/>
      <c r="AG41" s="417"/>
      <c r="AH41" s="417"/>
      <c r="AI41" s="417"/>
      <c r="AJ41" s="417"/>
      <c r="AK41" s="417"/>
    </row>
    <row r="42" ht="17.25" customHeight="1" spans="1:37">
      <c r="A42" s="36" t="s">
        <v>4084</v>
      </c>
      <c r="B42" s="57" t="s">
        <v>1875</v>
      </c>
      <c r="C42" s="37"/>
      <c r="D42" s="46"/>
      <c r="E42" s="57"/>
      <c r="F42" s="54" t="s">
        <v>4090</v>
      </c>
      <c r="G42" s="53" t="s">
        <v>1306</v>
      </c>
      <c r="H42" s="56"/>
      <c r="I42" s="71"/>
      <c r="J42" s="73"/>
      <c r="K42" s="72"/>
      <c r="L42" s="53">
        <v>7.1745</v>
      </c>
      <c r="M42" s="85"/>
      <c r="N42" s="157"/>
      <c r="O42" s="423"/>
      <c r="P42" s="90"/>
      <c r="Q42" s="98"/>
      <c r="R42" s="41"/>
      <c r="S42" s="99"/>
      <c r="T42" s="100"/>
      <c r="V42" s="417"/>
      <c r="W42" s="417"/>
      <c r="X42" s="417"/>
      <c r="Y42" s="417"/>
      <c r="Z42" s="417"/>
      <c r="AA42" s="417"/>
      <c r="AB42" s="417"/>
      <c r="AC42" s="417"/>
      <c r="AD42" s="417"/>
      <c r="AE42" s="417"/>
      <c r="AF42" s="417"/>
      <c r="AG42" s="417"/>
      <c r="AH42" s="417"/>
      <c r="AI42" s="417"/>
      <c r="AJ42" s="417"/>
      <c r="AK42" s="417"/>
    </row>
    <row r="43" ht="17.25" customHeight="1" spans="1:37">
      <c r="A43" s="36" t="s">
        <v>4084</v>
      </c>
      <c r="B43" s="57" t="s">
        <v>1875</v>
      </c>
      <c r="C43" s="37"/>
      <c r="D43" s="46"/>
      <c r="E43" s="57"/>
      <c r="F43" s="54" t="s">
        <v>4207</v>
      </c>
      <c r="G43" s="53" t="s">
        <v>520</v>
      </c>
      <c r="H43" s="56"/>
      <c r="I43" s="71"/>
      <c r="J43" s="73"/>
      <c r="K43" s="72"/>
      <c r="L43" s="53">
        <v>7.1745</v>
      </c>
      <c r="M43" s="85"/>
      <c r="N43" s="157"/>
      <c r="O43" s="423"/>
      <c r="P43" s="90"/>
      <c r="Q43" s="98"/>
      <c r="R43" s="41"/>
      <c r="S43" s="99"/>
      <c r="T43" s="100"/>
      <c r="V43" s="417"/>
      <c r="W43" s="417"/>
      <c r="X43" s="417"/>
      <c r="Y43" s="417"/>
      <c r="Z43" s="417"/>
      <c r="AA43" s="417"/>
      <c r="AB43" s="417"/>
      <c r="AC43" s="417"/>
      <c r="AD43" s="417"/>
      <c r="AE43" s="417"/>
      <c r="AF43" s="417"/>
      <c r="AG43" s="417"/>
      <c r="AH43" s="417"/>
      <c r="AI43" s="417"/>
      <c r="AJ43" s="417"/>
      <c r="AK43" s="417"/>
    </row>
    <row r="44" ht="17.25" customHeight="1" spans="1:37">
      <c r="A44" s="36" t="s">
        <v>4084</v>
      </c>
      <c r="B44" s="57" t="s">
        <v>1875</v>
      </c>
      <c r="C44" s="112" t="s">
        <v>2361</v>
      </c>
      <c r="D44" s="46"/>
      <c r="E44" s="57"/>
      <c r="F44" s="54" t="s">
        <v>4139</v>
      </c>
      <c r="G44" s="53" t="s">
        <v>4328</v>
      </c>
      <c r="H44" s="56"/>
      <c r="I44" s="71"/>
      <c r="J44" s="73"/>
      <c r="K44" s="72"/>
      <c r="L44" s="53">
        <v>7.1745</v>
      </c>
      <c r="M44" s="85"/>
      <c r="N44" s="157"/>
      <c r="O44" s="423"/>
      <c r="P44" s="90"/>
      <c r="Q44" s="98"/>
      <c r="R44" s="41"/>
      <c r="S44" s="99"/>
      <c r="T44" s="100"/>
      <c r="V44" s="417"/>
      <c r="W44" s="417"/>
      <c r="X44" s="417"/>
      <c r="Y44" s="417"/>
      <c r="Z44" s="417"/>
      <c r="AA44" s="417"/>
      <c r="AB44" s="417"/>
      <c r="AC44" s="417"/>
      <c r="AD44" s="417"/>
      <c r="AE44" s="417"/>
      <c r="AF44" s="417"/>
      <c r="AG44" s="417"/>
      <c r="AH44" s="417"/>
      <c r="AI44" s="417"/>
      <c r="AJ44" s="417"/>
      <c r="AK44" s="417"/>
    </row>
    <row r="45" ht="17.25" customHeight="1" spans="1:37">
      <c r="A45" s="36" t="s">
        <v>4084</v>
      </c>
      <c r="B45" s="57" t="s">
        <v>1875</v>
      </c>
      <c r="C45" s="42"/>
      <c r="D45" s="46"/>
      <c r="E45" s="57"/>
      <c r="F45" s="54" t="s">
        <v>4095</v>
      </c>
      <c r="G45" s="53" t="s">
        <v>4233</v>
      </c>
      <c r="H45" s="56"/>
      <c r="I45" s="71"/>
      <c r="J45" s="73"/>
      <c r="K45" s="72"/>
      <c r="L45" s="53">
        <v>7.1745</v>
      </c>
      <c r="M45" s="85" t="s">
        <v>4115</v>
      </c>
      <c r="N45" s="423">
        <v>45736</v>
      </c>
      <c r="O45" s="423">
        <v>45731</v>
      </c>
      <c r="P45" s="90"/>
      <c r="Q45" s="98"/>
      <c r="R45" s="41"/>
      <c r="S45" s="99"/>
      <c r="T45" s="100"/>
      <c r="V45" s="417"/>
      <c r="W45" s="417"/>
      <c r="X45" s="417"/>
      <c r="Y45" s="417"/>
      <c r="Z45" s="417"/>
      <c r="AA45" s="417"/>
      <c r="AB45" s="417"/>
      <c r="AC45" s="417"/>
      <c r="AD45" s="417"/>
      <c r="AE45" s="417"/>
      <c r="AF45" s="417"/>
      <c r="AG45" s="417"/>
      <c r="AH45" s="417"/>
      <c r="AI45" s="417"/>
      <c r="AJ45" s="417"/>
      <c r="AK45" s="417"/>
    </row>
    <row r="46" ht="17.25" customHeight="1" spans="1:37">
      <c r="A46" s="36" t="s">
        <v>4084</v>
      </c>
      <c r="B46" s="57" t="s">
        <v>1875</v>
      </c>
      <c r="C46" s="42"/>
      <c r="D46" s="46"/>
      <c r="E46" s="57"/>
      <c r="F46" s="54" t="s">
        <v>4095</v>
      </c>
      <c r="G46" s="53" t="s">
        <v>4244</v>
      </c>
      <c r="H46" s="56"/>
      <c r="I46" s="71"/>
      <c r="J46" s="73"/>
      <c r="K46" s="72"/>
      <c r="L46" s="53">
        <v>7.1745</v>
      </c>
      <c r="M46" s="85" t="s">
        <v>4115</v>
      </c>
      <c r="N46" s="423">
        <v>45736</v>
      </c>
      <c r="O46" s="423">
        <v>45741</v>
      </c>
      <c r="P46" s="90"/>
      <c r="Q46" s="98"/>
      <c r="R46" s="41"/>
      <c r="S46" s="99"/>
      <c r="T46" s="100"/>
      <c r="V46" s="417"/>
      <c r="W46" s="417"/>
      <c r="X46" s="417"/>
      <c r="Y46" s="417"/>
      <c r="Z46" s="417"/>
      <c r="AA46" s="417"/>
      <c r="AB46" s="417"/>
      <c r="AC46" s="417"/>
      <c r="AD46" s="417"/>
      <c r="AE46" s="417"/>
      <c r="AF46" s="417"/>
      <c r="AG46" s="417"/>
      <c r="AH46" s="417"/>
      <c r="AI46" s="417"/>
      <c r="AJ46" s="417"/>
      <c r="AK46" s="417"/>
    </row>
    <row r="47" ht="17.25" customHeight="1" spans="1:37">
      <c r="A47" s="36" t="s">
        <v>4084</v>
      </c>
      <c r="B47" s="57" t="s">
        <v>1875</v>
      </c>
      <c r="C47" s="42"/>
      <c r="D47" s="46"/>
      <c r="E47" s="57"/>
      <c r="F47" s="54" t="s">
        <v>4095</v>
      </c>
      <c r="G47" s="53" t="s">
        <v>4242</v>
      </c>
      <c r="H47" s="56"/>
      <c r="I47" s="71"/>
      <c r="J47" s="73"/>
      <c r="K47" s="72"/>
      <c r="L47" s="53">
        <v>7.1745</v>
      </c>
      <c r="M47" s="85"/>
      <c r="N47" s="157"/>
      <c r="O47" s="423"/>
      <c r="P47" s="90"/>
      <c r="Q47" s="98"/>
      <c r="R47" s="41"/>
      <c r="S47" s="99"/>
      <c r="T47" s="100"/>
      <c r="V47" s="417"/>
      <c r="W47" s="417"/>
      <c r="X47" s="417"/>
      <c r="Y47" s="417"/>
      <c r="Z47" s="417"/>
      <c r="AA47" s="417"/>
      <c r="AB47" s="417"/>
      <c r="AC47" s="417"/>
      <c r="AD47" s="417"/>
      <c r="AE47" s="417"/>
      <c r="AF47" s="417"/>
      <c r="AG47" s="417"/>
      <c r="AH47" s="417"/>
      <c r="AI47" s="417"/>
      <c r="AJ47" s="417"/>
      <c r="AK47" s="417"/>
    </row>
    <row r="48" ht="17.25" customHeight="1" spans="1:37">
      <c r="A48" s="36" t="s">
        <v>4084</v>
      </c>
      <c r="B48" s="57" t="s">
        <v>1875</v>
      </c>
      <c r="C48" s="42"/>
      <c r="D48" s="46"/>
      <c r="E48" s="57"/>
      <c r="F48" s="53" t="s">
        <v>4095</v>
      </c>
      <c r="G48" s="53" t="s">
        <v>4243</v>
      </c>
      <c r="H48" s="56"/>
      <c r="I48" s="71"/>
      <c r="J48" s="73"/>
      <c r="K48" s="72"/>
      <c r="L48" s="53">
        <v>7.1745</v>
      </c>
      <c r="M48" s="85"/>
      <c r="N48" s="157"/>
      <c r="O48" s="423"/>
      <c r="P48" s="90"/>
      <c r="Q48" s="98"/>
      <c r="R48" s="41"/>
      <c r="S48" s="99"/>
      <c r="T48" s="100"/>
      <c r="V48" s="417"/>
      <c r="W48" s="417"/>
      <c r="X48" s="417"/>
      <c r="Y48" s="417"/>
      <c r="Z48" s="417"/>
      <c r="AA48" s="417"/>
      <c r="AB48" s="417"/>
      <c r="AC48" s="417"/>
      <c r="AD48" s="417"/>
      <c r="AE48" s="417"/>
      <c r="AF48" s="417"/>
      <c r="AG48" s="417"/>
      <c r="AH48" s="417"/>
      <c r="AI48" s="417"/>
      <c r="AJ48" s="417"/>
      <c r="AK48" s="417"/>
    </row>
    <row r="49" ht="16.5" spans="1:37">
      <c r="A49" s="36" t="s">
        <v>4084</v>
      </c>
      <c r="B49" s="57" t="s">
        <v>1875</v>
      </c>
      <c r="C49" s="42"/>
      <c r="D49" s="46"/>
      <c r="E49" s="53"/>
      <c r="F49" s="54" t="s">
        <v>4122</v>
      </c>
      <c r="G49" s="53" t="s">
        <v>4329</v>
      </c>
      <c r="H49" s="56"/>
      <c r="I49" s="71"/>
      <c r="J49" s="73"/>
      <c r="K49" s="72"/>
      <c r="L49" s="53">
        <v>7.1745</v>
      </c>
      <c r="M49" s="81"/>
      <c r="N49" s="178"/>
      <c r="O49" s="178"/>
      <c r="P49" s="82"/>
      <c r="Q49" s="98"/>
      <c r="R49" s="41"/>
      <c r="S49" s="99"/>
      <c r="T49" s="100"/>
      <c r="V49" s="417"/>
      <c r="W49" s="417"/>
      <c r="X49" s="417"/>
      <c r="Y49" s="417"/>
      <c r="Z49" s="417"/>
      <c r="AA49" s="417"/>
      <c r="AB49" s="417"/>
      <c r="AC49" s="417"/>
      <c r="AD49" s="417"/>
      <c r="AE49" s="417"/>
      <c r="AF49" s="417"/>
      <c r="AG49" s="417"/>
      <c r="AH49" s="417"/>
      <c r="AI49" s="417"/>
      <c r="AJ49" s="417"/>
      <c r="AK49" s="417"/>
    </row>
    <row r="50" s="417" customFormat="1" ht="16.5" spans="1:21">
      <c r="A50" s="36" t="s">
        <v>4084</v>
      </c>
      <c r="B50" s="57" t="s">
        <v>1875</v>
      </c>
      <c r="C50" s="44"/>
      <c r="D50" s="104"/>
      <c r="E50" s="53"/>
      <c r="F50" s="54" t="s">
        <v>4095</v>
      </c>
      <c r="G50" s="53" t="s">
        <v>4246</v>
      </c>
      <c r="H50" s="105"/>
      <c r="I50" s="110"/>
      <c r="J50" s="73"/>
      <c r="K50" s="72"/>
      <c r="L50" s="53">
        <v>7.1745</v>
      </c>
      <c r="M50" s="81"/>
      <c r="N50" s="178"/>
      <c r="O50" s="178"/>
      <c r="P50" s="82"/>
      <c r="Q50" s="98"/>
      <c r="R50" s="41"/>
      <c r="S50" s="40"/>
      <c r="T50" s="72"/>
      <c r="U50"/>
    </row>
    <row r="51" s="417" customFormat="1" ht="16.5" spans="1:20">
      <c r="A51" s="431" t="s">
        <v>4130</v>
      </c>
      <c r="B51" s="57" t="s">
        <v>1824</v>
      </c>
      <c r="C51" s="112" t="s">
        <v>1825</v>
      </c>
      <c r="D51" s="43">
        <v>97</v>
      </c>
      <c r="E51" s="117"/>
      <c r="F51" s="118" t="s">
        <v>4256</v>
      </c>
      <c r="G51" s="117" t="s">
        <v>4330</v>
      </c>
      <c r="H51" s="119"/>
      <c r="I51" s="124"/>
      <c r="J51" s="128"/>
      <c r="K51" s="129"/>
      <c r="L51" s="53">
        <v>7.1745</v>
      </c>
      <c r="M51" s="131">
        <v>45741</v>
      </c>
      <c r="N51" s="132">
        <v>45740</v>
      </c>
      <c r="O51" s="132">
        <v>45747</v>
      </c>
      <c r="P51" s="159"/>
      <c r="Q51" s="182"/>
      <c r="R51" s="283"/>
      <c r="S51" s="34"/>
      <c r="T51" s="352"/>
    </row>
    <row r="52" s="417" customFormat="1" ht="16.5" spans="1:20">
      <c r="A52" s="431" t="s">
        <v>4130</v>
      </c>
      <c r="B52" s="57" t="s">
        <v>1824</v>
      </c>
      <c r="C52" s="112" t="s">
        <v>1825</v>
      </c>
      <c r="D52" s="38"/>
      <c r="E52" s="117"/>
      <c r="F52" s="118" t="s">
        <v>4256</v>
      </c>
      <c r="G52" s="117" t="s">
        <v>4331</v>
      </c>
      <c r="H52" s="119"/>
      <c r="I52" s="124"/>
      <c r="J52" s="128"/>
      <c r="K52" s="129"/>
      <c r="L52" s="53">
        <v>7.1745</v>
      </c>
      <c r="M52" s="131"/>
      <c r="N52" s="132">
        <v>45744</v>
      </c>
      <c r="O52" s="132">
        <v>45747</v>
      </c>
      <c r="P52" s="159"/>
      <c r="Q52" s="436"/>
      <c r="R52" s="283"/>
      <c r="S52" s="34"/>
      <c r="T52" s="352"/>
    </row>
    <row r="53" s="417" customFormat="1" ht="16.5" spans="1:20">
      <c r="A53" s="431" t="s">
        <v>4130</v>
      </c>
      <c r="B53" s="57" t="s">
        <v>1824</v>
      </c>
      <c r="C53" s="112" t="s">
        <v>1825</v>
      </c>
      <c r="D53" s="38"/>
      <c r="E53" s="121"/>
      <c r="F53" s="54" t="s">
        <v>4087</v>
      </c>
      <c r="G53" s="117" t="s">
        <v>4332</v>
      </c>
      <c r="H53" s="119"/>
      <c r="I53" s="124"/>
      <c r="J53" s="128"/>
      <c r="K53" s="129"/>
      <c r="L53" s="53">
        <v>7.1745</v>
      </c>
      <c r="M53" s="131" t="s">
        <v>1218</v>
      </c>
      <c r="N53" s="435"/>
      <c r="O53" s="132">
        <v>45744</v>
      </c>
      <c r="P53" s="159"/>
      <c r="Q53" s="436"/>
      <c r="R53" s="283"/>
      <c r="S53" s="34"/>
      <c r="T53" s="352"/>
    </row>
    <row r="54" customFormat="1" ht="17.25" customHeight="1" spans="1:21">
      <c r="A54" s="431" t="s">
        <v>4130</v>
      </c>
      <c r="B54" s="57" t="s">
        <v>1824</v>
      </c>
      <c r="C54" s="112" t="s">
        <v>1825</v>
      </c>
      <c r="D54" s="38"/>
      <c r="E54" s="48"/>
      <c r="F54" s="58" t="s">
        <v>4113</v>
      </c>
      <c r="G54" s="117" t="s">
        <v>4333</v>
      </c>
      <c r="H54" s="119"/>
      <c r="I54" s="124"/>
      <c r="J54" s="433"/>
      <c r="K54" s="433"/>
      <c r="L54" s="53">
        <v>7.1745</v>
      </c>
      <c r="M54" s="131" t="s">
        <v>1218</v>
      </c>
      <c r="N54" s="132">
        <v>45738</v>
      </c>
      <c r="O54" s="132">
        <v>45743</v>
      </c>
      <c r="P54" s="149"/>
      <c r="Q54" s="437"/>
      <c r="R54" s="346"/>
      <c r="S54" s="40"/>
      <c r="T54" s="352"/>
      <c r="U54" s="417"/>
    </row>
    <row r="55" ht="18" customHeight="1" spans="1:21">
      <c r="A55" s="431" t="s">
        <v>4130</v>
      </c>
      <c r="B55" s="57" t="s">
        <v>1824</v>
      </c>
      <c r="C55" s="112" t="s">
        <v>1825</v>
      </c>
      <c r="D55" s="38"/>
      <c r="E55" s="120"/>
      <c r="F55" s="118" t="s">
        <v>4093</v>
      </c>
      <c r="G55" s="117" t="s">
        <v>4144</v>
      </c>
      <c r="H55" s="119"/>
      <c r="I55" s="124"/>
      <c r="J55" s="125"/>
      <c r="K55" s="124"/>
      <c r="L55" s="53">
        <v>7.1693</v>
      </c>
      <c r="M55" s="131"/>
      <c r="N55" s="132"/>
      <c r="O55" s="134">
        <v>45723</v>
      </c>
      <c r="P55" s="149"/>
      <c r="Q55" s="283"/>
      <c r="R55" s="283"/>
      <c r="S55" s="183"/>
      <c r="T55" s="353"/>
      <c r="U55" s="439"/>
    </row>
    <row r="56" ht="18" customHeight="1" spans="1:21">
      <c r="A56" s="431" t="s">
        <v>4130</v>
      </c>
      <c r="B56" s="57" t="s">
        <v>1824</v>
      </c>
      <c r="C56" s="112" t="s">
        <v>1825</v>
      </c>
      <c r="D56" s="38"/>
      <c r="E56" s="58"/>
      <c r="F56" s="54" t="s">
        <v>4087</v>
      </c>
      <c r="G56" s="117" t="s">
        <v>4247</v>
      </c>
      <c r="H56" s="119"/>
      <c r="I56" s="124"/>
      <c r="J56" s="125"/>
      <c r="K56" s="124"/>
      <c r="L56" s="53">
        <v>7.1693</v>
      </c>
      <c r="M56" s="131"/>
      <c r="N56" s="132"/>
      <c r="O56" s="134">
        <v>45723</v>
      </c>
      <c r="P56" s="149"/>
      <c r="Q56" s="283"/>
      <c r="R56" s="283"/>
      <c r="S56" s="183"/>
      <c r="T56" s="353"/>
      <c r="U56" s="439"/>
    </row>
    <row r="57" ht="18" customHeight="1" spans="1:21">
      <c r="A57" s="431" t="s">
        <v>4130</v>
      </c>
      <c r="B57" s="57" t="s">
        <v>1824</v>
      </c>
      <c r="C57" s="112" t="s">
        <v>1825</v>
      </c>
      <c r="D57" s="39"/>
      <c r="E57" s="58"/>
      <c r="F57" s="54" t="s">
        <v>4087</v>
      </c>
      <c r="G57" s="117" t="s">
        <v>4248</v>
      </c>
      <c r="H57" s="119"/>
      <c r="I57" s="124"/>
      <c r="J57" s="125"/>
      <c r="K57" s="124"/>
      <c r="L57" s="53">
        <v>7.1693</v>
      </c>
      <c r="M57" s="131"/>
      <c r="N57" s="132"/>
      <c r="O57" s="134">
        <v>45723</v>
      </c>
      <c r="P57" s="149"/>
      <c r="Q57" s="283"/>
      <c r="R57" s="283"/>
      <c r="S57" s="183"/>
      <c r="T57" s="353"/>
      <c r="U57" s="439"/>
    </row>
    <row r="58" ht="18" customHeight="1" spans="1:21">
      <c r="A58" s="431" t="s">
        <v>4130</v>
      </c>
      <c r="B58" s="57" t="s">
        <v>1824</v>
      </c>
      <c r="C58" s="112" t="s">
        <v>224</v>
      </c>
      <c r="D58" s="43">
        <v>103</v>
      </c>
      <c r="E58" s="54"/>
      <c r="F58" s="54" t="s">
        <v>4139</v>
      </c>
      <c r="G58" s="57" t="s">
        <v>4154</v>
      </c>
      <c r="H58" s="56"/>
      <c r="I58" s="124"/>
      <c r="J58" s="64"/>
      <c r="K58" s="158"/>
      <c r="L58" s="53">
        <v>7.1745</v>
      </c>
      <c r="M58" s="131">
        <v>45723</v>
      </c>
      <c r="N58" s="132">
        <v>45741</v>
      </c>
      <c r="O58" s="132">
        <v>45746</v>
      </c>
      <c r="P58" s="149"/>
      <c r="Q58" s="283"/>
      <c r="R58" s="53"/>
      <c r="S58" s="183"/>
      <c r="T58" s="353"/>
      <c r="U58" s="439"/>
    </row>
    <row r="59" ht="18" customHeight="1" spans="1:21">
      <c r="A59" s="431" t="s">
        <v>4130</v>
      </c>
      <c r="B59" s="57" t="s">
        <v>1824</v>
      </c>
      <c r="C59" s="112" t="s">
        <v>224</v>
      </c>
      <c r="D59" s="38"/>
      <c r="E59" s="54"/>
      <c r="F59" s="54" t="s">
        <v>4095</v>
      </c>
      <c r="G59" s="57" t="s">
        <v>4263</v>
      </c>
      <c r="H59" s="56"/>
      <c r="I59" s="124"/>
      <c r="J59" s="64"/>
      <c r="K59" s="158"/>
      <c r="L59" s="53">
        <v>7.1745</v>
      </c>
      <c r="M59" s="145"/>
      <c r="N59" s="132">
        <v>45738</v>
      </c>
      <c r="O59" s="132">
        <v>45746</v>
      </c>
      <c r="P59" s="150"/>
      <c r="Q59" s="283"/>
      <c r="R59" s="53"/>
      <c r="S59" s="183"/>
      <c r="T59" s="353"/>
      <c r="U59" s="439"/>
    </row>
    <row r="60" ht="17.25" customHeight="1" spans="1:21">
      <c r="A60" s="431" t="s">
        <v>4130</v>
      </c>
      <c r="B60" s="57" t="s">
        <v>1824</v>
      </c>
      <c r="C60" s="112" t="s">
        <v>224</v>
      </c>
      <c r="D60" s="38"/>
      <c r="E60" s="54"/>
      <c r="F60" s="54" t="s">
        <v>4095</v>
      </c>
      <c r="G60" s="57" t="s">
        <v>4334</v>
      </c>
      <c r="H60" s="56"/>
      <c r="I60" s="124"/>
      <c r="J60" s="64"/>
      <c r="K60" s="64"/>
      <c r="L60" s="53">
        <v>7.1745</v>
      </c>
      <c r="M60" s="131" t="s">
        <v>1218</v>
      </c>
      <c r="N60" s="132">
        <v>45729</v>
      </c>
      <c r="O60" s="132">
        <v>45732</v>
      </c>
      <c r="P60" s="150"/>
      <c r="Q60" s="53"/>
      <c r="R60" s="53"/>
      <c r="S60" s="183"/>
      <c r="T60" s="353"/>
      <c r="U60" s="439"/>
    </row>
    <row r="61" ht="17.25" customHeight="1" spans="1:21">
      <c r="A61" s="431" t="s">
        <v>4130</v>
      </c>
      <c r="B61" s="57" t="s">
        <v>1824</v>
      </c>
      <c r="C61" s="112" t="s">
        <v>224</v>
      </c>
      <c r="D61" s="38"/>
      <c r="E61" s="121"/>
      <c r="F61" s="54" t="s">
        <v>4090</v>
      </c>
      <c r="G61" s="53" t="s">
        <v>4335</v>
      </c>
      <c r="H61" s="56"/>
      <c r="I61" s="124"/>
      <c r="J61" s="68"/>
      <c r="K61" s="68"/>
      <c r="L61" s="53">
        <v>7.1745</v>
      </c>
      <c r="M61" s="131">
        <v>45742</v>
      </c>
      <c r="N61" s="132">
        <v>45746</v>
      </c>
      <c r="O61" s="132">
        <v>45742</v>
      </c>
      <c r="P61" s="86"/>
      <c r="Q61" s="438"/>
      <c r="R61" s="53"/>
      <c r="S61" s="363"/>
      <c r="T61" s="355"/>
      <c r="U61" s="417"/>
    </row>
    <row r="62" ht="17.25" customHeight="1" spans="1:21">
      <c r="A62" s="431" t="s">
        <v>4130</v>
      </c>
      <c r="B62" s="57" t="s">
        <v>1824</v>
      </c>
      <c r="C62" s="112" t="s">
        <v>224</v>
      </c>
      <c r="D62" s="38"/>
      <c r="E62" s="121"/>
      <c r="F62" s="54" t="s">
        <v>4090</v>
      </c>
      <c r="G62" s="55" t="s">
        <v>4336</v>
      </c>
      <c r="H62" s="56"/>
      <c r="I62" s="124"/>
      <c r="J62" s="69"/>
      <c r="K62" s="69"/>
      <c r="L62" s="53">
        <v>7.1745</v>
      </c>
      <c r="M62" s="131">
        <v>45745</v>
      </c>
      <c r="N62" s="132">
        <v>45745</v>
      </c>
      <c r="O62" s="87">
        <v>45747</v>
      </c>
      <c r="P62" s="90"/>
      <c r="Q62" s="438"/>
      <c r="R62" s="53"/>
      <c r="S62" s="363"/>
      <c r="T62" s="355"/>
      <c r="U62" s="417"/>
    </row>
    <row r="63" ht="17.25" customHeight="1" spans="1:21">
      <c r="A63" s="431" t="s">
        <v>4130</v>
      </c>
      <c r="B63" s="57" t="s">
        <v>1824</v>
      </c>
      <c r="C63" s="112" t="s">
        <v>224</v>
      </c>
      <c r="D63" s="38"/>
      <c r="E63" s="54"/>
      <c r="F63" s="54" t="s">
        <v>4139</v>
      </c>
      <c r="G63" s="432" t="s">
        <v>4146</v>
      </c>
      <c r="H63" s="56"/>
      <c r="I63" s="124"/>
      <c r="J63" s="434"/>
      <c r="K63" s="64"/>
      <c r="L63" s="53">
        <v>7.1693</v>
      </c>
      <c r="M63" s="146"/>
      <c r="N63" s="132"/>
      <c r="O63" s="87">
        <v>45721</v>
      </c>
      <c r="P63" s="149"/>
      <c r="Q63" s="438"/>
      <c r="R63" s="53"/>
      <c r="S63" s="363"/>
      <c r="T63" s="355"/>
      <c r="U63" s="417"/>
    </row>
    <row r="64" ht="17.25" customHeight="1" spans="1:21">
      <c r="A64" s="431" t="s">
        <v>4130</v>
      </c>
      <c r="B64" s="57" t="s">
        <v>1824</v>
      </c>
      <c r="C64" s="112" t="s">
        <v>224</v>
      </c>
      <c r="D64" s="38"/>
      <c r="E64" s="54"/>
      <c r="F64" s="58" t="s">
        <v>4139</v>
      </c>
      <c r="G64" s="155" t="s">
        <v>4249</v>
      </c>
      <c r="H64" s="56"/>
      <c r="I64" s="124"/>
      <c r="J64" s="434"/>
      <c r="K64" s="64"/>
      <c r="L64" s="53">
        <v>7.1693</v>
      </c>
      <c r="M64" s="146"/>
      <c r="N64" s="146"/>
      <c r="O64" s="87">
        <v>45717</v>
      </c>
      <c r="P64" s="149"/>
      <c r="Q64" s="438"/>
      <c r="R64" s="53"/>
      <c r="S64" s="363"/>
      <c r="T64" s="355"/>
      <c r="U64" s="417"/>
    </row>
    <row r="65" ht="17.25" customHeight="1" spans="1:21">
      <c r="A65" s="431" t="s">
        <v>4130</v>
      </c>
      <c r="B65" s="57" t="s">
        <v>1824</v>
      </c>
      <c r="C65" s="112" t="s">
        <v>224</v>
      </c>
      <c r="D65" s="38"/>
      <c r="E65" s="54"/>
      <c r="F65" s="58" t="s">
        <v>4139</v>
      </c>
      <c r="G65" s="155" t="s">
        <v>4250</v>
      </c>
      <c r="H65" s="56"/>
      <c r="I65" s="124"/>
      <c r="J65" s="434"/>
      <c r="K65" s="64"/>
      <c r="L65" s="53">
        <v>7.1693</v>
      </c>
      <c r="M65" s="146"/>
      <c r="N65" s="146"/>
      <c r="O65" s="87">
        <v>45717</v>
      </c>
      <c r="P65" s="149"/>
      <c r="Q65" s="438"/>
      <c r="R65" s="39"/>
      <c r="S65" s="363"/>
      <c r="T65" s="355"/>
      <c r="U65" s="417"/>
    </row>
    <row r="66" ht="17.25" customHeight="1" spans="1:21">
      <c r="A66" s="431" t="s">
        <v>4130</v>
      </c>
      <c r="B66" s="57" t="s">
        <v>1824</v>
      </c>
      <c r="C66" s="112" t="s">
        <v>224</v>
      </c>
      <c r="D66" s="38"/>
      <c r="E66" s="54"/>
      <c r="F66" s="54" t="s">
        <v>4081</v>
      </c>
      <c r="G66" s="57" t="s">
        <v>4148</v>
      </c>
      <c r="H66" s="56"/>
      <c r="I66" s="124"/>
      <c r="J66" s="434"/>
      <c r="K66" s="64"/>
      <c r="L66" s="53">
        <v>7.1693</v>
      </c>
      <c r="M66" s="146"/>
      <c r="N66" s="146"/>
      <c r="O66" s="87">
        <v>45718</v>
      </c>
      <c r="P66" s="149"/>
      <c r="Q66" s="438"/>
      <c r="R66" s="39"/>
      <c r="S66" s="363"/>
      <c r="T66" s="355"/>
      <c r="U66" s="417"/>
    </row>
    <row r="67" ht="17.25" customHeight="1" spans="1:21">
      <c r="A67" s="431" t="s">
        <v>4130</v>
      </c>
      <c r="B67" s="57" t="s">
        <v>1824</v>
      </c>
      <c r="C67" s="112" t="s">
        <v>224</v>
      </c>
      <c r="D67" s="39"/>
      <c r="E67" s="54"/>
      <c r="F67" s="58" t="s">
        <v>4095</v>
      </c>
      <c r="G67" s="441" t="s">
        <v>4252</v>
      </c>
      <c r="H67" s="56"/>
      <c r="I67" s="124"/>
      <c r="J67" s="434"/>
      <c r="K67" s="64"/>
      <c r="L67" s="53">
        <v>7.1693</v>
      </c>
      <c r="M67" s="146"/>
      <c r="N67" s="146"/>
      <c r="O67" s="81">
        <v>45720</v>
      </c>
      <c r="P67" s="149"/>
      <c r="Q67" s="438"/>
      <c r="R67" s="39"/>
      <c r="S67" s="363"/>
      <c r="T67" s="355"/>
      <c r="U67" s="417"/>
    </row>
    <row r="68" ht="17.25" customHeight="1" spans="1:20">
      <c r="A68" s="431" t="s">
        <v>4130</v>
      </c>
      <c r="B68" s="57" t="s">
        <v>1824</v>
      </c>
      <c r="C68" s="40" t="s">
        <v>4092</v>
      </c>
      <c r="D68" s="41"/>
      <c r="E68" s="57"/>
      <c r="F68" s="106" t="s">
        <v>4081</v>
      </c>
      <c r="G68" s="310" t="s">
        <v>4337</v>
      </c>
      <c r="H68" s="56"/>
      <c r="I68" s="71"/>
      <c r="J68" s="443"/>
      <c r="K68" s="443"/>
      <c r="L68" s="53">
        <v>7.1745</v>
      </c>
      <c r="M68" s="81">
        <v>45731</v>
      </c>
      <c r="N68" s="87">
        <v>45737</v>
      </c>
      <c r="O68" s="444">
        <v>45742</v>
      </c>
      <c r="P68" s="445"/>
      <c r="Q68" s="59"/>
      <c r="R68" s="53"/>
      <c r="S68" s="363"/>
      <c r="T68" s="185"/>
    </row>
    <row r="69" ht="17.25" customHeight="1" spans="1:20">
      <c r="A69" s="431" t="s">
        <v>4130</v>
      </c>
      <c r="B69" s="57" t="s">
        <v>3248</v>
      </c>
      <c r="C69" s="112" t="s">
        <v>1825</v>
      </c>
      <c r="D69" s="116" t="s">
        <v>1125</v>
      </c>
      <c r="E69" s="117"/>
      <c r="F69" s="118" t="s">
        <v>4256</v>
      </c>
      <c r="G69" s="117" t="s">
        <v>4257</v>
      </c>
      <c r="H69" s="119"/>
      <c r="I69" s="124"/>
      <c r="J69" s="128"/>
      <c r="K69" s="129"/>
      <c r="L69" s="53">
        <v>7.1745</v>
      </c>
      <c r="M69" s="364">
        <v>45764</v>
      </c>
      <c r="N69" s="446"/>
      <c r="O69" s="447" t="s">
        <v>4259</v>
      </c>
      <c r="P69" s="159"/>
      <c r="Q69" s="182"/>
      <c r="R69" s="283"/>
      <c r="S69" s="34"/>
      <c r="T69" s="352"/>
    </row>
    <row r="70" ht="17.25" customHeight="1" spans="1:20">
      <c r="A70" s="431" t="s">
        <v>4130</v>
      </c>
      <c r="B70" s="57" t="s">
        <v>3248</v>
      </c>
      <c r="C70" s="42"/>
      <c r="D70" s="103"/>
      <c r="E70" s="117"/>
      <c r="F70" s="118" t="s">
        <v>4256</v>
      </c>
      <c r="G70" s="117" t="s">
        <v>4260</v>
      </c>
      <c r="H70" s="119"/>
      <c r="I70" s="124"/>
      <c r="J70" s="128"/>
      <c r="K70" s="129"/>
      <c r="L70" s="53">
        <v>7.1745</v>
      </c>
      <c r="M70" s="364">
        <v>45764</v>
      </c>
      <c r="N70" s="446"/>
      <c r="O70" s="447" t="s">
        <v>4259</v>
      </c>
      <c r="P70" s="159"/>
      <c r="Q70" s="436"/>
      <c r="R70" s="283"/>
      <c r="S70" s="34"/>
      <c r="T70" s="352"/>
    </row>
    <row r="71" ht="17.25" customHeight="1" spans="1:20">
      <c r="A71" s="431" t="s">
        <v>4130</v>
      </c>
      <c r="B71" s="57" t="s">
        <v>3248</v>
      </c>
      <c r="C71" s="42"/>
      <c r="D71" s="103"/>
      <c r="E71" s="54"/>
      <c r="F71" s="58" t="s">
        <v>4093</v>
      </c>
      <c r="G71" s="117" t="s">
        <v>4145</v>
      </c>
      <c r="H71" s="119"/>
      <c r="I71" s="124"/>
      <c r="J71" s="128"/>
      <c r="K71" s="129"/>
      <c r="L71" s="53">
        <v>7.1745</v>
      </c>
      <c r="M71" s="206" t="s">
        <v>4132</v>
      </c>
      <c r="N71" s="446"/>
      <c r="O71" s="134" t="s">
        <v>4253</v>
      </c>
      <c r="P71" s="159"/>
      <c r="Q71" s="452"/>
      <c r="R71" s="346"/>
      <c r="S71" s="40"/>
      <c r="T71" s="348"/>
    </row>
    <row r="72" ht="17.25" customHeight="1" spans="1:20">
      <c r="A72" s="431" t="s">
        <v>4130</v>
      </c>
      <c r="B72" s="57" t="s">
        <v>3248</v>
      </c>
      <c r="C72" s="42"/>
      <c r="D72" s="103"/>
      <c r="E72" s="54"/>
      <c r="F72" s="58" t="s">
        <v>4093</v>
      </c>
      <c r="G72" s="117" t="s">
        <v>4254</v>
      </c>
      <c r="H72" s="119"/>
      <c r="I72" s="124"/>
      <c r="J72" s="128"/>
      <c r="K72" s="129"/>
      <c r="L72" s="53">
        <v>7.1745</v>
      </c>
      <c r="M72" s="206" t="s">
        <v>4132</v>
      </c>
      <c r="N72" s="446"/>
      <c r="O72" s="134" t="s">
        <v>4253</v>
      </c>
      <c r="P72" s="159"/>
      <c r="Q72" s="452"/>
      <c r="R72" s="346"/>
      <c r="S72" s="40"/>
      <c r="T72" s="348"/>
    </row>
    <row r="73" ht="17.25" customHeight="1" spans="1:20">
      <c r="A73" s="431" t="s">
        <v>4130</v>
      </c>
      <c r="B73" s="57" t="s">
        <v>3248</v>
      </c>
      <c r="C73" s="42"/>
      <c r="D73" s="103"/>
      <c r="E73" s="54"/>
      <c r="F73" s="58" t="s">
        <v>4093</v>
      </c>
      <c r="G73" s="117" t="s">
        <v>4255</v>
      </c>
      <c r="H73" s="119"/>
      <c r="I73" s="124"/>
      <c r="J73" s="128"/>
      <c r="K73" s="129"/>
      <c r="L73" s="53">
        <v>7.1745</v>
      </c>
      <c r="M73" s="206" t="s">
        <v>4132</v>
      </c>
      <c r="N73" s="446"/>
      <c r="O73" s="134" t="s">
        <v>4253</v>
      </c>
      <c r="P73" s="159"/>
      <c r="Q73" s="452"/>
      <c r="R73" s="346"/>
      <c r="S73" s="40"/>
      <c r="T73" s="348"/>
    </row>
    <row r="74" ht="17.25" customHeight="1" spans="1:20">
      <c r="A74" s="431" t="s">
        <v>4130</v>
      </c>
      <c r="B74" s="57" t="s">
        <v>3248</v>
      </c>
      <c r="C74" s="42"/>
      <c r="D74" s="103"/>
      <c r="E74" s="54"/>
      <c r="F74" s="54" t="s">
        <v>4093</v>
      </c>
      <c r="G74" s="198" t="s">
        <v>4261</v>
      </c>
      <c r="H74" s="119"/>
      <c r="I74" s="124"/>
      <c r="J74" s="125"/>
      <c r="K74" s="125"/>
      <c r="L74" s="53">
        <v>7.1745</v>
      </c>
      <c r="M74" s="448"/>
      <c r="N74" s="134"/>
      <c r="O74" s="131"/>
      <c r="P74" s="159"/>
      <c r="Q74" s="437"/>
      <c r="R74" s="453"/>
      <c r="S74" s="44"/>
      <c r="T74" s="348"/>
    </row>
    <row r="75" ht="17.25" customHeight="1" spans="1:20">
      <c r="A75" s="431" t="s">
        <v>4130</v>
      </c>
      <c r="B75" s="57" t="s">
        <v>3248</v>
      </c>
      <c r="C75" s="42"/>
      <c r="D75" s="103"/>
      <c r="E75" s="53"/>
      <c r="F75" s="58" t="s">
        <v>4113</v>
      </c>
      <c r="G75" s="117" t="s">
        <v>4338</v>
      </c>
      <c r="H75" s="119"/>
      <c r="I75" s="124"/>
      <c r="J75" s="433"/>
      <c r="K75" s="433"/>
      <c r="L75" s="53">
        <v>7.1745</v>
      </c>
      <c r="M75" s="206" t="s">
        <v>2805</v>
      </c>
      <c r="N75" s="433"/>
      <c r="O75" s="433"/>
      <c r="P75" s="149"/>
      <c r="Q75" s="437"/>
      <c r="R75" s="346"/>
      <c r="S75" s="363"/>
      <c r="T75" s="362"/>
    </row>
    <row r="76" ht="17.25" customHeight="1" spans="1:20">
      <c r="A76" s="431" t="s">
        <v>4130</v>
      </c>
      <c r="B76" s="57" t="s">
        <v>3248</v>
      </c>
      <c r="C76" s="42"/>
      <c r="D76" s="103"/>
      <c r="E76" s="54"/>
      <c r="F76" s="54"/>
      <c r="G76" s="198"/>
      <c r="H76" s="119"/>
      <c r="I76" s="124"/>
      <c r="J76" s="125"/>
      <c r="K76" s="125"/>
      <c r="L76" s="53"/>
      <c r="M76" s="448"/>
      <c r="N76" s="134"/>
      <c r="O76" s="131"/>
      <c r="P76" s="159"/>
      <c r="Q76" s="53"/>
      <c r="R76" s="113"/>
      <c r="S76" s="363"/>
      <c r="T76" s="353"/>
    </row>
    <row r="77" ht="17.25" customHeight="1" spans="1:20">
      <c r="A77" s="431" t="s">
        <v>4130</v>
      </c>
      <c r="B77" s="57" t="s">
        <v>3248</v>
      </c>
      <c r="C77" s="112" t="s">
        <v>224</v>
      </c>
      <c r="D77" s="103"/>
      <c r="E77" s="53"/>
      <c r="F77" s="58" t="s">
        <v>4095</v>
      </c>
      <c r="G77" s="53" t="s">
        <v>4339</v>
      </c>
      <c r="H77" s="56"/>
      <c r="I77" s="71"/>
      <c r="J77" s="157"/>
      <c r="K77" s="67"/>
      <c r="L77" s="53">
        <v>7.1745</v>
      </c>
      <c r="M77" s="364">
        <v>45775</v>
      </c>
      <c r="N77" s="246"/>
      <c r="O77" s="202"/>
      <c r="P77" s="82"/>
      <c r="Q77" s="242"/>
      <c r="R77" s="53"/>
      <c r="S77" s="183"/>
      <c r="T77" s="353"/>
    </row>
    <row r="78" ht="33" spans="1:21">
      <c r="A78" s="431" t="s">
        <v>4130</v>
      </c>
      <c r="B78" s="57" t="s">
        <v>3248</v>
      </c>
      <c r="C78" s="42"/>
      <c r="D78" s="38"/>
      <c r="E78" s="54"/>
      <c r="F78" s="54" t="s">
        <v>4081</v>
      </c>
      <c r="G78" s="57" t="s">
        <v>4265</v>
      </c>
      <c r="H78" s="56"/>
      <c r="I78" s="124"/>
      <c r="J78" s="158"/>
      <c r="K78" s="158"/>
      <c r="L78" s="53">
        <v>7.1745</v>
      </c>
      <c r="M78" s="145"/>
      <c r="N78" s="132"/>
      <c r="O78" s="81"/>
      <c r="P78" s="148"/>
      <c r="Q78" s="53"/>
      <c r="R78" s="53"/>
      <c r="S78" s="183"/>
      <c r="T78" s="353"/>
      <c r="U78" s="417"/>
    </row>
    <row r="79" ht="33" spans="1:21">
      <c r="A79" s="431" t="s">
        <v>4130</v>
      </c>
      <c r="B79" s="57" t="s">
        <v>3248</v>
      </c>
      <c r="C79" s="42"/>
      <c r="D79" s="38"/>
      <c r="E79" s="54"/>
      <c r="F79" s="54" t="s">
        <v>4090</v>
      </c>
      <c r="G79" s="57" t="s">
        <v>4267</v>
      </c>
      <c r="H79" s="56"/>
      <c r="I79" s="124"/>
      <c r="J79" s="130"/>
      <c r="K79" s="130"/>
      <c r="L79" s="53">
        <v>7.1745</v>
      </c>
      <c r="M79" s="146"/>
      <c r="N79" s="132"/>
      <c r="O79" s="425"/>
      <c r="P79" s="136"/>
      <c r="Q79" s="354"/>
      <c r="R79" s="35"/>
      <c r="S79" s="183"/>
      <c r="T79" s="355"/>
      <c r="U79" s="417"/>
    </row>
    <row r="80" ht="33" spans="1:20">
      <c r="A80" s="431" t="s">
        <v>4130</v>
      </c>
      <c r="B80" s="57" t="s">
        <v>3248</v>
      </c>
      <c r="C80" s="42"/>
      <c r="D80" s="103"/>
      <c r="E80" s="117"/>
      <c r="F80" s="118"/>
      <c r="G80" s="117"/>
      <c r="H80" s="119"/>
      <c r="I80" s="124"/>
      <c r="J80" s="128"/>
      <c r="K80" s="129"/>
      <c r="L80" s="53"/>
      <c r="M80" s="53"/>
      <c r="N80" s="446"/>
      <c r="O80" s="447"/>
      <c r="P80" s="159"/>
      <c r="Q80" s="53"/>
      <c r="R80" s="113"/>
      <c r="S80" s="363"/>
      <c r="T80" s="353"/>
    </row>
    <row r="81" ht="33" spans="1:20">
      <c r="A81" s="431" t="s">
        <v>4130</v>
      </c>
      <c r="B81" s="57" t="s">
        <v>3248</v>
      </c>
      <c r="C81" s="44"/>
      <c r="D81" s="103"/>
      <c r="E81" s="116"/>
      <c r="F81" s="118"/>
      <c r="G81" s="117"/>
      <c r="H81" s="119"/>
      <c r="I81" s="124"/>
      <c r="J81" s="128"/>
      <c r="K81" s="129"/>
      <c r="L81" s="53"/>
      <c r="M81" s="53"/>
      <c r="N81" s="446"/>
      <c r="O81" s="447"/>
      <c r="P81" s="159"/>
      <c r="Q81" s="53"/>
      <c r="R81" s="39"/>
      <c r="S81" s="363"/>
      <c r="T81" s="357"/>
    </row>
    <row r="82" ht="16.5" spans="1:20">
      <c r="A82" s="431" t="s">
        <v>4130</v>
      </c>
      <c r="B82" s="196" t="s">
        <v>1875</v>
      </c>
      <c r="C82" s="440" t="s">
        <v>1825</v>
      </c>
      <c r="D82" s="107" t="s">
        <v>1125</v>
      </c>
      <c r="E82" s="48"/>
      <c r="F82" s="58" t="s">
        <v>4113</v>
      </c>
      <c r="G82" s="53"/>
      <c r="H82" s="56"/>
      <c r="I82" s="124"/>
      <c r="J82" s="68"/>
      <c r="K82" s="68"/>
      <c r="L82" s="53">
        <v>7.1745</v>
      </c>
      <c r="M82" s="68"/>
      <c r="N82" s="157"/>
      <c r="O82" s="202"/>
      <c r="P82" s="90"/>
      <c r="Q82" s="98"/>
      <c r="R82" s="41"/>
      <c r="S82" s="99"/>
      <c r="T82" s="348"/>
    </row>
    <row r="83" ht="16.5" spans="1:20">
      <c r="A83" s="431" t="s">
        <v>4130</v>
      </c>
      <c r="B83" s="196" t="s">
        <v>1875</v>
      </c>
      <c r="C83" s="152"/>
      <c r="D83" s="46"/>
      <c r="E83" s="442"/>
      <c r="F83" s="58" t="s">
        <v>4090</v>
      </c>
      <c r="G83" s="117"/>
      <c r="H83" s="56"/>
      <c r="I83" s="124"/>
      <c r="J83" s="128"/>
      <c r="K83" s="128"/>
      <c r="L83" s="53">
        <v>7.1745</v>
      </c>
      <c r="M83" s="68"/>
      <c r="N83" s="157"/>
      <c r="O83" s="202"/>
      <c r="P83" s="160"/>
      <c r="Q83" s="98"/>
      <c r="R83" s="41"/>
      <c r="S83" s="99"/>
      <c r="T83" s="348"/>
    </row>
    <row r="84" ht="17.25" customHeight="1" spans="1:20">
      <c r="A84" s="431" t="s">
        <v>4130</v>
      </c>
      <c r="B84" s="196" t="s">
        <v>1875</v>
      </c>
      <c r="C84" s="152"/>
      <c r="D84" s="46"/>
      <c r="E84" s="154"/>
      <c r="F84" s="118" t="s">
        <v>4093</v>
      </c>
      <c r="G84" s="117"/>
      <c r="H84" s="56"/>
      <c r="I84" s="124"/>
      <c r="J84" s="128"/>
      <c r="K84" s="128"/>
      <c r="L84" s="53">
        <v>7.1745</v>
      </c>
      <c r="M84" s="68"/>
      <c r="N84" s="157"/>
      <c r="O84" s="202"/>
      <c r="P84" s="160"/>
      <c r="Q84" s="98"/>
      <c r="R84" s="41"/>
      <c r="S84" s="99"/>
      <c r="T84" s="348"/>
    </row>
    <row r="85" ht="16.5" spans="1:20">
      <c r="A85" s="431" t="s">
        <v>4130</v>
      </c>
      <c r="B85" s="196" t="s">
        <v>1875</v>
      </c>
      <c r="C85" s="152"/>
      <c r="D85" s="46"/>
      <c r="E85" s="154"/>
      <c r="F85" s="118" t="s">
        <v>4093</v>
      </c>
      <c r="G85" s="117"/>
      <c r="H85" s="56"/>
      <c r="I85" s="124"/>
      <c r="J85" s="128"/>
      <c r="K85" s="128"/>
      <c r="L85" s="53">
        <v>7.1745</v>
      </c>
      <c r="M85" s="68"/>
      <c r="N85" s="157"/>
      <c r="O85" s="202"/>
      <c r="P85" s="161"/>
      <c r="Q85" s="98"/>
      <c r="R85" s="41"/>
      <c r="S85" s="99"/>
      <c r="T85" s="348"/>
    </row>
    <row r="86" ht="17.25" customHeight="1" spans="1:20">
      <c r="A86" s="431" t="s">
        <v>4130</v>
      </c>
      <c r="B86" s="196" t="s">
        <v>1875</v>
      </c>
      <c r="C86" s="152"/>
      <c r="D86" s="46"/>
      <c r="E86" s="154"/>
      <c r="F86" s="118" t="s">
        <v>4093</v>
      </c>
      <c r="G86" s="117"/>
      <c r="H86" s="56"/>
      <c r="I86" s="124"/>
      <c r="J86" s="128"/>
      <c r="K86" s="128"/>
      <c r="L86" s="53">
        <v>7.1745</v>
      </c>
      <c r="M86" s="68"/>
      <c r="N86" s="157"/>
      <c r="O86" s="202"/>
      <c r="P86" s="161"/>
      <c r="Q86" s="98"/>
      <c r="R86" s="41"/>
      <c r="S86" s="99"/>
      <c r="T86" s="348"/>
    </row>
    <row r="87" ht="20.65" customHeight="1" spans="1:20">
      <c r="A87" s="431" t="s">
        <v>4130</v>
      </c>
      <c r="B87" s="196" t="s">
        <v>1875</v>
      </c>
      <c r="C87" s="152"/>
      <c r="D87" s="46"/>
      <c r="E87" s="154"/>
      <c r="F87" s="118" t="s">
        <v>4093</v>
      </c>
      <c r="G87" s="53"/>
      <c r="H87" s="56"/>
      <c r="I87" s="124"/>
      <c r="J87" s="68"/>
      <c r="K87" s="68"/>
      <c r="L87" s="53">
        <v>7.1745</v>
      </c>
      <c r="M87" s="68"/>
      <c r="N87" s="157"/>
      <c r="O87" s="202"/>
      <c r="P87" s="160"/>
      <c r="Q87" s="98"/>
      <c r="R87" s="41"/>
      <c r="S87" s="99"/>
      <c r="T87" s="358"/>
    </row>
    <row r="88" ht="16.5" spans="1:20">
      <c r="A88" s="431" t="s">
        <v>4130</v>
      </c>
      <c r="B88" s="196" t="s">
        <v>1875</v>
      </c>
      <c r="C88" s="152"/>
      <c r="D88" s="46"/>
      <c r="E88" s="58"/>
      <c r="F88" s="58" t="s">
        <v>4093</v>
      </c>
      <c r="G88" s="53"/>
      <c r="H88" s="56"/>
      <c r="I88" s="124"/>
      <c r="J88" s="68"/>
      <c r="K88" s="68"/>
      <c r="L88" s="53">
        <v>7.1745</v>
      </c>
      <c r="M88" s="68"/>
      <c r="N88" s="157"/>
      <c r="O88" s="449"/>
      <c r="P88" s="163"/>
      <c r="Q88" s="163"/>
      <c r="R88" s="41"/>
      <c r="S88" s="99"/>
      <c r="T88" s="348"/>
    </row>
    <row r="89" ht="17.25" customHeight="1" spans="1:20">
      <c r="A89" s="431" t="s">
        <v>4130</v>
      </c>
      <c r="B89" s="196" t="s">
        <v>1875</v>
      </c>
      <c r="C89" s="152"/>
      <c r="D89" s="46"/>
      <c r="E89" s="58"/>
      <c r="F89" s="58" t="s">
        <v>4093</v>
      </c>
      <c r="G89" s="155"/>
      <c r="H89" s="56"/>
      <c r="I89" s="124"/>
      <c r="J89" s="68"/>
      <c r="K89" s="68"/>
      <c r="L89" s="53">
        <v>7.1745</v>
      </c>
      <c r="M89" s="68"/>
      <c r="N89" s="157"/>
      <c r="O89" s="449"/>
      <c r="P89" s="90"/>
      <c r="Q89" s="350"/>
      <c r="R89" s="359"/>
      <c r="S89" s="99"/>
      <c r="T89" s="100"/>
    </row>
    <row r="90" ht="17.25" customHeight="1" spans="1:20">
      <c r="A90" s="431" t="s">
        <v>4130</v>
      </c>
      <c r="B90" s="196" t="s">
        <v>1875</v>
      </c>
      <c r="C90" s="152"/>
      <c r="D90" s="46"/>
      <c r="E90" s="58"/>
      <c r="F90" s="58" t="s">
        <v>4093</v>
      </c>
      <c r="G90" s="155"/>
      <c r="H90" s="56"/>
      <c r="I90" s="124"/>
      <c r="J90" s="68"/>
      <c r="K90" s="68"/>
      <c r="L90" s="53">
        <v>7.1745</v>
      </c>
      <c r="M90" s="68"/>
      <c r="N90" s="157"/>
      <c r="O90" s="449"/>
      <c r="P90" s="90"/>
      <c r="Q90" s="350"/>
      <c r="R90" s="359"/>
      <c r="S90" s="99"/>
      <c r="T90" s="100"/>
    </row>
    <row r="91" ht="17.25" customHeight="1" spans="1:20">
      <c r="A91" s="431" t="s">
        <v>4130</v>
      </c>
      <c r="B91" s="196" t="s">
        <v>1875</v>
      </c>
      <c r="C91" s="152"/>
      <c r="D91" s="46"/>
      <c r="E91" s="54"/>
      <c r="F91" s="58" t="s">
        <v>4093</v>
      </c>
      <c r="G91" s="155"/>
      <c r="H91" s="56"/>
      <c r="I91" s="124"/>
      <c r="J91" s="68"/>
      <c r="K91" s="68"/>
      <c r="L91" s="53">
        <v>7.1745</v>
      </c>
      <c r="M91" s="68"/>
      <c r="N91" s="157"/>
      <c r="O91" s="449"/>
      <c r="P91" s="90"/>
      <c r="Q91" s="350"/>
      <c r="R91" s="359"/>
      <c r="S91" s="99"/>
      <c r="T91" s="100"/>
    </row>
    <row r="92" ht="16.5" spans="1:20">
      <c r="A92" s="431" t="s">
        <v>4130</v>
      </c>
      <c r="B92" s="196" t="s">
        <v>1875</v>
      </c>
      <c r="C92" s="152"/>
      <c r="D92" s="46"/>
      <c r="E92" s="54"/>
      <c r="F92" s="58" t="s">
        <v>4113</v>
      </c>
      <c r="G92" s="155"/>
      <c r="H92" s="56"/>
      <c r="I92" s="124"/>
      <c r="J92" s="68"/>
      <c r="K92" s="68"/>
      <c r="L92" s="53">
        <v>7.1745</v>
      </c>
      <c r="M92" s="68"/>
      <c r="N92" s="157"/>
      <c r="O92" s="449"/>
      <c r="P92" s="90"/>
      <c r="Q92" s="350"/>
      <c r="R92" s="359"/>
      <c r="S92" s="99"/>
      <c r="T92" s="100"/>
    </row>
    <row r="93" ht="16.5" spans="1:20">
      <c r="A93" s="431" t="s">
        <v>4130</v>
      </c>
      <c r="B93" s="196" t="s">
        <v>1875</v>
      </c>
      <c r="C93" s="153"/>
      <c r="D93" s="46"/>
      <c r="E93" s="54"/>
      <c r="F93" s="58" t="s">
        <v>4093</v>
      </c>
      <c r="G93" s="155"/>
      <c r="H93" s="56"/>
      <c r="I93" s="124"/>
      <c r="J93" s="68"/>
      <c r="K93" s="68"/>
      <c r="L93" s="53">
        <v>7.1745</v>
      </c>
      <c r="M93" s="68"/>
      <c r="N93" s="157"/>
      <c r="O93" s="449"/>
      <c r="P93" s="90"/>
      <c r="Q93" s="350"/>
      <c r="R93" s="359"/>
      <c r="S93" s="99"/>
      <c r="T93" s="100"/>
    </row>
    <row r="94" ht="16.5" spans="1:20">
      <c r="A94" s="431" t="s">
        <v>4130</v>
      </c>
      <c r="B94" s="196" t="s">
        <v>1875</v>
      </c>
      <c r="C94" s="152"/>
      <c r="D94" s="46"/>
      <c r="E94" s="54"/>
      <c r="F94" s="54" t="s">
        <v>4095</v>
      </c>
      <c r="G94" s="57" t="s">
        <v>4262</v>
      </c>
      <c r="H94" s="56"/>
      <c r="I94" s="124"/>
      <c r="J94" s="158"/>
      <c r="K94" s="158"/>
      <c r="L94" s="53">
        <v>7.1745</v>
      </c>
      <c r="M94" s="132"/>
      <c r="N94" s="132"/>
      <c r="O94" s="132"/>
      <c r="P94" s="149"/>
      <c r="Q94" s="350"/>
      <c r="R94" s="359"/>
      <c r="S94" s="99"/>
      <c r="T94" s="100"/>
    </row>
    <row r="95" ht="16.5" spans="1:20">
      <c r="A95" s="431" t="s">
        <v>4130</v>
      </c>
      <c r="B95" s="196" t="s">
        <v>1875</v>
      </c>
      <c r="C95" s="152"/>
      <c r="D95" s="46"/>
      <c r="E95" s="54"/>
      <c r="F95" s="54" t="s">
        <v>4095</v>
      </c>
      <c r="G95" s="441" t="s">
        <v>4340</v>
      </c>
      <c r="H95" s="56"/>
      <c r="I95" s="124"/>
      <c r="J95" s="68"/>
      <c r="K95" s="68"/>
      <c r="L95" s="53"/>
      <c r="M95" s="68"/>
      <c r="N95" s="157"/>
      <c r="O95" s="450"/>
      <c r="P95" s="90"/>
      <c r="Q95" s="350"/>
      <c r="R95" s="359"/>
      <c r="S95" s="99"/>
      <c r="T95" s="100"/>
    </row>
    <row r="96" ht="16.5" spans="1:20">
      <c r="A96" s="431" t="s">
        <v>4130</v>
      </c>
      <c r="B96" s="196" t="s">
        <v>1875</v>
      </c>
      <c r="C96" s="42" t="s">
        <v>224</v>
      </c>
      <c r="D96" s="46"/>
      <c r="E96" s="54"/>
      <c r="F96" s="54" t="s">
        <v>4095</v>
      </c>
      <c r="G96" s="441" t="s">
        <v>4151</v>
      </c>
      <c r="H96" s="56"/>
      <c r="I96" s="71"/>
      <c r="J96" s="68"/>
      <c r="K96" s="130"/>
      <c r="L96" s="53">
        <v>7.1745</v>
      </c>
      <c r="M96" s="68"/>
      <c r="N96" s="202"/>
      <c r="O96" s="451"/>
      <c r="P96" s="90"/>
      <c r="Q96" s="53"/>
      <c r="R96" s="35"/>
      <c r="S96" s="183"/>
      <c r="T96" s="185"/>
    </row>
    <row r="97" ht="16.5" spans="1:20">
      <c r="A97" s="431" t="s">
        <v>4130</v>
      </c>
      <c r="B97" s="196" t="s">
        <v>1875</v>
      </c>
      <c r="C97" s="42"/>
      <c r="D97" s="46"/>
      <c r="E97" s="54"/>
      <c r="F97" s="54" t="s">
        <v>4081</v>
      </c>
      <c r="G97" s="155" t="s">
        <v>4150</v>
      </c>
      <c r="H97" s="56"/>
      <c r="I97" s="124"/>
      <c r="J97" s="68"/>
      <c r="K97" s="130"/>
      <c r="L97" s="53">
        <v>7.1745</v>
      </c>
      <c r="M97" s="68"/>
      <c r="N97" s="455">
        <v>45708</v>
      </c>
      <c r="O97" s="146">
        <v>45713</v>
      </c>
      <c r="P97" s="90"/>
      <c r="Q97" s="53"/>
      <c r="R97" s="35"/>
      <c r="S97" s="183"/>
      <c r="T97" s="184"/>
    </row>
    <row r="98" ht="16.5" spans="1:20">
      <c r="A98" s="431" t="s">
        <v>4130</v>
      </c>
      <c r="B98" s="196" t="s">
        <v>1875</v>
      </c>
      <c r="C98" s="42"/>
      <c r="D98" s="46"/>
      <c r="E98" s="54"/>
      <c r="F98" s="54" t="s">
        <v>4090</v>
      </c>
      <c r="G98" s="57" t="s">
        <v>4266</v>
      </c>
      <c r="H98" s="56"/>
      <c r="I98" s="71"/>
      <c r="J98" s="158"/>
      <c r="K98" s="130"/>
      <c r="L98" s="53">
        <v>7.1745</v>
      </c>
      <c r="M98" s="158"/>
      <c r="N98" s="130"/>
      <c r="O98" s="425"/>
      <c r="P98" s="136"/>
      <c r="Q98" s="360"/>
      <c r="R98" s="361"/>
      <c r="S98" s="183"/>
      <c r="T98" s="185"/>
    </row>
    <row r="99" ht="16.5" spans="1:20">
      <c r="A99" s="431" t="s">
        <v>4130</v>
      </c>
      <c r="B99" s="196" t="s">
        <v>1875</v>
      </c>
      <c r="C99" s="42"/>
      <c r="D99" s="46"/>
      <c r="E99" s="54"/>
      <c r="F99" s="54" t="s">
        <v>4090</v>
      </c>
      <c r="G99" s="57" t="s">
        <v>4268</v>
      </c>
      <c r="H99" s="56"/>
      <c r="I99" s="71"/>
      <c r="J99" s="130"/>
      <c r="K99" s="130"/>
      <c r="L99" s="53">
        <v>7.1745</v>
      </c>
      <c r="M99" s="146"/>
      <c r="N99" s="146"/>
      <c r="O99" s="425"/>
      <c r="P99" s="136"/>
      <c r="Q99" s="53"/>
      <c r="R99" s="361"/>
      <c r="S99" s="183"/>
      <c r="T99" s="185"/>
    </row>
    <row r="100" ht="17.25" customHeight="1" spans="1:20">
      <c r="A100" s="431" t="s">
        <v>4130</v>
      </c>
      <c r="B100" s="196" t="s">
        <v>1875</v>
      </c>
      <c r="C100" s="42"/>
      <c r="D100" s="46"/>
      <c r="E100" s="54"/>
      <c r="F100" s="54" t="s">
        <v>4090</v>
      </c>
      <c r="G100" s="57"/>
      <c r="H100" s="56"/>
      <c r="I100" s="124"/>
      <c r="J100" s="130"/>
      <c r="K100" s="130"/>
      <c r="L100" s="53">
        <v>7.1745</v>
      </c>
      <c r="M100" s="146"/>
      <c r="N100" s="146"/>
      <c r="O100" s="425"/>
      <c r="P100" s="136"/>
      <c r="Q100" s="53"/>
      <c r="R100" s="361"/>
      <c r="S100" s="183"/>
      <c r="T100" s="185"/>
    </row>
    <row r="101" ht="17.25" customHeight="1" spans="1:20">
      <c r="A101" s="431" t="s">
        <v>4130</v>
      </c>
      <c r="B101" s="196" t="s">
        <v>1875</v>
      </c>
      <c r="C101" s="42"/>
      <c r="D101" s="46"/>
      <c r="E101" s="54"/>
      <c r="F101" s="58" t="s">
        <v>4095</v>
      </c>
      <c r="G101" s="155" t="s">
        <v>4152</v>
      </c>
      <c r="H101" s="56"/>
      <c r="I101" s="124"/>
      <c r="J101" s="68"/>
      <c r="K101" s="130"/>
      <c r="L101" s="53">
        <v>7.1745</v>
      </c>
      <c r="M101" s="68"/>
      <c r="N101" s="157"/>
      <c r="O101" s="69"/>
      <c r="P101" s="90"/>
      <c r="Q101" s="360"/>
      <c r="R101" s="361"/>
      <c r="S101" s="183"/>
      <c r="T101" s="185"/>
    </row>
    <row r="102" ht="16.5" spans="1:20">
      <c r="A102" s="431" t="s">
        <v>4130</v>
      </c>
      <c r="B102" s="196" t="s">
        <v>1875</v>
      </c>
      <c r="C102" s="42"/>
      <c r="D102" s="46"/>
      <c r="E102" s="54"/>
      <c r="F102" s="54" t="s">
        <v>4113</v>
      </c>
      <c r="G102" s="454" t="s">
        <v>658</v>
      </c>
      <c r="H102" s="55"/>
      <c r="I102" s="71"/>
      <c r="J102" s="68"/>
      <c r="K102" s="130"/>
      <c r="L102" s="53">
        <v>7.1745</v>
      </c>
      <c r="M102" s="68"/>
      <c r="N102" s="455">
        <v>45708</v>
      </c>
      <c r="O102" s="168">
        <v>45711</v>
      </c>
      <c r="P102" s="90"/>
      <c r="Q102" s="53"/>
      <c r="R102" s="35"/>
      <c r="S102" s="183"/>
      <c r="T102" s="184"/>
    </row>
    <row r="103" ht="17.25" customHeight="1" spans="1:20">
      <c r="A103" s="431" t="s">
        <v>4130</v>
      </c>
      <c r="B103" s="196" t="s">
        <v>1875</v>
      </c>
      <c r="C103" s="42"/>
      <c r="D103" s="46"/>
      <c r="E103" s="54"/>
      <c r="F103" s="54" t="s">
        <v>4081</v>
      </c>
      <c r="G103" s="155" t="s">
        <v>4153</v>
      </c>
      <c r="H103" s="56"/>
      <c r="I103" s="124"/>
      <c r="J103" s="157"/>
      <c r="K103" s="130"/>
      <c r="L103" s="53">
        <v>7.1745</v>
      </c>
      <c r="M103" s="168"/>
      <c r="N103" s="168"/>
      <c r="O103" s="69"/>
      <c r="P103" s="456"/>
      <c r="Q103" s="59"/>
      <c r="R103" s="35"/>
      <c r="S103" s="363"/>
      <c r="T103" s="362"/>
    </row>
    <row r="104" ht="16.5" spans="1:27">
      <c r="A104" s="431" t="s">
        <v>4130</v>
      </c>
      <c r="B104" s="196" t="s">
        <v>1875</v>
      </c>
      <c r="C104" s="42"/>
      <c r="D104" s="46"/>
      <c r="E104" s="54"/>
      <c r="F104" s="54" t="s">
        <v>4081</v>
      </c>
      <c r="G104" s="155"/>
      <c r="H104" s="55"/>
      <c r="I104" s="124"/>
      <c r="J104" s="68"/>
      <c r="K104" s="130"/>
      <c r="L104" s="53">
        <v>7.1745</v>
      </c>
      <c r="M104" s="457"/>
      <c r="N104" s="87"/>
      <c r="O104" s="69"/>
      <c r="P104" s="171"/>
      <c r="Q104" s="53"/>
      <c r="R104" s="35"/>
      <c r="S104" s="183"/>
      <c r="T104" s="185"/>
      <c r="V104" s="417"/>
      <c r="W104" s="417"/>
      <c r="X104" s="417"/>
      <c r="Y104" s="417"/>
      <c r="Z104" s="417"/>
      <c r="AA104" s="417"/>
    </row>
    <row r="105" customFormat="1" ht="16.5" spans="1:27">
      <c r="A105" s="431" t="s">
        <v>4130</v>
      </c>
      <c r="B105" s="196" t="s">
        <v>1875</v>
      </c>
      <c r="C105" s="42"/>
      <c r="D105" s="46"/>
      <c r="E105" s="54"/>
      <c r="F105" s="54" t="s">
        <v>4081</v>
      </c>
      <c r="G105" s="155"/>
      <c r="H105" s="55"/>
      <c r="I105" s="124"/>
      <c r="J105" s="68"/>
      <c r="K105" s="130"/>
      <c r="L105" s="53">
        <v>7.1745</v>
      </c>
      <c r="M105" s="457"/>
      <c r="N105" s="87"/>
      <c r="O105" s="69"/>
      <c r="P105" s="90"/>
      <c r="Q105" s="53"/>
      <c r="R105" s="35"/>
      <c r="S105" s="183"/>
      <c r="T105" s="185"/>
      <c r="U105"/>
      <c r="V105" s="417"/>
      <c r="W105" s="417"/>
      <c r="X105" s="417"/>
      <c r="Y105" s="417"/>
      <c r="Z105" s="417"/>
      <c r="AA105" s="417"/>
    </row>
    <row r="106" customFormat="1" ht="16.5" spans="1:27">
      <c r="A106" s="431" t="s">
        <v>4130</v>
      </c>
      <c r="B106" s="196" t="s">
        <v>1875</v>
      </c>
      <c r="C106" s="42"/>
      <c r="D106" s="46"/>
      <c r="E106" s="54"/>
      <c r="F106" s="54" t="s">
        <v>4081</v>
      </c>
      <c r="G106" s="155"/>
      <c r="H106" s="55"/>
      <c r="I106" s="124"/>
      <c r="J106" s="157"/>
      <c r="K106" s="130"/>
      <c r="L106" s="53">
        <v>7.1745</v>
      </c>
      <c r="M106" s="168"/>
      <c r="N106" s="168"/>
      <c r="O106" s="69"/>
      <c r="P106" s="90"/>
      <c r="Q106" s="53"/>
      <c r="R106" s="35"/>
      <c r="S106" s="183"/>
      <c r="T106" s="185"/>
      <c r="U106"/>
      <c r="V106" s="417"/>
      <c r="W106" s="417"/>
      <c r="X106" s="417"/>
      <c r="Y106" s="417"/>
      <c r="Z106" s="417"/>
      <c r="AA106" s="417"/>
    </row>
    <row r="107" customFormat="1" ht="16.5" spans="1:27">
      <c r="A107" s="431" t="s">
        <v>4130</v>
      </c>
      <c r="B107" s="196" t="s">
        <v>1875</v>
      </c>
      <c r="C107" s="42"/>
      <c r="D107" s="46"/>
      <c r="E107" s="54"/>
      <c r="F107" s="54" t="s">
        <v>4081</v>
      </c>
      <c r="G107" s="155"/>
      <c r="H107" s="157"/>
      <c r="I107" s="124"/>
      <c r="J107" s="157"/>
      <c r="K107" s="130"/>
      <c r="L107" s="53">
        <v>7.1745</v>
      </c>
      <c r="M107" s="168"/>
      <c r="N107" s="168"/>
      <c r="O107" s="69"/>
      <c r="P107" s="90"/>
      <c r="Q107" s="53"/>
      <c r="R107" s="35"/>
      <c r="S107" s="183"/>
      <c r="T107" s="185"/>
      <c r="U107"/>
      <c r="V107" s="417"/>
      <c r="W107" s="417"/>
      <c r="X107" s="417"/>
      <c r="Y107" s="417"/>
      <c r="Z107" s="417"/>
      <c r="AA107" s="417"/>
    </row>
    <row r="108" customFormat="1" ht="16.5" spans="1:27">
      <c r="A108" s="431" t="s">
        <v>4130</v>
      </c>
      <c r="B108" s="196" t="s">
        <v>1875</v>
      </c>
      <c r="C108" s="42"/>
      <c r="D108" s="46"/>
      <c r="E108" s="54"/>
      <c r="F108" s="54" t="s">
        <v>4081</v>
      </c>
      <c r="G108" s="155"/>
      <c r="H108" s="157"/>
      <c r="I108" s="124"/>
      <c r="J108" s="157"/>
      <c r="K108" s="130"/>
      <c r="L108" s="53">
        <v>7.1745</v>
      </c>
      <c r="M108" s="168"/>
      <c r="N108" s="168"/>
      <c r="O108" s="69"/>
      <c r="P108" s="90"/>
      <c r="Q108" s="53"/>
      <c r="R108" s="35"/>
      <c r="S108" s="183"/>
      <c r="T108" s="185"/>
      <c r="U108"/>
      <c r="V108" s="417"/>
      <c r="W108" s="417"/>
      <c r="X108" s="417"/>
      <c r="Y108" s="417"/>
      <c r="Z108" s="417"/>
      <c r="AA108" s="417"/>
    </row>
    <row r="109" customFormat="1" ht="16.5" spans="1:27">
      <c r="A109" s="431" t="s">
        <v>4130</v>
      </c>
      <c r="B109" s="196" t="s">
        <v>1875</v>
      </c>
      <c r="C109" s="42"/>
      <c r="D109" s="46"/>
      <c r="E109" s="54"/>
      <c r="F109" s="54" t="s">
        <v>4081</v>
      </c>
      <c r="G109" s="155"/>
      <c r="H109" s="56"/>
      <c r="I109" s="124"/>
      <c r="J109" s="157"/>
      <c r="K109" s="130"/>
      <c r="L109" s="53">
        <v>7.1745</v>
      </c>
      <c r="M109" s="168"/>
      <c r="N109" s="168"/>
      <c r="O109" s="69"/>
      <c r="P109" s="171"/>
      <c r="Q109" s="53"/>
      <c r="R109" s="35"/>
      <c r="S109" s="183"/>
      <c r="T109" s="185"/>
      <c r="U109"/>
      <c r="V109" s="417"/>
      <c r="W109" s="417"/>
      <c r="X109" s="417"/>
      <c r="Y109" s="417"/>
      <c r="Z109" s="417"/>
      <c r="AA109" s="417"/>
    </row>
    <row r="110" customFormat="1" ht="16.5" spans="1:27">
      <c r="A110" s="431" t="s">
        <v>4130</v>
      </c>
      <c r="B110" s="196" t="s">
        <v>1875</v>
      </c>
      <c r="C110" s="42"/>
      <c r="D110" s="46"/>
      <c r="E110" s="58"/>
      <c r="F110" s="54" t="s">
        <v>4081</v>
      </c>
      <c r="G110" s="69"/>
      <c r="H110" s="69"/>
      <c r="I110" s="124"/>
      <c r="J110" s="69"/>
      <c r="K110" s="69"/>
      <c r="L110" s="53">
        <v>7.1745</v>
      </c>
      <c r="M110" s="69"/>
      <c r="N110" s="165"/>
      <c r="O110" s="69"/>
      <c r="P110" s="90"/>
      <c r="Q110" s="53"/>
      <c r="R110" s="35"/>
      <c r="S110" s="183"/>
      <c r="T110" s="185"/>
      <c r="U110"/>
      <c r="V110" s="417"/>
      <c r="W110" s="417"/>
      <c r="X110" s="417"/>
      <c r="Y110" s="417"/>
      <c r="Z110" s="417"/>
      <c r="AA110" s="417"/>
    </row>
    <row r="111" customFormat="1" ht="16.5" spans="1:27">
      <c r="A111" s="431" t="s">
        <v>4130</v>
      </c>
      <c r="B111" s="196" t="s">
        <v>1875</v>
      </c>
      <c r="C111" s="42"/>
      <c r="D111" s="46"/>
      <c r="E111" s="58"/>
      <c r="F111" s="54" t="s">
        <v>4090</v>
      </c>
      <c r="G111" s="69"/>
      <c r="H111" s="69"/>
      <c r="I111" s="124"/>
      <c r="J111" s="69"/>
      <c r="K111" s="69"/>
      <c r="L111" s="53">
        <v>7.1745</v>
      </c>
      <c r="M111" s="69"/>
      <c r="N111" s="165"/>
      <c r="O111" s="69"/>
      <c r="P111" s="90"/>
      <c r="Q111" s="53"/>
      <c r="R111" s="35"/>
      <c r="S111" s="183"/>
      <c r="T111" s="185"/>
      <c r="U111"/>
      <c r="V111" s="417"/>
      <c r="W111" s="417"/>
      <c r="X111" s="417"/>
      <c r="Y111" s="417"/>
      <c r="Z111" s="417"/>
      <c r="AA111" s="417"/>
    </row>
    <row r="112" customFormat="1" ht="16.5" spans="1:27">
      <c r="A112" s="431" t="s">
        <v>4130</v>
      </c>
      <c r="B112" s="196" t="s">
        <v>1875</v>
      </c>
      <c r="C112" s="42"/>
      <c r="D112" s="46"/>
      <c r="E112" s="58"/>
      <c r="F112" s="54" t="s">
        <v>4090</v>
      </c>
      <c r="G112" s="55" t="s">
        <v>4341</v>
      </c>
      <c r="H112" s="56"/>
      <c r="I112" s="124"/>
      <c r="J112" s="69"/>
      <c r="K112" s="69"/>
      <c r="L112" s="53">
        <v>7.1745</v>
      </c>
      <c r="M112" s="69"/>
      <c r="N112" s="165"/>
      <c r="O112" s="69"/>
      <c r="P112" s="90"/>
      <c r="Q112" s="53"/>
      <c r="R112" s="35"/>
      <c r="S112" s="183"/>
      <c r="T112" s="185"/>
      <c r="U112"/>
      <c r="V112" s="417"/>
      <c r="W112" s="417"/>
      <c r="X112" s="417"/>
      <c r="Y112" s="417"/>
      <c r="Z112" s="417"/>
      <c r="AA112" s="417"/>
    </row>
    <row r="113" customFormat="1" ht="16.5" spans="1:27">
      <c r="A113" s="431" t="s">
        <v>4130</v>
      </c>
      <c r="B113" s="196" t="s">
        <v>1875</v>
      </c>
      <c r="C113" s="42"/>
      <c r="D113" s="46"/>
      <c r="E113" s="53"/>
      <c r="F113" s="54" t="s">
        <v>4090</v>
      </c>
      <c r="G113" s="55"/>
      <c r="H113" s="56"/>
      <c r="I113" s="125"/>
      <c r="J113" s="72"/>
      <c r="K113" s="72"/>
      <c r="L113" s="53">
        <v>7.1745</v>
      </c>
      <c r="M113" s="88"/>
      <c r="N113" s="88"/>
      <c r="O113" s="88"/>
      <c r="P113" s="89"/>
      <c r="Q113" s="182"/>
      <c r="R113" s="35"/>
      <c r="S113" s="99"/>
      <c r="T113" s="100"/>
      <c r="U113"/>
      <c r="V113" s="417"/>
      <c r="W113" s="417"/>
      <c r="X113" s="417"/>
      <c r="Y113" s="417"/>
      <c r="Z113" s="417"/>
      <c r="AA113" s="417"/>
    </row>
    <row r="114" s="417" customFormat="1" ht="41.25" customHeight="1" spans="1:23">
      <c r="A114" s="431" t="s">
        <v>4130</v>
      </c>
      <c r="B114" s="196" t="s">
        <v>1875</v>
      </c>
      <c r="C114" s="42"/>
      <c r="D114" s="46"/>
      <c r="E114" s="53"/>
      <c r="F114" s="54" t="s">
        <v>4090</v>
      </c>
      <c r="G114" s="55" t="s">
        <v>4342</v>
      </c>
      <c r="H114" s="56"/>
      <c r="I114" s="125"/>
      <c r="J114" s="72"/>
      <c r="K114" s="72"/>
      <c r="L114" s="53"/>
      <c r="M114" s="88"/>
      <c r="N114" s="88"/>
      <c r="O114" s="88"/>
      <c r="P114" s="89"/>
      <c r="Q114" s="182"/>
      <c r="R114" s="35"/>
      <c r="S114" s="99"/>
      <c r="T114" s="100"/>
      <c r="U114"/>
      <c r="V114" s="34"/>
      <c r="W114" s="458"/>
    </row>
    <row r="115" s="417" customFormat="1" ht="16.5" spans="1:21">
      <c r="A115" s="431" t="s">
        <v>4130</v>
      </c>
      <c r="B115" s="196" t="s">
        <v>1875</v>
      </c>
      <c r="C115" s="42"/>
      <c r="D115" s="46"/>
      <c r="E115" s="53"/>
      <c r="F115" s="54" t="s">
        <v>4090</v>
      </c>
      <c r="G115" s="55" t="s">
        <v>4343</v>
      </c>
      <c r="H115" s="56"/>
      <c r="I115" s="125"/>
      <c r="J115" s="72"/>
      <c r="K115" s="72"/>
      <c r="L115" s="53"/>
      <c r="M115" s="88"/>
      <c r="N115" s="88"/>
      <c r="O115" s="88"/>
      <c r="P115" s="89"/>
      <c r="Q115" s="182"/>
      <c r="R115" s="35"/>
      <c r="S115" s="99"/>
      <c r="T115" s="100"/>
      <c r="U115"/>
    </row>
    <row r="116" s="417" customFormat="1" ht="16.5" spans="1:21">
      <c r="A116" s="431" t="s">
        <v>4130</v>
      </c>
      <c r="B116" s="196" t="s">
        <v>1875</v>
      </c>
      <c r="C116" s="44"/>
      <c r="D116" s="46"/>
      <c r="E116" s="53"/>
      <c r="F116" s="54" t="s">
        <v>4095</v>
      </c>
      <c r="G116" s="56"/>
      <c r="H116" s="56"/>
      <c r="I116" s="125"/>
      <c r="J116" s="72"/>
      <c r="K116" s="72"/>
      <c r="L116" s="53">
        <v>7.1745</v>
      </c>
      <c r="M116" s="88"/>
      <c r="N116" s="88"/>
      <c r="O116" s="88"/>
      <c r="P116" s="89"/>
      <c r="Q116" s="98"/>
      <c r="R116" s="35"/>
      <c r="S116" s="99"/>
      <c r="T116" s="100"/>
      <c r="U116"/>
    </row>
    <row r="117" s="417" customFormat="1" ht="16.5" spans="1:21">
      <c r="A117" s="431" t="s">
        <v>4130</v>
      </c>
      <c r="B117" s="196" t="s">
        <v>1875</v>
      </c>
      <c r="C117" s="42"/>
      <c r="D117" s="46"/>
      <c r="E117" s="53"/>
      <c r="F117" s="54" t="s">
        <v>4139</v>
      </c>
      <c r="G117" s="56"/>
      <c r="H117" s="56"/>
      <c r="I117" s="125"/>
      <c r="J117" s="72"/>
      <c r="K117" s="72"/>
      <c r="L117" s="53"/>
      <c r="M117" s="88"/>
      <c r="N117" s="88"/>
      <c r="O117" s="177"/>
      <c r="P117" s="89"/>
      <c r="Q117" s="98"/>
      <c r="R117" s="35"/>
      <c r="S117" s="99"/>
      <c r="T117" s="100"/>
      <c r="U117"/>
    </row>
    <row r="118" s="417" customFormat="1" ht="16.5" spans="1:21">
      <c r="A118" s="431" t="s">
        <v>4130</v>
      </c>
      <c r="B118" s="196" t="s">
        <v>1875</v>
      </c>
      <c r="C118" s="42"/>
      <c r="D118" s="46"/>
      <c r="E118" s="53"/>
      <c r="F118" s="54" t="s">
        <v>4095</v>
      </c>
      <c r="G118" s="56"/>
      <c r="H118" s="56"/>
      <c r="I118" s="125"/>
      <c r="J118" s="72"/>
      <c r="K118" s="72"/>
      <c r="L118" s="53"/>
      <c r="M118" s="88"/>
      <c r="N118" s="88"/>
      <c r="O118" s="177"/>
      <c r="P118" s="89"/>
      <c r="Q118" s="98"/>
      <c r="R118" s="35"/>
      <c r="S118" s="99"/>
      <c r="T118" s="100"/>
      <c r="U118"/>
    </row>
    <row r="119" s="417" customFormat="1" ht="16.5" spans="1:21">
      <c r="A119" s="431" t="s">
        <v>4130</v>
      </c>
      <c r="B119" s="196" t="s">
        <v>1875</v>
      </c>
      <c r="C119" s="42"/>
      <c r="D119" s="46"/>
      <c r="E119" s="53"/>
      <c r="F119" s="54" t="s">
        <v>4207</v>
      </c>
      <c r="G119" s="56"/>
      <c r="H119" s="56"/>
      <c r="I119" s="125"/>
      <c r="J119" s="72"/>
      <c r="K119" s="72"/>
      <c r="L119" s="53"/>
      <c r="M119" s="88"/>
      <c r="N119" s="88"/>
      <c r="O119" s="177"/>
      <c r="P119" s="89"/>
      <c r="Q119" s="98"/>
      <c r="R119" s="35"/>
      <c r="S119" s="99"/>
      <c r="T119" s="100"/>
      <c r="U119"/>
    </row>
    <row r="120" s="417" customFormat="1" ht="19.5" customHeight="1" spans="1:23">
      <c r="A120" s="431" t="s">
        <v>4130</v>
      </c>
      <c r="B120" s="196" t="s">
        <v>1875</v>
      </c>
      <c r="C120" s="42"/>
      <c r="D120" s="46"/>
      <c r="E120" s="53"/>
      <c r="F120" s="54" t="s">
        <v>4095</v>
      </c>
      <c r="G120" s="56"/>
      <c r="H120" s="56"/>
      <c r="I120" s="125"/>
      <c r="J120" s="72"/>
      <c r="K120" s="72"/>
      <c r="L120" s="53"/>
      <c r="M120" s="88"/>
      <c r="N120" s="88"/>
      <c r="O120" s="177"/>
      <c r="P120" s="89"/>
      <c r="Q120" s="98"/>
      <c r="R120" s="35"/>
      <c r="S120" s="99"/>
      <c r="T120" s="100"/>
      <c r="U120"/>
      <c r="V120" s="296"/>
      <c r="W120" s="459"/>
    </row>
    <row r="121" s="417" customFormat="1" ht="16.5" spans="1:21">
      <c r="A121" s="431" t="s">
        <v>4130</v>
      </c>
      <c r="B121" s="196" t="s">
        <v>1875</v>
      </c>
      <c r="C121" s="42"/>
      <c r="D121" s="46"/>
      <c r="E121" s="53"/>
      <c r="F121" s="54" t="s">
        <v>4095</v>
      </c>
      <c r="G121" s="56"/>
      <c r="H121" s="56"/>
      <c r="I121" s="125"/>
      <c r="J121" s="72"/>
      <c r="K121" s="72"/>
      <c r="L121" s="53"/>
      <c r="M121" s="88"/>
      <c r="N121" s="88"/>
      <c r="O121" s="177"/>
      <c r="P121" s="89"/>
      <c r="Q121" s="98"/>
      <c r="R121" s="35"/>
      <c r="S121" s="99"/>
      <c r="T121" s="100"/>
      <c r="U121"/>
    </row>
    <row r="122" s="417" customFormat="1" ht="16.5" spans="1:21">
      <c r="A122" s="431" t="s">
        <v>4130</v>
      </c>
      <c r="B122" s="196" t="s">
        <v>1875</v>
      </c>
      <c r="C122" s="42"/>
      <c r="D122" s="46"/>
      <c r="E122" s="58"/>
      <c r="F122" s="54" t="s">
        <v>4090</v>
      </c>
      <c r="G122" s="53"/>
      <c r="H122" s="56"/>
      <c r="I122" s="124"/>
      <c r="J122" s="68"/>
      <c r="K122" s="68"/>
      <c r="L122" s="53"/>
      <c r="M122" s="68"/>
      <c r="N122" s="157"/>
      <c r="O122" s="449"/>
      <c r="P122" s="86"/>
      <c r="Q122" s="182"/>
      <c r="R122" s="35"/>
      <c r="S122" s="99"/>
      <c r="T122" s="100"/>
      <c r="U122"/>
    </row>
    <row r="123" s="417" customFormat="1" ht="16.5" spans="1:21">
      <c r="A123" s="431" t="s">
        <v>4130</v>
      </c>
      <c r="B123" s="196" t="s">
        <v>1875</v>
      </c>
      <c r="C123" s="42"/>
      <c r="D123" s="46"/>
      <c r="E123" s="58"/>
      <c r="F123" s="54" t="s">
        <v>4139</v>
      </c>
      <c r="G123" s="53"/>
      <c r="H123" s="56"/>
      <c r="I123" s="124"/>
      <c r="J123" s="68"/>
      <c r="K123" s="68"/>
      <c r="L123" s="53"/>
      <c r="M123" s="68"/>
      <c r="N123" s="157"/>
      <c r="O123" s="449"/>
      <c r="P123" s="86"/>
      <c r="Q123" s="182"/>
      <c r="R123" s="35"/>
      <c r="S123" s="99"/>
      <c r="T123" s="100"/>
      <c r="U123"/>
    </row>
    <row r="124" s="417" customFormat="1" ht="16.5" spans="1:21">
      <c r="A124" s="431" t="s">
        <v>4130</v>
      </c>
      <c r="B124" s="196" t="s">
        <v>1875</v>
      </c>
      <c r="C124" s="42"/>
      <c r="D124" s="46"/>
      <c r="E124" s="58"/>
      <c r="F124" s="54" t="s">
        <v>4139</v>
      </c>
      <c r="G124" s="53"/>
      <c r="H124" s="56"/>
      <c r="I124" s="124"/>
      <c r="J124" s="68"/>
      <c r="K124" s="68"/>
      <c r="L124" s="53"/>
      <c r="M124" s="68"/>
      <c r="N124" s="157"/>
      <c r="O124" s="449"/>
      <c r="P124" s="86"/>
      <c r="Q124" s="182"/>
      <c r="R124" s="35"/>
      <c r="S124" s="99"/>
      <c r="T124" s="100"/>
      <c r="U124"/>
    </row>
    <row r="125" s="417" customFormat="1" ht="16.5" spans="1:21">
      <c r="A125" s="431" t="s">
        <v>4130</v>
      </c>
      <c r="B125" s="196" t="s">
        <v>1875</v>
      </c>
      <c r="C125" s="112" t="s">
        <v>4092</v>
      </c>
      <c r="D125" s="46"/>
      <c r="E125" s="58"/>
      <c r="F125" s="58" t="s">
        <v>4081</v>
      </c>
      <c r="G125" s="53"/>
      <c r="H125" s="56"/>
      <c r="I125" s="124"/>
      <c r="J125" s="68"/>
      <c r="K125" s="68"/>
      <c r="L125" s="53">
        <v>7.1745</v>
      </c>
      <c r="M125" s="68"/>
      <c r="N125" s="157"/>
      <c r="O125" s="449"/>
      <c r="P125" s="86"/>
      <c r="Q125" s="182"/>
      <c r="R125" s="35"/>
      <c r="S125" s="99"/>
      <c r="T125" s="100"/>
      <c r="U125"/>
    </row>
    <row r="126" s="417" customFormat="1" ht="16.5" spans="1:21">
      <c r="A126" s="431" t="s">
        <v>4130</v>
      </c>
      <c r="B126" s="196" t="s">
        <v>1875</v>
      </c>
      <c r="C126" s="42"/>
      <c r="D126" s="46"/>
      <c r="E126" s="53"/>
      <c r="F126" s="54" t="s">
        <v>4081</v>
      </c>
      <c r="G126" s="53" t="s">
        <v>4344</v>
      </c>
      <c r="H126" s="56"/>
      <c r="I126" s="124"/>
      <c r="J126" s="72"/>
      <c r="K126" s="72"/>
      <c r="L126" s="53">
        <v>7.1745</v>
      </c>
      <c r="M126" s="88"/>
      <c r="N126" s="88"/>
      <c r="O126" s="88"/>
      <c r="P126" s="89"/>
      <c r="Q126" s="182"/>
      <c r="R126" s="35"/>
      <c r="S126" s="99"/>
      <c r="T126" s="100"/>
      <c r="U126"/>
    </row>
    <row r="127" customFormat="1" ht="16.5" spans="1:27">
      <c r="A127" s="431" t="s">
        <v>4130</v>
      </c>
      <c r="B127" s="196" t="s">
        <v>1875</v>
      </c>
      <c r="C127" s="42"/>
      <c r="D127" s="103"/>
      <c r="E127" s="48"/>
      <c r="F127" s="58" t="s">
        <v>4207</v>
      </c>
      <c r="G127" s="48"/>
      <c r="H127" s="48"/>
      <c r="I127" s="124"/>
      <c r="J127" s="73"/>
      <c r="K127" s="72"/>
      <c r="L127" s="53">
        <v>7.1745</v>
      </c>
      <c r="M127" s="141"/>
      <c r="N127" s="178"/>
      <c r="O127" s="178"/>
      <c r="P127" s="82"/>
      <c r="Q127" s="98"/>
      <c r="R127" s="41"/>
      <c r="S127" s="40"/>
      <c r="T127" s="72"/>
      <c r="U127"/>
      <c r="V127" s="417"/>
      <c r="W127" s="417"/>
      <c r="X127" s="417"/>
      <c r="Y127" s="417"/>
      <c r="Z127" s="417"/>
      <c r="AA127" s="417"/>
    </row>
    <row r="128" ht="16.5" spans="1:27">
      <c r="A128" s="431" t="s">
        <v>4130</v>
      </c>
      <c r="B128" s="196" t="s">
        <v>1875</v>
      </c>
      <c r="C128" s="42"/>
      <c r="D128" s="103"/>
      <c r="E128" s="48"/>
      <c r="F128" s="58" t="s">
        <v>4207</v>
      </c>
      <c r="G128" s="48" t="s">
        <v>1489</v>
      </c>
      <c r="H128" s="56"/>
      <c r="I128" s="124"/>
      <c r="J128" s="73"/>
      <c r="K128" s="72"/>
      <c r="L128" s="53">
        <v>7.1745</v>
      </c>
      <c r="M128" s="141"/>
      <c r="N128" s="178"/>
      <c r="O128" s="178"/>
      <c r="P128" s="82"/>
      <c r="Q128" s="98"/>
      <c r="R128" s="41"/>
      <c r="S128" s="40"/>
      <c r="T128" s="72"/>
      <c r="V128" s="417"/>
      <c r="W128" s="417"/>
      <c r="X128" s="417"/>
      <c r="Y128" s="417"/>
      <c r="Z128" s="417"/>
      <c r="AA128" s="417"/>
    </row>
    <row r="129" ht="16.5" spans="1:27">
      <c r="A129" s="431" t="s">
        <v>4130</v>
      </c>
      <c r="B129" s="196" t="s">
        <v>1875</v>
      </c>
      <c r="C129" s="42"/>
      <c r="D129" s="103"/>
      <c r="E129" s="48"/>
      <c r="F129" s="58" t="s">
        <v>4192</v>
      </c>
      <c r="G129" s="48"/>
      <c r="H129" s="56"/>
      <c r="I129" s="124"/>
      <c r="J129" s="73"/>
      <c r="K129" s="72"/>
      <c r="L129" s="53">
        <v>7.1745</v>
      </c>
      <c r="M129" s="141"/>
      <c r="N129" s="178"/>
      <c r="O129" s="178"/>
      <c r="P129" s="82"/>
      <c r="Q129" s="98"/>
      <c r="R129" s="41"/>
      <c r="S129" s="40"/>
      <c r="T129" s="72"/>
      <c r="V129" s="417"/>
      <c r="W129" s="417"/>
      <c r="X129" s="417"/>
      <c r="Y129" s="417"/>
      <c r="Z129" s="417"/>
      <c r="AA129" s="417"/>
    </row>
    <row r="130" ht="16.5" spans="1:19">
      <c r="A130" s="431" t="s">
        <v>4130</v>
      </c>
      <c r="B130" s="196" t="s">
        <v>1875</v>
      </c>
      <c r="C130" s="42"/>
      <c r="D130" s="103"/>
      <c r="E130" s="48"/>
      <c r="F130" s="58" t="s">
        <v>4207</v>
      </c>
      <c r="G130" s="48"/>
      <c r="H130" s="48"/>
      <c r="I130" s="460"/>
      <c r="J130" s="73"/>
      <c r="K130" s="72"/>
      <c r="L130" s="53">
        <v>7.1745</v>
      </c>
      <c r="M130" s="141"/>
      <c r="N130" s="178"/>
      <c r="O130" s="178"/>
      <c r="P130" s="82"/>
      <c r="Q130" s="98"/>
      <c r="R130" s="41"/>
      <c r="S130" s="40"/>
    </row>
    <row r="131" ht="16.5" spans="1:19">
      <c r="A131" s="431" t="s">
        <v>4130</v>
      </c>
      <c r="B131" s="196" t="s">
        <v>1875</v>
      </c>
      <c r="C131" s="42"/>
      <c r="D131" s="103"/>
      <c r="E131" s="48"/>
      <c r="F131" s="58" t="s">
        <v>4207</v>
      </c>
      <c r="G131" s="48"/>
      <c r="H131" s="48"/>
      <c r="I131" s="460"/>
      <c r="J131" s="73"/>
      <c r="K131" s="72"/>
      <c r="L131" s="53">
        <v>7.1745</v>
      </c>
      <c r="M131" s="141"/>
      <c r="N131" s="178"/>
      <c r="O131" s="178"/>
      <c r="P131" s="82"/>
      <c r="Q131" s="98"/>
      <c r="R131" s="41"/>
      <c r="S131" s="40"/>
    </row>
    <row r="132" customFormat="1" ht="16.5" spans="1:20">
      <c r="A132" s="431" t="s">
        <v>4130</v>
      </c>
      <c r="B132" s="196" t="s">
        <v>1875</v>
      </c>
      <c r="C132" s="42"/>
      <c r="D132" s="103"/>
      <c r="E132" s="48"/>
      <c r="F132" s="58" t="s">
        <v>4207</v>
      </c>
      <c r="G132" s="48"/>
      <c r="H132" s="48"/>
      <c r="I132" s="460"/>
      <c r="J132" s="73"/>
      <c r="K132" s="72"/>
      <c r="L132" s="53">
        <v>7.1745</v>
      </c>
      <c r="M132" s="141"/>
      <c r="N132" s="178"/>
      <c r="O132" s="178"/>
      <c r="P132" s="82"/>
      <c r="Q132" s="98"/>
      <c r="R132" s="41"/>
      <c r="S132" s="40"/>
      <c r="T132" s="24"/>
    </row>
    <row r="133" customFormat="1" ht="16.5" spans="1:20">
      <c r="A133" s="431" t="s">
        <v>4130</v>
      </c>
      <c r="B133" s="196" t="s">
        <v>1875</v>
      </c>
      <c r="C133" s="42"/>
      <c r="D133" s="103"/>
      <c r="E133" s="48"/>
      <c r="F133" s="58" t="s">
        <v>4192</v>
      </c>
      <c r="G133" s="48"/>
      <c r="H133" s="48"/>
      <c r="I133" s="460"/>
      <c r="J133" s="73"/>
      <c r="K133" s="72"/>
      <c r="L133" s="53">
        <v>7.1745</v>
      </c>
      <c r="M133" s="141"/>
      <c r="N133" s="178"/>
      <c r="O133" s="178"/>
      <c r="P133" s="82"/>
      <c r="Q133" s="98"/>
      <c r="R133" s="41"/>
      <c r="S133" s="40"/>
      <c r="T133" s="24"/>
    </row>
    <row r="134" ht="16.5" spans="1:19">
      <c r="A134" s="431" t="s">
        <v>4130</v>
      </c>
      <c r="B134" s="196" t="s">
        <v>1875</v>
      </c>
      <c r="C134" s="44"/>
      <c r="D134" s="103"/>
      <c r="E134" s="48"/>
      <c r="F134" s="58" t="s">
        <v>4192</v>
      </c>
      <c r="G134" s="48"/>
      <c r="H134" s="48"/>
      <c r="I134" s="460"/>
      <c r="J134" s="73"/>
      <c r="K134" s="72"/>
      <c r="L134" s="53">
        <v>7.1745</v>
      </c>
      <c r="M134" s="141"/>
      <c r="N134" s="178"/>
      <c r="O134" s="178"/>
      <c r="P134" s="179"/>
      <c r="Q134" s="98"/>
      <c r="R134" s="41"/>
      <c r="S134" s="40"/>
    </row>
    <row r="135" ht="16.5" spans="1:21">
      <c r="A135" s="32" t="s">
        <v>1913</v>
      </c>
      <c r="B135" s="57" t="s">
        <v>1824</v>
      </c>
      <c r="C135" s="112" t="s">
        <v>1248</v>
      </c>
      <c r="D135" s="43">
        <v>82</v>
      </c>
      <c r="E135" s="194"/>
      <c r="F135" s="120" t="s">
        <v>4139</v>
      </c>
      <c r="G135" s="53" t="s">
        <v>4345</v>
      </c>
      <c r="H135" s="200"/>
      <c r="I135" s="71"/>
      <c r="J135" s="72"/>
      <c r="K135" s="226"/>
      <c r="L135" s="53">
        <v>7.1745</v>
      </c>
      <c r="M135" s="87" t="s">
        <v>1218</v>
      </c>
      <c r="N135" s="81">
        <v>45738</v>
      </c>
      <c r="O135" s="81">
        <v>45742</v>
      </c>
      <c r="P135" s="207"/>
      <c r="Q135" s="59"/>
      <c r="R135" s="39"/>
      <c r="S135" s="363"/>
      <c r="T135" s="364"/>
      <c r="U135" s="417"/>
    </row>
    <row r="136" ht="16.5" spans="1:21">
      <c r="A136" s="32" t="s">
        <v>1913</v>
      </c>
      <c r="B136" s="57" t="s">
        <v>1824</v>
      </c>
      <c r="C136" s="112" t="s">
        <v>1248</v>
      </c>
      <c r="D136" s="38"/>
      <c r="E136" s="196"/>
      <c r="F136" s="197"/>
      <c r="G136" s="53" t="s">
        <v>4346</v>
      </c>
      <c r="H136" s="200"/>
      <c r="I136" s="71"/>
      <c r="J136" s="72"/>
      <c r="K136" s="226"/>
      <c r="L136" s="53">
        <v>7.1745</v>
      </c>
      <c r="M136" s="87" t="s">
        <v>1218</v>
      </c>
      <c r="N136" s="81">
        <v>45738</v>
      </c>
      <c r="O136" s="81">
        <v>45742</v>
      </c>
      <c r="P136" s="207"/>
      <c r="Q136" s="59"/>
      <c r="R136" s="39"/>
      <c r="S136" s="363"/>
      <c r="T136" s="364"/>
      <c r="U136" s="417"/>
    </row>
    <row r="137" ht="16.5" spans="1:21">
      <c r="A137" s="32" t="s">
        <v>1913</v>
      </c>
      <c r="B137" s="57" t="s">
        <v>1824</v>
      </c>
      <c r="C137" s="112" t="s">
        <v>1248</v>
      </c>
      <c r="D137" s="38"/>
      <c r="E137" s="196"/>
      <c r="F137" s="197"/>
      <c r="G137" s="53" t="s">
        <v>4269</v>
      </c>
      <c r="H137" s="195"/>
      <c r="I137" s="64"/>
      <c r="J137" s="72"/>
      <c r="K137" s="72"/>
      <c r="L137" s="53">
        <v>7.1693</v>
      </c>
      <c r="M137" s="81" t="s">
        <v>1218</v>
      </c>
      <c r="N137" s="81">
        <v>45713</v>
      </c>
      <c r="O137" s="81" t="s">
        <v>3624</v>
      </c>
      <c r="P137" s="207"/>
      <c r="Q137" s="59"/>
      <c r="R137" s="39"/>
      <c r="S137" s="363"/>
      <c r="T137" s="364"/>
      <c r="U137" s="417"/>
    </row>
    <row r="138" ht="16.5" spans="1:21">
      <c r="A138" s="32" t="s">
        <v>1913</v>
      </c>
      <c r="B138" s="57" t="s">
        <v>1824</v>
      </c>
      <c r="C138" s="112" t="s">
        <v>1248</v>
      </c>
      <c r="D138" s="38"/>
      <c r="E138" s="196"/>
      <c r="F138" s="197"/>
      <c r="G138" s="53" t="s">
        <v>4270</v>
      </c>
      <c r="H138" s="195"/>
      <c r="I138" s="64"/>
      <c r="J138" s="72"/>
      <c r="K138" s="72"/>
      <c r="L138" s="53">
        <v>7.1693</v>
      </c>
      <c r="M138" s="81" t="s">
        <v>1218</v>
      </c>
      <c r="N138" s="81">
        <v>45715</v>
      </c>
      <c r="O138" s="81">
        <v>45719</v>
      </c>
      <c r="P138" s="207"/>
      <c r="Q138" s="59"/>
      <c r="R138" s="39"/>
      <c r="S138" s="363"/>
      <c r="T138" s="364"/>
      <c r="U138" s="417"/>
    </row>
    <row r="139" ht="16.5" spans="1:21">
      <c r="A139" s="32" t="s">
        <v>1913</v>
      </c>
      <c r="B139" s="57" t="s">
        <v>1824</v>
      </c>
      <c r="C139" s="112" t="s">
        <v>1248</v>
      </c>
      <c r="D139" s="38"/>
      <c r="E139" s="223"/>
      <c r="F139" s="205"/>
      <c r="G139" s="53" t="s">
        <v>4271</v>
      </c>
      <c r="H139" s="195"/>
      <c r="I139" s="64"/>
      <c r="J139" s="72"/>
      <c r="K139" s="72"/>
      <c r="L139" s="53">
        <v>7.1693</v>
      </c>
      <c r="M139" s="81" t="s">
        <v>1218</v>
      </c>
      <c r="N139" s="81">
        <v>45716</v>
      </c>
      <c r="O139" s="81">
        <v>45723</v>
      </c>
      <c r="P139" s="207"/>
      <c r="Q139" s="59"/>
      <c r="R139" s="39"/>
      <c r="S139" s="363"/>
      <c r="T139" s="364"/>
      <c r="U139" s="417"/>
    </row>
    <row r="140" ht="16.5" spans="1:21">
      <c r="A140" s="32" t="s">
        <v>1913</v>
      </c>
      <c r="B140" s="57" t="s">
        <v>1824</v>
      </c>
      <c r="C140" s="112" t="s">
        <v>1248</v>
      </c>
      <c r="D140" s="38"/>
      <c r="E140" s="194"/>
      <c r="F140" s="120" t="s">
        <v>4095</v>
      </c>
      <c r="G140" s="53" t="s">
        <v>4347</v>
      </c>
      <c r="H140" s="195"/>
      <c r="I140" s="71"/>
      <c r="J140" s="226"/>
      <c r="K140" s="226"/>
      <c r="L140" s="53">
        <v>7.1745</v>
      </c>
      <c r="M140" s="87" t="s">
        <v>1218</v>
      </c>
      <c r="N140" s="87" t="s">
        <v>621</v>
      </c>
      <c r="O140" s="81">
        <v>45743</v>
      </c>
      <c r="P140" s="207"/>
      <c r="Q140" s="59"/>
      <c r="R140" s="39"/>
      <c r="S140" s="363"/>
      <c r="T140" s="364"/>
      <c r="U140" s="417"/>
    </row>
    <row r="141" ht="16.5" spans="1:21">
      <c r="A141" s="32" t="s">
        <v>1913</v>
      </c>
      <c r="B141" s="57" t="s">
        <v>1824</v>
      </c>
      <c r="C141" s="112" t="s">
        <v>1248</v>
      </c>
      <c r="D141" s="38"/>
      <c r="E141" s="196"/>
      <c r="F141" s="197"/>
      <c r="G141" s="53" t="s">
        <v>4348</v>
      </c>
      <c r="H141" s="195"/>
      <c r="I141" s="71"/>
      <c r="J141" s="72"/>
      <c r="K141" s="72"/>
      <c r="L141" s="53">
        <v>7.1745</v>
      </c>
      <c r="M141" s="87" t="s">
        <v>1218</v>
      </c>
      <c r="N141" s="87" t="s">
        <v>621</v>
      </c>
      <c r="O141" s="81">
        <v>45743</v>
      </c>
      <c r="P141" s="207"/>
      <c r="Q141" s="59"/>
      <c r="R141" s="39"/>
      <c r="S141" s="363"/>
      <c r="T141" s="364"/>
      <c r="U141" s="417"/>
    </row>
    <row r="142" ht="16.5" spans="1:21">
      <c r="A142" s="32" t="s">
        <v>1913</v>
      </c>
      <c r="B142" s="57" t="s">
        <v>1824</v>
      </c>
      <c r="C142" s="112" t="s">
        <v>1248</v>
      </c>
      <c r="D142" s="38"/>
      <c r="E142" s="223"/>
      <c r="F142" s="205"/>
      <c r="G142" s="53" t="s">
        <v>4349</v>
      </c>
      <c r="H142" s="195"/>
      <c r="I142" s="71"/>
      <c r="J142" s="226"/>
      <c r="K142" s="71"/>
      <c r="L142" s="53">
        <v>7.1745</v>
      </c>
      <c r="M142" s="87" t="s">
        <v>1218</v>
      </c>
      <c r="N142" s="87" t="s">
        <v>621</v>
      </c>
      <c r="O142" s="81">
        <v>45743</v>
      </c>
      <c r="P142" s="207"/>
      <c r="Q142" s="59"/>
      <c r="R142" s="39"/>
      <c r="S142" s="363"/>
      <c r="T142" s="364"/>
      <c r="U142" s="417"/>
    </row>
    <row r="143" ht="16.5" spans="1:21">
      <c r="A143" s="32" t="s">
        <v>1913</v>
      </c>
      <c r="B143" s="57" t="s">
        <v>1824</v>
      </c>
      <c r="C143" s="217" t="s">
        <v>1922</v>
      </c>
      <c r="D143" s="43">
        <v>23</v>
      </c>
      <c r="E143" s="57"/>
      <c r="F143" s="201" t="s">
        <v>4113</v>
      </c>
      <c r="G143" s="58" t="s">
        <v>4274</v>
      </c>
      <c r="H143" s="200"/>
      <c r="I143" s="71"/>
      <c r="J143" s="72"/>
      <c r="K143" s="71"/>
      <c r="L143" s="48">
        <v>7.1693</v>
      </c>
      <c r="M143" s="87" t="s">
        <v>1218</v>
      </c>
      <c r="N143" s="87">
        <v>45715</v>
      </c>
      <c r="O143" s="81">
        <v>45718</v>
      </c>
      <c r="P143" s="207"/>
      <c r="Q143" s="59"/>
      <c r="R143" s="39"/>
      <c r="S143" s="363"/>
      <c r="T143" s="364"/>
      <c r="U143" s="417"/>
    </row>
    <row r="144" ht="16.5" spans="1:21">
      <c r="A144" s="32" t="s">
        <v>1913</v>
      </c>
      <c r="B144" s="57" t="s">
        <v>1824</v>
      </c>
      <c r="C144" s="217" t="s">
        <v>1922</v>
      </c>
      <c r="D144" s="38"/>
      <c r="E144" s="57"/>
      <c r="F144" s="201" t="s">
        <v>4113</v>
      </c>
      <c r="G144" s="58" t="s">
        <v>4350</v>
      </c>
      <c r="H144" s="200"/>
      <c r="I144" s="71"/>
      <c r="J144" s="72"/>
      <c r="K144" s="71"/>
      <c r="L144" s="53">
        <v>7.1745</v>
      </c>
      <c r="M144" s="87" t="s">
        <v>1218</v>
      </c>
      <c r="N144" s="87">
        <v>45736</v>
      </c>
      <c r="O144" s="81">
        <v>45741</v>
      </c>
      <c r="P144" s="207"/>
      <c r="Q144" s="59"/>
      <c r="R144" s="39"/>
      <c r="S144" s="363"/>
      <c r="T144" s="364"/>
      <c r="U144" s="417"/>
    </row>
    <row r="145" ht="16.5" spans="1:21">
      <c r="A145" s="32" t="s">
        <v>1913</v>
      </c>
      <c r="B145" s="57" t="s">
        <v>1824</v>
      </c>
      <c r="C145" s="217" t="s">
        <v>1922</v>
      </c>
      <c r="D145" s="38"/>
      <c r="E145" s="57"/>
      <c r="F145" s="201" t="s">
        <v>4113</v>
      </c>
      <c r="G145" s="58" t="s">
        <v>4351</v>
      </c>
      <c r="H145" s="200"/>
      <c r="I145" s="71"/>
      <c r="J145" s="72"/>
      <c r="K145" s="226"/>
      <c r="L145" s="53">
        <v>7.1745</v>
      </c>
      <c r="M145" s="87" t="s">
        <v>1218</v>
      </c>
      <c r="N145" s="87">
        <v>45736</v>
      </c>
      <c r="O145" s="81">
        <v>45741</v>
      </c>
      <c r="P145" s="207"/>
      <c r="Q145" s="59"/>
      <c r="R145" s="366"/>
      <c r="S145" s="363"/>
      <c r="T145" s="364"/>
      <c r="U145" s="417"/>
    </row>
    <row r="146" ht="16.5" spans="1:21">
      <c r="A146" s="32" t="s">
        <v>1913</v>
      </c>
      <c r="B146" s="57" t="s">
        <v>1824</v>
      </c>
      <c r="C146" s="187" t="s">
        <v>209</v>
      </c>
      <c r="D146" s="188">
        <v>35</v>
      </c>
      <c r="E146" s="57"/>
      <c r="F146" s="106" t="s">
        <v>4093</v>
      </c>
      <c r="G146" s="57" t="s">
        <v>4285</v>
      </c>
      <c r="H146" s="55"/>
      <c r="I146" s="64"/>
      <c r="J146" s="72"/>
      <c r="K146" s="72"/>
      <c r="L146" s="53" t="s">
        <v>1125</v>
      </c>
      <c r="M146" s="81">
        <v>45738</v>
      </c>
      <c r="N146" s="81">
        <v>45740</v>
      </c>
      <c r="O146" s="81">
        <v>45742</v>
      </c>
      <c r="P146" s="207"/>
      <c r="Q146" s="81"/>
      <c r="R146" s="207"/>
      <c r="S146" s="369"/>
      <c r="T146" s="370"/>
      <c r="U146" s="461"/>
    </row>
    <row r="147" ht="16.5" spans="1:21">
      <c r="A147" s="32" t="s">
        <v>1913</v>
      </c>
      <c r="B147" s="57" t="s">
        <v>1824</v>
      </c>
      <c r="C147" s="187" t="s">
        <v>209</v>
      </c>
      <c r="D147" s="189"/>
      <c r="E147" s="194"/>
      <c r="F147" s="120" t="s">
        <v>4087</v>
      </c>
      <c r="G147" s="53" t="s">
        <v>4173</v>
      </c>
      <c r="H147" s="55"/>
      <c r="I147" s="71"/>
      <c r="J147" s="72"/>
      <c r="K147" s="72"/>
      <c r="L147" s="53">
        <v>7.1745</v>
      </c>
      <c r="M147" s="81" t="s">
        <v>1218</v>
      </c>
      <c r="N147" s="87">
        <v>45729</v>
      </c>
      <c r="O147" s="81">
        <v>45732</v>
      </c>
      <c r="P147" s="207"/>
      <c r="Q147" s="369"/>
      <c r="R147" s="370"/>
      <c r="S147" s="371"/>
      <c r="T147" s="372"/>
      <c r="U147" s="417"/>
    </row>
    <row r="148" ht="16.5" spans="1:21">
      <c r="A148" s="32" t="s">
        <v>1913</v>
      </c>
      <c r="B148" s="57" t="s">
        <v>1824</v>
      </c>
      <c r="C148" s="187" t="s">
        <v>209</v>
      </c>
      <c r="D148" s="189"/>
      <c r="E148" s="196"/>
      <c r="F148" s="197"/>
      <c r="G148" s="53" t="s">
        <v>4280</v>
      </c>
      <c r="H148" s="55"/>
      <c r="I148" s="71"/>
      <c r="J148" s="72"/>
      <c r="K148" s="72"/>
      <c r="L148" s="53">
        <v>7.1693</v>
      </c>
      <c r="M148" s="81" t="s">
        <v>1218</v>
      </c>
      <c r="N148" s="81">
        <v>45713</v>
      </c>
      <c r="O148" s="81">
        <v>45720</v>
      </c>
      <c r="P148" s="207"/>
      <c r="Q148" s="369"/>
      <c r="R148" s="370"/>
      <c r="S148" s="371"/>
      <c r="T148" s="372"/>
      <c r="U148" s="417"/>
    </row>
    <row r="149" ht="16.5" spans="1:27">
      <c r="A149" s="32" t="s">
        <v>1913</v>
      </c>
      <c r="B149" s="57" t="s">
        <v>1824</v>
      </c>
      <c r="C149" s="187" t="s">
        <v>209</v>
      </c>
      <c r="D149" s="189"/>
      <c r="E149" s="57"/>
      <c r="F149" s="54" t="s">
        <v>4095</v>
      </c>
      <c r="G149" s="57" t="s">
        <v>4352</v>
      </c>
      <c r="H149" s="204"/>
      <c r="I149" s="71"/>
      <c r="J149" s="72"/>
      <c r="K149" s="72"/>
      <c r="L149" s="53">
        <v>7.1745</v>
      </c>
      <c r="M149" s="81" t="s">
        <v>1218</v>
      </c>
      <c r="N149" s="87" t="s">
        <v>621</v>
      </c>
      <c r="O149" s="87" t="s">
        <v>621</v>
      </c>
      <c r="P149" s="207"/>
      <c r="Q149" s="369"/>
      <c r="R149" s="370"/>
      <c r="S149" s="371"/>
      <c r="T149" s="372"/>
      <c r="U149" s="417"/>
      <c r="V149" s="417"/>
      <c r="W149" s="417"/>
      <c r="X149" s="417"/>
      <c r="Y149" s="417"/>
      <c r="Z149" s="417"/>
      <c r="AA149" s="417"/>
    </row>
    <row r="150" ht="16.5" spans="1:27">
      <c r="A150" s="32" t="s">
        <v>1913</v>
      </c>
      <c r="B150" s="57" t="s">
        <v>1824</v>
      </c>
      <c r="C150" s="187" t="s">
        <v>209</v>
      </c>
      <c r="D150" s="189"/>
      <c r="E150" s="57"/>
      <c r="F150" s="54" t="s">
        <v>4095</v>
      </c>
      <c r="G150" s="57" t="s">
        <v>4353</v>
      </c>
      <c r="H150" s="204"/>
      <c r="I150" s="71"/>
      <c r="J150" s="72"/>
      <c r="K150" s="72"/>
      <c r="L150" s="53">
        <v>7.1745</v>
      </c>
      <c r="M150" s="81" t="s">
        <v>1218</v>
      </c>
      <c r="N150" s="81">
        <v>45741</v>
      </c>
      <c r="O150" s="87" t="s">
        <v>621</v>
      </c>
      <c r="P150" s="207"/>
      <c r="Q150" s="369"/>
      <c r="R150" s="370"/>
      <c r="S150" s="371"/>
      <c r="T150" s="372"/>
      <c r="U150" s="417"/>
      <c r="V150" s="417"/>
      <c r="W150" s="417"/>
      <c r="X150" s="417"/>
      <c r="Y150" s="417"/>
      <c r="Z150" s="417"/>
      <c r="AA150" s="417"/>
    </row>
    <row r="151" ht="18.75" customHeight="1" spans="1:27">
      <c r="A151" s="32" t="s">
        <v>1913</v>
      </c>
      <c r="B151" s="57" t="s">
        <v>1824</v>
      </c>
      <c r="C151" s="187" t="s">
        <v>209</v>
      </c>
      <c r="D151" s="189"/>
      <c r="E151" s="57"/>
      <c r="F151" s="54" t="s">
        <v>4095</v>
      </c>
      <c r="G151" s="54" t="s">
        <v>4354</v>
      </c>
      <c r="H151" s="55"/>
      <c r="I151" s="64"/>
      <c r="J151" s="64"/>
      <c r="K151" s="72"/>
      <c r="L151" s="53">
        <v>7.1745</v>
      </c>
      <c r="M151" s="81" t="s">
        <v>1218</v>
      </c>
      <c r="N151" s="81">
        <v>45732</v>
      </c>
      <c r="O151" s="87" t="s">
        <v>1125</v>
      </c>
      <c r="P151" s="207"/>
      <c r="Q151" s="53"/>
      <c r="R151" s="373"/>
      <c r="S151" s="195"/>
      <c r="T151" s="374"/>
      <c r="U151" s="417"/>
      <c r="V151" s="417"/>
      <c r="W151" s="417"/>
      <c r="X151" s="417"/>
      <c r="Y151" s="417"/>
      <c r="Z151" s="417"/>
      <c r="AA151" s="417"/>
    </row>
    <row r="152" ht="18.75" customHeight="1" spans="1:27">
      <c r="A152" s="32" t="s">
        <v>1913</v>
      </c>
      <c r="B152" s="57" t="s">
        <v>1824</v>
      </c>
      <c r="C152" s="187" t="s">
        <v>209</v>
      </c>
      <c r="D152" s="189"/>
      <c r="E152" s="57"/>
      <c r="F152" s="54" t="s">
        <v>4095</v>
      </c>
      <c r="G152" s="54" t="s">
        <v>4355</v>
      </c>
      <c r="H152" s="55"/>
      <c r="I152" s="64"/>
      <c r="J152" s="64"/>
      <c r="K152" s="72"/>
      <c r="L152" s="53">
        <v>7.1745</v>
      </c>
      <c r="M152" s="81" t="s">
        <v>1218</v>
      </c>
      <c r="N152" s="81">
        <v>45737</v>
      </c>
      <c r="O152" s="87" t="s">
        <v>1125</v>
      </c>
      <c r="P152" s="207"/>
      <c r="Q152" s="53"/>
      <c r="R152" s="373"/>
      <c r="S152" s="195"/>
      <c r="T152" s="374"/>
      <c r="U152" s="417"/>
      <c r="V152" s="417"/>
      <c r="W152" s="417"/>
      <c r="X152" s="417"/>
      <c r="Y152" s="417"/>
      <c r="Z152" s="417"/>
      <c r="AA152" s="417"/>
    </row>
    <row r="153" ht="18.75" customHeight="1" spans="1:27">
      <c r="A153" s="32" t="s">
        <v>1913</v>
      </c>
      <c r="B153" s="57" t="s">
        <v>1824</v>
      </c>
      <c r="C153" s="187" t="s">
        <v>209</v>
      </c>
      <c r="D153" s="189"/>
      <c r="E153" s="57"/>
      <c r="F153" s="54" t="s">
        <v>4095</v>
      </c>
      <c r="G153" s="54" t="s">
        <v>4282</v>
      </c>
      <c r="H153" s="55"/>
      <c r="I153" s="64"/>
      <c r="J153" s="72"/>
      <c r="K153" s="72"/>
      <c r="L153" s="53">
        <v>7.1745</v>
      </c>
      <c r="M153" s="81" t="s">
        <v>1218</v>
      </c>
      <c r="N153" s="81">
        <v>45713</v>
      </c>
      <c r="O153" s="81">
        <v>45719</v>
      </c>
      <c r="P153" s="207"/>
      <c r="Q153" s="53"/>
      <c r="R153" s="373"/>
      <c r="S153" s="195"/>
      <c r="T153" s="374"/>
      <c r="U153" s="417"/>
      <c r="V153" s="417"/>
      <c r="W153" s="417"/>
      <c r="X153" s="417"/>
      <c r="Y153" s="417"/>
      <c r="Z153" s="417"/>
      <c r="AA153" s="417"/>
    </row>
    <row r="154" ht="17.6" customHeight="1" spans="1:27">
      <c r="A154" s="32" t="s">
        <v>1913</v>
      </c>
      <c r="B154" s="57" t="s">
        <v>1824</v>
      </c>
      <c r="C154" s="187" t="s">
        <v>209</v>
      </c>
      <c r="D154" s="189"/>
      <c r="E154" s="57"/>
      <c r="F154" s="106" t="s">
        <v>4087</v>
      </c>
      <c r="G154" s="57" t="s">
        <v>4175</v>
      </c>
      <c r="H154" s="55"/>
      <c r="I154" s="64"/>
      <c r="J154" s="64"/>
      <c r="K154" s="64"/>
      <c r="L154" s="53">
        <v>7.1745</v>
      </c>
      <c r="M154" s="87" t="s">
        <v>4277</v>
      </c>
      <c r="N154" s="87">
        <v>45715</v>
      </c>
      <c r="O154" s="81">
        <v>45722</v>
      </c>
      <c r="P154" s="207"/>
      <c r="Q154" s="369"/>
      <c r="R154" s="370"/>
      <c r="S154" s="371"/>
      <c r="T154" s="372"/>
      <c r="U154" s="417"/>
      <c r="V154" s="417"/>
      <c r="W154" s="417"/>
      <c r="X154" s="417"/>
      <c r="Y154" s="417"/>
      <c r="Z154" s="417"/>
      <c r="AA154" s="417"/>
    </row>
    <row r="155" ht="17.6" customHeight="1" spans="1:27">
      <c r="A155" s="32" t="s">
        <v>1913</v>
      </c>
      <c r="B155" s="57" t="s">
        <v>1824</v>
      </c>
      <c r="C155" s="227" t="s">
        <v>4161</v>
      </c>
      <c r="D155" s="35">
        <v>36</v>
      </c>
      <c r="E155" s="57"/>
      <c r="F155" s="54" t="s">
        <v>4139</v>
      </c>
      <c r="G155" s="205" t="s">
        <v>4287</v>
      </c>
      <c r="H155" s="204"/>
      <c r="I155" s="71"/>
      <c r="J155" s="72"/>
      <c r="K155" s="158"/>
      <c r="L155" s="53">
        <v>7.1745</v>
      </c>
      <c r="M155" s="87" t="s">
        <v>1218</v>
      </c>
      <c r="N155" s="81">
        <v>45738</v>
      </c>
      <c r="O155" s="81">
        <v>45742</v>
      </c>
      <c r="P155" s="207"/>
      <c r="Q155" s="375"/>
      <c r="R155" s="277"/>
      <c r="S155" s="367"/>
      <c r="T155" s="376"/>
      <c r="U155" s="417"/>
      <c r="V155" s="417"/>
      <c r="W155" s="417"/>
      <c r="X155" s="417"/>
      <c r="Y155" s="417"/>
      <c r="Z155" s="417"/>
      <c r="AA155" s="417"/>
    </row>
    <row r="156" ht="17.6" customHeight="1" spans="1:27">
      <c r="A156" s="32" t="s">
        <v>1913</v>
      </c>
      <c r="B156" s="57" t="s">
        <v>1824</v>
      </c>
      <c r="C156" s="192" t="s">
        <v>4163</v>
      </c>
      <c r="D156" s="43">
        <v>24</v>
      </c>
      <c r="E156" s="57"/>
      <c r="F156" s="106"/>
      <c r="G156" s="54"/>
      <c r="H156" s="204"/>
      <c r="I156" s="64"/>
      <c r="J156" s="72"/>
      <c r="K156" s="72"/>
      <c r="L156" s="53"/>
      <c r="M156" s="81"/>
      <c r="N156" s="81"/>
      <c r="O156" s="81"/>
      <c r="P156" s="207"/>
      <c r="Q156" s="377"/>
      <c r="R156" s="378"/>
      <c r="S156" s="363"/>
      <c r="T156" s="379"/>
      <c r="U156" s="417"/>
      <c r="V156" s="417"/>
      <c r="W156" s="417"/>
      <c r="X156" s="417"/>
      <c r="Y156" s="417"/>
      <c r="Z156" s="417"/>
      <c r="AA156" s="417"/>
    </row>
    <row r="157" ht="17.6" customHeight="1" spans="1:27">
      <c r="A157" s="32" t="s">
        <v>1913</v>
      </c>
      <c r="B157" s="196" t="s">
        <v>3248</v>
      </c>
      <c r="C157" s="34" t="s">
        <v>1248</v>
      </c>
      <c r="D157" s="35"/>
      <c r="E157" s="57"/>
      <c r="F157" s="106"/>
      <c r="G157" s="54"/>
      <c r="H157" s="200"/>
      <c r="I157" s="64"/>
      <c r="J157" s="64"/>
      <c r="K157" s="64"/>
      <c r="L157" s="225"/>
      <c r="M157" s="81"/>
      <c r="N157" s="87"/>
      <c r="O157" s="87"/>
      <c r="P157" s="207"/>
      <c r="Q157" s="158"/>
      <c r="R157" s="48"/>
      <c r="S157" s="158"/>
      <c r="T157" s="380"/>
      <c r="V157" s="417"/>
      <c r="W157" s="417"/>
      <c r="X157" s="417"/>
      <c r="Y157" s="417"/>
      <c r="Z157" s="417"/>
      <c r="AA157" s="417"/>
    </row>
    <row r="158" ht="30.9" customHeight="1" spans="1:27">
      <c r="A158" s="32" t="s">
        <v>1913</v>
      </c>
      <c r="B158" s="196" t="s">
        <v>3248</v>
      </c>
      <c r="C158" s="40" t="s">
        <v>1922</v>
      </c>
      <c r="D158" s="35"/>
      <c r="E158" s="155"/>
      <c r="F158" s="54" t="s">
        <v>4139</v>
      </c>
      <c r="G158" s="205" t="s">
        <v>4356</v>
      </c>
      <c r="H158" s="221"/>
      <c r="I158" s="71"/>
      <c r="J158" s="66"/>
      <c r="K158" s="66"/>
      <c r="L158" s="53">
        <v>7.1745</v>
      </c>
      <c r="M158" s="87" t="s">
        <v>1218</v>
      </c>
      <c r="N158" s="87" t="s">
        <v>621</v>
      </c>
      <c r="O158" s="87" t="s">
        <v>621</v>
      </c>
      <c r="P158" s="207"/>
      <c r="Q158" s="53"/>
      <c r="R158" s="373"/>
      <c r="S158" s="195"/>
      <c r="T158" s="374"/>
      <c r="V158" s="417"/>
      <c r="W158" s="417"/>
      <c r="X158" s="417"/>
      <c r="Y158" s="417"/>
      <c r="Z158" s="417"/>
      <c r="AA158" s="417"/>
    </row>
    <row r="159" customFormat="1" ht="30.9" customHeight="1" spans="1:27">
      <c r="A159" s="32" t="s">
        <v>1913</v>
      </c>
      <c r="B159" s="196" t="s">
        <v>3248</v>
      </c>
      <c r="C159" s="194" t="s">
        <v>209</v>
      </c>
      <c r="D159" s="107"/>
      <c r="E159" s="57"/>
      <c r="F159" s="106" t="s">
        <v>4093</v>
      </c>
      <c r="G159" s="54" t="s">
        <v>4172</v>
      </c>
      <c r="H159" s="55"/>
      <c r="I159" s="64"/>
      <c r="J159" s="68"/>
      <c r="K159" s="68"/>
      <c r="L159" s="53">
        <v>7.1745</v>
      </c>
      <c r="M159" s="81" t="s">
        <v>4167</v>
      </c>
      <c r="N159" s="87" t="s">
        <v>621</v>
      </c>
      <c r="O159" s="87" t="s">
        <v>621</v>
      </c>
      <c r="P159" s="207"/>
      <c r="Q159" s="53"/>
      <c r="R159" s="373"/>
      <c r="S159" s="195"/>
      <c r="T159" s="374"/>
      <c r="U159"/>
      <c r="V159" s="417"/>
      <c r="W159" s="417"/>
      <c r="X159" s="417"/>
      <c r="Y159" s="417"/>
      <c r="Z159" s="417"/>
      <c r="AA159" s="417"/>
    </row>
    <row r="160" customFormat="1" ht="30.9" customHeight="1" spans="1:27">
      <c r="A160" s="32" t="s">
        <v>1913</v>
      </c>
      <c r="B160" s="196" t="s">
        <v>3248</v>
      </c>
      <c r="C160" s="196"/>
      <c r="D160" s="46"/>
      <c r="E160" s="57"/>
      <c r="F160" s="106" t="s">
        <v>4087</v>
      </c>
      <c r="G160" s="57" t="s">
        <v>4357</v>
      </c>
      <c r="H160" s="55"/>
      <c r="I160" s="64"/>
      <c r="J160" s="72"/>
      <c r="K160" s="68"/>
      <c r="L160" s="53">
        <v>7.1745</v>
      </c>
      <c r="M160" s="81" t="s">
        <v>1218</v>
      </c>
      <c r="N160" s="81">
        <v>45741</v>
      </c>
      <c r="O160" s="81">
        <v>45747</v>
      </c>
      <c r="P160" s="207"/>
      <c r="Q160" s="53"/>
      <c r="R160" s="373"/>
      <c r="S160" s="195"/>
      <c r="T160" s="374"/>
      <c r="U160"/>
      <c r="V160" s="417"/>
      <c r="W160" s="417"/>
      <c r="X160" s="417"/>
      <c r="Y160" s="417"/>
      <c r="Z160" s="417"/>
      <c r="AA160" s="417"/>
    </row>
    <row r="161" customFormat="1" ht="30.9" customHeight="1" spans="1:27">
      <c r="A161" s="32" t="s">
        <v>1913</v>
      </c>
      <c r="B161" s="196" t="s">
        <v>3248</v>
      </c>
      <c r="C161" s="196"/>
      <c r="D161" s="113"/>
      <c r="E161" s="57"/>
      <c r="F161" s="106" t="s">
        <v>4093</v>
      </c>
      <c r="G161" s="57" t="s">
        <v>4168</v>
      </c>
      <c r="H161" s="204"/>
      <c r="I161" s="64"/>
      <c r="J161" s="68"/>
      <c r="K161" s="68"/>
      <c r="L161" s="53" t="s">
        <v>1125</v>
      </c>
      <c r="M161" s="81" t="s">
        <v>4167</v>
      </c>
      <c r="N161" s="87" t="s">
        <v>621</v>
      </c>
      <c r="O161" s="87" t="s">
        <v>621</v>
      </c>
      <c r="P161" s="207"/>
      <c r="Q161" s="53"/>
      <c r="R161" s="373"/>
      <c r="S161" s="195"/>
      <c r="T161" s="374"/>
      <c r="U161"/>
      <c r="V161" s="417"/>
      <c r="W161" s="417"/>
      <c r="X161" s="417"/>
      <c r="Y161" s="417"/>
      <c r="Z161" s="417"/>
      <c r="AA161" s="417"/>
    </row>
    <row r="162" customFormat="1" ht="30.9" customHeight="1" spans="1:27">
      <c r="A162" s="32" t="s">
        <v>1913</v>
      </c>
      <c r="B162" s="233" t="s">
        <v>1875</v>
      </c>
      <c r="C162" s="187" t="s">
        <v>1248</v>
      </c>
      <c r="D162" s="46"/>
      <c r="E162" s="194"/>
      <c r="F162" s="54" t="s">
        <v>4095</v>
      </c>
      <c r="G162" s="53"/>
      <c r="H162" s="200"/>
      <c r="I162" s="71"/>
      <c r="J162" s="226"/>
      <c r="K162" s="226"/>
      <c r="L162" s="53">
        <v>7.1745</v>
      </c>
      <c r="M162" s="87" t="s">
        <v>1218</v>
      </c>
      <c r="N162" s="87" t="s">
        <v>621</v>
      </c>
      <c r="O162" s="87" t="s">
        <v>621</v>
      </c>
      <c r="P162" s="207"/>
      <c r="Q162" s="350"/>
      <c r="R162" s="41"/>
      <c r="S162" s="99"/>
      <c r="T162" s="380"/>
      <c r="U162"/>
      <c r="V162" s="417"/>
      <c r="W162" s="417"/>
      <c r="X162" s="417"/>
      <c r="Y162" s="417"/>
      <c r="Z162" s="417"/>
      <c r="AA162" s="417"/>
    </row>
    <row r="163" customFormat="1" ht="30.9" customHeight="1" spans="1:27">
      <c r="A163" s="32" t="s">
        <v>1913</v>
      </c>
      <c r="B163" s="233" t="s">
        <v>1875</v>
      </c>
      <c r="C163" s="40" t="s">
        <v>1922</v>
      </c>
      <c r="D163" s="46"/>
      <c r="E163" s="57"/>
      <c r="F163" s="54" t="s">
        <v>4139</v>
      </c>
      <c r="G163" s="205" t="s">
        <v>4288</v>
      </c>
      <c r="H163" s="204"/>
      <c r="I163" s="71"/>
      <c r="J163" s="72"/>
      <c r="K163" s="158"/>
      <c r="L163" s="53">
        <v>7.1745</v>
      </c>
      <c r="M163" s="87" t="s">
        <v>1218</v>
      </c>
      <c r="N163" s="87" t="s">
        <v>621</v>
      </c>
      <c r="O163" s="87" t="s">
        <v>621</v>
      </c>
      <c r="P163" s="207"/>
      <c r="Q163" s="53"/>
      <c r="R163" s="373"/>
      <c r="S163" s="195"/>
      <c r="T163" s="374"/>
      <c r="U163"/>
      <c r="V163" s="417"/>
      <c r="W163" s="417"/>
      <c r="X163" s="417"/>
      <c r="Y163" s="417"/>
      <c r="Z163" s="417"/>
      <c r="AA163" s="417"/>
    </row>
    <row r="164" customFormat="1" ht="30.9" customHeight="1" spans="1:27">
      <c r="A164" s="32" t="s">
        <v>1913</v>
      </c>
      <c r="B164" s="233" t="s">
        <v>1875</v>
      </c>
      <c r="C164" s="40"/>
      <c r="D164" s="46"/>
      <c r="E164" s="194"/>
      <c r="F164" s="203" t="s">
        <v>4087</v>
      </c>
      <c r="G164" s="106" t="s">
        <v>4284</v>
      </c>
      <c r="H164" s="55"/>
      <c r="I164" s="71"/>
      <c r="J164" s="64"/>
      <c r="K164" s="72"/>
      <c r="L164" s="53">
        <v>7.1745</v>
      </c>
      <c r="M164" s="87" t="s">
        <v>1218</v>
      </c>
      <c r="N164" s="87" t="s">
        <v>621</v>
      </c>
      <c r="O164" s="87" t="s">
        <v>621</v>
      </c>
      <c r="P164" s="207"/>
      <c r="Q164" s="53"/>
      <c r="R164" s="373"/>
      <c r="S164" s="195"/>
      <c r="T164" s="374"/>
      <c r="U164"/>
      <c r="V164" s="417"/>
      <c r="W164" s="417"/>
      <c r="X164" s="417"/>
      <c r="Y164" s="417"/>
      <c r="Z164" s="417"/>
      <c r="AA164" s="417"/>
    </row>
    <row r="165" customFormat="1" ht="23.25" customHeight="1" spans="1:27">
      <c r="A165" s="32" t="s">
        <v>1913</v>
      </c>
      <c r="B165" s="233" t="s">
        <v>1875</v>
      </c>
      <c r="C165" s="40"/>
      <c r="D165" s="46"/>
      <c r="E165" s="57"/>
      <c r="F165" s="106" t="s">
        <v>4090</v>
      </c>
      <c r="G165" s="57" t="s">
        <v>4178</v>
      </c>
      <c r="H165" s="204"/>
      <c r="I165" s="71"/>
      <c r="J165" s="66"/>
      <c r="K165" s="66"/>
      <c r="L165" s="53">
        <v>7.1745</v>
      </c>
      <c r="M165" s="81" t="s">
        <v>4167</v>
      </c>
      <c r="N165" s="87" t="s">
        <v>621</v>
      </c>
      <c r="O165" s="87" t="s">
        <v>621</v>
      </c>
      <c r="P165" s="207"/>
      <c r="Q165" s="53"/>
      <c r="R165" s="373"/>
      <c r="S165" s="195"/>
      <c r="T165" s="374"/>
      <c r="U165"/>
      <c r="V165" s="417"/>
      <c r="W165" s="417"/>
      <c r="X165" s="417"/>
      <c r="Y165" s="417"/>
      <c r="Z165" s="417"/>
      <c r="AA165" s="417"/>
    </row>
    <row r="166" customFormat="1" ht="18.75" customHeight="1" spans="1:27">
      <c r="A166" s="32" t="s">
        <v>1913</v>
      </c>
      <c r="B166" s="233" t="s">
        <v>1875</v>
      </c>
      <c r="C166" s="40"/>
      <c r="D166" s="46"/>
      <c r="E166" s="57"/>
      <c r="F166" s="106" t="s">
        <v>4090</v>
      </c>
      <c r="G166" s="54" t="s">
        <v>4179</v>
      </c>
      <c r="H166" s="55"/>
      <c r="I166" s="71"/>
      <c r="J166" s="68"/>
      <c r="K166" s="68"/>
      <c r="L166" s="53">
        <v>7.1745</v>
      </c>
      <c r="M166" s="81" t="s">
        <v>4167</v>
      </c>
      <c r="N166" s="87" t="s">
        <v>621</v>
      </c>
      <c r="O166" s="87" t="s">
        <v>621</v>
      </c>
      <c r="P166" s="207"/>
      <c r="Q166" s="53"/>
      <c r="R166" s="373"/>
      <c r="S166" s="195"/>
      <c r="T166" s="374"/>
      <c r="U166"/>
      <c r="V166" s="417"/>
      <c r="W166" s="417"/>
      <c r="X166" s="417"/>
      <c r="Y166" s="417"/>
      <c r="Z166" s="417"/>
      <c r="AA166" s="417"/>
    </row>
    <row r="167" ht="16.5" spans="1:27">
      <c r="A167" s="32" t="s">
        <v>1913</v>
      </c>
      <c r="B167" s="233" t="s">
        <v>1875</v>
      </c>
      <c r="C167" s="40"/>
      <c r="D167" s="46"/>
      <c r="E167" s="57"/>
      <c r="F167" s="106" t="s">
        <v>4090</v>
      </c>
      <c r="G167" s="54" t="s">
        <v>4289</v>
      </c>
      <c r="H167" s="204"/>
      <c r="I167" s="71"/>
      <c r="J167" s="68"/>
      <c r="K167" s="68"/>
      <c r="L167" s="53">
        <v>7.1745</v>
      </c>
      <c r="M167" s="81" t="s">
        <v>1218</v>
      </c>
      <c r="N167" s="87" t="s">
        <v>621</v>
      </c>
      <c r="O167" s="87" t="s">
        <v>621</v>
      </c>
      <c r="P167" s="207"/>
      <c r="Q167" s="53"/>
      <c r="R167" s="373"/>
      <c r="S167" s="195"/>
      <c r="T167" s="374"/>
      <c r="V167" s="417"/>
      <c r="W167" s="417"/>
      <c r="X167" s="417"/>
      <c r="Y167" s="417"/>
      <c r="Z167" s="417"/>
      <c r="AA167" s="417"/>
    </row>
    <row r="168" customFormat="1" ht="16.5" spans="1:27">
      <c r="A168" s="32" t="s">
        <v>1913</v>
      </c>
      <c r="B168" s="233" t="s">
        <v>1875</v>
      </c>
      <c r="C168" s="40"/>
      <c r="D168" s="46"/>
      <c r="E168" s="57"/>
      <c r="F168" s="54" t="s">
        <v>4139</v>
      </c>
      <c r="G168" s="54" t="s">
        <v>4018</v>
      </c>
      <c r="H168" s="204"/>
      <c r="I168" s="71"/>
      <c r="J168" s="68"/>
      <c r="K168" s="68"/>
      <c r="L168" s="53">
        <v>7.1745</v>
      </c>
      <c r="M168" s="81" t="s">
        <v>4167</v>
      </c>
      <c r="N168" s="87" t="s">
        <v>621</v>
      </c>
      <c r="O168" s="87" t="s">
        <v>621</v>
      </c>
      <c r="P168" s="207"/>
      <c r="Q168" s="53"/>
      <c r="R168" s="373"/>
      <c r="S168" s="195"/>
      <c r="T168" s="374"/>
      <c r="U168"/>
      <c r="V168" s="417"/>
      <c r="W168" s="417"/>
      <c r="X168" s="417"/>
      <c r="Y168" s="417"/>
      <c r="Z168" s="417"/>
      <c r="AA168" s="417"/>
    </row>
    <row r="169" customFormat="1" ht="16.5" spans="1:27">
      <c r="A169" s="32" t="s">
        <v>1913</v>
      </c>
      <c r="B169" s="233" t="s">
        <v>1875</v>
      </c>
      <c r="C169" s="40"/>
      <c r="D169" s="46"/>
      <c r="E169" s="57"/>
      <c r="F169" s="201" t="s">
        <v>4087</v>
      </c>
      <c r="G169" s="58" t="s">
        <v>4358</v>
      </c>
      <c r="H169" s="200"/>
      <c r="I169" s="71"/>
      <c r="J169" s="226"/>
      <c r="K169" s="226"/>
      <c r="L169" s="53">
        <v>7.1745</v>
      </c>
      <c r="M169" s="87" t="s">
        <v>1218</v>
      </c>
      <c r="N169" s="87" t="s">
        <v>621</v>
      </c>
      <c r="O169" s="87" t="s">
        <v>621</v>
      </c>
      <c r="P169" s="207"/>
      <c r="Q169" s="53"/>
      <c r="R169" s="373"/>
      <c r="S169" s="195"/>
      <c r="T169" s="374"/>
      <c r="U169"/>
      <c r="V169" s="417"/>
      <c r="W169" s="417"/>
      <c r="X169" s="417"/>
      <c r="Y169" s="417"/>
      <c r="Z169" s="417"/>
      <c r="AA169" s="417"/>
    </row>
    <row r="170" customFormat="1" ht="16.5" spans="1:20">
      <c r="A170" s="32" t="s">
        <v>1913</v>
      </c>
      <c r="B170" s="233" t="s">
        <v>1875</v>
      </c>
      <c r="C170" s="42" t="s">
        <v>209</v>
      </c>
      <c r="D170" s="46"/>
      <c r="E170" s="57"/>
      <c r="F170" s="106" t="s">
        <v>4093</v>
      </c>
      <c r="G170" s="57" t="s">
        <v>4166</v>
      </c>
      <c r="H170" s="204"/>
      <c r="I170" s="71"/>
      <c r="J170" s="68"/>
      <c r="K170" s="68"/>
      <c r="L170" s="53">
        <v>7.1745</v>
      </c>
      <c r="M170" s="81" t="s">
        <v>4167</v>
      </c>
      <c r="N170" s="87" t="s">
        <v>621</v>
      </c>
      <c r="O170" s="87" t="s">
        <v>621</v>
      </c>
      <c r="P170" s="207"/>
      <c r="Q170" s="53"/>
      <c r="R170" s="373"/>
      <c r="S170" s="195"/>
      <c r="T170" s="374"/>
    </row>
    <row r="171" customFormat="1" ht="16.5" spans="1:27">
      <c r="A171" s="32" t="s">
        <v>1913</v>
      </c>
      <c r="B171" s="233" t="s">
        <v>1875</v>
      </c>
      <c r="C171" s="42"/>
      <c r="D171" s="46"/>
      <c r="E171" s="57"/>
      <c r="F171" s="106" t="s">
        <v>4090</v>
      </c>
      <c r="G171" s="57"/>
      <c r="H171" s="55"/>
      <c r="I171" s="64"/>
      <c r="J171" s="68"/>
      <c r="K171" s="68"/>
      <c r="L171" s="53">
        <v>7.1745</v>
      </c>
      <c r="M171" s="81" t="s">
        <v>4359</v>
      </c>
      <c r="N171" s="87" t="s">
        <v>621</v>
      </c>
      <c r="O171" s="87" t="s">
        <v>621</v>
      </c>
      <c r="P171" s="207"/>
      <c r="Q171" s="53"/>
      <c r="R171" s="373"/>
      <c r="S171" s="195"/>
      <c r="T171" s="374"/>
      <c r="U171"/>
      <c r="V171" s="417"/>
      <c r="W171" s="417"/>
      <c r="X171" s="417"/>
      <c r="Y171" s="417"/>
      <c r="Z171" s="417"/>
      <c r="AA171" s="417"/>
    </row>
    <row r="172" ht="16.5" spans="1:22">
      <c r="A172" s="32" t="s">
        <v>1913</v>
      </c>
      <c r="B172" s="233" t="s">
        <v>1875</v>
      </c>
      <c r="C172" s="42"/>
      <c r="D172" s="46"/>
      <c r="E172" s="57"/>
      <c r="F172" s="54" t="s">
        <v>4095</v>
      </c>
      <c r="G172" s="54"/>
      <c r="H172" s="55"/>
      <c r="I172" s="71"/>
      <c r="J172" s="68"/>
      <c r="K172" s="68"/>
      <c r="L172" s="53">
        <v>7.1745</v>
      </c>
      <c r="M172" s="81" t="s">
        <v>4167</v>
      </c>
      <c r="N172" s="87" t="s">
        <v>621</v>
      </c>
      <c r="O172" s="87" t="s">
        <v>621</v>
      </c>
      <c r="P172" s="207"/>
      <c r="Q172" s="53"/>
      <c r="R172" s="373"/>
      <c r="S172" s="195"/>
      <c r="T172" s="374"/>
      <c r="V172" s="417"/>
    </row>
    <row r="173" s="417" customFormat="1" ht="16.5" spans="1:21">
      <c r="A173" s="32" t="s">
        <v>1913</v>
      </c>
      <c r="B173" s="233" t="s">
        <v>1875</v>
      </c>
      <c r="C173" s="42"/>
      <c r="D173" s="46"/>
      <c r="E173" s="57"/>
      <c r="F173" s="54" t="s">
        <v>4095</v>
      </c>
      <c r="G173" s="54"/>
      <c r="H173" s="55"/>
      <c r="I173" s="71"/>
      <c r="J173" s="68"/>
      <c r="K173" s="68"/>
      <c r="L173" s="53">
        <v>7.1745</v>
      </c>
      <c r="M173" s="81" t="s">
        <v>4167</v>
      </c>
      <c r="N173" s="87" t="s">
        <v>621</v>
      </c>
      <c r="O173" s="87" t="s">
        <v>621</v>
      </c>
      <c r="P173" s="207"/>
      <c r="Q173" s="53"/>
      <c r="R173" s="373"/>
      <c r="S173" s="195"/>
      <c r="T173" s="374"/>
      <c r="U173"/>
    </row>
    <row r="174" ht="16.5" spans="1:22">
      <c r="A174" s="32" t="s">
        <v>1913</v>
      </c>
      <c r="B174" s="233" t="s">
        <v>1875</v>
      </c>
      <c r="C174" s="42"/>
      <c r="D174" s="46"/>
      <c r="E174" s="57"/>
      <c r="F174" s="201" t="s">
        <v>4087</v>
      </c>
      <c r="G174" s="53" t="s">
        <v>4292</v>
      </c>
      <c r="H174" s="204"/>
      <c r="I174" s="71"/>
      <c r="J174" s="72"/>
      <c r="K174" s="72"/>
      <c r="L174" s="53">
        <v>7.1745</v>
      </c>
      <c r="M174" s="81" t="s">
        <v>1218</v>
      </c>
      <c r="N174" s="81" t="s">
        <v>621</v>
      </c>
      <c r="O174" s="81" t="s">
        <v>621</v>
      </c>
      <c r="P174" s="207"/>
      <c r="Q174" s="53"/>
      <c r="R174" s="373"/>
      <c r="S174" s="195"/>
      <c r="T174" s="374"/>
      <c r="V174" s="417"/>
    </row>
    <row r="175" ht="16.5" spans="1:22">
      <c r="A175" s="32" t="s">
        <v>1913</v>
      </c>
      <c r="B175" s="233" t="s">
        <v>1875</v>
      </c>
      <c r="C175" s="42"/>
      <c r="D175" s="46"/>
      <c r="E175" s="57"/>
      <c r="F175" s="54" t="s">
        <v>4139</v>
      </c>
      <c r="G175" s="54"/>
      <c r="H175" s="55"/>
      <c r="I175" s="71"/>
      <c r="J175" s="68"/>
      <c r="K175" s="68"/>
      <c r="L175" s="53">
        <v>7.1745</v>
      </c>
      <c r="M175" s="81" t="s">
        <v>4167</v>
      </c>
      <c r="N175" s="87" t="s">
        <v>621</v>
      </c>
      <c r="O175" s="87" t="s">
        <v>621</v>
      </c>
      <c r="P175" s="207"/>
      <c r="Q175" s="53"/>
      <c r="R175" s="373"/>
      <c r="S175" s="195"/>
      <c r="T175" s="374"/>
      <c r="V175" s="417"/>
    </row>
    <row r="176" ht="16.5" spans="1:22">
      <c r="A176" s="32" t="s">
        <v>1913</v>
      </c>
      <c r="B176" s="233" t="s">
        <v>1875</v>
      </c>
      <c r="C176" s="42"/>
      <c r="D176" s="46"/>
      <c r="E176" s="57"/>
      <c r="F176" s="106" t="s">
        <v>4093</v>
      </c>
      <c r="G176" s="54" t="s">
        <v>1416</v>
      </c>
      <c r="H176" s="55"/>
      <c r="I176" s="71"/>
      <c r="J176" s="68"/>
      <c r="K176" s="68"/>
      <c r="L176" s="53">
        <v>7.1745</v>
      </c>
      <c r="M176" s="81" t="s">
        <v>4359</v>
      </c>
      <c r="N176" s="87" t="s">
        <v>621</v>
      </c>
      <c r="O176" s="87" t="s">
        <v>621</v>
      </c>
      <c r="P176" s="207"/>
      <c r="Q176" s="53"/>
      <c r="R176" s="373"/>
      <c r="S176" s="195"/>
      <c r="T176" s="374"/>
      <c r="V176" s="417"/>
    </row>
    <row r="177" customFormat="1" ht="16.5" spans="1:22">
      <c r="A177" s="32" t="s">
        <v>1913</v>
      </c>
      <c r="B177" s="233" t="s">
        <v>1875</v>
      </c>
      <c r="C177" s="42"/>
      <c r="D177" s="46"/>
      <c r="E177" s="57"/>
      <c r="F177" s="118" t="s">
        <v>4256</v>
      </c>
      <c r="G177" s="54"/>
      <c r="H177" s="55"/>
      <c r="I177" s="71"/>
      <c r="J177" s="68"/>
      <c r="K177" s="68"/>
      <c r="L177" s="53">
        <v>7.1745</v>
      </c>
      <c r="M177" s="81" t="s">
        <v>4359</v>
      </c>
      <c r="N177" s="87" t="s">
        <v>621</v>
      </c>
      <c r="O177" s="87" t="s">
        <v>621</v>
      </c>
      <c r="P177" s="207"/>
      <c r="Q177" s="53"/>
      <c r="R177" s="373"/>
      <c r="S177" s="195"/>
      <c r="T177" s="374"/>
      <c r="U177"/>
      <c r="V177" s="417"/>
    </row>
    <row r="178" s="418" customFormat="1" ht="14.25" customHeight="1" spans="1:22">
      <c r="A178" s="32" t="s">
        <v>1913</v>
      </c>
      <c r="B178" s="233" t="s">
        <v>1875</v>
      </c>
      <c r="C178" s="42"/>
      <c r="D178" s="46"/>
      <c r="E178" s="57"/>
      <c r="F178" s="106" t="s">
        <v>4095</v>
      </c>
      <c r="G178" s="54" t="s">
        <v>4177</v>
      </c>
      <c r="H178" s="55"/>
      <c r="I178" s="64"/>
      <c r="J178" s="68"/>
      <c r="K178" s="68"/>
      <c r="L178" s="53">
        <v>7.1745</v>
      </c>
      <c r="M178" s="81" t="s">
        <v>4359</v>
      </c>
      <c r="N178" s="87" t="s">
        <v>621</v>
      </c>
      <c r="O178" s="87" t="s">
        <v>621</v>
      </c>
      <c r="P178" s="207"/>
      <c r="Q178" s="53"/>
      <c r="R178" s="373"/>
      <c r="S178" s="195"/>
      <c r="T178" s="374"/>
      <c r="U178"/>
      <c r="V178" s="417"/>
    </row>
    <row r="179" ht="18.75" customHeight="1" spans="1:20">
      <c r="A179" s="32" t="s">
        <v>1913</v>
      </c>
      <c r="B179" s="233" t="s">
        <v>1875</v>
      </c>
      <c r="C179" s="42"/>
      <c r="D179" s="46"/>
      <c r="E179" s="57"/>
      <c r="F179" s="106" t="s">
        <v>4095</v>
      </c>
      <c r="G179" s="54" t="s">
        <v>4293</v>
      </c>
      <c r="H179" s="55"/>
      <c r="I179" s="64"/>
      <c r="J179" s="68"/>
      <c r="K179" s="68"/>
      <c r="L179" s="53">
        <v>7.1745</v>
      </c>
      <c r="M179" s="81" t="s">
        <v>4359</v>
      </c>
      <c r="N179" s="87" t="s">
        <v>621</v>
      </c>
      <c r="O179" s="87" t="s">
        <v>621</v>
      </c>
      <c r="P179" s="207"/>
      <c r="Q179" s="53"/>
      <c r="R179" s="373"/>
      <c r="S179" s="195"/>
      <c r="T179" s="374"/>
    </row>
    <row r="180" ht="16.5" spans="1:20">
      <c r="A180" s="32" t="s">
        <v>1913</v>
      </c>
      <c r="B180" s="233" t="s">
        <v>1875</v>
      </c>
      <c r="C180" s="192" t="s">
        <v>4163</v>
      </c>
      <c r="D180" s="46"/>
      <c r="E180" s="57"/>
      <c r="F180" s="106" t="s">
        <v>4093</v>
      </c>
      <c r="G180" s="57" t="s">
        <v>4360</v>
      </c>
      <c r="H180" s="204"/>
      <c r="I180" s="71"/>
      <c r="J180" s="68"/>
      <c r="K180" s="68"/>
      <c r="L180" s="53">
        <v>7.1745</v>
      </c>
      <c r="M180" s="81" t="s">
        <v>4167</v>
      </c>
      <c r="N180" s="87" t="s">
        <v>621</v>
      </c>
      <c r="O180" s="87" t="s">
        <v>621</v>
      </c>
      <c r="P180" s="207"/>
      <c r="Q180" s="53"/>
      <c r="R180" s="373"/>
      <c r="S180" s="195"/>
      <c r="T180" s="374"/>
    </row>
    <row r="181" ht="18.75" customHeight="1" spans="1:20">
      <c r="A181" s="32" t="s">
        <v>1913</v>
      </c>
      <c r="B181" s="233" t="s">
        <v>1875</v>
      </c>
      <c r="C181" s="37"/>
      <c r="D181" s="46"/>
      <c r="E181" s="57"/>
      <c r="F181" s="106" t="s">
        <v>4093</v>
      </c>
      <c r="G181" s="57" t="s">
        <v>4361</v>
      </c>
      <c r="H181" s="55"/>
      <c r="I181" s="71"/>
      <c r="J181" s="68"/>
      <c r="K181" s="68"/>
      <c r="L181" s="53">
        <v>7.1745</v>
      </c>
      <c r="M181" s="81" t="s">
        <v>4167</v>
      </c>
      <c r="N181" s="87" t="s">
        <v>621</v>
      </c>
      <c r="O181" s="87" t="s">
        <v>621</v>
      </c>
      <c r="P181" s="207"/>
      <c r="Q181" s="350"/>
      <c r="R181" s="41"/>
      <c r="S181" s="99"/>
      <c r="T181" s="380"/>
    </row>
    <row r="182" customFormat="1" ht="19.8" customHeight="1" spans="1:21">
      <c r="A182" s="115" t="s">
        <v>1984</v>
      </c>
      <c r="B182" s="462" t="s">
        <v>1824</v>
      </c>
      <c r="C182" s="40" t="s">
        <v>1120</v>
      </c>
      <c r="D182" s="35">
        <v>95</v>
      </c>
      <c r="E182" s="53"/>
      <c r="F182" s="106" t="s">
        <v>4087</v>
      </c>
      <c r="G182" s="53" t="s">
        <v>4362</v>
      </c>
      <c r="H182" s="55"/>
      <c r="I182" s="252"/>
      <c r="J182" s="72"/>
      <c r="K182" s="64"/>
      <c r="L182" s="53">
        <v>7.1745</v>
      </c>
      <c r="M182" s="364"/>
      <c r="N182" s="364">
        <v>45733</v>
      </c>
      <c r="O182" s="81">
        <v>45738</v>
      </c>
      <c r="P182" s="82"/>
      <c r="Q182" s="82"/>
      <c r="R182" s="82"/>
      <c r="S182" s="82"/>
      <c r="T182" s="126"/>
      <c r="U182" s="417"/>
    </row>
    <row r="183" customFormat="1" ht="16.5" spans="1:21">
      <c r="A183" s="115" t="s">
        <v>1984</v>
      </c>
      <c r="B183" s="462" t="s">
        <v>1824</v>
      </c>
      <c r="C183" s="40" t="s">
        <v>1120</v>
      </c>
      <c r="D183" s="35"/>
      <c r="E183" s="53"/>
      <c r="F183" s="106" t="s">
        <v>4087</v>
      </c>
      <c r="G183" s="53" t="s">
        <v>4363</v>
      </c>
      <c r="H183" s="55"/>
      <c r="I183" s="252"/>
      <c r="J183" s="72"/>
      <c r="K183" s="64"/>
      <c r="L183" s="53">
        <v>7.1745</v>
      </c>
      <c r="M183" s="364"/>
      <c r="N183" s="364">
        <v>45733</v>
      </c>
      <c r="O183" s="81">
        <v>45738</v>
      </c>
      <c r="P183" s="264"/>
      <c r="Q183" s="82"/>
      <c r="R183" s="82"/>
      <c r="S183" s="82"/>
      <c r="T183" s="126"/>
      <c r="U183" s="417"/>
    </row>
    <row r="184" customFormat="1" ht="16.5" spans="1:21">
      <c r="A184" s="115" t="s">
        <v>1984</v>
      </c>
      <c r="B184" s="462" t="s">
        <v>1824</v>
      </c>
      <c r="C184" s="40" t="s">
        <v>1120</v>
      </c>
      <c r="D184" s="35"/>
      <c r="E184" s="53"/>
      <c r="F184" s="106" t="s">
        <v>4087</v>
      </c>
      <c r="G184" s="53" t="s">
        <v>4364</v>
      </c>
      <c r="H184" s="55"/>
      <c r="I184" s="252"/>
      <c r="J184" s="72"/>
      <c r="K184" s="64"/>
      <c r="L184" s="53">
        <v>7.1745</v>
      </c>
      <c r="M184" s="463"/>
      <c r="N184" s="81">
        <v>45735</v>
      </c>
      <c r="O184" s="81">
        <v>45738</v>
      </c>
      <c r="P184" s="264"/>
      <c r="Q184" s="80"/>
      <c r="R184" s="278"/>
      <c r="S184" s="383"/>
      <c r="T184" s="384"/>
      <c r="U184" s="417"/>
    </row>
    <row r="185" customFormat="1" ht="16.5" spans="1:21">
      <c r="A185" s="115" t="s">
        <v>1984</v>
      </c>
      <c r="B185" s="462" t="s">
        <v>1824</v>
      </c>
      <c r="C185" s="40" t="s">
        <v>1120</v>
      </c>
      <c r="D185" s="35"/>
      <c r="E185" s="109"/>
      <c r="F185" s="106" t="s">
        <v>4087</v>
      </c>
      <c r="G185" s="53" t="s">
        <v>4365</v>
      </c>
      <c r="H185" s="55"/>
      <c r="I185" s="252"/>
      <c r="J185" s="72"/>
      <c r="K185" s="64"/>
      <c r="L185" s="53">
        <v>7.1745</v>
      </c>
      <c r="M185" s="463"/>
      <c r="N185" s="81"/>
      <c r="O185" s="81"/>
      <c r="P185" s="264"/>
      <c r="Q185" s="80"/>
      <c r="R185" s="278"/>
      <c r="S185" s="383"/>
      <c r="T185" s="383"/>
      <c r="U185" s="417"/>
    </row>
    <row r="186" customFormat="1" ht="16.5" spans="1:21">
      <c r="A186" s="115" t="s">
        <v>1984</v>
      </c>
      <c r="B186" s="462" t="s">
        <v>1824</v>
      </c>
      <c r="C186" s="40" t="s">
        <v>1120</v>
      </c>
      <c r="D186" s="35"/>
      <c r="E186" s="53"/>
      <c r="F186" s="201" t="s">
        <v>4087</v>
      </c>
      <c r="G186" s="53" t="s">
        <v>4366</v>
      </c>
      <c r="H186" s="55"/>
      <c r="I186" s="64"/>
      <c r="J186" s="72"/>
      <c r="K186" s="252"/>
      <c r="L186" s="53">
        <v>7.1745</v>
      </c>
      <c r="M186" s="463"/>
      <c r="N186" s="81"/>
      <c r="O186" s="81">
        <v>45719</v>
      </c>
      <c r="P186" s="82"/>
      <c r="Q186" s="385"/>
      <c r="R186" s="386"/>
      <c r="S186" s="387"/>
      <c r="T186" s="387"/>
      <c r="U186" s="417"/>
    </row>
    <row r="187" customFormat="1" ht="16.5" spans="1:21">
      <c r="A187" s="115" t="s">
        <v>1984</v>
      </c>
      <c r="B187" s="462" t="s">
        <v>1824</v>
      </c>
      <c r="C187" s="40" t="s">
        <v>1120</v>
      </c>
      <c r="D187" s="35"/>
      <c r="E187" s="53"/>
      <c r="F187" s="201" t="s">
        <v>4087</v>
      </c>
      <c r="G187" s="53" t="s">
        <v>4294</v>
      </c>
      <c r="H187" s="55"/>
      <c r="I187" s="64"/>
      <c r="J187" s="72"/>
      <c r="K187" s="252"/>
      <c r="L187" s="53">
        <v>7.1745</v>
      </c>
      <c r="M187" s="463"/>
      <c r="N187" s="81"/>
      <c r="O187" s="81">
        <v>45719</v>
      </c>
      <c r="P187" s="82"/>
      <c r="Q187" s="385"/>
      <c r="R187" s="386"/>
      <c r="S187" s="387"/>
      <c r="T187" s="387"/>
      <c r="U187" s="417"/>
    </row>
    <row r="188" customFormat="1" ht="16.5" spans="1:21">
      <c r="A188" s="115" t="s">
        <v>1984</v>
      </c>
      <c r="B188" s="462" t="s">
        <v>1824</v>
      </c>
      <c r="C188" s="40" t="s">
        <v>1120</v>
      </c>
      <c r="D188" s="35"/>
      <c r="E188" s="53"/>
      <c r="F188" s="201" t="s">
        <v>4087</v>
      </c>
      <c r="G188" s="53" t="s">
        <v>4295</v>
      </c>
      <c r="H188" s="55"/>
      <c r="I188" s="252"/>
      <c r="J188" s="64"/>
      <c r="K188" s="252"/>
      <c r="L188" s="53">
        <v>7.1745</v>
      </c>
      <c r="M188" s="364"/>
      <c r="N188" s="81"/>
      <c r="O188" s="81">
        <v>45719</v>
      </c>
      <c r="P188" s="82"/>
      <c r="Q188" s="388"/>
      <c r="R188" s="39"/>
      <c r="S188" s="280"/>
      <c r="T188" s="285"/>
      <c r="U188" s="417"/>
    </row>
    <row r="189" customFormat="1" ht="16.5" spans="1:21">
      <c r="A189" s="115" t="s">
        <v>1984</v>
      </c>
      <c r="B189" s="462" t="s">
        <v>1824</v>
      </c>
      <c r="C189" s="35" t="s">
        <v>509</v>
      </c>
      <c r="D189" s="35">
        <v>51</v>
      </c>
      <c r="E189" s="53"/>
      <c r="F189" s="236" t="s">
        <v>4090</v>
      </c>
      <c r="G189" s="106" t="s">
        <v>4199</v>
      </c>
      <c r="H189" s="56"/>
      <c r="I189" s="252"/>
      <c r="J189" s="64"/>
      <c r="K189" s="252"/>
      <c r="L189" s="53">
        <v>7.1745</v>
      </c>
      <c r="M189" s="364">
        <v>45726</v>
      </c>
      <c r="N189" s="81">
        <v>45738</v>
      </c>
      <c r="O189" s="81">
        <v>45740</v>
      </c>
      <c r="P189" s="382"/>
      <c r="Q189" s="388"/>
      <c r="R189" s="39"/>
      <c r="S189" s="280"/>
      <c r="T189" s="285"/>
      <c r="U189" s="417"/>
    </row>
    <row r="190" customFormat="1" ht="16.5" spans="1:21">
      <c r="A190" s="115" t="s">
        <v>1984</v>
      </c>
      <c r="B190" s="462" t="s">
        <v>1824</v>
      </c>
      <c r="C190" s="35" t="s">
        <v>509</v>
      </c>
      <c r="D190" s="35"/>
      <c r="E190" s="53"/>
      <c r="F190" s="236" t="s">
        <v>4090</v>
      </c>
      <c r="G190" s="230" t="s">
        <v>4296</v>
      </c>
      <c r="H190" s="259"/>
      <c r="I190" s="259"/>
      <c r="J190" s="259"/>
      <c r="K190" s="64"/>
      <c r="L190" s="53">
        <v>7.1745</v>
      </c>
      <c r="M190" s="81" t="s">
        <v>1644</v>
      </c>
      <c r="N190" s="81">
        <v>45714</v>
      </c>
      <c r="O190" s="81">
        <v>45718</v>
      </c>
      <c r="P190" s="382"/>
      <c r="Q190" s="388"/>
      <c r="R190" s="39"/>
      <c r="S190" s="280"/>
      <c r="T190" s="285"/>
      <c r="U190" s="417"/>
    </row>
    <row r="191" customFormat="1" ht="16.5" spans="1:21">
      <c r="A191" s="115" t="s">
        <v>1984</v>
      </c>
      <c r="B191" s="462" t="s">
        <v>1824</v>
      </c>
      <c r="C191" s="35" t="s">
        <v>509</v>
      </c>
      <c r="D191" s="35"/>
      <c r="E191" s="53"/>
      <c r="F191" s="381" t="s">
        <v>4090</v>
      </c>
      <c r="G191" s="248" t="s">
        <v>4297</v>
      </c>
      <c r="H191" s="259"/>
      <c r="I191" s="259"/>
      <c r="J191" s="259"/>
      <c r="K191" s="252"/>
      <c r="L191" s="53">
        <v>7.1745</v>
      </c>
      <c r="M191" s="81" t="s">
        <v>1644</v>
      </c>
      <c r="N191" s="81">
        <v>45713</v>
      </c>
      <c r="O191" s="87">
        <v>45717</v>
      </c>
      <c r="P191" s="266"/>
      <c r="Q191" s="388"/>
      <c r="R191" s="39"/>
      <c r="S191" s="280"/>
      <c r="T191" s="285"/>
      <c r="U191" s="417"/>
    </row>
    <row r="192" customFormat="1" ht="17.65" customHeight="1" spans="1:21">
      <c r="A192" s="115" t="s">
        <v>1984</v>
      </c>
      <c r="B192" s="462" t="s">
        <v>1824</v>
      </c>
      <c r="C192" s="35" t="s">
        <v>509</v>
      </c>
      <c r="D192" s="35"/>
      <c r="E192" s="53"/>
      <c r="F192" s="381" t="s">
        <v>4095</v>
      </c>
      <c r="G192" s="248" t="s">
        <v>1037</v>
      </c>
      <c r="H192" s="259"/>
      <c r="I192" s="259"/>
      <c r="J192" s="259"/>
      <c r="K192" s="252"/>
      <c r="L192" s="53">
        <v>7.1745</v>
      </c>
      <c r="M192" s="271">
        <v>45704</v>
      </c>
      <c r="N192" s="81">
        <v>45706</v>
      </c>
      <c r="O192" s="87" t="s">
        <v>3579</v>
      </c>
      <c r="P192" s="266"/>
      <c r="Q192" s="388"/>
      <c r="R192" s="39"/>
      <c r="S192" s="280"/>
      <c r="T192" s="285"/>
      <c r="U192" s="417"/>
    </row>
    <row r="193" customFormat="1" ht="16.5" spans="1:21">
      <c r="A193" s="115" t="s">
        <v>1984</v>
      </c>
      <c r="B193" s="462" t="s">
        <v>1824</v>
      </c>
      <c r="C193" s="34" t="s">
        <v>1393</v>
      </c>
      <c r="D193" s="35">
        <v>22</v>
      </c>
      <c r="E193" s="53"/>
      <c r="F193" s="54" t="s">
        <v>4113</v>
      </c>
      <c r="G193" s="248" t="s">
        <v>4213</v>
      </c>
      <c r="H193" s="55"/>
      <c r="I193" s="71"/>
      <c r="J193" s="361"/>
      <c r="K193" s="256"/>
      <c r="L193" s="53">
        <v>7.1745</v>
      </c>
      <c r="M193" s="81">
        <v>45741</v>
      </c>
      <c r="N193" s="81"/>
      <c r="O193" s="81">
        <v>45745</v>
      </c>
      <c r="P193" s="82"/>
      <c r="Q193" s="267"/>
      <c r="R193" s="207"/>
      <c r="S193" s="34"/>
      <c r="T193" s="72"/>
      <c r="U193" s="417"/>
    </row>
    <row r="194" customFormat="1" ht="16.5" spans="1:21">
      <c r="A194" s="115" t="s">
        <v>1984</v>
      </c>
      <c r="B194" s="462" t="s">
        <v>1824</v>
      </c>
      <c r="C194" s="34" t="s">
        <v>1393</v>
      </c>
      <c r="D194" s="35"/>
      <c r="E194" s="249"/>
      <c r="F194" s="58" t="s">
        <v>4090</v>
      </c>
      <c r="G194" s="219" t="s">
        <v>4367</v>
      </c>
      <c r="H194" s="239"/>
      <c r="I194" s="71"/>
      <c r="J194" s="259"/>
      <c r="K194" s="259"/>
      <c r="L194" s="53">
        <v>7.1745</v>
      </c>
      <c r="M194" s="81">
        <v>45740</v>
      </c>
      <c r="N194" s="259"/>
      <c r="O194" s="81" t="s">
        <v>3624</v>
      </c>
      <c r="P194" s="82"/>
      <c r="Q194" s="389"/>
      <c r="R194" s="278"/>
      <c r="S194" s="390"/>
      <c r="T194" s="383"/>
      <c r="U194" s="417"/>
    </row>
    <row r="195" customFormat="1" ht="16.5" spans="1:21">
      <c r="A195" s="115" t="s">
        <v>1984</v>
      </c>
      <c r="B195" s="462" t="s">
        <v>1824</v>
      </c>
      <c r="C195" s="34" t="s">
        <v>1393</v>
      </c>
      <c r="D195" s="35"/>
      <c r="E195" s="53"/>
      <c r="F195" s="54" t="s">
        <v>4090</v>
      </c>
      <c r="G195" s="72" t="s">
        <v>4304</v>
      </c>
      <c r="H195" s="55"/>
      <c r="I195" s="71"/>
      <c r="J195" s="253"/>
      <c r="K195" s="253"/>
      <c r="L195" s="53">
        <v>7.1745</v>
      </c>
      <c r="M195" s="81" t="s">
        <v>1644</v>
      </c>
      <c r="N195" s="81"/>
      <c r="O195" s="81" t="s">
        <v>3624</v>
      </c>
      <c r="P195" s="82"/>
      <c r="Q195" s="389"/>
      <c r="R195" s="278"/>
      <c r="S195" s="390"/>
      <c r="T195" s="383"/>
      <c r="U195" s="417"/>
    </row>
    <row r="196" customFormat="1" ht="16.5" spans="1:21">
      <c r="A196" s="115" t="s">
        <v>1984</v>
      </c>
      <c r="B196" s="462" t="s">
        <v>1824</v>
      </c>
      <c r="C196" s="34" t="s">
        <v>1393</v>
      </c>
      <c r="D196" s="35"/>
      <c r="E196" s="48"/>
      <c r="F196" s="54" t="s">
        <v>4090</v>
      </c>
      <c r="G196" s="72" t="s">
        <v>4368</v>
      </c>
      <c r="H196" s="71"/>
      <c r="I196" s="71"/>
      <c r="J196" s="253"/>
      <c r="K196" s="253"/>
      <c r="L196" s="53">
        <v>7.1745</v>
      </c>
      <c r="M196" s="81" t="s">
        <v>1644</v>
      </c>
      <c r="N196" s="81">
        <v>45735</v>
      </c>
      <c r="O196" s="81">
        <v>45741</v>
      </c>
      <c r="P196" s="82"/>
      <c r="Q196" s="389"/>
      <c r="R196" s="278"/>
      <c r="S196" s="390"/>
      <c r="T196" s="383"/>
      <c r="U196" s="417"/>
    </row>
    <row r="197" customFormat="1" ht="16.5" spans="1:21">
      <c r="A197" s="115" t="s">
        <v>1984</v>
      </c>
      <c r="B197" s="462" t="s">
        <v>1824</v>
      </c>
      <c r="C197" s="34" t="s">
        <v>1393</v>
      </c>
      <c r="D197" s="35"/>
      <c r="E197" s="109"/>
      <c r="F197" s="54" t="s">
        <v>4090</v>
      </c>
      <c r="G197" s="72" t="s">
        <v>4369</v>
      </c>
      <c r="H197" s="55"/>
      <c r="I197" s="64"/>
      <c r="J197" s="257"/>
      <c r="K197" s="258"/>
      <c r="L197" s="53">
        <v>7.1745</v>
      </c>
      <c r="M197" s="81"/>
      <c r="N197" s="268">
        <v>45740</v>
      </c>
      <c r="O197" s="81">
        <v>45742</v>
      </c>
      <c r="P197" s="136"/>
      <c r="Q197" s="389"/>
      <c r="R197" s="278"/>
      <c r="S197" s="390"/>
      <c r="T197" s="383"/>
      <c r="U197" s="417"/>
    </row>
    <row r="198" customFormat="1" ht="16.5" spans="1:21">
      <c r="A198" s="115" t="s">
        <v>1984</v>
      </c>
      <c r="B198" s="462" t="s">
        <v>1824</v>
      </c>
      <c r="C198" s="34" t="s">
        <v>1393</v>
      </c>
      <c r="D198" s="35"/>
      <c r="E198" s="53"/>
      <c r="F198" s="54" t="s">
        <v>4113</v>
      </c>
      <c r="G198" s="40" t="s">
        <v>4370</v>
      </c>
      <c r="H198" s="55"/>
      <c r="I198" s="259"/>
      <c r="J198" s="255"/>
      <c r="K198" s="64"/>
      <c r="L198" s="53">
        <v>7.1745</v>
      </c>
      <c r="M198" s="81"/>
      <c r="N198" s="81"/>
      <c r="O198" s="81">
        <v>45718</v>
      </c>
      <c r="P198" s="82"/>
      <c r="Q198" s="389"/>
      <c r="R198" s="278"/>
      <c r="S198" s="390"/>
      <c r="T198" s="383"/>
      <c r="U198" s="417"/>
    </row>
    <row r="199" ht="16.5" spans="1:21">
      <c r="A199" s="115" t="s">
        <v>1984</v>
      </c>
      <c r="B199" s="462" t="s">
        <v>1824</v>
      </c>
      <c r="C199" s="34" t="s">
        <v>1393</v>
      </c>
      <c r="D199" s="35"/>
      <c r="E199" s="53"/>
      <c r="F199" s="54" t="s">
        <v>4113</v>
      </c>
      <c r="G199" s="72" t="s">
        <v>4298</v>
      </c>
      <c r="H199" s="55"/>
      <c r="I199" s="253"/>
      <c r="J199" s="72"/>
      <c r="K199" s="238"/>
      <c r="L199" s="53">
        <v>7.1745</v>
      </c>
      <c r="M199" s="81"/>
      <c r="N199" s="81"/>
      <c r="O199" s="81">
        <v>45718</v>
      </c>
      <c r="P199" s="82"/>
      <c r="Q199" s="389"/>
      <c r="R199" s="278"/>
      <c r="S199" s="390"/>
      <c r="T199" s="383"/>
      <c r="U199" s="417"/>
    </row>
    <row r="200" ht="16.5" spans="1:21">
      <c r="A200" s="115" t="s">
        <v>1984</v>
      </c>
      <c r="B200" s="462" t="s">
        <v>1824</v>
      </c>
      <c r="C200" s="34" t="s">
        <v>1393</v>
      </c>
      <c r="D200" s="35"/>
      <c r="E200" s="53"/>
      <c r="F200" s="54" t="s">
        <v>4090</v>
      </c>
      <c r="G200" s="106" t="s">
        <v>4300</v>
      </c>
      <c r="H200" s="55"/>
      <c r="I200" s="64"/>
      <c r="J200" s="64"/>
      <c r="K200" s="64"/>
      <c r="L200" s="53">
        <v>7.1745</v>
      </c>
      <c r="M200" s="81"/>
      <c r="N200" s="81"/>
      <c r="O200" s="81">
        <v>45718</v>
      </c>
      <c r="P200" s="82"/>
      <c r="Q200" s="389"/>
      <c r="R200" s="278"/>
      <c r="S200" s="390"/>
      <c r="T200" s="383"/>
      <c r="U200" s="417"/>
    </row>
    <row r="201" ht="16.5" spans="1:21">
      <c r="A201" s="115" t="s">
        <v>1984</v>
      </c>
      <c r="B201" s="462" t="s">
        <v>1824</v>
      </c>
      <c r="C201" s="34" t="s">
        <v>1393</v>
      </c>
      <c r="D201" s="35"/>
      <c r="E201" s="53"/>
      <c r="F201" s="54"/>
      <c r="G201" s="72"/>
      <c r="H201" s="55"/>
      <c r="I201" s="64"/>
      <c r="J201" s="253"/>
      <c r="K201" s="253"/>
      <c r="L201" s="53">
        <v>7.1745</v>
      </c>
      <c r="M201" s="81"/>
      <c r="N201" s="81"/>
      <c r="O201" s="81"/>
      <c r="P201" s="82"/>
      <c r="Q201" s="267"/>
      <c r="R201" s="207"/>
      <c r="S201" s="399"/>
      <c r="T201" s="72"/>
      <c r="U201" s="417"/>
    </row>
    <row r="202" ht="16.5" spans="1:21">
      <c r="A202" s="115" t="s">
        <v>1984</v>
      </c>
      <c r="B202" s="462" t="s">
        <v>1824</v>
      </c>
      <c r="C202" s="42" t="s">
        <v>4196</v>
      </c>
      <c r="D202" s="38">
        <v>32</v>
      </c>
      <c r="E202" s="310"/>
      <c r="F202" s="236" t="s">
        <v>4095</v>
      </c>
      <c r="G202" s="285" t="s">
        <v>4371</v>
      </c>
      <c r="H202" s="239"/>
      <c r="I202" s="64"/>
      <c r="J202" s="261"/>
      <c r="K202" s="261"/>
      <c r="L202" s="53">
        <v>7.1745</v>
      </c>
      <c r="M202" s="81" t="s">
        <v>4372</v>
      </c>
      <c r="N202" s="81"/>
      <c r="O202" s="81">
        <v>45734</v>
      </c>
      <c r="P202" s="290"/>
      <c r="Q202" s="267"/>
      <c r="R202" s="207"/>
      <c r="S202" s="399"/>
      <c r="T202" s="72"/>
      <c r="U202" s="417"/>
    </row>
    <row r="203" ht="16.5" spans="1:21">
      <c r="A203" s="115" t="s">
        <v>1984</v>
      </c>
      <c r="B203" s="462" t="s">
        <v>1824</v>
      </c>
      <c r="C203" s="42" t="s">
        <v>4196</v>
      </c>
      <c r="D203" s="38"/>
      <c r="E203" s="35"/>
      <c r="F203" s="54" t="s">
        <v>4090</v>
      </c>
      <c r="G203" s="35" t="s">
        <v>4204</v>
      </c>
      <c r="H203" s="239"/>
      <c r="I203" s="64"/>
      <c r="J203" s="253"/>
      <c r="K203" s="253"/>
      <c r="L203" s="53">
        <v>7.1745</v>
      </c>
      <c r="M203" s="81">
        <v>45731</v>
      </c>
      <c r="N203" s="81">
        <v>45733</v>
      </c>
      <c r="O203" s="81">
        <v>45736</v>
      </c>
      <c r="P203" s="290"/>
      <c r="Q203" s="400"/>
      <c r="R203" s="35"/>
      <c r="S203" s="34"/>
      <c r="T203" s="72"/>
      <c r="U203" s="417"/>
    </row>
    <row r="204" ht="16.5" spans="1:20">
      <c r="A204" s="115" t="s">
        <v>1984</v>
      </c>
      <c r="B204" s="462" t="s">
        <v>1824</v>
      </c>
      <c r="C204" s="42" t="s">
        <v>4196</v>
      </c>
      <c r="D204" s="232"/>
      <c r="E204" s="391"/>
      <c r="F204" s="201" t="s">
        <v>4090</v>
      </c>
      <c r="G204" s="311" t="s">
        <v>4373</v>
      </c>
      <c r="H204" s="309"/>
      <c r="I204" s="253"/>
      <c r="J204" s="263"/>
      <c r="K204" s="263"/>
      <c r="L204" s="53">
        <v>7.1745</v>
      </c>
      <c r="M204" s="406"/>
      <c r="N204" s="275"/>
      <c r="O204" s="275"/>
      <c r="P204" s="274"/>
      <c r="Q204" s="80"/>
      <c r="R204" s="278"/>
      <c r="S204" s="343"/>
      <c r="T204" s="401"/>
    </row>
    <row r="205" ht="16.5" spans="1:21">
      <c r="A205" s="115" t="s">
        <v>1984</v>
      </c>
      <c r="B205" s="462" t="s">
        <v>1824</v>
      </c>
      <c r="C205" s="42" t="s">
        <v>4196</v>
      </c>
      <c r="D205" s="38"/>
      <c r="E205" s="249"/>
      <c r="F205" s="236" t="s">
        <v>4095</v>
      </c>
      <c r="G205" s="280" t="s">
        <v>4205</v>
      </c>
      <c r="H205" s="239"/>
      <c r="I205" s="64"/>
      <c r="J205" s="253"/>
      <c r="K205" s="464"/>
      <c r="L205" s="53">
        <v>7.1745</v>
      </c>
      <c r="M205" s="271">
        <v>45728</v>
      </c>
      <c r="N205" s="81">
        <v>45728</v>
      </c>
      <c r="O205" s="81">
        <v>45731</v>
      </c>
      <c r="P205" s="290"/>
      <c r="Q205" s="80"/>
      <c r="R205" s="278"/>
      <c r="S205" s="343"/>
      <c r="T205" s="401"/>
      <c r="U205" s="417"/>
    </row>
    <row r="206" customFormat="1" ht="33" spans="1:21">
      <c r="A206" s="115" t="s">
        <v>1984</v>
      </c>
      <c r="B206" s="454" t="s">
        <v>3248</v>
      </c>
      <c r="C206" s="53" t="s">
        <v>1120</v>
      </c>
      <c r="D206" s="231" t="s">
        <v>1125</v>
      </c>
      <c r="E206" s="53"/>
      <c r="F206" s="54"/>
      <c r="G206" s="53"/>
      <c r="H206" s="55"/>
      <c r="I206" s="72"/>
      <c r="J206" s="64"/>
      <c r="K206" s="253"/>
      <c r="L206" s="53">
        <v>7.1745</v>
      </c>
      <c r="M206" s="81"/>
      <c r="N206" s="81"/>
      <c r="O206" s="81"/>
      <c r="P206" s="82"/>
      <c r="Q206" s="82"/>
      <c r="R206" s="82"/>
      <c r="S206" s="82"/>
      <c r="T206" s="72"/>
      <c r="U206" s="417"/>
    </row>
    <row r="207" customFormat="1" ht="33" spans="1:21">
      <c r="A207" s="115" t="s">
        <v>1984</v>
      </c>
      <c r="B207" s="454" t="s">
        <v>3248</v>
      </c>
      <c r="C207" s="43" t="s">
        <v>509</v>
      </c>
      <c r="D207" s="35"/>
      <c r="E207" s="53"/>
      <c r="F207" s="236" t="s">
        <v>4090</v>
      </c>
      <c r="G207" s="230" t="s">
        <v>4374</v>
      </c>
      <c r="H207" s="55"/>
      <c r="I207" s="252"/>
      <c r="J207" s="252"/>
      <c r="K207" s="252"/>
      <c r="L207" s="53">
        <v>7.1745</v>
      </c>
      <c r="M207" s="364"/>
      <c r="N207" s="81"/>
      <c r="O207" s="81"/>
      <c r="P207" s="382"/>
      <c r="Q207" s="388"/>
      <c r="R207" s="39"/>
      <c r="S207" s="280"/>
      <c r="T207" s="285"/>
      <c r="U207" s="417"/>
    </row>
    <row r="208" ht="20.25" customHeight="1" spans="1:21">
      <c r="A208" s="115" t="s">
        <v>1984</v>
      </c>
      <c r="B208" s="454" t="s">
        <v>3248</v>
      </c>
      <c r="C208" s="35"/>
      <c r="D208" s="35"/>
      <c r="E208" s="53"/>
      <c r="F208" s="236" t="s">
        <v>4095</v>
      </c>
      <c r="G208" s="106" t="s">
        <v>4375</v>
      </c>
      <c r="H208" s="56"/>
      <c r="I208" s="392"/>
      <c r="J208" s="64"/>
      <c r="K208" s="252"/>
      <c r="L208" s="53">
        <v>7.1745</v>
      </c>
      <c r="M208" s="364">
        <v>45736</v>
      </c>
      <c r="N208" s="81"/>
      <c r="O208" s="81"/>
      <c r="P208" s="382"/>
      <c r="Q208" s="388"/>
      <c r="R208" s="39"/>
      <c r="S208" s="280"/>
      <c r="T208" s="285"/>
      <c r="U208" s="417"/>
    </row>
    <row r="209" ht="33" spans="1:21">
      <c r="A209" s="115" t="s">
        <v>1984</v>
      </c>
      <c r="B209" s="454" t="s">
        <v>3248</v>
      </c>
      <c r="C209" s="39"/>
      <c r="D209" s="35"/>
      <c r="E209" s="53"/>
      <c r="F209" s="247" t="s">
        <v>4192</v>
      </c>
      <c r="G209" s="248" t="s">
        <v>4210</v>
      </c>
      <c r="H209" s="56"/>
      <c r="I209" s="392"/>
      <c r="J209" s="252"/>
      <c r="K209" s="252"/>
      <c r="L209" s="53">
        <v>7.1745</v>
      </c>
      <c r="M209" s="364">
        <v>45741</v>
      </c>
      <c r="N209" s="81"/>
      <c r="O209" s="87"/>
      <c r="P209" s="266"/>
      <c r="Q209" s="388"/>
      <c r="R209" s="39"/>
      <c r="S209" s="280"/>
      <c r="T209" s="285"/>
      <c r="U209" s="417"/>
    </row>
    <row r="210" ht="33" spans="1:21">
      <c r="A210" s="115" t="s">
        <v>1984</v>
      </c>
      <c r="B210" s="454" t="s">
        <v>3248</v>
      </c>
      <c r="C210" s="53" t="s">
        <v>1393</v>
      </c>
      <c r="D210" s="232"/>
      <c r="E210" s="53"/>
      <c r="F210" s="54" t="s">
        <v>4113</v>
      </c>
      <c r="G210" s="44" t="s">
        <v>4376</v>
      </c>
      <c r="H210" s="55"/>
      <c r="I210" s="71"/>
      <c r="J210" s="255"/>
      <c r="K210" s="256"/>
      <c r="L210" s="53">
        <v>7.1745</v>
      </c>
      <c r="M210" s="81">
        <v>5.2</v>
      </c>
      <c r="N210" s="81"/>
      <c r="O210" s="81"/>
      <c r="P210" s="82"/>
      <c r="Q210" s="400"/>
      <c r="R210" s="35"/>
      <c r="S210" s="34"/>
      <c r="T210" s="72"/>
      <c r="U210" s="417"/>
    </row>
    <row r="211" ht="33" spans="1:21">
      <c r="A211" s="115" t="s">
        <v>1984</v>
      </c>
      <c r="B211" s="454" t="s">
        <v>3248</v>
      </c>
      <c r="C211" s="34"/>
      <c r="D211" s="35"/>
      <c r="E211" s="249"/>
      <c r="F211" s="279" t="s">
        <v>4090</v>
      </c>
      <c r="G211" s="44" t="s">
        <v>4306</v>
      </c>
      <c r="H211" s="239"/>
      <c r="I211" s="71"/>
      <c r="J211" s="261"/>
      <c r="K211" s="261"/>
      <c r="L211" s="53">
        <v>7.1745</v>
      </c>
      <c r="M211" s="81" t="s">
        <v>1251</v>
      </c>
      <c r="N211" s="81"/>
      <c r="O211" s="81" t="s">
        <v>3624</v>
      </c>
      <c r="P211" s="382"/>
      <c r="Q211" s="267"/>
      <c r="R211" s="207"/>
      <c r="S211" s="399"/>
      <c r="T211" s="72"/>
      <c r="U211" s="417"/>
    </row>
    <row r="212" ht="33" spans="1:21">
      <c r="A212" s="115" t="s">
        <v>1984</v>
      </c>
      <c r="B212" s="454" t="s">
        <v>3248</v>
      </c>
      <c r="C212" s="53"/>
      <c r="D212" s="35"/>
      <c r="E212" s="249"/>
      <c r="F212" s="279" t="s">
        <v>4090</v>
      </c>
      <c r="G212" s="219" t="s">
        <v>4377</v>
      </c>
      <c r="H212" s="239"/>
      <c r="I212" s="71"/>
      <c r="J212" s="261"/>
      <c r="K212" s="261"/>
      <c r="L212" s="53">
        <v>7.1745</v>
      </c>
      <c r="M212" s="81">
        <v>45741</v>
      </c>
      <c r="N212" s="81"/>
      <c r="O212" s="81" t="s">
        <v>3624</v>
      </c>
      <c r="P212" s="82"/>
      <c r="Q212" s="389"/>
      <c r="R212" s="278"/>
      <c r="S212" s="390"/>
      <c r="T212" s="383"/>
      <c r="U212" s="417"/>
    </row>
    <row r="213" ht="33" spans="1:21">
      <c r="A213" s="115" t="s">
        <v>1984</v>
      </c>
      <c r="B213" s="454" t="s">
        <v>3248</v>
      </c>
      <c r="C213" s="53"/>
      <c r="D213" s="232"/>
      <c r="E213" s="53"/>
      <c r="F213" s="54" t="s">
        <v>4090</v>
      </c>
      <c r="G213" s="72" t="s">
        <v>4378</v>
      </c>
      <c r="H213" s="55"/>
      <c r="I213" s="64"/>
      <c r="J213" s="257"/>
      <c r="K213" s="258"/>
      <c r="L213" s="53">
        <v>7.1745</v>
      </c>
      <c r="M213" s="81"/>
      <c r="N213" s="268"/>
      <c r="O213" s="81"/>
      <c r="P213" s="136"/>
      <c r="Q213" s="400"/>
      <c r="R213" s="35"/>
      <c r="S213" s="34"/>
      <c r="T213" s="72"/>
      <c r="U213" s="417"/>
    </row>
    <row r="214" ht="33" spans="1:21">
      <c r="A214" s="115" t="s">
        <v>1984</v>
      </c>
      <c r="B214" s="454" t="s">
        <v>3248</v>
      </c>
      <c r="C214" s="43" t="s">
        <v>4196</v>
      </c>
      <c r="D214" s="232"/>
      <c r="E214" s="35"/>
      <c r="F214" s="54" t="s">
        <v>4090</v>
      </c>
      <c r="G214" s="35" t="s">
        <v>4379</v>
      </c>
      <c r="H214" s="239"/>
      <c r="I214" s="64"/>
      <c r="J214" s="253"/>
      <c r="K214" s="253"/>
      <c r="L214" s="53">
        <v>7.1745</v>
      </c>
      <c r="M214" s="401"/>
      <c r="N214" s="268"/>
      <c r="O214" s="268"/>
      <c r="P214" s="136"/>
      <c r="Q214" s="400"/>
      <c r="R214" s="35"/>
      <c r="S214" s="34"/>
      <c r="T214" s="72"/>
      <c r="U214" s="417"/>
    </row>
    <row r="215" ht="33" spans="1:21">
      <c r="A215" s="115" t="s">
        <v>1984</v>
      </c>
      <c r="B215" s="454" t="s">
        <v>3248</v>
      </c>
      <c r="C215" s="277"/>
      <c r="D215" s="35"/>
      <c r="E215" s="249"/>
      <c r="F215" s="236" t="s">
        <v>4090</v>
      </c>
      <c r="G215" s="39" t="s">
        <v>1975</v>
      </c>
      <c r="H215" s="239"/>
      <c r="I215" s="64"/>
      <c r="J215" s="261"/>
      <c r="K215" s="261"/>
      <c r="L215" s="53"/>
      <c r="M215" s="406"/>
      <c r="N215" s="275"/>
      <c r="O215" s="275"/>
      <c r="P215" s="136"/>
      <c r="Q215" s="80"/>
      <c r="R215" s="278"/>
      <c r="S215" s="383"/>
      <c r="T215" s="383"/>
      <c r="U215" s="417"/>
    </row>
    <row r="216" ht="33" spans="1:21">
      <c r="A216" s="115" t="s">
        <v>1984</v>
      </c>
      <c r="B216" s="454" t="s">
        <v>3248</v>
      </c>
      <c r="C216" s="42"/>
      <c r="D216" s="46"/>
      <c r="E216" s="53"/>
      <c r="F216" s="54"/>
      <c r="G216" s="106"/>
      <c r="H216" s="55"/>
      <c r="I216" s="64"/>
      <c r="J216" s="465"/>
      <c r="K216" s="465"/>
      <c r="L216" s="53">
        <v>7.1745</v>
      </c>
      <c r="M216" s="271"/>
      <c r="N216" s="271"/>
      <c r="O216" s="271"/>
      <c r="P216" s="466"/>
      <c r="Q216" s="402"/>
      <c r="R216" s="403"/>
      <c r="S216" s="404"/>
      <c r="T216" s="387"/>
      <c r="U216" s="417"/>
    </row>
    <row r="217" ht="16.5" spans="1:20">
      <c r="A217" s="115" t="s">
        <v>1984</v>
      </c>
      <c r="B217" s="174" t="s">
        <v>1875</v>
      </c>
      <c r="C217" s="234" t="s">
        <v>1120</v>
      </c>
      <c r="D217" s="43" t="s">
        <v>1125</v>
      </c>
      <c r="E217" s="53"/>
      <c r="F217" s="106"/>
      <c r="G217" s="53"/>
      <c r="H217" s="55"/>
      <c r="I217" s="64"/>
      <c r="J217" s="72"/>
      <c r="K217" s="64"/>
      <c r="L217" s="53">
        <v>7.1745</v>
      </c>
      <c r="M217" s="364"/>
      <c r="N217" s="81"/>
      <c r="O217" s="81"/>
      <c r="P217" s="264"/>
      <c r="Q217" s="80"/>
      <c r="R217" s="278"/>
      <c r="S217" s="383"/>
      <c r="T217" s="383"/>
    </row>
    <row r="218" ht="16.5" spans="1:20">
      <c r="A218" s="115" t="s">
        <v>1984</v>
      </c>
      <c r="B218" s="174" t="s">
        <v>1875</v>
      </c>
      <c r="C218" s="277"/>
      <c r="D218" s="38"/>
      <c r="E218" s="53"/>
      <c r="F218" s="106"/>
      <c r="G218" s="106"/>
      <c r="H218" s="55"/>
      <c r="I218" s="253"/>
      <c r="J218" s="287"/>
      <c r="K218" s="287"/>
      <c r="L218" s="53">
        <v>7.1745</v>
      </c>
      <c r="M218" s="275"/>
      <c r="N218" s="275"/>
      <c r="O218" s="397"/>
      <c r="P218" s="274"/>
      <c r="Q218" s="80"/>
      <c r="R218" s="278"/>
      <c r="S218" s="383"/>
      <c r="T218" s="383"/>
    </row>
    <row r="219" ht="16.5" spans="1:20">
      <c r="A219" s="115" t="s">
        <v>1984</v>
      </c>
      <c r="B219" s="174" t="s">
        <v>1875</v>
      </c>
      <c r="C219" s="53" t="s">
        <v>509</v>
      </c>
      <c r="D219" s="35" t="s">
        <v>1125</v>
      </c>
      <c r="E219" s="106"/>
      <c r="F219" s="54" t="s">
        <v>4188</v>
      </c>
      <c r="G219" s="106" t="s">
        <v>4206</v>
      </c>
      <c r="H219" s="55"/>
      <c r="I219" s="253"/>
      <c r="J219" s="252"/>
      <c r="K219" s="64"/>
      <c r="L219" s="53">
        <v>7.1745</v>
      </c>
      <c r="M219" s="81"/>
      <c r="N219" s="81"/>
      <c r="O219" s="81"/>
      <c r="P219" s="89"/>
      <c r="Q219" s="80"/>
      <c r="R219" s="278"/>
      <c r="S219" s="383"/>
      <c r="T219" s="383"/>
    </row>
    <row r="220" ht="16.5" spans="1:20">
      <c r="A220" s="115" t="s">
        <v>1984</v>
      </c>
      <c r="B220" s="174" t="s">
        <v>1875</v>
      </c>
      <c r="C220" s="53"/>
      <c r="D220" s="278"/>
      <c r="E220" s="53"/>
      <c r="F220" s="247" t="s">
        <v>4207</v>
      </c>
      <c r="G220" s="248" t="s">
        <v>4208</v>
      </c>
      <c r="H220" s="55"/>
      <c r="I220" s="253"/>
      <c r="J220" s="252"/>
      <c r="K220" s="252"/>
      <c r="L220" s="53">
        <v>7.1745</v>
      </c>
      <c r="M220" s="289"/>
      <c r="N220" s="81"/>
      <c r="O220" s="87"/>
      <c r="P220" s="266"/>
      <c r="Q220" s="80"/>
      <c r="R220" s="278"/>
      <c r="S220" s="383"/>
      <c r="T220" s="383"/>
    </row>
    <row r="221" ht="16.5" spans="1:20">
      <c r="A221" s="115" t="s">
        <v>1984</v>
      </c>
      <c r="B221" s="174" t="s">
        <v>1875</v>
      </c>
      <c r="C221" s="53"/>
      <c r="D221" s="35"/>
      <c r="E221" s="53"/>
      <c r="F221" s="247" t="s">
        <v>4207</v>
      </c>
      <c r="G221" s="248" t="s">
        <v>4209</v>
      </c>
      <c r="H221" s="55"/>
      <c r="I221" s="253"/>
      <c r="J221" s="252"/>
      <c r="K221" s="252"/>
      <c r="L221" s="53">
        <v>7.1745</v>
      </c>
      <c r="M221" s="289"/>
      <c r="N221" s="81"/>
      <c r="O221" s="87"/>
      <c r="P221" s="266"/>
      <c r="Q221" s="80"/>
      <c r="R221" s="278"/>
      <c r="S221" s="383"/>
      <c r="T221" s="383"/>
    </row>
    <row r="222" ht="16.5" spans="1:20">
      <c r="A222" s="115" t="s">
        <v>1984</v>
      </c>
      <c r="B222" s="174" t="s">
        <v>1875</v>
      </c>
      <c r="C222" s="53"/>
      <c r="D222" s="38"/>
      <c r="E222" s="53"/>
      <c r="F222" s="247" t="s">
        <v>4090</v>
      </c>
      <c r="G222" s="248" t="s">
        <v>4374</v>
      </c>
      <c r="H222" s="55"/>
      <c r="I222" s="253"/>
      <c r="J222" s="252"/>
      <c r="K222" s="252"/>
      <c r="L222" s="53">
        <v>7.1745</v>
      </c>
      <c r="M222" s="289"/>
      <c r="N222" s="81"/>
      <c r="O222" s="87"/>
      <c r="P222" s="266"/>
      <c r="Q222" s="402"/>
      <c r="R222" s="403"/>
      <c r="S222" s="404"/>
      <c r="T222" s="387"/>
    </row>
    <row r="223" ht="16.5" spans="1:20">
      <c r="A223" s="115" t="s">
        <v>1984</v>
      </c>
      <c r="B223" s="174" t="s">
        <v>1875</v>
      </c>
      <c r="C223" s="53"/>
      <c r="D223" s="46"/>
      <c r="E223" s="53"/>
      <c r="F223" s="54" t="s">
        <v>4139</v>
      </c>
      <c r="G223" s="248" t="s">
        <v>4380</v>
      </c>
      <c r="H223" s="55"/>
      <c r="I223" s="393"/>
      <c r="J223" s="394"/>
      <c r="K223" s="395"/>
      <c r="L223" s="53">
        <v>7.1745</v>
      </c>
      <c r="M223" s="271"/>
      <c r="N223" s="268"/>
      <c r="O223" s="81"/>
      <c r="P223" s="136"/>
      <c r="Q223" s="402"/>
      <c r="R223" s="403"/>
      <c r="S223" s="405"/>
      <c r="T223" s="406"/>
    </row>
    <row r="224" ht="16.5" spans="1:20">
      <c r="A224" s="115" t="s">
        <v>1984</v>
      </c>
      <c r="B224" s="174" t="s">
        <v>1875</v>
      </c>
      <c r="C224" s="117" t="s">
        <v>1393</v>
      </c>
      <c r="D224" s="46"/>
      <c r="E224" s="53"/>
      <c r="F224" s="54" t="s">
        <v>4090</v>
      </c>
      <c r="G224" s="72" t="s">
        <v>4381</v>
      </c>
      <c r="H224" s="259"/>
      <c r="I224" s="64"/>
      <c r="J224" s="257"/>
      <c r="K224" s="258"/>
      <c r="L224" s="53">
        <v>7.1745</v>
      </c>
      <c r="M224" s="81"/>
      <c r="N224" s="268"/>
      <c r="O224" s="81"/>
      <c r="P224" s="136"/>
      <c r="Q224" s="402"/>
      <c r="R224" s="403"/>
      <c r="S224" s="405"/>
      <c r="T224" s="406"/>
    </row>
    <row r="225" ht="16.5" spans="1:20">
      <c r="A225" s="115" t="s">
        <v>1984</v>
      </c>
      <c r="B225" s="174" t="s">
        <v>1875</v>
      </c>
      <c r="C225" s="233"/>
      <c r="D225" s="35"/>
      <c r="E225" s="249"/>
      <c r="F225" s="54" t="s">
        <v>4113</v>
      </c>
      <c r="G225" s="280" t="s">
        <v>4382</v>
      </c>
      <c r="H225" s="55"/>
      <c r="I225" s="64"/>
      <c r="J225" s="261"/>
      <c r="K225" s="261"/>
      <c r="L225" s="53">
        <v>7.1745</v>
      </c>
      <c r="M225" s="81"/>
      <c r="N225" s="81"/>
      <c r="O225" s="81"/>
      <c r="P225" s="136"/>
      <c r="Q225" s="80"/>
      <c r="R225" s="278"/>
      <c r="S225" s="383"/>
      <c r="T225" s="383"/>
    </row>
    <row r="226" ht="16.5" spans="1:20">
      <c r="A226" s="115" t="s">
        <v>1984</v>
      </c>
      <c r="B226" s="174" t="s">
        <v>1875</v>
      </c>
      <c r="C226" s="233"/>
      <c r="D226" s="35"/>
      <c r="E226" s="249"/>
      <c r="F226" s="205" t="s">
        <v>4090</v>
      </c>
      <c r="G226" s="280"/>
      <c r="H226" s="204"/>
      <c r="I226" s="286"/>
      <c r="J226" s="261"/>
      <c r="K226" s="261"/>
      <c r="L226" s="53"/>
      <c r="M226" s="271"/>
      <c r="N226" s="271"/>
      <c r="O226" s="81"/>
      <c r="P226" s="274"/>
      <c r="Q226" s="407"/>
      <c r="R226" s="386"/>
      <c r="S226" s="383"/>
      <c r="T226" s="383"/>
    </row>
    <row r="227" ht="36.1" customHeight="1" spans="1:20">
      <c r="A227" s="115" t="s">
        <v>1984</v>
      </c>
      <c r="B227" s="174" t="s">
        <v>1875</v>
      </c>
      <c r="C227" s="233"/>
      <c r="D227" s="35"/>
      <c r="E227" s="249"/>
      <c r="F227" s="205" t="s">
        <v>4090</v>
      </c>
      <c r="G227" s="280" t="s">
        <v>4383</v>
      </c>
      <c r="H227" s="204"/>
      <c r="I227" s="286"/>
      <c r="J227" s="261"/>
      <c r="K227" s="261"/>
      <c r="L227" s="53"/>
      <c r="M227" s="271"/>
      <c r="N227" s="271"/>
      <c r="O227" s="81"/>
      <c r="P227" s="274"/>
      <c r="Q227" s="407"/>
      <c r="R227" s="386"/>
      <c r="S227" s="383"/>
      <c r="T227" s="383"/>
    </row>
    <row r="228" ht="16.5" spans="1:20">
      <c r="A228" s="115" t="s">
        <v>1984</v>
      </c>
      <c r="B228" s="174" t="s">
        <v>1875</v>
      </c>
      <c r="C228" s="59"/>
      <c r="D228" s="35"/>
      <c r="E228" s="249"/>
      <c r="F228" s="279" t="s">
        <v>4090</v>
      </c>
      <c r="G228" s="219" t="s">
        <v>4384</v>
      </c>
      <c r="H228" s="239"/>
      <c r="I228" s="71"/>
      <c r="J228" s="261"/>
      <c r="K228" s="261"/>
      <c r="L228" s="53">
        <v>7.1745</v>
      </c>
      <c r="M228" s="81"/>
      <c r="N228" s="81"/>
      <c r="O228" s="81">
        <v>4</v>
      </c>
      <c r="P228" s="82"/>
      <c r="Q228" s="407"/>
      <c r="R228" s="386"/>
      <c r="S228" s="383"/>
      <c r="T228" s="383"/>
    </row>
    <row r="229" ht="16.5" spans="1:20">
      <c r="A229" s="115" t="s">
        <v>1984</v>
      </c>
      <c r="B229" s="174" t="s">
        <v>1875</v>
      </c>
      <c r="C229" s="53" t="s">
        <v>4196</v>
      </c>
      <c r="D229" s="35"/>
      <c r="E229" s="59"/>
      <c r="F229" s="365" t="s">
        <v>4090</v>
      </c>
      <c r="G229" s="365" t="s">
        <v>4307</v>
      </c>
      <c r="H229" s="204"/>
      <c r="I229" s="324"/>
      <c r="J229" s="287"/>
      <c r="K229" s="287"/>
      <c r="L229" s="53">
        <v>7.1745</v>
      </c>
      <c r="M229" s="275"/>
      <c r="N229" s="275"/>
      <c r="O229" s="81"/>
      <c r="P229" s="398"/>
      <c r="Q229" s="397"/>
      <c r="R229" s="408"/>
      <c r="S229" s="383"/>
      <c r="T229" s="383"/>
    </row>
    <row r="230" ht="16.5" spans="1:20">
      <c r="A230" s="115" t="s">
        <v>1984</v>
      </c>
      <c r="B230" s="174" t="s">
        <v>1875</v>
      </c>
      <c r="C230" s="53"/>
      <c r="D230" s="35"/>
      <c r="E230" s="310"/>
      <c r="F230" s="236" t="s">
        <v>4095</v>
      </c>
      <c r="G230" s="285" t="s">
        <v>4309</v>
      </c>
      <c r="H230" s="309"/>
      <c r="I230" s="64"/>
      <c r="J230" s="261"/>
      <c r="K230" s="261"/>
      <c r="L230" s="53">
        <v>7.1745</v>
      </c>
      <c r="M230" s="271"/>
      <c r="N230" s="271"/>
      <c r="O230" s="81"/>
      <c r="P230" s="290"/>
      <c r="Q230" s="409"/>
      <c r="R230" s="408"/>
      <c r="S230" s="383"/>
      <c r="T230" s="383"/>
    </row>
    <row r="231" ht="16.5" spans="1:20">
      <c r="A231" s="115" t="s">
        <v>1984</v>
      </c>
      <c r="B231" s="174" t="s">
        <v>1875</v>
      </c>
      <c r="C231" s="53"/>
      <c r="D231" s="35"/>
      <c r="E231" s="310"/>
      <c r="F231" s="236" t="s">
        <v>4090</v>
      </c>
      <c r="G231" s="285" t="s">
        <v>4308</v>
      </c>
      <c r="H231" s="309"/>
      <c r="I231" s="64"/>
      <c r="J231" s="261"/>
      <c r="K231" s="261"/>
      <c r="L231" s="53">
        <v>7.1745</v>
      </c>
      <c r="M231" s="275"/>
      <c r="N231" s="275"/>
      <c r="O231" s="81"/>
      <c r="P231" s="382"/>
      <c r="Q231" s="397"/>
      <c r="R231" s="408"/>
      <c r="S231" s="383"/>
      <c r="T231" s="383"/>
    </row>
    <row r="232" ht="16.5" spans="1:20">
      <c r="A232" s="115" t="s">
        <v>1984</v>
      </c>
      <c r="B232" s="174" t="s">
        <v>1875</v>
      </c>
      <c r="C232" s="53"/>
      <c r="D232" s="35"/>
      <c r="E232" s="53"/>
      <c r="F232" s="106" t="s">
        <v>4090</v>
      </c>
      <c r="G232" s="106" t="s">
        <v>4310</v>
      </c>
      <c r="H232" s="55"/>
      <c r="I232" s="253"/>
      <c r="J232" s="287"/>
      <c r="K232" s="287"/>
      <c r="L232" s="53">
        <v>7.1745</v>
      </c>
      <c r="M232" s="275"/>
      <c r="N232" s="275"/>
      <c r="O232" s="397"/>
      <c r="P232" s="382"/>
      <c r="Q232" s="397"/>
      <c r="R232" s="408"/>
      <c r="S232" s="383"/>
      <c r="T232" s="383"/>
    </row>
    <row r="233" ht="16.5" spans="1:20">
      <c r="A233" s="115" t="s">
        <v>1984</v>
      </c>
      <c r="B233" s="174" t="s">
        <v>1875</v>
      </c>
      <c r="C233" s="53"/>
      <c r="D233" s="35"/>
      <c r="E233" s="53"/>
      <c r="F233" s="201" t="s">
        <v>4090</v>
      </c>
      <c r="G233" s="246" t="s">
        <v>4214</v>
      </c>
      <c r="H233" s="308"/>
      <c r="I233" s="253"/>
      <c r="J233" s="66"/>
      <c r="K233" s="67"/>
      <c r="L233" s="53">
        <v>7.1745</v>
      </c>
      <c r="M233" s="81"/>
      <c r="N233" s="81"/>
      <c r="O233" s="268"/>
      <c r="P233" s="382"/>
      <c r="Q233" s="268"/>
      <c r="R233" s="86"/>
      <c r="S233" s="383"/>
      <c r="T233" s="383"/>
    </row>
    <row r="234" ht="16.5" spans="1:20">
      <c r="A234" s="115" t="s">
        <v>1984</v>
      </c>
      <c r="B234" s="174" t="s">
        <v>1875</v>
      </c>
      <c r="C234" s="40"/>
      <c r="D234" s="232"/>
      <c r="E234" s="249"/>
      <c r="F234" s="236" t="s">
        <v>4095</v>
      </c>
      <c r="G234" s="280" t="s">
        <v>4311</v>
      </c>
      <c r="H234" s="309"/>
      <c r="I234" s="253"/>
      <c r="J234" s="261"/>
      <c r="K234" s="261"/>
      <c r="L234" s="53">
        <v>7.1745</v>
      </c>
      <c r="M234" s="271"/>
      <c r="N234" s="467"/>
      <c r="O234" s="468"/>
      <c r="P234" s="413"/>
      <c r="Q234" s="400"/>
      <c r="R234" s="35"/>
      <c r="S234" s="34"/>
      <c r="T234" s="66"/>
    </row>
    <row r="235" ht="16.5" spans="1:20">
      <c r="A235" s="115" t="s">
        <v>1984</v>
      </c>
      <c r="B235" s="174" t="s">
        <v>1875</v>
      </c>
      <c r="C235" s="40"/>
      <c r="D235" s="232"/>
      <c r="E235" s="53"/>
      <c r="F235" s="201" t="s">
        <v>4090</v>
      </c>
      <c r="G235" s="246" t="s">
        <v>382</v>
      </c>
      <c r="H235" s="309"/>
      <c r="I235" s="253"/>
      <c r="J235" s="263"/>
      <c r="K235" s="263"/>
      <c r="L235" s="53">
        <v>7.1745</v>
      </c>
      <c r="M235" s="406"/>
      <c r="N235" s="275"/>
      <c r="O235" s="275"/>
      <c r="P235" s="274"/>
      <c r="Q235" s="80"/>
      <c r="R235" s="278"/>
      <c r="S235" s="343"/>
      <c r="T235" s="401"/>
    </row>
    <row r="236" ht="16.5" spans="1:20">
      <c r="A236" s="115" t="s">
        <v>1984</v>
      </c>
      <c r="B236" s="174" t="s">
        <v>1875</v>
      </c>
      <c r="C236" s="40"/>
      <c r="D236" s="232"/>
      <c r="E236" s="249"/>
      <c r="F236" s="201" t="s">
        <v>4090</v>
      </c>
      <c r="G236" s="311" t="s">
        <v>4385</v>
      </c>
      <c r="H236" s="309"/>
      <c r="I236" s="253"/>
      <c r="J236" s="263"/>
      <c r="K236" s="263"/>
      <c r="L236" s="53">
        <v>7.1745</v>
      </c>
      <c r="M236" s="406"/>
      <c r="N236" s="275"/>
      <c r="O236" s="275"/>
      <c r="P236" s="274"/>
      <c r="Q236" s="80"/>
      <c r="R236" s="278"/>
      <c r="S236" s="343"/>
      <c r="T236" s="401"/>
    </row>
    <row r="237" ht="16.5" spans="1:20">
      <c r="A237" s="115" t="s">
        <v>1984</v>
      </c>
      <c r="B237" s="174" t="s">
        <v>1875</v>
      </c>
      <c r="C237" s="40"/>
      <c r="D237" s="232"/>
      <c r="E237" s="249"/>
      <c r="F237" s="201" t="s">
        <v>4090</v>
      </c>
      <c r="G237" s="311" t="s">
        <v>4386</v>
      </c>
      <c r="H237" s="309"/>
      <c r="I237" s="253"/>
      <c r="J237" s="263"/>
      <c r="K237" s="263"/>
      <c r="L237" s="53"/>
      <c r="M237" s="406"/>
      <c r="N237" s="275"/>
      <c r="O237" s="275"/>
      <c r="P237" s="274"/>
      <c r="Q237" s="80"/>
      <c r="R237" s="278"/>
      <c r="S237" s="343"/>
      <c r="T237" s="401"/>
    </row>
    <row r="238" ht="16.5" spans="1:20">
      <c r="A238" s="115" t="s">
        <v>1984</v>
      </c>
      <c r="B238" s="174" t="s">
        <v>1875</v>
      </c>
      <c r="C238" s="53"/>
      <c r="D238" s="38"/>
      <c r="E238" s="249"/>
      <c r="F238" s="201" t="s">
        <v>4090</v>
      </c>
      <c r="G238" s="280" t="s">
        <v>4387</v>
      </c>
      <c r="H238" s="309"/>
      <c r="I238" s="253"/>
      <c r="J238" s="261"/>
      <c r="K238" s="261"/>
      <c r="L238" s="53"/>
      <c r="M238" s="379"/>
      <c r="N238" s="275"/>
      <c r="O238" s="275"/>
      <c r="P238" s="398"/>
      <c r="Q238" s="415"/>
      <c r="R238" s="416"/>
      <c r="S238" s="383"/>
      <c r="T238" s="383"/>
    </row>
    <row r="239" ht="16.5" spans="1:20">
      <c r="A239" s="115" t="s">
        <v>1984</v>
      </c>
      <c r="B239" s="174" t="s">
        <v>1875</v>
      </c>
      <c r="C239" s="53"/>
      <c r="D239" s="38"/>
      <c r="E239" s="249"/>
      <c r="F239" s="201" t="s">
        <v>4090</v>
      </c>
      <c r="G239" s="280" t="s">
        <v>4388</v>
      </c>
      <c r="H239" s="309"/>
      <c r="I239" s="253"/>
      <c r="J239" s="261"/>
      <c r="K239" s="261"/>
      <c r="L239" s="53"/>
      <c r="M239" s="379"/>
      <c r="N239" s="275"/>
      <c r="O239" s="275"/>
      <c r="P239" s="398"/>
      <c r="Q239" s="415"/>
      <c r="R239" s="416"/>
      <c r="S239" s="383"/>
      <c r="T239" s="383"/>
    </row>
    <row r="240" ht="16.5" spans="1:20">
      <c r="A240" s="115" t="s">
        <v>1984</v>
      </c>
      <c r="B240" s="174" t="s">
        <v>1875</v>
      </c>
      <c r="C240" s="53"/>
      <c r="D240" s="35"/>
      <c r="E240" s="249"/>
      <c r="F240" s="236" t="s">
        <v>4090</v>
      </c>
      <c r="G240" s="280" t="s">
        <v>4215</v>
      </c>
      <c r="H240" s="309"/>
      <c r="I240" s="253"/>
      <c r="J240" s="261"/>
      <c r="K240" s="261"/>
      <c r="L240" s="53">
        <v>7.1745</v>
      </c>
      <c r="M240" s="379"/>
      <c r="N240" s="275"/>
      <c r="O240" s="275"/>
      <c r="P240" s="382"/>
      <c r="Q240" s="415"/>
      <c r="R240" s="416"/>
      <c r="S240" s="383"/>
      <c r="T240" s="383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U240" etc:filterBottomFollowUsedRange="1">
    <extLst/>
  </autoFilter>
  <mergeCells count="54">
    <mergeCell ref="A1:S1"/>
    <mergeCell ref="P182:S182"/>
    <mergeCell ref="P206:S206"/>
    <mergeCell ref="C16:C19"/>
    <mergeCell ref="C20:C22"/>
    <mergeCell ref="C24:C26"/>
    <mergeCell ref="C28:C32"/>
    <mergeCell ref="C33:C38"/>
    <mergeCell ref="C39:C43"/>
    <mergeCell ref="C44:C50"/>
    <mergeCell ref="C69:C76"/>
    <mergeCell ref="C77:C81"/>
    <mergeCell ref="C82:C93"/>
    <mergeCell ref="C96:C116"/>
    <mergeCell ref="C125:C134"/>
    <mergeCell ref="C159:C161"/>
    <mergeCell ref="C163:C169"/>
    <mergeCell ref="C170:C179"/>
    <mergeCell ref="C180:C181"/>
    <mergeCell ref="C207:C209"/>
    <mergeCell ref="C210:C213"/>
    <mergeCell ref="C214:C216"/>
    <mergeCell ref="C217:C218"/>
    <mergeCell ref="C219:C223"/>
    <mergeCell ref="C224:C228"/>
    <mergeCell ref="C229:C240"/>
    <mergeCell ref="D4:D5"/>
    <mergeCell ref="D6:D8"/>
    <mergeCell ref="D10:D14"/>
    <mergeCell ref="D15:D25"/>
    <mergeCell ref="D27:D49"/>
    <mergeCell ref="D51:D57"/>
    <mergeCell ref="D58:D67"/>
    <mergeCell ref="D69:D81"/>
    <mergeCell ref="D82:D113"/>
    <mergeCell ref="D135:D142"/>
    <mergeCell ref="D143:D145"/>
    <mergeCell ref="D146:D154"/>
    <mergeCell ref="D159:D161"/>
    <mergeCell ref="D163:D181"/>
    <mergeCell ref="D182:D188"/>
    <mergeCell ref="D189:D192"/>
    <mergeCell ref="D193:D201"/>
    <mergeCell ref="D202:D205"/>
    <mergeCell ref="D206:D216"/>
    <mergeCell ref="D217:D218"/>
    <mergeCell ref="D219:D240"/>
    <mergeCell ref="E135:E139"/>
    <mergeCell ref="E140:E142"/>
    <mergeCell ref="E147:E148"/>
    <mergeCell ref="F135:F139"/>
    <mergeCell ref="F140:F142"/>
    <mergeCell ref="F147:F148"/>
    <mergeCell ref="R11:R12"/>
  </mergeCells>
  <dataValidations count="3">
    <dataValidation type="list" allowBlank="1" showErrorMessage="1" errorTitle="错误提示" error="请输入下拉列表中的值" id="{e3cc978c-dad8-47be-a37a-77e1ed18047e}" sqref="B241:B1048576">
      <formula1>"本月预计发货订单,已确认订单（明确本月不发货）,洽谈中"</formula1>
    </dataValidation>
    <dataValidation type="list" allowBlank="1" showErrorMessage="1" errorTitle="错误提示" error="请输入下拉列表中的值" sqref="F241:F1048576">
      <formula1>"经销商增量-占比高,经销商增量-占比低,经销商开发,ODM开发,ODM增量,现有连锁增量,区域新连锁开发,全球新连锁开发,其他"</formula1>
    </dataValidation>
    <dataValidation allowBlank="1" showErrorMessage="1" sqref="A1:U240" errorStyle="information"/>
  </dataValidations>
  <pageMargins left="0.75" right="0.75" top="1" bottom="1" header="0.5" footer="0.5"/>
  <headerFooter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5"/>
  <sheetViews>
    <sheetView topLeftCell="C180" workbookViewId="0">
      <selection activeCell="C3" sqref="C3:V60"/>
    </sheetView>
  </sheetViews>
  <sheetFormatPr defaultColWidth="9" defaultRowHeight="13.5"/>
  <cols>
    <col min="1" max="2" width="9" style="259"/>
    <col min="3" max="3" width="22.75" style="259" customWidth="1"/>
    <col min="4" max="4" width="12.25" style="259"/>
    <col min="5" max="6" width="9" style="259"/>
    <col min="7" max="7" width="12.25" style="259"/>
    <col min="8" max="8" width="9.25" style="259"/>
    <col min="9" max="11" width="12" style="259"/>
    <col min="12" max="16384" width="9" style="259"/>
  </cols>
  <sheetData>
    <row r="1" ht="21" spans="1:20">
      <c r="A1" s="338" t="s">
        <v>4389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40"/>
      <c r="O1" s="340"/>
      <c r="P1" s="341"/>
      <c r="Q1" s="338"/>
      <c r="R1" s="338"/>
      <c r="S1" s="338"/>
      <c r="T1" s="34"/>
    </row>
    <row r="2" ht="148.5" spans="1:20">
      <c r="A2" s="29" t="s">
        <v>1092</v>
      </c>
      <c r="B2" s="29" t="s">
        <v>1820</v>
      </c>
      <c r="C2" s="30" t="s">
        <v>1946</v>
      </c>
      <c r="D2" s="31" t="s">
        <v>3619</v>
      </c>
      <c r="E2" s="31" t="s">
        <v>1822</v>
      </c>
      <c r="F2" s="50" t="s">
        <v>4081</v>
      </c>
      <c r="G2" s="51" t="s">
        <v>1095</v>
      </c>
      <c r="H2" s="52" t="s">
        <v>4082</v>
      </c>
      <c r="I2" s="62" t="s">
        <v>1716</v>
      </c>
      <c r="J2" s="62" t="s">
        <v>1717</v>
      </c>
      <c r="K2" s="62" t="s">
        <v>1718</v>
      </c>
      <c r="L2" s="63" t="s">
        <v>1866</v>
      </c>
      <c r="M2" s="78" t="s">
        <v>1098</v>
      </c>
      <c r="N2" s="79" t="s">
        <v>3620</v>
      </c>
      <c r="O2" s="79" t="s">
        <v>1214</v>
      </c>
      <c r="P2" s="80" t="s">
        <v>4313</v>
      </c>
      <c r="Q2" s="342" t="s">
        <v>7</v>
      </c>
      <c r="R2" s="278" t="s">
        <v>8</v>
      </c>
      <c r="S2" s="343" t="s">
        <v>9</v>
      </c>
      <c r="T2" s="70" t="s">
        <v>1291</v>
      </c>
    </row>
    <row r="3" ht="33" spans="1:20">
      <c r="A3" s="36" t="s">
        <v>4084</v>
      </c>
      <c r="B3" s="106" t="s">
        <v>1824</v>
      </c>
      <c r="C3" s="34" t="s">
        <v>2382</v>
      </c>
      <c r="D3" s="35"/>
      <c r="E3" s="53"/>
      <c r="F3" s="54"/>
      <c r="G3" s="55"/>
      <c r="H3" s="55"/>
      <c r="I3" s="64"/>
      <c r="J3" s="64"/>
      <c r="K3" s="64"/>
      <c r="L3" s="65"/>
      <c r="M3" s="81"/>
      <c r="N3" s="81"/>
      <c r="O3" s="81"/>
      <c r="P3" s="82"/>
      <c r="Q3" s="344"/>
      <c r="R3" s="41"/>
      <c r="S3" s="99"/>
      <c r="T3" s="72"/>
    </row>
    <row r="4" ht="33" spans="1:20">
      <c r="A4" s="36"/>
      <c r="B4" s="106" t="s">
        <v>1824</v>
      </c>
      <c r="C4" s="34" t="s">
        <v>4085</v>
      </c>
      <c r="D4" s="35"/>
      <c r="E4" s="109"/>
      <c r="F4" s="54" t="s">
        <v>4139</v>
      </c>
      <c r="G4" s="55" t="s">
        <v>4390</v>
      </c>
      <c r="H4" s="55"/>
      <c r="I4" s="64"/>
      <c r="J4" s="64"/>
      <c r="K4" s="64"/>
      <c r="L4" s="53">
        <v>7.1745</v>
      </c>
      <c r="M4" s="81">
        <v>45777</v>
      </c>
      <c r="N4" s="81"/>
      <c r="O4" s="81"/>
      <c r="P4" s="82"/>
      <c r="Q4" s="344"/>
      <c r="R4" s="41"/>
      <c r="S4" s="99"/>
      <c r="T4" s="72"/>
    </row>
    <row r="5" ht="33" spans="1:20">
      <c r="A5" s="36"/>
      <c r="B5" s="106" t="s">
        <v>1824</v>
      </c>
      <c r="C5" s="34" t="s">
        <v>4085</v>
      </c>
      <c r="D5" s="35"/>
      <c r="E5" s="109"/>
      <c r="F5" s="58" t="s">
        <v>4207</v>
      </c>
      <c r="G5" s="48" t="s">
        <v>4324</v>
      </c>
      <c r="H5" s="56"/>
      <c r="I5" s="66"/>
      <c r="J5" s="68"/>
      <c r="K5" s="68"/>
      <c r="L5" s="53">
        <v>7.1745</v>
      </c>
      <c r="M5" s="81">
        <v>45777</v>
      </c>
      <c r="N5" s="84"/>
      <c r="O5" s="85"/>
      <c r="P5" s="82"/>
      <c r="Q5" s="344"/>
      <c r="R5" s="41"/>
      <c r="S5" s="99"/>
      <c r="T5" s="72"/>
    </row>
    <row r="6" ht="33" spans="1:20">
      <c r="A6" s="36"/>
      <c r="B6" s="106" t="s">
        <v>1824</v>
      </c>
      <c r="C6" s="34" t="s">
        <v>4085</v>
      </c>
      <c r="D6" s="41"/>
      <c r="E6" s="109"/>
      <c r="F6" s="54" t="s">
        <v>4081</v>
      </c>
      <c r="G6" s="48" t="s">
        <v>4315</v>
      </c>
      <c r="H6" s="56"/>
      <c r="I6" s="66"/>
      <c r="J6" s="68"/>
      <c r="K6" s="68"/>
      <c r="L6" s="53">
        <v>7.1745</v>
      </c>
      <c r="M6" s="111"/>
      <c r="N6" s="84">
        <v>45744</v>
      </c>
      <c r="O6" s="85">
        <f>'[1]2025.03'!O5</f>
        <v>45747</v>
      </c>
      <c r="P6" s="86"/>
      <c r="Q6" s="69"/>
      <c r="R6" s="165"/>
      <c r="S6" s="69"/>
      <c r="T6" s="69"/>
    </row>
    <row r="7" ht="33" spans="1:20">
      <c r="A7" s="36"/>
      <c r="B7" s="106" t="s">
        <v>1824</v>
      </c>
      <c r="C7" s="40" t="s">
        <v>3748</v>
      </c>
      <c r="D7" s="41">
        <v>120</v>
      </c>
      <c r="E7" s="53"/>
      <c r="F7" s="58" t="s">
        <v>4093</v>
      </c>
      <c r="G7" s="53" t="s">
        <v>4226</v>
      </c>
      <c r="H7" s="55"/>
      <c r="I7" s="71"/>
      <c r="J7" s="70"/>
      <c r="K7" s="70"/>
      <c r="L7" s="53">
        <v>7.1745</v>
      </c>
      <c r="M7" s="81">
        <v>45757</v>
      </c>
      <c r="N7" s="88"/>
      <c r="O7" s="88"/>
      <c r="P7" s="89"/>
      <c r="Q7" s="98"/>
      <c r="R7" s="41"/>
      <c r="S7" s="40"/>
      <c r="T7" s="72"/>
    </row>
    <row r="8" ht="33" spans="1:20">
      <c r="A8" s="36"/>
      <c r="B8" s="106" t="s">
        <v>1824</v>
      </c>
      <c r="C8" s="40" t="s">
        <v>3748</v>
      </c>
      <c r="D8" s="41"/>
      <c r="E8" s="53"/>
      <c r="F8" s="54" t="s">
        <v>4139</v>
      </c>
      <c r="G8" s="57" t="s">
        <v>4391</v>
      </c>
      <c r="H8" s="56"/>
      <c r="I8" s="71"/>
      <c r="J8" s="67"/>
      <c r="K8" s="71"/>
      <c r="L8" s="53">
        <v>7.1745</v>
      </c>
      <c r="M8" s="81">
        <v>45776</v>
      </c>
      <c r="N8" s="87"/>
      <c r="O8" s="87"/>
      <c r="P8" s="86"/>
      <c r="Q8" s="69"/>
      <c r="R8" s="165"/>
      <c r="S8" s="69"/>
      <c r="T8" s="69"/>
    </row>
    <row r="9" ht="33" spans="1:20">
      <c r="A9" s="36"/>
      <c r="B9" s="106" t="s">
        <v>1824</v>
      </c>
      <c r="C9" s="40" t="s">
        <v>3748</v>
      </c>
      <c r="D9" s="41"/>
      <c r="E9" s="53"/>
      <c r="F9" s="54" t="s">
        <v>4087</v>
      </c>
      <c r="G9" s="57" t="s">
        <v>4392</v>
      </c>
      <c r="H9" s="56"/>
      <c r="I9" s="71"/>
      <c r="J9" s="67"/>
      <c r="K9" s="71"/>
      <c r="L9" s="53">
        <v>7.1745</v>
      </c>
      <c r="M9" s="81" t="s">
        <v>4115</v>
      </c>
      <c r="N9" s="87"/>
      <c r="O9" s="87"/>
      <c r="P9" s="86"/>
      <c r="Q9" s="69"/>
      <c r="R9" s="165"/>
      <c r="S9" s="69"/>
      <c r="T9" s="69"/>
    </row>
    <row r="10" ht="33" spans="1:20">
      <c r="A10" s="36"/>
      <c r="B10" s="106" t="s">
        <v>1824</v>
      </c>
      <c r="C10" s="40" t="s">
        <v>3748</v>
      </c>
      <c r="D10" s="41"/>
      <c r="E10" s="53"/>
      <c r="F10" s="54" t="s">
        <v>4113</v>
      </c>
      <c r="G10" s="57" t="s">
        <v>4119</v>
      </c>
      <c r="H10" s="56"/>
      <c r="I10" s="71"/>
      <c r="J10" s="69"/>
      <c r="K10" s="69"/>
      <c r="L10" s="53">
        <v>7.1745</v>
      </c>
      <c r="M10" s="81" t="s">
        <v>4319</v>
      </c>
      <c r="N10" s="96"/>
      <c r="O10" s="97"/>
      <c r="P10" s="86"/>
      <c r="Q10" s="69"/>
      <c r="R10" s="165"/>
      <c r="S10" s="69"/>
      <c r="T10" s="69"/>
    </row>
    <row r="11" ht="33" spans="1:20">
      <c r="A11" s="36"/>
      <c r="B11" s="106" t="s">
        <v>1824</v>
      </c>
      <c r="C11" s="34" t="s">
        <v>4092</v>
      </c>
      <c r="D11" s="41"/>
      <c r="E11" s="53"/>
      <c r="F11" s="54" t="s">
        <v>4122</v>
      </c>
      <c r="G11" s="53" t="s">
        <v>4227</v>
      </c>
      <c r="H11" s="56"/>
      <c r="I11" s="71"/>
      <c r="J11" s="73"/>
      <c r="K11" s="72"/>
      <c r="L11" s="53">
        <v>7.1745</v>
      </c>
      <c r="M11" s="81">
        <v>45762</v>
      </c>
      <c r="N11" s="81"/>
      <c r="O11" s="81"/>
      <c r="P11" s="82"/>
      <c r="Q11" s="345"/>
      <c r="R11" s="346"/>
      <c r="S11" s="99"/>
      <c r="T11" s="72"/>
    </row>
    <row r="12" ht="33" spans="1:20">
      <c r="A12" s="36"/>
      <c r="B12" s="106" t="s">
        <v>1824</v>
      </c>
      <c r="C12" s="34" t="s">
        <v>4092</v>
      </c>
      <c r="D12" s="41"/>
      <c r="E12" s="53"/>
      <c r="F12" s="54" t="s">
        <v>4122</v>
      </c>
      <c r="G12" s="53" t="s">
        <v>4229</v>
      </c>
      <c r="H12" s="56"/>
      <c r="I12" s="71"/>
      <c r="J12" s="73"/>
      <c r="K12" s="72"/>
      <c r="L12" s="53">
        <v>7.1745</v>
      </c>
      <c r="M12" s="85">
        <v>45777</v>
      </c>
      <c r="N12" s="84"/>
      <c r="O12" s="85"/>
      <c r="P12" s="82"/>
      <c r="Q12" s="98"/>
      <c r="R12" s="41"/>
      <c r="S12" s="99"/>
      <c r="T12" s="100"/>
    </row>
    <row r="13" ht="33" spans="1:20">
      <c r="A13" s="36"/>
      <c r="B13" s="106" t="s">
        <v>1824</v>
      </c>
      <c r="C13" s="34" t="s">
        <v>4092</v>
      </c>
      <c r="D13" s="41"/>
      <c r="E13" s="224"/>
      <c r="F13" s="54" t="s">
        <v>4090</v>
      </c>
      <c r="G13" s="53" t="s">
        <v>4393</v>
      </c>
      <c r="H13" s="56"/>
      <c r="I13" s="71"/>
      <c r="J13" s="73"/>
      <c r="K13" s="72"/>
      <c r="L13" s="53">
        <v>7.1745</v>
      </c>
      <c r="M13" s="85">
        <v>45764</v>
      </c>
      <c r="N13" s="84"/>
      <c r="O13" s="85"/>
      <c r="P13" s="90"/>
      <c r="Q13" s="98"/>
      <c r="R13" s="41"/>
      <c r="S13" s="99"/>
      <c r="T13" s="100"/>
    </row>
    <row r="14" ht="33" spans="1:20">
      <c r="A14" s="36"/>
      <c r="B14" s="106" t="s">
        <v>1824</v>
      </c>
      <c r="C14" s="40" t="s">
        <v>2361</v>
      </c>
      <c r="D14" s="35"/>
      <c r="E14" s="109"/>
      <c r="F14" s="54" t="s">
        <v>4113</v>
      </c>
      <c r="G14" s="57" t="s">
        <v>4114</v>
      </c>
      <c r="H14" s="56"/>
      <c r="I14" s="71"/>
      <c r="J14" s="67"/>
      <c r="K14" s="71"/>
      <c r="L14" s="53">
        <v>7.1775</v>
      </c>
      <c r="M14" s="81" t="s">
        <v>4115</v>
      </c>
      <c r="N14" s="87">
        <v>45738</v>
      </c>
      <c r="O14" s="87">
        <v>45753</v>
      </c>
      <c r="P14" s="86"/>
      <c r="Q14" s="347"/>
      <c r="R14" s="346"/>
      <c r="S14" s="99"/>
      <c r="T14" s="72"/>
    </row>
    <row r="15" ht="33" spans="1:20">
      <c r="A15" s="36"/>
      <c r="B15" s="106" t="s">
        <v>1824</v>
      </c>
      <c r="C15" s="40" t="s">
        <v>2361</v>
      </c>
      <c r="D15" s="35"/>
      <c r="E15" s="53"/>
      <c r="F15" s="54" t="s">
        <v>4095</v>
      </c>
      <c r="G15" s="53" t="s">
        <v>4245</v>
      </c>
      <c r="H15" s="55"/>
      <c r="I15" s="71"/>
      <c r="J15" s="73"/>
      <c r="K15" s="72"/>
      <c r="L15" s="53">
        <v>7.1775</v>
      </c>
      <c r="M15" s="85" t="s">
        <v>4115</v>
      </c>
      <c r="N15" s="84">
        <v>45741</v>
      </c>
      <c r="O15" s="85">
        <v>45745</v>
      </c>
      <c r="P15" s="82"/>
      <c r="Q15" s="81"/>
      <c r="R15" s="346"/>
      <c r="S15" s="99"/>
      <c r="T15" s="72"/>
    </row>
    <row r="16" ht="33" spans="1:20">
      <c r="A16" s="36"/>
      <c r="B16" s="106" t="s">
        <v>1824</v>
      </c>
      <c r="C16" s="40" t="s">
        <v>2361</v>
      </c>
      <c r="D16" s="35"/>
      <c r="E16" s="53"/>
      <c r="F16" s="54" t="s">
        <v>4122</v>
      </c>
      <c r="G16" s="53" t="s">
        <v>4394</v>
      </c>
      <c r="H16" s="56"/>
      <c r="I16" s="71"/>
      <c r="J16" s="73"/>
      <c r="K16" s="72"/>
      <c r="L16" s="53">
        <v>7.1775</v>
      </c>
      <c r="M16" s="85">
        <v>45797</v>
      </c>
      <c r="N16" s="84"/>
      <c r="O16" s="85"/>
      <c r="P16" s="90"/>
      <c r="Q16" s="347"/>
      <c r="R16" s="346"/>
      <c r="S16" s="99"/>
      <c r="T16" s="72"/>
    </row>
    <row r="17" ht="33" spans="1:20">
      <c r="A17" s="36"/>
      <c r="B17" s="106" t="s">
        <v>1824</v>
      </c>
      <c r="C17" s="40" t="s">
        <v>2361</v>
      </c>
      <c r="D17" s="35"/>
      <c r="E17" s="57"/>
      <c r="F17" s="54" t="s">
        <v>4095</v>
      </c>
      <c r="G17" s="53" t="s">
        <v>4395</v>
      </c>
      <c r="H17" s="56"/>
      <c r="I17" s="71"/>
      <c r="J17" s="73"/>
      <c r="K17" s="72"/>
      <c r="L17" s="53">
        <v>7.1775</v>
      </c>
      <c r="M17" s="85"/>
      <c r="N17" s="84"/>
      <c r="O17" s="85"/>
      <c r="P17" s="90"/>
      <c r="Q17" s="68"/>
      <c r="R17" s="68"/>
      <c r="S17" s="99"/>
      <c r="T17" s="348"/>
    </row>
    <row r="18" ht="33" spans="1:20">
      <c r="A18" s="36"/>
      <c r="B18" s="106" t="s">
        <v>1824</v>
      </c>
      <c r="C18" s="40" t="s">
        <v>2361</v>
      </c>
      <c r="D18" s="41"/>
      <c r="E18" s="109"/>
      <c r="F18" s="53" t="s">
        <v>4095</v>
      </c>
      <c r="G18" s="53" t="s">
        <v>4231</v>
      </c>
      <c r="H18" s="56"/>
      <c r="I18" s="71"/>
      <c r="J18" s="339"/>
      <c r="K18" s="339"/>
      <c r="L18" s="53">
        <v>7.1775</v>
      </c>
      <c r="M18" s="268"/>
      <c r="N18" s="92"/>
      <c r="O18" s="92"/>
      <c r="P18" s="90"/>
      <c r="Q18" s="68"/>
      <c r="R18" s="68"/>
      <c r="S18" s="99"/>
      <c r="T18" s="348"/>
    </row>
    <row r="19" ht="49.5" spans="1:20">
      <c r="A19" s="36"/>
      <c r="B19" s="106" t="s">
        <v>3248</v>
      </c>
      <c r="C19" s="40" t="s">
        <v>3748</v>
      </c>
      <c r="D19" s="41"/>
      <c r="E19" s="53"/>
      <c r="F19" s="58"/>
      <c r="G19" s="53"/>
      <c r="H19" s="55"/>
      <c r="I19" s="71"/>
      <c r="J19" s="70"/>
      <c r="K19" s="70"/>
      <c r="L19" s="53"/>
      <c r="M19" s="81"/>
      <c r="N19" s="88"/>
      <c r="O19" s="88"/>
      <c r="P19" s="89"/>
      <c r="Q19" s="98"/>
      <c r="R19" s="41"/>
      <c r="S19" s="40"/>
      <c r="T19" s="72"/>
    </row>
    <row r="20" ht="49.5" spans="1:20">
      <c r="A20" s="36"/>
      <c r="B20" s="106" t="s">
        <v>3248</v>
      </c>
      <c r="C20" s="40" t="s">
        <v>3748</v>
      </c>
      <c r="D20" s="41"/>
      <c r="E20" s="53"/>
      <c r="F20" s="54" t="s">
        <v>4139</v>
      </c>
      <c r="G20" s="57" t="s">
        <v>4396</v>
      </c>
      <c r="H20" s="56"/>
      <c r="I20" s="71"/>
      <c r="J20" s="67"/>
      <c r="K20" s="71"/>
      <c r="L20" s="53">
        <v>7.1745</v>
      </c>
      <c r="M20" s="81">
        <v>45778</v>
      </c>
      <c r="N20" s="87"/>
      <c r="O20" s="87"/>
      <c r="P20" s="86"/>
      <c r="Q20" s="69"/>
      <c r="R20" s="165"/>
      <c r="S20" s="69"/>
      <c r="T20" s="69"/>
    </row>
    <row r="21" ht="49.5" spans="1:20">
      <c r="A21" s="36"/>
      <c r="B21" s="106" t="s">
        <v>3248</v>
      </c>
      <c r="C21" s="40" t="s">
        <v>3748</v>
      </c>
      <c r="D21" s="41"/>
      <c r="E21" s="53"/>
      <c r="F21" s="58" t="s">
        <v>4093</v>
      </c>
      <c r="G21" s="53" t="s">
        <v>4318</v>
      </c>
      <c r="H21" s="55"/>
      <c r="I21" s="71"/>
      <c r="J21" s="70"/>
      <c r="K21" s="70"/>
      <c r="L21" s="53">
        <v>7.1745</v>
      </c>
      <c r="M21" s="81">
        <v>45792</v>
      </c>
      <c r="N21" s="88"/>
      <c r="O21" s="88"/>
      <c r="P21" s="89"/>
      <c r="Q21" s="98"/>
      <c r="R21" s="41"/>
      <c r="S21" s="40"/>
      <c r="T21" s="72"/>
    </row>
    <row r="22" ht="49.5" spans="1:20">
      <c r="A22" s="36"/>
      <c r="B22" s="106" t="s">
        <v>3248</v>
      </c>
      <c r="C22" s="40" t="s">
        <v>3748</v>
      </c>
      <c r="D22" s="41">
        <v>40</v>
      </c>
      <c r="E22" s="48"/>
      <c r="F22" s="54" t="s">
        <v>4081</v>
      </c>
      <c r="G22" s="57" t="s">
        <v>4397</v>
      </c>
      <c r="H22" s="56"/>
      <c r="I22" s="71"/>
      <c r="J22" s="71"/>
      <c r="K22" s="77"/>
      <c r="L22" s="53">
        <v>7.1745</v>
      </c>
      <c r="M22" s="95">
        <v>45778</v>
      </c>
      <c r="N22" s="94"/>
      <c r="O22" s="83"/>
      <c r="P22" s="86"/>
      <c r="Q22" s="69"/>
      <c r="R22" s="165"/>
      <c r="S22" s="69"/>
      <c r="T22" s="69"/>
    </row>
    <row r="23" ht="49.5" spans="1:20">
      <c r="A23" s="36"/>
      <c r="B23" s="106" t="s">
        <v>3248</v>
      </c>
      <c r="C23" s="40" t="s">
        <v>3748</v>
      </c>
      <c r="D23" s="41"/>
      <c r="E23" s="53"/>
      <c r="F23" s="54"/>
      <c r="G23" s="57"/>
      <c r="H23" s="56"/>
      <c r="I23" s="71"/>
      <c r="J23" s="69"/>
      <c r="K23" s="69"/>
      <c r="L23" s="53">
        <v>7.1745</v>
      </c>
      <c r="M23" s="81"/>
      <c r="N23" s="96"/>
      <c r="O23" s="97"/>
      <c r="P23" s="86"/>
      <c r="Q23" s="69"/>
      <c r="R23" s="165"/>
      <c r="S23" s="69"/>
      <c r="T23" s="69"/>
    </row>
    <row r="24" ht="49.5" spans="1:20">
      <c r="A24" s="36"/>
      <c r="B24" s="106" t="s">
        <v>3248</v>
      </c>
      <c r="C24" s="34" t="s">
        <v>4092</v>
      </c>
      <c r="D24" s="41"/>
      <c r="E24" s="57"/>
      <c r="F24" s="54" t="s">
        <v>4122</v>
      </c>
      <c r="G24" s="53" t="s">
        <v>4320</v>
      </c>
      <c r="H24" s="56"/>
      <c r="I24" s="71"/>
      <c r="J24" s="73"/>
      <c r="K24" s="72"/>
      <c r="L24" s="53">
        <v>7.1745</v>
      </c>
      <c r="M24" s="85">
        <v>45802</v>
      </c>
      <c r="N24" s="84"/>
      <c r="O24" s="85"/>
      <c r="P24" s="82"/>
      <c r="Q24" s="98"/>
      <c r="R24" s="41"/>
      <c r="S24" s="99"/>
      <c r="T24" s="100"/>
    </row>
    <row r="25" ht="49.5" spans="1:20">
      <c r="A25" s="36"/>
      <c r="B25" s="106" t="s">
        <v>3248</v>
      </c>
      <c r="C25" s="34" t="s">
        <v>4092</v>
      </c>
      <c r="D25" s="41"/>
      <c r="E25" s="53"/>
      <c r="F25" s="54"/>
      <c r="G25" s="53"/>
      <c r="H25" s="56"/>
      <c r="I25" s="71"/>
      <c r="J25" s="73"/>
      <c r="K25" s="72"/>
      <c r="L25" s="53">
        <v>7.1745</v>
      </c>
      <c r="M25" s="85"/>
      <c r="N25" s="84"/>
      <c r="O25" s="85"/>
      <c r="P25" s="82"/>
      <c r="Q25" s="98"/>
      <c r="R25" s="41"/>
      <c r="S25" s="99"/>
      <c r="T25" s="100"/>
    </row>
    <row r="26" ht="49.5" spans="1:20">
      <c r="A26" s="36"/>
      <c r="B26" s="106" t="s">
        <v>3248</v>
      </c>
      <c r="C26" s="40" t="s">
        <v>2361</v>
      </c>
      <c r="D26" s="41"/>
      <c r="E26" s="53"/>
      <c r="F26" s="54" t="s">
        <v>4122</v>
      </c>
      <c r="G26" s="53" t="s">
        <v>4398</v>
      </c>
      <c r="H26" s="56"/>
      <c r="I26" s="71"/>
      <c r="J26" s="67"/>
      <c r="K26" s="71"/>
      <c r="L26" s="53">
        <v>7.1775</v>
      </c>
      <c r="M26" s="81"/>
      <c r="N26" s="87"/>
      <c r="O26" s="87"/>
      <c r="P26" s="86"/>
      <c r="Q26" s="98"/>
      <c r="R26" s="41"/>
      <c r="S26" s="99"/>
      <c r="T26" s="100"/>
    </row>
    <row r="27" ht="49.5" spans="1:20">
      <c r="A27" s="36"/>
      <c r="B27" s="106" t="s">
        <v>3248</v>
      </c>
      <c r="C27" s="40" t="s">
        <v>2361</v>
      </c>
      <c r="D27" s="41"/>
      <c r="E27" s="53"/>
      <c r="F27" s="54" t="s">
        <v>4122</v>
      </c>
      <c r="G27" s="53" t="s">
        <v>4399</v>
      </c>
      <c r="H27" s="56"/>
      <c r="I27" s="71"/>
      <c r="J27" s="73"/>
      <c r="K27" s="72"/>
      <c r="L27" s="53">
        <v>7.1775</v>
      </c>
      <c r="M27" s="85"/>
      <c r="N27" s="84"/>
      <c r="O27" s="85"/>
      <c r="P27" s="82"/>
      <c r="Q27" s="98"/>
      <c r="R27" s="41"/>
      <c r="S27" s="99"/>
      <c r="T27" s="100"/>
    </row>
    <row r="28" ht="49.5" spans="1:20">
      <c r="A28" s="36"/>
      <c r="B28" s="106" t="s">
        <v>3248</v>
      </c>
      <c r="C28" s="40" t="s">
        <v>2361</v>
      </c>
      <c r="D28" s="105"/>
      <c r="E28" s="53"/>
      <c r="F28" s="54"/>
      <c r="G28" s="53"/>
      <c r="H28" s="56"/>
      <c r="I28" s="71"/>
      <c r="J28" s="64"/>
      <c r="K28" s="64"/>
      <c r="L28" s="53">
        <v>7.1775</v>
      </c>
      <c r="M28" s="81"/>
      <c r="N28" s="81"/>
      <c r="O28" s="81"/>
      <c r="P28" s="82"/>
      <c r="Q28" s="344"/>
      <c r="R28" s="35"/>
      <c r="S28" s="349"/>
      <c r="T28" s="72"/>
    </row>
    <row r="29" ht="16.5" spans="1:20">
      <c r="A29" s="36"/>
      <c r="B29" s="106" t="s">
        <v>1875</v>
      </c>
      <c r="C29" s="40" t="s">
        <v>2382</v>
      </c>
      <c r="D29" s="41" t="s">
        <v>1125</v>
      </c>
      <c r="E29" s="53"/>
      <c r="F29" s="54"/>
      <c r="G29" s="53"/>
      <c r="H29" s="56"/>
      <c r="I29" s="71"/>
      <c r="J29" s="68"/>
      <c r="K29" s="68"/>
      <c r="L29" s="53"/>
      <c r="M29" s="111"/>
      <c r="N29" s="84"/>
      <c r="O29" s="85"/>
      <c r="P29" s="90"/>
      <c r="Q29" s="350"/>
      <c r="R29" s="41"/>
      <c r="S29" s="99"/>
      <c r="T29" s="72"/>
    </row>
    <row r="30" ht="16.5" spans="1:20">
      <c r="A30" s="36"/>
      <c r="B30" s="106" t="s">
        <v>1875</v>
      </c>
      <c r="C30" s="48" t="s">
        <v>4085</v>
      </c>
      <c r="D30" s="41"/>
      <c r="E30" s="53"/>
      <c r="F30" s="54" t="s">
        <v>4081</v>
      </c>
      <c r="G30" s="57" t="s">
        <v>4400</v>
      </c>
      <c r="H30" s="56"/>
      <c r="I30" s="71"/>
      <c r="J30" s="69"/>
      <c r="K30" s="69"/>
      <c r="L30" s="53">
        <f>L5</f>
        <v>7.1745</v>
      </c>
      <c r="M30" s="81"/>
      <c r="N30" s="87"/>
      <c r="O30" s="87"/>
      <c r="P30" s="86"/>
      <c r="Q30" s="69"/>
      <c r="R30" s="165"/>
      <c r="S30" s="69"/>
      <c r="T30" s="69"/>
    </row>
    <row r="31" ht="16.5" spans="1:20">
      <c r="A31" s="36"/>
      <c r="B31" s="106" t="s">
        <v>1875</v>
      </c>
      <c r="C31" s="48" t="s">
        <v>4085</v>
      </c>
      <c r="D31" s="41"/>
      <c r="E31" s="53"/>
      <c r="F31" s="54"/>
      <c r="G31" s="57"/>
      <c r="H31" s="56"/>
      <c r="I31" s="71"/>
      <c r="J31" s="69"/>
      <c r="K31" s="69"/>
      <c r="L31" s="53"/>
      <c r="M31" s="81"/>
      <c r="N31" s="94"/>
      <c r="O31" s="93"/>
      <c r="P31" s="82"/>
      <c r="Q31" s="69"/>
      <c r="R31" s="165"/>
      <c r="S31" s="69"/>
      <c r="T31" s="69"/>
    </row>
    <row r="32" ht="16.5" spans="1:20">
      <c r="A32" s="36"/>
      <c r="B32" s="106" t="s">
        <v>1875</v>
      </c>
      <c r="C32" s="48" t="s">
        <v>4085</v>
      </c>
      <c r="D32" s="41"/>
      <c r="E32" s="53"/>
      <c r="F32" s="54"/>
      <c r="G32" s="57"/>
      <c r="H32" s="56"/>
      <c r="I32" s="71"/>
      <c r="J32" s="69"/>
      <c r="K32" s="69"/>
      <c r="L32" s="53"/>
      <c r="M32" s="81"/>
      <c r="N32" s="94"/>
      <c r="O32" s="93"/>
      <c r="P32" s="82"/>
      <c r="Q32" s="69"/>
      <c r="R32" s="165"/>
      <c r="S32" s="69"/>
      <c r="T32" s="69"/>
    </row>
    <row r="33" ht="16.5" spans="1:20">
      <c r="A33" s="36"/>
      <c r="B33" s="106" t="s">
        <v>1875</v>
      </c>
      <c r="C33" s="48" t="s">
        <v>4085</v>
      </c>
      <c r="D33" s="41"/>
      <c r="E33" s="53"/>
      <c r="F33" s="54"/>
      <c r="G33" s="57"/>
      <c r="H33" s="56"/>
      <c r="I33" s="71"/>
      <c r="J33" s="69"/>
      <c r="K33" s="69"/>
      <c r="L33" s="53"/>
      <c r="M33" s="81"/>
      <c r="N33" s="94"/>
      <c r="O33" s="93"/>
      <c r="P33" s="82"/>
      <c r="Q33" s="69"/>
      <c r="R33" s="165"/>
      <c r="S33" s="69"/>
      <c r="T33" s="69"/>
    </row>
    <row r="34" ht="16.5" spans="1:20">
      <c r="A34" s="36"/>
      <c r="B34" s="106" t="s">
        <v>1875</v>
      </c>
      <c r="C34" s="48" t="s">
        <v>4085</v>
      </c>
      <c r="D34" s="41"/>
      <c r="E34" s="53"/>
      <c r="F34" s="54"/>
      <c r="G34" s="57"/>
      <c r="H34" s="56"/>
      <c r="I34" s="71"/>
      <c r="J34" s="69"/>
      <c r="K34" s="69"/>
      <c r="L34" s="53"/>
      <c r="M34" s="93"/>
      <c r="N34" s="94"/>
      <c r="O34" s="93"/>
      <c r="P34" s="82"/>
      <c r="Q34" s="69"/>
      <c r="R34" s="165"/>
      <c r="S34" s="69"/>
      <c r="T34" s="69"/>
    </row>
    <row r="35" ht="16.5" spans="1:20">
      <c r="A35" s="36"/>
      <c r="B35" s="106" t="s">
        <v>1875</v>
      </c>
      <c r="C35" s="40" t="s">
        <v>3748</v>
      </c>
      <c r="D35" s="41"/>
      <c r="E35" s="53"/>
      <c r="F35" s="54" t="s">
        <v>4081</v>
      </c>
      <c r="G35" s="57" t="s">
        <v>1114</v>
      </c>
      <c r="H35" s="56"/>
      <c r="I35" s="71"/>
      <c r="J35" s="69"/>
      <c r="K35" s="69"/>
      <c r="L35" s="53">
        <v>7.1745</v>
      </c>
      <c r="M35" s="93"/>
      <c r="N35" s="94"/>
      <c r="O35" s="93"/>
      <c r="P35" s="82"/>
      <c r="Q35" s="69"/>
      <c r="R35" s="165"/>
      <c r="S35" s="69"/>
      <c r="T35" s="69"/>
    </row>
    <row r="36" ht="16.5" spans="1:20">
      <c r="A36" s="36"/>
      <c r="B36" s="106" t="s">
        <v>1875</v>
      </c>
      <c r="C36" s="40" t="s">
        <v>3748</v>
      </c>
      <c r="D36" s="41"/>
      <c r="E36" s="53"/>
      <c r="F36" s="54" t="s">
        <v>4093</v>
      </c>
      <c r="G36" s="57" t="s">
        <v>4401</v>
      </c>
      <c r="H36" s="56"/>
      <c r="I36" s="71"/>
      <c r="J36" s="69"/>
      <c r="K36" s="69"/>
      <c r="L36" s="53">
        <v>7.1745</v>
      </c>
      <c r="M36" s="93"/>
      <c r="N36" s="94"/>
      <c r="O36" s="93"/>
      <c r="P36" s="82"/>
      <c r="Q36" s="69"/>
      <c r="R36" s="165"/>
      <c r="S36" s="69"/>
      <c r="T36" s="69"/>
    </row>
    <row r="37" ht="16.5" spans="1:20">
      <c r="A37" s="36"/>
      <c r="B37" s="106" t="s">
        <v>1875</v>
      </c>
      <c r="C37" s="40" t="s">
        <v>3748</v>
      </c>
      <c r="D37" s="41"/>
      <c r="E37" s="53"/>
      <c r="F37" s="54" t="s">
        <v>4139</v>
      </c>
      <c r="G37" s="57" t="s">
        <v>4402</v>
      </c>
      <c r="H37" s="56"/>
      <c r="I37" s="71"/>
      <c r="J37" s="69"/>
      <c r="K37" s="69"/>
      <c r="L37" s="53">
        <v>7.1745</v>
      </c>
      <c r="M37" s="93"/>
      <c r="N37" s="94"/>
      <c r="O37" s="93"/>
      <c r="P37" s="82"/>
      <c r="Q37" s="69"/>
      <c r="R37" s="165"/>
      <c r="S37" s="69"/>
      <c r="T37" s="69"/>
    </row>
    <row r="38" ht="16.5" spans="1:20">
      <c r="A38" s="36"/>
      <c r="B38" s="106" t="s">
        <v>1875</v>
      </c>
      <c r="C38" s="40" t="s">
        <v>3748</v>
      </c>
      <c r="D38" s="41"/>
      <c r="E38" s="53"/>
      <c r="F38" s="54" t="s">
        <v>4081</v>
      </c>
      <c r="G38" s="57" t="s">
        <v>4118</v>
      </c>
      <c r="H38" s="56"/>
      <c r="I38" s="71"/>
      <c r="J38" s="69"/>
      <c r="K38" s="69"/>
      <c r="L38" s="53">
        <v>7.1745</v>
      </c>
      <c r="M38" s="93"/>
      <c r="N38" s="94"/>
      <c r="O38" s="93"/>
      <c r="P38" s="82"/>
      <c r="Q38" s="69"/>
      <c r="R38" s="165"/>
      <c r="S38" s="69"/>
      <c r="T38" s="69"/>
    </row>
    <row r="39" ht="16.5" spans="1:20">
      <c r="A39" s="36"/>
      <c r="B39" s="106" t="s">
        <v>1875</v>
      </c>
      <c r="C39" s="40" t="s">
        <v>3748</v>
      </c>
      <c r="D39" s="41"/>
      <c r="E39" s="53"/>
      <c r="F39" s="54" t="s">
        <v>4081</v>
      </c>
      <c r="G39" s="57" t="s">
        <v>4327</v>
      </c>
      <c r="H39" s="56"/>
      <c r="I39" s="71"/>
      <c r="J39" s="69"/>
      <c r="K39" s="69"/>
      <c r="L39" s="53">
        <v>7.1745</v>
      </c>
      <c r="M39" s="93"/>
      <c r="N39" s="94"/>
      <c r="O39" s="93"/>
      <c r="P39" s="82"/>
      <c r="Q39" s="69"/>
      <c r="R39" s="165"/>
      <c r="S39" s="69"/>
      <c r="T39" s="69"/>
    </row>
    <row r="40" ht="16.5" spans="1:20">
      <c r="A40" s="36"/>
      <c r="B40" s="106" t="s">
        <v>1875</v>
      </c>
      <c r="C40" s="40" t="s">
        <v>3748</v>
      </c>
      <c r="D40" s="41"/>
      <c r="E40" s="53"/>
      <c r="F40" s="54"/>
      <c r="G40" s="57"/>
      <c r="H40" s="56"/>
      <c r="I40" s="71"/>
      <c r="J40" s="69"/>
      <c r="K40" s="69"/>
      <c r="L40" s="53"/>
      <c r="M40" s="93"/>
      <c r="N40" s="94"/>
      <c r="O40" s="93"/>
      <c r="P40" s="82"/>
      <c r="Q40" s="69"/>
      <c r="R40" s="165"/>
      <c r="S40" s="69"/>
      <c r="T40" s="69"/>
    </row>
    <row r="41" ht="16.5" spans="1:20">
      <c r="A41" s="36"/>
      <c r="B41" s="106" t="s">
        <v>1875</v>
      </c>
      <c r="C41" s="34" t="s">
        <v>4092</v>
      </c>
      <c r="D41" s="41"/>
      <c r="E41" s="57"/>
      <c r="F41" s="54" t="s">
        <v>4090</v>
      </c>
      <c r="G41" s="53" t="s">
        <v>4240</v>
      </c>
      <c r="H41" s="56"/>
      <c r="I41" s="71"/>
      <c r="J41" s="73"/>
      <c r="K41" s="72"/>
      <c r="L41" s="53">
        <v>7.1745</v>
      </c>
      <c r="M41" s="85"/>
      <c r="N41" s="84"/>
      <c r="O41" s="85"/>
      <c r="P41" s="90"/>
      <c r="Q41" s="98"/>
      <c r="R41" s="41"/>
      <c r="S41" s="99"/>
      <c r="T41" s="100"/>
    </row>
    <row r="42" ht="16.5" spans="1:20">
      <c r="A42" s="36"/>
      <c r="B42" s="106" t="s">
        <v>1875</v>
      </c>
      <c r="C42" s="34" t="s">
        <v>4092</v>
      </c>
      <c r="D42" s="41"/>
      <c r="E42" s="57"/>
      <c r="F42" s="54" t="s">
        <v>4090</v>
      </c>
      <c r="G42" s="53" t="s">
        <v>4241</v>
      </c>
      <c r="H42" s="56"/>
      <c r="I42" s="71"/>
      <c r="J42" s="73"/>
      <c r="K42" s="72"/>
      <c r="L42" s="53">
        <v>7.1745</v>
      </c>
      <c r="M42" s="85"/>
      <c r="N42" s="84"/>
      <c r="O42" s="85"/>
      <c r="P42" s="90"/>
      <c r="Q42" s="98"/>
      <c r="R42" s="41"/>
      <c r="S42" s="99"/>
      <c r="T42" s="100"/>
    </row>
    <row r="43" ht="16.5" spans="1:20">
      <c r="A43" s="36"/>
      <c r="B43" s="106" t="s">
        <v>1875</v>
      </c>
      <c r="C43" s="34" t="s">
        <v>4092</v>
      </c>
      <c r="D43" s="41"/>
      <c r="E43" s="57"/>
      <c r="F43" s="54" t="s">
        <v>4207</v>
      </c>
      <c r="G43" s="53" t="s">
        <v>520</v>
      </c>
      <c r="H43" s="56"/>
      <c r="I43" s="71"/>
      <c r="J43" s="73"/>
      <c r="K43" s="72"/>
      <c r="L43" s="53">
        <v>7.1745</v>
      </c>
      <c r="M43" s="85"/>
      <c r="N43" s="84"/>
      <c r="O43" s="85"/>
      <c r="P43" s="90"/>
      <c r="Q43" s="98"/>
      <c r="R43" s="41"/>
      <c r="S43" s="99"/>
      <c r="T43" s="100"/>
    </row>
    <row r="44" ht="16.5" spans="1:20">
      <c r="A44" s="36"/>
      <c r="B44" s="106" t="s">
        <v>1875</v>
      </c>
      <c r="C44" s="40" t="s">
        <v>2361</v>
      </c>
      <c r="D44" s="41"/>
      <c r="E44" s="57"/>
      <c r="F44" s="54"/>
      <c r="G44" s="53"/>
      <c r="H44" s="56"/>
      <c r="I44" s="71"/>
      <c r="J44" s="73"/>
      <c r="K44" s="72"/>
      <c r="L44" s="53"/>
      <c r="M44" s="85"/>
      <c r="N44" s="84"/>
      <c r="O44" s="85"/>
      <c r="P44" s="90"/>
      <c r="Q44" s="98"/>
      <c r="R44" s="41"/>
      <c r="S44" s="99"/>
      <c r="T44" s="100"/>
    </row>
    <row r="45" ht="16.5" spans="1:20">
      <c r="A45" s="36"/>
      <c r="B45" s="106" t="s">
        <v>1875</v>
      </c>
      <c r="C45" s="40" t="s">
        <v>2361</v>
      </c>
      <c r="D45" s="41"/>
      <c r="E45" s="53"/>
      <c r="F45" s="54" t="s">
        <v>4122</v>
      </c>
      <c r="G45" s="53" t="s">
        <v>4125</v>
      </c>
      <c r="H45" s="56"/>
      <c r="I45" s="71"/>
      <c r="J45" s="64"/>
      <c r="K45" s="64"/>
      <c r="L45" s="53">
        <v>7.1775</v>
      </c>
      <c r="M45" s="81"/>
      <c r="N45" s="81"/>
      <c r="O45" s="81"/>
      <c r="P45" s="82"/>
      <c r="Q45" s="98"/>
      <c r="R45" s="41"/>
      <c r="S45" s="99"/>
      <c r="T45" s="100"/>
    </row>
    <row r="46" ht="16.5" spans="1:20">
      <c r="A46" s="36"/>
      <c r="B46" s="106" t="s">
        <v>1875</v>
      </c>
      <c r="C46" s="40" t="s">
        <v>2361</v>
      </c>
      <c r="D46" s="41"/>
      <c r="E46" s="57"/>
      <c r="F46" s="54" t="s">
        <v>4095</v>
      </c>
      <c r="G46" s="53" t="s">
        <v>4244</v>
      </c>
      <c r="H46" s="56"/>
      <c r="I46" s="71"/>
      <c r="J46" s="73"/>
      <c r="K46" s="72"/>
      <c r="L46" s="53">
        <v>7.1775</v>
      </c>
      <c r="M46" s="85" t="s">
        <v>4115</v>
      </c>
      <c r="N46" s="85">
        <v>45736</v>
      </c>
      <c r="O46" s="85">
        <v>45741</v>
      </c>
      <c r="P46" s="90"/>
      <c r="Q46" s="98"/>
      <c r="R46" s="41"/>
      <c r="S46" s="99"/>
      <c r="T46" s="100"/>
    </row>
    <row r="47" ht="16.5" spans="1:20">
      <c r="A47" s="36"/>
      <c r="B47" s="106" t="s">
        <v>1875</v>
      </c>
      <c r="C47" s="40" t="s">
        <v>2361</v>
      </c>
      <c r="D47" s="41"/>
      <c r="E47" s="57"/>
      <c r="F47" s="54" t="s">
        <v>4139</v>
      </c>
      <c r="G47" s="53" t="s">
        <v>4328</v>
      </c>
      <c r="H47" s="56"/>
      <c r="I47" s="71"/>
      <c r="J47" s="73"/>
      <c r="K47" s="72"/>
      <c r="L47" s="53">
        <v>7.1775</v>
      </c>
      <c r="M47" s="85"/>
      <c r="N47" s="84"/>
      <c r="O47" s="85"/>
      <c r="P47" s="90"/>
      <c r="Q47" s="98"/>
      <c r="R47" s="41"/>
      <c r="S47" s="99"/>
      <c r="T47" s="100"/>
    </row>
    <row r="48" ht="16.5" spans="1:20">
      <c r="A48" s="36"/>
      <c r="B48" s="106" t="s">
        <v>1875</v>
      </c>
      <c r="C48" s="40" t="s">
        <v>2361</v>
      </c>
      <c r="D48" s="41"/>
      <c r="E48" s="57"/>
      <c r="F48" s="54" t="s">
        <v>4095</v>
      </c>
      <c r="G48" s="53" t="s">
        <v>4233</v>
      </c>
      <c r="H48" s="56"/>
      <c r="I48" s="71"/>
      <c r="J48" s="73"/>
      <c r="K48" s="72"/>
      <c r="L48" s="53">
        <v>7.1775</v>
      </c>
      <c r="M48" s="85" t="s">
        <v>4115</v>
      </c>
      <c r="N48" s="85">
        <v>45736</v>
      </c>
      <c r="O48" s="85">
        <v>45731</v>
      </c>
      <c r="P48" s="90"/>
      <c r="Q48" s="98"/>
      <c r="R48" s="41"/>
      <c r="S48" s="99"/>
      <c r="T48" s="100"/>
    </row>
    <row r="49" ht="16.5" spans="1:20">
      <c r="A49" s="36"/>
      <c r="B49" s="106" t="s">
        <v>1875</v>
      </c>
      <c r="C49" s="40" t="s">
        <v>2361</v>
      </c>
      <c r="D49" s="41"/>
      <c r="E49" s="57"/>
      <c r="F49" s="54" t="s">
        <v>4095</v>
      </c>
      <c r="G49" s="53" t="s">
        <v>4242</v>
      </c>
      <c r="H49" s="56"/>
      <c r="I49" s="71"/>
      <c r="J49" s="73"/>
      <c r="K49" s="72"/>
      <c r="L49" s="53">
        <v>7.1775</v>
      </c>
      <c r="M49" s="85"/>
      <c r="N49" s="84"/>
      <c r="O49" s="85"/>
      <c r="P49" s="90"/>
      <c r="Q49" s="98"/>
      <c r="R49" s="41"/>
      <c r="S49" s="99"/>
      <c r="T49" s="100"/>
    </row>
    <row r="50" ht="16.5" spans="1:20">
      <c r="A50" s="36"/>
      <c r="B50" s="106" t="s">
        <v>1875</v>
      </c>
      <c r="C50" s="40" t="s">
        <v>2361</v>
      </c>
      <c r="D50" s="41"/>
      <c r="E50" s="57"/>
      <c r="F50" s="53" t="s">
        <v>4095</v>
      </c>
      <c r="G50" s="53" t="s">
        <v>4243</v>
      </c>
      <c r="H50" s="56"/>
      <c r="I50" s="71"/>
      <c r="J50" s="73"/>
      <c r="K50" s="72"/>
      <c r="L50" s="53">
        <v>7.1775</v>
      </c>
      <c r="M50" s="85"/>
      <c r="N50" s="84"/>
      <c r="O50" s="85"/>
      <c r="P50" s="90"/>
      <c r="Q50" s="98"/>
      <c r="R50" s="41"/>
      <c r="S50" s="99"/>
      <c r="T50" s="100"/>
    </row>
    <row r="51" ht="16.5" spans="1:20">
      <c r="A51" s="36"/>
      <c r="B51" s="106" t="s">
        <v>1875</v>
      </c>
      <c r="C51" s="40" t="s">
        <v>2361</v>
      </c>
      <c r="D51" s="41"/>
      <c r="E51" s="53"/>
      <c r="F51" s="54" t="s">
        <v>4122</v>
      </c>
      <c r="G51" s="53" t="s">
        <v>4126</v>
      </c>
      <c r="H51" s="56"/>
      <c r="I51" s="71"/>
      <c r="J51" s="64"/>
      <c r="K51" s="64"/>
      <c r="L51" s="53">
        <v>7.1775</v>
      </c>
      <c r="M51" s="81" t="s">
        <v>4115</v>
      </c>
      <c r="N51" s="81"/>
      <c r="O51" s="81"/>
      <c r="P51" s="82"/>
      <c r="Q51" s="98"/>
      <c r="R51" s="41"/>
      <c r="S51" s="99"/>
      <c r="T51" s="100"/>
    </row>
    <row r="52" ht="33" spans="1:20">
      <c r="A52" s="32" t="s">
        <v>4130</v>
      </c>
      <c r="B52" s="106" t="s">
        <v>1824</v>
      </c>
      <c r="C52" s="40" t="s">
        <v>1825</v>
      </c>
      <c r="D52" s="35">
        <v>364</v>
      </c>
      <c r="E52" s="53"/>
      <c r="F52" s="58" t="s">
        <v>4256</v>
      </c>
      <c r="G52" s="53" t="s">
        <v>4257</v>
      </c>
      <c r="H52" s="56"/>
      <c r="I52" s="71"/>
      <c r="J52" s="64"/>
      <c r="K52" s="67"/>
      <c r="L52" s="53">
        <v>7.1745</v>
      </c>
      <c r="M52" s="81">
        <v>45764</v>
      </c>
      <c r="N52" s="81"/>
      <c r="O52" s="146"/>
      <c r="P52" s="82"/>
      <c r="Q52" s="182"/>
      <c r="R52" s="283"/>
      <c r="S52" s="34"/>
      <c r="T52" s="352"/>
    </row>
    <row r="53" ht="33" spans="1:20">
      <c r="A53" s="32"/>
      <c r="B53" s="106" t="s">
        <v>1824</v>
      </c>
      <c r="C53" s="40" t="s">
        <v>1825</v>
      </c>
      <c r="D53" s="35"/>
      <c r="E53" s="53"/>
      <c r="F53" s="58" t="s">
        <v>4256</v>
      </c>
      <c r="G53" s="53" t="s">
        <v>4260</v>
      </c>
      <c r="H53" s="56"/>
      <c r="I53" s="71"/>
      <c r="J53" s="64"/>
      <c r="K53" s="67"/>
      <c r="L53" s="53">
        <v>7.1745</v>
      </c>
      <c r="M53" s="81">
        <v>45764</v>
      </c>
      <c r="N53" s="81"/>
      <c r="O53" s="146"/>
      <c r="P53" s="82"/>
      <c r="Q53" s="182"/>
      <c r="R53" s="283"/>
      <c r="S53" s="34"/>
      <c r="T53" s="352"/>
    </row>
    <row r="54" ht="33" spans="1:20">
      <c r="A54" s="32"/>
      <c r="B54" s="106" t="s">
        <v>1824</v>
      </c>
      <c r="C54" s="40" t="s">
        <v>1825</v>
      </c>
      <c r="D54" s="35"/>
      <c r="E54" s="58"/>
      <c r="F54" s="54" t="s">
        <v>4113</v>
      </c>
      <c r="G54" s="53" t="s">
        <v>4149</v>
      </c>
      <c r="H54" s="56"/>
      <c r="I54" s="71"/>
      <c r="J54" s="64"/>
      <c r="K54" s="67"/>
      <c r="L54" s="53">
        <v>7.1745</v>
      </c>
      <c r="M54" s="81" t="s">
        <v>4403</v>
      </c>
      <c r="N54" s="83"/>
      <c r="O54" s="81"/>
      <c r="P54" s="82"/>
      <c r="Q54" s="182"/>
      <c r="R54" s="283"/>
      <c r="S54" s="34"/>
      <c r="T54" s="352"/>
    </row>
    <row r="55" ht="33" spans="1:20">
      <c r="A55" s="32"/>
      <c r="B55" s="106" t="s">
        <v>1824</v>
      </c>
      <c r="C55" s="40" t="s">
        <v>224</v>
      </c>
      <c r="D55" s="35">
        <v>356</v>
      </c>
      <c r="E55" s="53"/>
      <c r="F55" s="58" t="s">
        <v>4095</v>
      </c>
      <c r="G55" s="53" t="s">
        <v>4339</v>
      </c>
      <c r="H55" s="56"/>
      <c r="I55" s="71"/>
      <c r="J55" s="157"/>
      <c r="K55" s="67"/>
      <c r="L55" s="53">
        <v>7.1745</v>
      </c>
      <c r="M55" s="81">
        <v>45775</v>
      </c>
      <c r="N55" s="83"/>
      <c r="O55" s="85"/>
      <c r="P55" s="82"/>
      <c r="Q55" s="283"/>
      <c r="R55" s="53"/>
      <c r="S55" s="183"/>
      <c r="T55" s="353"/>
    </row>
    <row r="56" ht="33" spans="1:20">
      <c r="A56" s="32"/>
      <c r="B56" s="106" t="s">
        <v>1824</v>
      </c>
      <c r="C56" s="40" t="s">
        <v>224</v>
      </c>
      <c r="D56" s="35"/>
      <c r="E56" s="54"/>
      <c r="F56" s="54" t="s">
        <v>4081</v>
      </c>
      <c r="G56" s="57" t="s">
        <v>4265</v>
      </c>
      <c r="H56" s="56"/>
      <c r="I56" s="71"/>
      <c r="J56" s="158"/>
      <c r="K56" s="158"/>
      <c r="L56" s="53">
        <v>7.1745</v>
      </c>
      <c r="M56" s="146"/>
      <c r="N56" s="81"/>
      <c r="O56" s="81"/>
      <c r="P56" s="148"/>
      <c r="Q56" s="283"/>
      <c r="R56" s="53"/>
      <c r="S56" s="183"/>
      <c r="T56" s="353"/>
    </row>
    <row r="57" ht="33" spans="1:20">
      <c r="A57" s="32"/>
      <c r="B57" s="106" t="s">
        <v>1824</v>
      </c>
      <c r="C57" s="40" t="s">
        <v>224</v>
      </c>
      <c r="D57" s="35"/>
      <c r="E57" s="54"/>
      <c r="F57" s="54" t="s">
        <v>4090</v>
      </c>
      <c r="G57" s="57" t="s">
        <v>4267</v>
      </c>
      <c r="H57" s="56"/>
      <c r="I57" s="71"/>
      <c r="J57" s="130"/>
      <c r="K57" s="130"/>
      <c r="L57" s="53">
        <v>7.1745</v>
      </c>
      <c r="M57" s="146"/>
      <c r="N57" s="81"/>
      <c r="O57" s="97"/>
      <c r="P57" s="136"/>
      <c r="Q57" s="53"/>
      <c r="R57" s="53"/>
      <c r="S57" s="183"/>
      <c r="T57" s="353"/>
    </row>
    <row r="58" ht="33" spans="1:20">
      <c r="A58" s="32"/>
      <c r="B58" s="106" t="s">
        <v>1824</v>
      </c>
      <c r="C58" s="40" t="s">
        <v>224</v>
      </c>
      <c r="D58" s="35"/>
      <c r="E58" s="53"/>
      <c r="F58" s="58" t="s">
        <v>4095</v>
      </c>
      <c r="G58" s="53" t="s">
        <v>4151</v>
      </c>
      <c r="H58" s="56"/>
      <c r="I58" s="71"/>
      <c r="J58" s="68"/>
      <c r="K58" s="130"/>
      <c r="L58" s="53">
        <v>7.1745</v>
      </c>
      <c r="M58" s="143"/>
      <c r="N58" s="85"/>
      <c r="O58" s="93"/>
      <c r="P58" s="90"/>
      <c r="Q58" s="354"/>
      <c r="R58" s="53"/>
      <c r="S58" s="183"/>
      <c r="T58" s="355"/>
    </row>
    <row r="59" ht="33" spans="1:20">
      <c r="A59" s="32"/>
      <c r="B59" s="106" t="s">
        <v>1824</v>
      </c>
      <c r="C59" s="40" t="s">
        <v>224</v>
      </c>
      <c r="D59" s="35"/>
      <c r="E59" s="54"/>
      <c r="F59" s="54" t="s">
        <v>4090</v>
      </c>
      <c r="G59" s="53" t="s">
        <v>4335</v>
      </c>
      <c r="H59" s="56"/>
      <c r="I59" s="71"/>
      <c r="J59" s="68"/>
      <c r="K59" s="68"/>
      <c r="L59" s="53">
        <v>7.1745</v>
      </c>
      <c r="M59" s="81">
        <v>45742</v>
      </c>
      <c r="N59" s="81">
        <v>45744</v>
      </c>
      <c r="O59" s="146">
        <v>45749</v>
      </c>
      <c r="P59" s="86"/>
      <c r="Q59" s="354"/>
      <c r="R59" s="53"/>
      <c r="S59" s="183"/>
      <c r="T59" s="355"/>
    </row>
    <row r="60" ht="33" spans="1:20">
      <c r="A60" s="32"/>
      <c r="B60" s="106" t="s">
        <v>1824</v>
      </c>
      <c r="C60" s="40" t="s">
        <v>224</v>
      </c>
      <c r="D60" s="35"/>
      <c r="E60" s="121"/>
      <c r="F60" s="54" t="s">
        <v>4087</v>
      </c>
      <c r="G60" s="155" t="s">
        <v>4404</v>
      </c>
      <c r="H60" s="56"/>
      <c r="I60" s="71"/>
      <c r="J60" s="68"/>
      <c r="K60" s="68"/>
      <c r="L60" s="53">
        <v>7.1745</v>
      </c>
      <c r="M60" s="143"/>
      <c r="N60" s="84"/>
      <c r="O60" s="85"/>
      <c r="P60" s="90"/>
      <c r="Q60" s="354"/>
      <c r="R60" s="53"/>
      <c r="S60" s="183"/>
      <c r="T60" s="355"/>
    </row>
    <row r="61" ht="33" spans="1:20">
      <c r="A61" s="32"/>
      <c r="B61" s="106" t="s">
        <v>1824</v>
      </c>
      <c r="C61" s="40" t="s">
        <v>4092</v>
      </c>
      <c r="D61" s="41"/>
      <c r="E61" s="57"/>
      <c r="F61" s="106"/>
      <c r="G61" s="53"/>
      <c r="H61" s="56"/>
      <c r="I61" s="71"/>
      <c r="J61" s="71"/>
      <c r="K61" s="70"/>
      <c r="L61" s="53"/>
      <c r="M61" s="81"/>
      <c r="N61" s="87"/>
      <c r="O61" s="87"/>
      <c r="P61" s="351"/>
      <c r="Q61" s="53"/>
      <c r="R61" s="53"/>
      <c r="S61" s="183"/>
      <c r="T61" s="185"/>
    </row>
    <row r="62" ht="49.5" spans="1:20">
      <c r="A62" s="32"/>
      <c r="B62" s="106" t="s">
        <v>3248</v>
      </c>
      <c r="C62" s="40" t="s">
        <v>1825</v>
      </c>
      <c r="D62" s="48" t="s">
        <v>1125</v>
      </c>
      <c r="E62" s="54"/>
      <c r="F62" s="58" t="s">
        <v>4093</v>
      </c>
      <c r="G62" s="53" t="s">
        <v>4145</v>
      </c>
      <c r="H62" s="56"/>
      <c r="I62" s="71"/>
      <c r="J62" s="64"/>
      <c r="K62" s="71"/>
      <c r="L62" s="53">
        <v>7.1745</v>
      </c>
      <c r="M62" s="81" t="s">
        <v>4132</v>
      </c>
      <c r="N62" s="81"/>
      <c r="O62" s="87" t="s">
        <v>4253</v>
      </c>
      <c r="P62" s="136"/>
      <c r="Q62" s="283"/>
      <c r="R62" s="283"/>
      <c r="S62" s="183"/>
      <c r="T62" s="353"/>
    </row>
    <row r="63" ht="49.5" spans="1:20">
      <c r="A63" s="32"/>
      <c r="B63" s="106" t="s">
        <v>3248</v>
      </c>
      <c r="C63" s="40" t="s">
        <v>1825</v>
      </c>
      <c r="D63" s="48"/>
      <c r="E63" s="54"/>
      <c r="F63" s="58" t="s">
        <v>4093</v>
      </c>
      <c r="G63" s="53" t="s">
        <v>4254</v>
      </c>
      <c r="H63" s="56"/>
      <c r="I63" s="71"/>
      <c r="J63" s="64"/>
      <c r="K63" s="71"/>
      <c r="L63" s="53">
        <v>7.1745</v>
      </c>
      <c r="M63" s="81" t="s">
        <v>4132</v>
      </c>
      <c r="N63" s="81"/>
      <c r="O63" s="87" t="s">
        <v>4253</v>
      </c>
      <c r="P63" s="136"/>
      <c r="Q63" s="283"/>
      <c r="R63" s="283"/>
      <c r="S63" s="183"/>
      <c r="T63" s="353"/>
    </row>
    <row r="64" ht="49.5" spans="1:20">
      <c r="A64" s="32"/>
      <c r="B64" s="106" t="s">
        <v>3248</v>
      </c>
      <c r="C64" s="40" t="s">
        <v>1825</v>
      </c>
      <c r="D64" s="35"/>
      <c r="E64" s="54"/>
      <c r="F64" s="58" t="s">
        <v>4093</v>
      </c>
      <c r="G64" s="53" t="s">
        <v>4255</v>
      </c>
      <c r="H64" s="56"/>
      <c r="I64" s="71"/>
      <c r="J64" s="64"/>
      <c r="K64" s="71"/>
      <c r="L64" s="53">
        <v>7.1745</v>
      </c>
      <c r="M64" s="81" t="s">
        <v>4132</v>
      </c>
      <c r="N64" s="81"/>
      <c r="O64" s="87" t="s">
        <v>4253</v>
      </c>
      <c r="P64" s="136"/>
      <c r="Q64" s="283"/>
      <c r="R64" s="283"/>
      <c r="S64" s="183"/>
      <c r="T64" s="353"/>
    </row>
    <row r="65" ht="49.5" spans="1:20">
      <c r="A65" s="32"/>
      <c r="B65" s="106" t="s">
        <v>3248</v>
      </c>
      <c r="C65" s="40" t="s">
        <v>1825</v>
      </c>
      <c r="D65" s="48"/>
      <c r="E65" s="54"/>
      <c r="F65" s="54"/>
      <c r="G65" s="155"/>
      <c r="H65" s="56"/>
      <c r="I65" s="71"/>
      <c r="J65" s="64"/>
      <c r="K65" s="64"/>
      <c r="L65" s="53"/>
      <c r="M65" s="356"/>
      <c r="N65" s="87"/>
      <c r="O65" s="81"/>
      <c r="P65" s="82"/>
      <c r="Q65" s="53"/>
      <c r="R65" s="41"/>
      <c r="S65" s="183"/>
      <c r="T65" s="353"/>
    </row>
    <row r="66" ht="49.5" spans="1:20">
      <c r="A66" s="32"/>
      <c r="B66" s="106" t="s">
        <v>3248</v>
      </c>
      <c r="C66" s="40" t="s">
        <v>224</v>
      </c>
      <c r="D66" s="48"/>
      <c r="E66" s="53"/>
      <c r="F66" s="58"/>
      <c r="G66" s="53"/>
      <c r="H66" s="56"/>
      <c r="I66" s="71"/>
      <c r="J66" s="157"/>
      <c r="K66" s="67"/>
      <c r="L66" s="53"/>
      <c r="M66" s="81"/>
      <c r="N66" s="83"/>
      <c r="O66" s="85"/>
      <c r="P66" s="82"/>
      <c r="Q66" s="242"/>
      <c r="R66" s="53"/>
      <c r="S66" s="183"/>
      <c r="T66" s="353"/>
    </row>
    <row r="67" ht="49.5" spans="1:20">
      <c r="A67" s="32"/>
      <c r="B67" s="106" t="s">
        <v>3248</v>
      </c>
      <c r="C67" s="40"/>
      <c r="D67" s="48"/>
      <c r="E67" s="54"/>
      <c r="F67" s="54"/>
      <c r="G67" s="53"/>
      <c r="H67" s="56"/>
      <c r="I67" s="71"/>
      <c r="J67" s="68"/>
      <c r="K67" s="68"/>
      <c r="L67" s="53"/>
      <c r="M67" s="81"/>
      <c r="N67" s="81"/>
      <c r="O67" s="146"/>
      <c r="P67" s="86"/>
      <c r="Q67" s="53"/>
      <c r="R67" s="35"/>
      <c r="S67" s="183"/>
      <c r="T67" s="357"/>
    </row>
    <row r="68" ht="16.5" spans="1:20">
      <c r="A68" s="32"/>
      <c r="B68" s="106" t="s">
        <v>1875</v>
      </c>
      <c r="C68" s="40" t="s">
        <v>1825</v>
      </c>
      <c r="D68" s="41" t="s">
        <v>1125</v>
      </c>
      <c r="E68" s="48"/>
      <c r="F68" s="58" t="s">
        <v>4113</v>
      </c>
      <c r="G68" s="53"/>
      <c r="H68" s="56"/>
      <c r="I68" s="71"/>
      <c r="J68" s="68"/>
      <c r="K68" s="68"/>
      <c r="L68" s="53">
        <v>7.1745</v>
      </c>
      <c r="M68" s="143"/>
      <c r="N68" s="84"/>
      <c r="O68" s="85"/>
      <c r="P68" s="90"/>
      <c r="Q68" s="98"/>
      <c r="R68" s="41"/>
      <c r="S68" s="99"/>
      <c r="T68" s="348"/>
    </row>
    <row r="69" ht="16.5" spans="1:20">
      <c r="A69" s="32"/>
      <c r="B69" s="106" t="s">
        <v>1875</v>
      </c>
      <c r="C69" s="40" t="s">
        <v>1825</v>
      </c>
      <c r="D69" s="41"/>
      <c r="E69" s="58"/>
      <c r="F69" s="58" t="s">
        <v>4093</v>
      </c>
      <c r="G69" s="53"/>
      <c r="H69" s="56"/>
      <c r="I69" s="71"/>
      <c r="J69" s="68"/>
      <c r="K69" s="68"/>
      <c r="L69" s="53">
        <v>7.1745</v>
      </c>
      <c r="M69" s="143"/>
      <c r="N69" s="84"/>
      <c r="O69" s="85"/>
      <c r="P69" s="90"/>
      <c r="Q69" s="98"/>
      <c r="R69" s="41"/>
      <c r="S69" s="99"/>
      <c r="T69" s="348"/>
    </row>
    <row r="70" ht="16.5" spans="1:20">
      <c r="A70" s="32"/>
      <c r="B70" s="106" t="s">
        <v>1875</v>
      </c>
      <c r="C70" s="40" t="s">
        <v>1825</v>
      </c>
      <c r="D70" s="41"/>
      <c r="E70" s="58"/>
      <c r="F70" s="58" t="s">
        <v>4093</v>
      </c>
      <c r="G70" s="53"/>
      <c r="H70" s="56"/>
      <c r="I70" s="71"/>
      <c r="J70" s="68"/>
      <c r="K70" s="68"/>
      <c r="L70" s="53">
        <v>7.1745</v>
      </c>
      <c r="M70" s="143"/>
      <c r="N70" s="84"/>
      <c r="O70" s="85"/>
      <c r="P70" s="86"/>
      <c r="Q70" s="98"/>
      <c r="R70" s="41"/>
      <c r="S70" s="99"/>
      <c r="T70" s="348"/>
    </row>
    <row r="71" ht="16.5" spans="1:20">
      <c r="A71" s="32"/>
      <c r="B71" s="106" t="s">
        <v>1875</v>
      </c>
      <c r="C71" s="40" t="s">
        <v>1825</v>
      </c>
      <c r="D71" s="41"/>
      <c r="E71" s="58"/>
      <c r="F71" s="58" t="s">
        <v>4093</v>
      </c>
      <c r="G71" s="53"/>
      <c r="H71" s="56"/>
      <c r="I71" s="71"/>
      <c r="J71" s="68"/>
      <c r="K71" s="68"/>
      <c r="L71" s="53">
        <v>7.1745</v>
      </c>
      <c r="M71" s="143"/>
      <c r="N71" s="84"/>
      <c r="O71" s="85"/>
      <c r="P71" s="86"/>
      <c r="Q71" s="98"/>
      <c r="R71" s="41"/>
      <c r="S71" s="99"/>
      <c r="T71" s="348"/>
    </row>
    <row r="72" ht="16.5" spans="1:20">
      <c r="A72" s="32"/>
      <c r="B72" s="106" t="s">
        <v>1875</v>
      </c>
      <c r="C72" s="40" t="s">
        <v>1825</v>
      </c>
      <c r="D72" s="41"/>
      <c r="E72" s="58"/>
      <c r="F72" s="58" t="s">
        <v>4093</v>
      </c>
      <c r="G72" s="53"/>
      <c r="H72" s="56"/>
      <c r="I72" s="71"/>
      <c r="J72" s="68"/>
      <c r="K72" s="68"/>
      <c r="L72" s="53">
        <v>7.1745</v>
      </c>
      <c r="M72" s="143"/>
      <c r="N72" s="84"/>
      <c r="O72" s="85"/>
      <c r="P72" s="90"/>
      <c r="Q72" s="98"/>
      <c r="R72" s="41"/>
      <c r="S72" s="99"/>
      <c r="T72" s="358"/>
    </row>
    <row r="73" ht="16.5" spans="1:20">
      <c r="A73" s="32"/>
      <c r="B73" s="106" t="s">
        <v>1875</v>
      </c>
      <c r="C73" s="40" t="s">
        <v>1825</v>
      </c>
      <c r="D73" s="41"/>
      <c r="E73" s="58"/>
      <c r="F73" s="58" t="s">
        <v>4093</v>
      </c>
      <c r="G73" s="53"/>
      <c r="H73" s="56"/>
      <c r="I73" s="71"/>
      <c r="J73" s="68"/>
      <c r="K73" s="68"/>
      <c r="L73" s="53">
        <v>7.1745</v>
      </c>
      <c r="M73" s="143"/>
      <c r="N73" s="84"/>
      <c r="O73" s="85"/>
      <c r="P73" s="163"/>
      <c r="Q73" s="163"/>
      <c r="R73" s="41"/>
      <c r="S73" s="99"/>
      <c r="T73" s="348"/>
    </row>
    <row r="74" ht="16.5" spans="1:20">
      <c r="A74" s="32"/>
      <c r="B74" s="106" t="s">
        <v>1875</v>
      </c>
      <c r="C74" s="40" t="s">
        <v>1825</v>
      </c>
      <c r="D74" s="41"/>
      <c r="E74" s="58"/>
      <c r="F74" s="58" t="s">
        <v>4093</v>
      </c>
      <c r="G74" s="155"/>
      <c r="H74" s="56"/>
      <c r="I74" s="71"/>
      <c r="J74" s="68"/>
      <c r="K74" s="68"/>
      <c r="L74" s="53">
        <v>7.1745</v>
      </c>
      <c r="M74" s="143"/>
      <c r="N74" s="84"/>
      <c r="O74" s="85"/>
      <c r="P74" s="90"/>
      <c r="Q74" s="350"/>
      <c r="R74" s="359"/>
      <c r="S74" s="99"/>
      <c r="T74" s="100"/>
    </row>
    <row r="75" ht="16.5" spans="1:20">
      <c r="A75" s="32"/>
      <c r="B75" s="106" t="s">
        <v>1875</v>
      </c>
      <c r="C75" s="40" t="s">
        <v>1825</v>
      </c>
      <c r="D75" s="41"/>
      <c r="E75" s="58"/>
      <c r="F75" s="58" t="s">
        <v>4093</v>
      </c>
      <c r="G75" s="155"/>
      <c r="H75" s="56"/>
      <c r="I75" s="71"/>
      <c r="J75" s="68"/>
      <c r="K75" s="68"/>
      <c r="L75" s="53">
        <v>7.1745</v>
      </c>
      <c r="M75" s="143"/>
      <c r="N75" s="84"/>
      <c r="O75" s="85"/>
      <c r="P75" s="90"/>
      <c r="Q75" s="350"/>
      <c r="R75" s="359"/>
      <c r="S75" s="99"/>
      <c r="T75" s="100"/>
    </row>
    <row r="76" ht="16.5" spans="1:20">
      <c r="A76" s="32"/>
      <c r="B76" s="106" t="s">
        <v>1875</v>
      </c>
      <c r="C76" s="40" t="s">
        <v>1825</v>
      </c>
      <c r="D76" s="41"/>
      <c r="E76" s="54"/>
      <c r="F76" s="58" t="s">
        <v>4093</v>
      </c>
      <c r="G76" s="155"/>
      <c r="H76" s="56"/>
      <c r="I76" s="71"/>
      <c r="J76" s="68"/>
      <c r="K76" s="68"/>
      <c r="L76" s="53">
        <v>7.1745</v>
      </c>
      <c r="M76" s="143"/>
      <c r="N76" s="84"/>
      <c r="O76" s="85"/>
      <c r="P76" s="90"/>
      <c r="Q76" s="350"/>
      <c r="R76" s="359"/>
      <c r="S76" s="99"/>
      <c r="T76" s="100"/>
    </row>
    <row r="77" ht="16.5" spans="1:20">
      <c r="A77" s="32"/>
      <c r="B77" s="106" t="s">
        <v>1875</v>
      </c>
      <c r="C77" s="40" t="s">
        <v>1825</v>
      </c>
      <c r="D77" s="41"/>
      <c r="E77" s="54"/>
      <c r="F77" s="58" t="s">
        <v>4113</v>
      </c>
      <c r="G77" s="155"/>
      <c r="H77" s="56"/>
      <c r="I77" s="71"/>
      <c r="J77" s="68"/>
      <c r="K77" s="68"/>
      <c r="L77" s="53">
        <v>7.1745</v>
      </c>
      <c r="M77" s="143"/>
      <c r="N77" s="84"/>
      <c r="O77" s="85"/>
      <c r="P77" s="90"/>
      <c r="Q77" s="350"/>
      <c r="R77" s="359"/>
      <c r="S77" s="99"/>
      <c r="T77" s="100"/>
    </row>
    <row r="78" ht="16.5" spans="1:20">
      <c r="A78" s="32"/>
      <c r="B78" s="106" t="s">
        <v>1875</v>
      </c>
      <c r="C78" s="40" t="s">
        <v>1825</v>
      </c>
      <c r="D78" s="41"/>
      <c r="E78" s="54"/>
      <c r="F78" s="58" t="s">
        <v>4093</v>
      </c>
      <c r="G78" s="155"/>
      <c r="H78" s="56"/>
      <c r="I78" s="71"/>
      <c r="J78" s="68"/>
      <c r="K78" s="68"/>
      <c r="L78" s="53">
        <v>7.1745</v>
      </c>
      <c r="M78" s="143"/>
      <c r="N78" s="84"/>
      <c r="O78" s="85"/>
      <c r="P78" s="90"/>
      <c r="Q78" s="350"/>
      <c r="R78" s="359"/>
      <c r="S78" s="99"/>
      <c r="T78" s="100"/>
    </row>
    <row r="79" ht="16.5" spans="1:20">
      <c r="A79" s="32"/>
      <c r="B79" s="106" t="s">
        <v>1875</v>
      </c>
      <c r="C79" s="40" t="s">
        <v>224</v>
      </c>
      <c r="D79" s="41"/>
      <c r="E79" s="121"/>
      <c r="F79" s="54" t="s">
        <v>4095</v>
      </c>
      <c r="G79" s="57" t="s">
        <v>4262</v>
      </c>
      <c r="H79" s="56"/>
      <c r="I79" s="71"/>
      <c r="J79" s="158"/>
      <c r="K79" s="158"/>
      <c r="L79" s="53">
        <v>7.1745</v>
      </c>
      <c r="M79" s="81"/>
      <c r="N79" s="81"/>
      <c r="O79" s="81"/>
      <c r="P79" s="136"/>
      <c r="Q79" s="350"/>
      <c r="R79" s="359"/>
      <c r="S79" s="99"/>
      <c r="T79" s="100"/>
    </row>
    <row r="80" ht="16.5" spans="1:20">
      <c r="A80" s="32"/>
      <c r="B80" s="106" t="s">
        <v>1875</v>
      </c>
      <c r="C80" s="40" t="s">
        <v>224</v>
      </c>
      <c r="D80" s="41"/>
      <c r="E80" s="121"/>
      <c r="F80" s="54" t="s">
        <v>4113</v>
      </c>
      <c r="G80" s="57" t="s">
        <v>658</v>
      </c>
      <c r="H80" s="55"/>
      <c r="I80" s="71"/>
      <c r="J80" s="68"/>
      <c r="K80" s="130"/>
      <c r="L80" s="53">
        <v>7.1745</v>
      </c>
      <c r="M80" s="143"/>
      <c r="N80" s="87"/>
      <c r="O80" s="87"/>
      <c r="P80" s="90"/>
      <c r="Q80" s="350"/>
      <c r="R80" s="359"/>
      <c r="S80" s="99"/>
      <c r="T80" s="100"/>
    </row>
    <row r="81" ht="16.5" spans="1:20">
      <c r="A81" s="32"/>
      <c r="B81" s="106" t="s">
        <v>1875</v>
      </c>
      <c r="C81" s="40" t="s">
        <v>224</v>
      </c>
      <c r="D81" s="41"/>
      <c r="E81" s="54"/>
      <c r="F81" s="54" t="s">
        <v>4095</v>
      </c>
      <c r="G81" s="155" t="s">
        <v>4340</v>
      </c>
      <c r="H81" s="56"/>
      <c r="I81" s="71"/>
      <c r="J81" s="68"/>
      <c r="K81" s="68"/>
      <c r="L81" s="53">
        <v>7.1745</v>
      </c>
      <c r="M81" s="143"/>
      <c r="N81" s="84"/>
      <c r="O81" s="85"/>
      <c r="P81" s="90"/>
      <c r="Q81" s="350"/>
      <c r="R81" s="359"/>
      <c r="S81" s="99"/>
      <c r="T81" s="100"/>
    </row>
    <row r="82" ht="16.5" spans="1:20">
      <c r="A82" s="32"/>
      <c r="B82" s="106" t="s">
        <v>1875</v>
      </c>
      <c r="C82" s="40" t="s">
        <v>224</v>
      </c>
      <c r="D82" s="41"/>
      <c r="E82" s="54"/>
      <c r="F82" s="54" t="s">
        <v>4090</v>
      </c>
      <c r="G82" s="57" t="s">
        <v>4266</v>
      </c>
      <c r="H82" s="56"/>
      <c r="I82" s="71"/>
      <c r="J82" s="158"/>
      <c r="K82" s="130"/>
      <c r="L82" s="53">
        <v>7.1745</v>
      </c>
      <c r="M82" s="166"/>
      <c r="N82" s="88"/>
      <c r="O82" s="97"/>
      <c r="P82" s="136"/>
      <c r="Q82" s="360"/>
      <c r="R82" s="361"/>
      <c r="S82" s="183"/>
      <c r="T82" s="185"/>
    </row>
    <row r="83" ht="16.5" spans="1:20">
      <c r="A83" s="32"/>
      <c r="B83" s="106" t="s">
        <v>1875</v>
      </c>
      <c r="C83" s="40" t="s">
        <v>224</v>
      </c>
      <c r="D83" s="41"/>
      <c r="E83" s="54"/>
      <c r="F83" s="54" t="s">
        <v>4090</v>
      </c>
      <c r="G83" s="57" t="s">
        <v>4268</v>
      </c>
      <c r="H83" s="56"/>
      <c r="I83" s="71"/>
      <c r="J83" s="130"/>
      <c r="K83" s="130"/>
      <c r="L83" s="53">
        <v>7.1745</v>
      </c>
      <c r="M83" s="146"/>
      <c r="N83" s="146"/>
      <c r="O83" s="97"/>
      <c r="P83" s="136"/>
      <c r="Q83" s="53"/>
      <c r="R83" s="361"/>
      <c r="S83" s="183"/>
      <c r="T83" s="185"/>
    </row>
    <row r="84" ht="16.5" spans="1:20">
      <c r="A84" s="32"/>
      <c r="B84" s="106" t="s">
        <v>1875</v>
      </c>
      <c r="C84" s="40" t="s">
        <v>224</v>
      </c>
      <c r="D84" s="41"/>
      <c r="E84" s="54"/>
      <c r="F84" s="54" t="s">
        <v>4090</v>
      </c>
      <c r="G84" s="57"/>
      <c r="H84" s="56"/>
      <c r="I84" s="71"/>
      <c r="J84" s="130"/>
      <c r="K84" s="130"/>
      <c r="L84" s="53">
        <v>7.1745</v>
      </c>
      <c r="M84" s="146"/>
      <c r="N84" s="146"/>
      <c r="O84" s="97"/>
      <c r="P84" s="136"/>
      <c r="Q84" s="53"/>
      <c r="R84" s="361"/>
      <c r="S84" s="183"/>
      <c r="T84" s="185"/>
    </row>
    <row r="85" ht="16.5" spans="1:20">
      <c r="A85" s="32"/>
      <c r="B85" s="106" t="s">
        <v>1875</v>
      </c>
      <c r="C85" s="40" t="s">
        <v>224</v>
      </c>
      <c r="D85" s="41"/>
      <c r="E85" s="54"/>
      <c r="F85" s="58" t="s">
        <v>4095</v>
      </c>
      <c r="G85" s="155" t="s">
        <v>4152</v>
      </c>
      <c r="H85" s="56"/>
      <c r="I85" s="71"/>
      <c r="J85" s="68"/>
      <c r="K85" s="130"/>
      <c r="L85" s="53">
        <v>7.1745</v>
      </c>
      <c r="M85" s="143"/>
      <c r="N85" s="84"/>
      <c r="O85" s="93"/>
      <c r="P85" s="90"/>
      <c r="Q85" s="360"/>
      <c r="R85" s="361"/>
      <c r="S85" s="183"/>
      <c r="T85" s="185"/>
    </row>
    <row r="86" ht="16.5" spans="1:20">
      <c r="A86" s="32"/>
      <c r="B86" s="106" t="s">
        <v>1875</v>
      </c>
      <c r="C86" s="40" t="s">
        <v>224</v>
      </c>
      <c r="D86" s="41"/>
      <c r="E86" s="54"/>
      <c r="F86" s="54" t="s">
        <v>4081</v>
      </c>
      <c r="G86" s="155" t="s">
        <v>4153</v>
      </c>
      <c r="H86" s="56"/>
      <c r="I86" s="71"/>
      <c r="J86" s="157"/>
      <c r="K86" s="130"/>
      <c r="L86" s="53">
        <v>7.1745</v>
      </c>
      <c r="M86" s="168"/>
      <c r="N86" s="168"/>
      <c r="O86" s="93"/>
      <c r="P86" s="171"/>
      <c r="Q86" s="53"/>
      <c r="R86" s="35"/>
      <c r="S86" s="183"/>
      <c r="T86" s="362"/>
    </row>
    <row r="87" ht="16.5" spans="1:20">
      <c r="A87" s="32"/>
      <c r="B87" s="106" t="s">
        <v>1875</v>
      </c>
      <c r="C87" s="40" t="s">
        <v>224</v>
      </c>
      <c r="D87" s="41"/>
      <c r="E87" s="54"/>
      <c r="F87" s="54" t="s">
        <v>4081</v>
      </c>
      <c r="G87" s="155"/>
      <c r="H87" s="55"/>
      <c r="I87" s="71"/>
      <c r="J87" s="68"/>
      <c r="K87" s="130"/>
      <c r="L87" s="53">
        <v>7.1745</v>
      </c>
      <c r="M87" s="143"/>
      <c r="N87" s="87"/>
      <c r="O87" s="93"/>
      <c r="P87" s="171"/>
      <c r="Q87" s="53"/>
      <c r="R87" s="35"/>
      <c r="S87" s="183"/>
      <c r="T87" s="185"/>
    </row>
    <row r="88" ht="16.5" spans="1:20">
      <c r="A88" s="32"/>
      <c r="B88" s="106" t="s">
        <v>1875</v>
      </c>
      <c r="C88" s="40" t="s">
        <v>224</v>
      </c>
      <c r="D88" s="41"/>
      <c r="E88" s="54"/>
      <c r="F88" s="54" t="s">
        <v>4081</v>
      </c>
      <c r="G88" s="155"/>
      <c r="H88" s="55"/>
      <c r="I88" s="71"/>
      <c r="J88" s="68"/>
      <c r="K88" s="130"/>
      <c r="L88" s="53">
        <v>7.1745</v>
      </c>
      <c r="M88" s="143"/>
      <c r="N88" s="87"/>
      <c r="O88" s="93"/>
      <c r="P88" s="90"/>
      <c r="Q88" s="53"/>
      <c r="R88" s="35"/>
      <c r="S88" s="183"/>
      <c r="T88" s="185"/>
    </row>
    <row r="89" ht="16.5" spans="1:20">
      <c r="A89" s="32"/>
      <c r="B89" s="106" t="s">
        <v>1875</v>
      </c>
      <c r="C89" s="40" t="s">
        <v>224</v>
      </c>
      <c r="D89" s="41"/>
      <c r="E89" s="54"/>
      <c r="F89" s="54" t="s">
        <v>4081</v>
      </c>
      <c r="G89" s="155"/>
      <c r="H89" s="55"/>
      <c r="I89" s="71"/>
      <c r="J89" s="157"/>
      <c r="K89" s="130"/>
      <c r="L89" s="53">
        <v>7.1745</v>
      </c>
      <c r="M89" s="168"/>
      <c r="N89" s="168"/>
      <c r="O89" s="93"/>
      <c r="P89" s="90"/>
      <c r="Q89" s="53"/>
      <c r="R89" s="35"/>
      <c r="S89" s="183"/>
      <c r="T89" s="185"/>
    </row>
    <row r="90" ht="16.5" spans="1:20">
      <c r="A90" s="32"/>
      <c r="B90" s="106" t="s">
        <v>1875</v>
      </c>
      <c r="C90" s="40" t="s">
        <v>224</v>
      </c>
      <c r="D90" s="41"/>
      <c r="E90" s="54"/>
      <c r="F90" s="54" t="s">
        <v>4081</v>
      </c>
      <c r="G90" s="155"/>
      <c r="H90" s="157"/>
      <c r="I90" s="71"/>
      <c r="J90" s="157"/>
      <c r="K90" s="130"/>
      <c r="L90" s="53">
        <v>7.1745</v>
      </c>
      <c r="M90" s="168"/>
      <c r="N90" s="168"/>
      <c r="O90" s="93"/>
      <c r="P90" s="90"/>
      <c r="Q90" s="53"/>
      <c r="R90" s="35"/>
      <c r="S90" s="183"/>
      <c r="T90" s="185"/>
    </row>
    <row r="91" ht="16.5" spans="1:20">
      <c r="A91" s="32"/>
      <c r="B91" s="106" t="s">
        <v>1875</v>
      </c>
      <c r="C91" s="40" t="s">
        <v>224</v>
      </c>
      <c r="D91" s="41"/>
      <c r="E91" s="54"/>
      <c r="F91" s="54" t="s">
        <v>4081</v>
      </c>
      <c r="G91" s="155"/>
      <c r="H91" s="157"/>
      <c r="I91" s="71"/>
      <c r="J91" s="157"/>
      <c r="K91" s="130"/>
      <c r="L91" s="53">
        <v>7.1745</v>
      </c>
      <c r="M91" s="168"/>
      <c r="N91" s="168"/>
      <c r="O91" s="93"/>
      <c r="P91" s="90"/>
      <c r="Q91" s="53"/>
      <c r="R91" s="35"/>
      <c r="S91" s="183"/>
      <c r="T91" s="185"/>
    </row>
    <row r="92" ht="16.5" spans="1:20">
      <c r="A92" s="32"/>
      <c r="B92" s="106" t="s">
        <v>1875</v>
      </c>
      <c r="C92" s="40" t="s">
        <v>224</v>
      </c>
      <c r="D92" s="41"/>
      <c r="E92" s="54"/>
      <c r="F92" s="54" t="s">
        <v>4081</v>
      </c>
      <c r="G92" s="155"/>
      <c r="H92" s="56"/>
      <c r="I92" s="71"/>
      <c r="J92" s="157"/>
      <c r="K92" s="130"/>
      <c r="L92" s="53">
        <v>7.1745</v>
      </c>
      <c r="M92" s="168"/>
      <c r="N92" s="168"/>
      <c r="O92" s="93"/>
      <c r="P92" s="171"/>
      <c r="Q92" s="53"/>
      <c r="R92" s="35"/>
      <c r="S92" s="183"/>
      <c r="T92" s="185"/>
    </row>
    <row r="93" ht="16.5" spans="1:20">
      <c r="A93" s="32"/>
      <c r="B93" s="106" t="s">
        <v>1875</v>
      </c>
      <c r="C93" s="40" t="s">
        <v>224</v>
      </c>
      <c r="D93" s="41"/>
      <c r="E93" s="58"/>
      <c r="F93" s="54" t="s">
        <v>4090</v>
      </c>
      <c r="G93" s="69"/>
      <c r="H93" s="69"/>
      <c r="I93" s="71"/>
      <c r="J93" s="69"/>
      <c r="K93" s="69"/>
      <c r="L93" s="53">
        <v>7.1745</v>
      </c>
      <c r="M93" s="93"/>
      <c r="N93" s="94"/>
      <c r="O93" s="93"/>
      <c r="P93" s="90"/>
      <c r="Q93" s="53"/>
      <c r="R93" s="35"/>
      <c r="S93" s="183"/>
      <c r="T93" s="185"/>
    </row>
    <row r="94" ht="16.5" spans="1:20">
      <c r="A94" s="36"/>
      <c r="B94" s="106" t="s">
        <v>1875</v>
      </c>
      <c r="C94" s="40" t="s">
        <v>224</v>
      </c>
      <c r="D94" s="41"/>
      <c r="E94" s="53"/>
      <c r="F94" s="54" t="s">
        <v>4090</v>
      </c>
      <c r="G94" s="55"/>
      <c r="H94" s="56"/>
      <c r="I94" s="71"/>
      <c r="J94" s="72"/>
      <c r="K94" s="72"/>
      <c r="L94" s="53">
        <v>7.1745</v>
      </c>
      <c r="M94" s="88"/>
      <c r="N94" s="88"/>
      <c r="O94" s="88"/>
      <c r="P94" s="89"/>
      <c r="Q94" s="182"/>
      <c r="R94" s="35"/>
      <c r="S94" s="99"/>
      <c r="T94" s="100"/>
    </row>
    <row r="95" ht="16.5" spans="1:20">
      <c r="A95" s="36"/>
      <c r="B95" s="106" t="s">
        <v>1875</v>
      </c>
      <c r="C95" s="40" t="s">
        <v>224</v>
      </c>
      <c r="D95" s="41"/>
      <c r="E95" s="53"/>
      <c r="F95" s="54" t="s">
        <v>4090</v>
      </c>
      <c r="G95" s="55" t="s">
        <v>4342</v>
      </c>
      <c r="H95" s="56"/>
      <c r="I95" s="71"/>
      <c r="J95" s="72"/>
      <c r="K95" s="72"/>
      <c r="L95" s="53">
        <v>7.1745</v>
      </c>
      <c r="M95" s="88"/>
      <c r="N95" s="88"/>
      <c r="O95" s="88"/>
      <c r="P95" s="89"/>
      <c r="Q95" s="182"/>
      <c r="R95" s="35"/>
      <c r="S95" s="99"/>
      <c r="T95" s="100"/>
    </row>
    <row r="96" ht="16.5" spans="1:20">
      <c r="A96" s="36"/>
      <c r="B96" s="106" t="s">
        <v>1875</v>
      </c>
      <c r="C96" s="40" t="s">
        <v>224</v>
      </c>
      <c r="D96" s="41"/>
      <c r="E96" s="53"/>
      <c r="F96" s="54" t="s">
        <v>4090</v>
      </c>
      <c r="G96" s="55" t="s">
        <v>4343</v>
      </c>
      <c r="H96" s="56"/>
      <c r="I96" s="71"/>
      <c r="J96" s="72"/>
      <c r="K96" s="72"/>
      <c r="L96" s="53">
        <v>7.1745</v>
      </c>
      <c r="M96" s="88"/>
      <c r="N96" s="88"/>
      <c r="O96" s="88"/>
      <c r="P96" s="89"/>
      <c r="Q96" s="182"/>
      <c r="R96" s="35"/>
      <c r="S96" s="99"/>
      <c r="T96" s="100"/>
    </row>
    <row r="97" ht="16.5" spans="1:20">
      <c r="A97" s="36"/>
      <c r="B97" s="106" t="s">
        <v>1875</v>
      </c>
      <c r="C97" s="40" t="s">
        <v>224</v>
      </c>
      <c r="D97" s="41"/>
      <c r="E97" s="53"/>
      <c r="F97" s="54" t="s">
        <v>4095</v>
      </c>
      <c r="G97" s="56"/>
      <c r="H97" s="56"/>
      <c r="I97" s="71"/>
      <c r="J97" s="72"/>
      <c r="K97" s="72"/>
      <c r="L97" s="53">
        <v>7.1745</v>
      </c>
      <c r="M97" s="88"/>
      <c r="N97" s="88"/>
      <c r="O97" s="88"/>
      <c r="P97" s="89"/>
      <c r="Q97" s="98"/>
      <c r="R97" s="35"/>
      <c r="S97" s="99"/>
      <c r="T97" s="100"/>
    </row>
    <row r="98" ht="16.5" spans="1:20">
      <c r="A98" s="36"/>
      <c r="B98" s="106" t="s">
        <v>1875</v>
      </c>
      <c r="C98" s="40" t="s">
        <v>224</v>
      </c>
      <c r="D98" s="41"/>
      <c r="E98" s="53"/>
      <c r="F98" s="54" t="s">
        <v>4139</v>
      </c>
      <c r="G98" s="56"/>
      <c r="H98" s="56"/>
      <c r="I98" s="71"/>
      <c r="J98" s="72"/>
      <c r="K98" s="72"/>
      <c r="L98" s="53">
        <v>7.1745</v>
      </c>
      <c r="M98" s="88"/>
      <c r="N98" s="88"/>
      <c r="O98" s="88"/>
      <c r="P98" s="89"/>
      <c r="Q98" s="98"/>
      <c r="R98" s="35"/>
      <c r="S98" s="99"/>
      <c r="T98" s="100"/>
    </row>
    <row r="99" ht="16.5" spans="1:20">
      <c r="A99" s="36"/>
      <c r="B99" s="106" t="s">
        <v>1875</v>
      </c>
      <c r="C99" s="40" t="s">
        <v>224</v>
      </c>
      <c r="D99" s="41"/>
      <c r="E99" s="53"/>
      <c r="F99" s="54" t="s">
        <v>4095</v>
      </c>
      <c r="G99" s="56"/>
      <c r="H99" s="56"/>
      <c r="I99" s="71"/>
      <c r="J99" s="72"/>
      <c r="K99" s="72"/>
      <c r="L99" s="53">
        <v>7.1745</v>
      </c>
      <c r="M99" s="88"/>
      <c r="N99" s="88"/>
      <c r="O99" s="88"/>
      <c r="P99" s="89"/>
      <c r="Q99" s="98"/>
      <c r="R99" s="35"/>
      <c r="S99" s="99"/>
      <c r="T99" s="100"/>
    </row>
    <row r="100" ht="16.5" spans="1:20">
      <c r="A100" s="36"/>
      <c r="B100" s="106" t="s">
        <v>1875</v>
      </c>
      <c r="C100" s="40" t="s">
        <v>224</v>
      </c>
      <c r="D100" s="41"/>
      <c r="E100" s="53"/>
      <c r="F100" s="54" t="s">
        <v>4207</v>
      </c>
      <c r="G100" s="56"/>
      <c r="H100" s="56"/>
      <c r="I100" s="71"/>
      <c r="J100" s="72"/>
      <c r="K100" s="72"/>
      <c r="L100" s="53">
        <v>7.1745</v>
      </c>
      <c r="M100" s="88"/>
      <c r="N100" s="88"/>
      <c r="O100" s="88"/>
      <c r="P100" s="89"/>
      <c r="Q100" s="98"/>
      <c r="R100" s="35"/>
      <c r="S100" s="99"/>
      <c r="T100" s="100"/>
    </row>
    <row r="101" ht="16.5" spans="1:20">
      <c r="A101" s="36"/>
      <c r="B101" s="106" t="s">
        <v>1875</v>
      </c>
      <c r="C101" s="40" t="s">
        <v>224</v>
      </c>
      <c r="D101" s="41"/>
      <c r="E101" s="53"/>
      <c r="F101" s="54" t="s">
        <v>4095</v>
      </c>
      <c r="G101" s="56"/>
      <c r="H101" s="56"/>
      <c r="I101" s="71"/>
      <c r="J101" s="72"/>
      <c r="K101" s="72"/>
      <c r="L101" s="53">
        <v>7.1745</v>
      </c>
      <c r="M101" s="88"/>
      <c r="N101" s="88"/>
      <c r="O101" s="88"/>
      <c r="P101" s="89"/>
      <c r="Q101" s="98"/>
      <c r="R101" s="35"/>
      <c r="S101" s="99"/>
      <c r="T101" s="100"/>
    </row>
    <row r="102" ht="16.5" spans="1:20">
      <c r="A102" s="36"/>
      <c r="B102" s="106" t="s">
        <v>1875</v>
      </c>
      <c r="C102" s="40" t="s">
        <v>224</v>
      </c>
      <c r="D102" s="41"/>
      <c r="E102" s="53"/>
      <c r="F102" s="54" t="s">
        <v>4095</v>
      </c>
      <c r="G102" s="56"/>
      <c r="H102" s="56"/>
      <c r="I102" s="71"/>
      <c r="J102" s="72"/>
      <c r="K102" s="72"/>
      <c r="L102" s="53">
        <v>7.1745</v>
      </c>
      <c r="M102" s="88"/>
      <c r="N102" s="88"/>
      <c r="O102" s="88"/>
      <c r="P102" s="89"/>
      <c r="Q102" s="98"/>
      <c r="R102" s="35"/>
      <c r="S102" s="99"/>
      <c r="T102" s="100"/>
    </row>
    <row r="103" ht="16.5" spans="1:20">
      <c r="A103" s="36"/>
      <c r="B103" s="106" t="s">
        <v>1875</v>
      </c>
      <c r="C103" s="40" t="s">
        <v>224</v>
      </c>
      <c r="D103" s="41"/>
      <c r="E103" s="58"/>
      <c r="F103" s="54" t="s">
        <v>4090</v>
      </c>
      <c r="G103" s="53"/>
      <c r="H103" s="56"/>
      <c r="I103" s="71"/>
      <c r="J103" s="68"/>
      <c r="K103" s="68"/>
      <c r="L103" s="53">
        <v>7.1745</v>
      </c>
      <c r="M103" s="143"/>
      <c r="N103" s="84"/>
      <c r="O103" s="85"/>
      <c r="P103" s="86"/>
      <c r="Q103" s="182"/>
      <c r="R103" s="35"/>
      <c r="S103" s="99"/>
      <c r="T103" s="100"/>
    </row>
    <row r="104" ht="16.5" spans="1:20">
      <c r="A104" s="36"/>
      <c r="B104" s="106" t="s">
        <v>1875</v>
      </c>
      <c r="C104" s="40" t="s">
        <v>224</v>
      </c>
      <c r="D104" s="41"/>
      <c r="E104" s="58"/>
      <c r="F104" s="54" t="s">
        <v>4139</v>
      </c>
      <c r="G104" s="53"/>
      <c r="H104" s="56"/>
      <c r="I104" s="71"/>
      <c r="J104" s="68"/>
      <c r="K104" s="68"/>
      <c r="L104" s="53">
        <v>7.1745</v>
      </c>
      <c r="M104" s="143"/>
      <c r="N104" s="84"/>
      <c r="O104" s="85"/>
      <c r="P104" s="86"/>
      <c r="Q104" s="182"/>
      <c r="R104" s="35"/>
      <c r="S104" s="99"/>
      <c r="T104" s="100"/>
    </row>
    <row r="105" ht="16.5" spans="1:20">
      <c r="A105" s="36"/>
      <c r="B105" s="106" t="s">
        <v>1875</v>
      </c>
      <c r="C105" s="40" t="s">
        <v>224</v>
      </c>
      <c r="D105" s="41"/>
      <c r="E105" s="58"/>
      <c r="F105" s="54" t="s">
        <v>4139</v>
      </c>
      <c r="G105" s="53"/>
      <c r="H105" s="56"/>
      <c r="I105" s="71"/>
      <c r="J105" s="68"/>
      <c r="K105" s="68"/>
      <c r="L105" s="53">
        <v>7.1745</v>
      </c>
      <c r="M105" s="143"/>
      <c r="N105" s="84"/>
      <c r="O105" s="85"/>
      <c r="P105" s="86"/>
      <c r="Q105" s="182"/>
      <c r="R105" s="35"/>
      <c r="S105" s="99"/>
      <c r="T105" s="100"/>
    </row>
    <row r="106" ht="16.5" spans="1:20">
      <c r="A106" s="36"/>
      <c r="B106" s="106" t="s">
        <v>1875</v>
      </c>
      <c r="C106" s="40" t="s">
        <v>224</v>
      </c>
      <c r="D106" s="41"/>
      <c r="E106" s="58"/>
      <c r="F106" s="54" t="s">
        <v>4090</v>
      </c>
      <c r="G106" s="53"/>
      <c r="H106" s="56"/>
      <c r="I106" s="71"/>
      <c r="J106" s="68"/>
      <c r="K106" s="68"/>
      <c r="L106" s="53">
        <v>7.1745</v>
      </c>
      <c r="M106" s="143"/>
      <c r="N106" s="84"/>
      <c r="O106" s="85"/>
      <c r="P106" s="86"/>
      <c r="Q106" s="182"/>
      <c r="R106" s="35"/>
      <c r="S106" s="99"/>
      <c r="T106" s="100"/>
    </row>
    <row r="107" ht="16.5" spans="1:20">
      <c r="A107" s="36"/>
      <c r="B107" s="106" t="s">
        <v>1875</v>
      </c>
      <c r="C107" s="40" t="s">
        <v>224</v>
      </c>
      <c r="D107" s="41"/>
      <c r="E107" s="58"/>
      <c r="F107" s="54" t="s">
        <v>4090</v>
      </c>
      <c r="G107" s="53"/>
      <c r="H107" s="56"/>
      <c r="I107" s="71"/>
      <c r="J107" s="68"/>
      <c r="K107" s="68"/>
      <c r="L107" s="53">
        <v>7.1745</v>
      </c>
      <c r="M107" s="143"/>
      <c r="N107" s="84"/>
      <c r="O107" s="85"/>
      <c r="P107" s="86"/>
      <c r="Q107" s="182"/>
      <c r="R107" s="35"/>
      <c r="S107" s="99"/>
      <c r="T107" s="100"/>
    </row>
    <row r="108" ht="16.5" spans="1:20">
      <c r="A108" s="36"/>
      <c r="B108" s="106" t="s">
        <v>1875</v>
      </c>
      <c r="C108" s="40" t="s">
        <v>4092</v>
      </c>
      <c r="D108" s="41"/>
      <c r="E108" s="54"/>
      <c r="F108" s="54" t="s">
        <v>4139</v>
      </c>
      <c r="G108" s="53" t="s">
        <v>4405</v>
      </c>
      <c r="H108" s="56"/>
      <c r="I108" s="71"/>
      <c r="J108" s="68"/>
      <c r="K108" s="68"/>
      <c r="L108" s="53">
        <v>7.1745</v>
      </c>
      <c r="M108" s="143"/>
      <c r="N108" s="84"/>
      <c r="O108" s="85"/>
      <c r="P108" s="86"/>
      <c r="Q108" s="182"/>
      <c r="R108" s="35"/>
      <c r="S108" s="99"/>
      <c r="T108" s="100"/>
    </row>
    <row r="109" ht="16.5" spans="1:20">
      <c r="A109" s="36"/>
      <c r="B109" s="106" t="s">
        <v>1875</v>
      </c>
      <c r="C109" s="40" t="s">
        <v>4092</v>
      </c>
      <c r="D109" s="41"/>
      <c r="E109" s="54"/>
      <c r="F109" s="54" t="s">
        <v>4081</v>
      </c>
      <c r="G109" s="155" t="s">
        <v>4150</v>
      </c>
      <c r="H109" s="56"/>
      <c r="I109" s="71"/>
      <c r="J109" s="68"/>
      <c r="K109" s="130"/>
      <c r="L109" s="53">
        <v>7.1745</v>
      </c>
      <c r="M109" s="143"/>
      <c r="N109" s="87">
        <v>45708</v>
      </c>
      <c r="O109" s="81">
        <v>45713</v>
      </c>
      <c r="P109" s="90"/>
      <c r="Q109" s="53"/>
      <c r="R109" s="35"/>
      <c r="S109" s="183"/>
      <c r="T109" s="184"/>
    </row>
    <row r="110" ht="16.5" spans="1:20">
      <c r="A110" s="36"/>
      <c r="B110" s="106" t="s">
        <v>1875</v>
      </c>
      <c r="C110" s="40" t="s">
        <v>4092</v>
      </c>
      <c r="D110" s="41"/>
      <c r="E110" s="58"/>
      <c r="F110" s="58" t="s">
        <v>4081</v>
      </c>
      <c r="G110" s="53"/>
      <c r="H110" s="56"/>
      <c r="I110" s="71"/>
      <c r="J110" s="68"/>
      <c r="K110" s="68"/>
      <c r="L110" s="53">
        <v>7.1745</v>
      </c>
      <c r="M110" s="143"/>
      <c r="N110" s="84"/>
      <c r="O110" s="85"/>
      <c r="P110" s="86"/>
      <c r="Q110" s="182"/>
      <c r="R110" s="35"/>
      <c r="S110" s="99"/>
      <c r="T110" s="100"/>
    </row>
    <row r="111" ht="16.5" spans="1:20">
      <c r="A111" s="36"/>
      <c r="B111" s="106" t="s">
        <v>1875</v>
      </c>
      <c r="C111" s="40" t="s">
        <v>4092</v>
      </c>
      <c r="D111" s="41"/>
      <c r="E111" s="53"/>
      <c r="F111" s="54" t="s">
        <v>4081</v>
      </c>
      <c r="G111" s="53" t="s">
        <v>4344</v>
      </c>
      <c r="H111" s="56"/>
      <c r="I111" s="71"/>
      <c r="J111" s="72"/>
      <c r="K111" s="72"/>
      <c r="L111" s="53">
        <v>7.1745</v>
      </c>
      <c r="M111" s="88"/>
      <c r="N111" s="88"/>
      <c r="O111" s="88"/>
      <c r="P111" s="89"/>
      <c r="Q111" s="182"/>
      <c r="R111" s="35"/>
      <c r="S111" s="99"/>
      <c r="T111" s="100"/>
    </row>
    <row r="112" ht="16.5" spans="1:20">
      <c r="A112" s="32"/>
      <c r="B112" s="106" t="s">
        <v>1875</v>
      </c>
      <c r="C112" s="40" t="s">
        <v>4092</v>
      </c>
      <c r="D112" s="48"/>
      <c r="E112" s="48"/>
      <c r="F112" s="58" t="s">
        <v>4192</v>
      </c>
      <c r="G112" s="48"/>
      <c r="H112" s="48"/>
      <c r="I112" s="71"/>
      <c r="J112" s="73"/>
      <c r="K112" s="72"/>
      <c r="L112" s="53">
        <v>7.1745</v>
      </c>
      <c r="M112" s="81"/>
      <c r="N112" s="178"/>
      <c r="O112" s="178"/>
      <c r="P112" s="82"/>
      <c r="Q112" s="98"/>
      <c r="R112" s="41"/>
      <c r="S112" s="40"/>
      <c r="T112" s="72"/>
    </row>
    <row r="113" ht="16.5" spans="1:20">
      <c r="A113" s="32"/>
      <c r="B113" s="106" t="s">
        <v>1875</v>
      </c>
      <c r="C113" s="40" t="s">
        <v>4092</v>
      </c>
      <c r="D113" s="48"/>
      <c r="E113" s="48"/>
      <c r="F113" s="58" t="s">
        <v>4207</v>
      </c>
      <c r="G113" s="48" t="s">
        <v>1489</v>
      </c>
      <c r="H113" s="56"/>
      <c r="I113" s="71"/>
      <c r="J113" s="73"/>
      <c r="K113" s="72"/>
      <c r="L113" s="53">
        <v>7.1745</v>
      </c>
      <c r="M113" s="81"/>
      <c r="N113" s="178"/>
      <c r="O113" s="178"/>
      <c r="P113" s="82"/>
      <c r="Q113" s="98"/>
      <c r="R113" s="41"/>
      <c r="S113" s="40"/>
      <c r="T113" s="72"/>
    </row>
    <row r="114" ht="16.5" spans="1:20">
      <c r="A114" s="32"/>
      <c r="B114" s="106" t="s">
        <v>1875</v>
      </c>
      <c r="C114" s="40" t="s">
        <v>4092</v>
      </c>
      <c r="D114" s="48"/>
      <c r="E114" s="48"/>
      <c r="F114" s="58" t="s">
        <v>4192</v>
      </c>
      <c r="G114" s="48"/>
      <c r="H114" s="56"/>
      <c r="I114" s="71"/>
      <c r="J114" s="73"/>
      <c r="K114" s="72"/>
      <c r="L114" s="53">
        <v>7.1745</v>
      </c>
      <c r="M114" s="81"/>
      <c r="N114" s="178"/>
      <c r="O114" s="178"/>
      <c r="P114" s="82"/>
      <c r="Q114" s="98"/>
      <c r="R114" s="41"/>
      <c r="S114" s="40"/>
      <c r="T114" s="72"/>
    </row>
    <row r="115" ht="16.5" spans="1:20">
      <c r="A115" s="32"/>
      <c r="B115" s="106" t="s">
        <v>1875</v>
      </c>
      <c r="C115" s="40" t="s">
        <v>4092</v>
      </c>
      <c r="D115" s="48"/>
      <c r="E115" s="48"/>
      <c r="F115" s="58" t="s">
        <v>4207</v>
      </c>
      <c r="G115" s="48"/>
      <c r="H115" s="48"/>
      <c r="I115" s="71"/>
      <c r="J115" s="73"/>
      <c r="K115" s="72"/>
      <c r="L115" s="53">
        <v>7.1745</v>
      </c>
      <c r="M115" s="81"/>
      <c r="N115" s="178"/>
      <c r="O115" s="178"/>
      <c r="P115" s="82"/>
      <c r="Q115" s="98"/>
      <c r="R115" s="41"/>
      <c r="S115" s="40"/>
      <c r="T115" s="69"/>
    </row>
    <row r="116" ht="16.5" spans="1:20">
      <c r="A116" s="32"/>
      <c r="B116" s="106" t="s">
        <v>1875</v>
      </c>
      <c r="C116" s="40" t="s">
        <v>4092</v>
      </c>
      <c r="D116" s="48"/>
      <c r="E116" s="48"/>
      <c r="F116" s="58" t="s">
        <v>4207</v>
      </c>
      <c r="G116" s="48"/>
      <c r="H116" s="48"/>
      <c r="I116" s="71"/>
      <c r="J116" s="73"/>
      <c r="K116" s="72"/>
      <c r="L116" s="53">
        <v>7.1745</v>
      </c>
      <c r="M116" s="81"/>
      <c r="N116" s="178"/>
      <c r="O116" s="178"/>
      <c r="P116" s="82"/>
      <c r="Q116" s="98"/>
      <c r="R116" s="41"/>
      <c r="S116" s="40"/>
      <c r="T116" s="69"/>
    </row>
    <row r="117" ht="16.5" spans="1:20">
      <c r="A117" s="32"/>
      <c r="B117" s="106" t="s">
        <v>1875</v>
      </c>
      <c r="C117" s="40" t="s">
        <v>4092</v>
      </c>
      <c r="D117" s="48"/>
      <c r="E117" s="48"/>
      <c r="F117" s="58" t="s">
        <v>4192</v>
      </c>
      <c r="G117" s="48"/>
      <c r="H117" s="48"/>
      <c r="I117" s="71"/>
      <c r="J117" s="73"/>
      <c r="K117" s="72"/>
      <c r="L117" s="53">
        <v>7.1745</v>
      </c>
      <c r="M117" s="81"/>
      <c r="N117" s="178"/>
      <c r="O117" s="178"/>
      <c r="P117" s="82"/>
      <c r="Q117" s="98"/>
      <c r="R117" s="41"/>
      <c r="S117" s="40"/>
      <c r="T117" s="69"/>
    </row>
    <row r="118" ht="16.5" spans="1:20">
      <c r="A118" s="32"/>
      <c r="B118" s="106" t="s">
        <v>1875</v>
      </c>
      <c r="C118" s="40" t="s">
        <v>4092</v>
      </c>
      <c r="D118" s="48"/>
      <c r="E118" s="48"/>
      <c r="F118" s="58" t="s">
        <v>4192</v>
      </c>
      <c r="G118" s="48"/>
      <c r="H118" s="48"/>
      <c r="I118" s="71"/>
      <c r="J118" s="73"/>
      <c r="K118" s="72"/>
      <c r="L118" s="53">
        <v>7.1745</v>
      </c>
      <c r="M118" s="81"/>
      <c r="N118" s="178"/>
      <c r="O118" s="178"/>
      <c r="P118" s="82"/>
      <c r="Q118" s="98"/>
      <c r="R118" s="41"/>
      <c r="S118" s="40"/>
      <c r="T118" s="69"/>
    </row>
    <row r="119" ht="16.5" spans="1:20">
      <c r="A119" s="32"/>
      <c r="B119" s="106" t="s">
        <v>1875</v>
      </c>
      <c r="C119" s="40" t="s">
        <v>4092</v>
      </c>
      <c r="D119" s="48"/>
      <c r="E119" s="48"/>
      <c r="F119" s="58" t="s">
        <v>4192</v>
      </c>
      <c r="G119" s="48"/>
      <c r="H119" s="48"/>
      <c r="I119" s="71"/>
      <c r="J119" s="73"/>
      <c r="K119" s="72"/>
      <c r="L119" s="53">
        <v>7.1745</v>
      </c>
      <c r="M119" s="81"/>
      <c r="N119" s="178"/>
      <c r="O119" s="178"/>
      <c r="P119" s="179"/>
      <c r="Q119" s="98"/>
      <c r="R119" s="41"/>
      <c r="S119" s="40"/>
      <c r="T119" s="69"/>
    </row>
    <row r="120" ht="16.5" spans="1:20">
      <c r="A120" s="32"/>
      <c r="B120" s="106" t="s">
        <v>1875</v>
      </c>
      <c r="C120" s="40" t="s">
        <v>4092</v>
      </c>
      <c r="D120" s="48"/>
      <c r="E120" s="48"/>
      <c r="F120" s="58" t="s">
        <v>4192</v>
      </c>
      <c r="G120" s="48" t="s">
        <v>4406</v>
      </c>
      <c r="H120" s="56"/>
      <c r="I120" s="71"/>
      <c r="J120" s="73"/>
      <c r="K120" s="72"/>
      <c r="L120" s="53">
        <v>7.1745</v>
      </c>
      <c r="M120" s="81"/>
      <c r="N120" s="178"/>
      <c r="O120" s="178"/>
      <c r="P120" s="82"/>
      <c r="Q120" s="98"/>
      <c r="R120" s="41"/>
      <c r="S120" s="40"/>
      <c r="T120" s="72"/>
    </row>
    <row r="121" ht="16.5" spans="1:20">
      <c r="A121" s="32"/>
      <c r="B121" s="106" t="s">
        <v>1875</v>
      </c>
      <c r="C121" s="40" t="s">
        <v>4092</v>
      </c>
      <c r="D121" s="48"/>
      <c r="E121" s="48"/>
      <c r="F121" s="58" t="s">
        <v>4207</v>
      </c>
      <c r="G121" s="48"/>
      <c r="H121" s="48"/>
      <c r="I121" s="71"/>
      <c r="J121" s="73"/>
      <c r="K121" s="72"/>
      <c r="L121" s="53">
        <v>7.1745</v>
      </c>
      <c r="M121" s="81"/>
      <c r="N121" s="178"/>
      <c r="O121" s="178"/>
      <c r="P121" s="82"/>
      <c r="Q121" s="98"/>
      <c r="R121" s="41"/>
      <c r="S121" s="40"/>
      <c r="T121" s="72"/>
    </row>
    <row r="122" ht="16.5" spans="1:20">
      <c r="A122" s="32"/>
      <c r="B122" s="106" t="s">
        <v>1875</v>
      </c>
      <c r="C122" s="40" t="s">
        <v>4092</v>
      </c>
      <c r="D122" s="48"/>
      <c r="E122" s="48"/>
      <c r="F122" s="58" t="s">
        <v>4192</v>
      </c>
      <c r="G122" s="48"/>
      <c r="H122" s="48"/>
      <c r="I122" s="71"/>
      <c r="J122" s="73"/>
      <c r="K122" s="72"/>
      <c r="L122" s="53">
        <v>7.1745</v>
      </c>
      <c r="M122" s="81"/>
      <c r="N122" s="178"/>
      <c r="O122" s="178"/>
      <c r="P122" s="82"/>
      <c r="Q122" s="98"/>
      <c r="R122" s="41"/>
      <c r="S122" s="40"/>
      <c r="T122" s="72"/>
    </row>
    <row r="123" ht="16.5" spans="1:20">
      <c r="A123" s="32"/>
      <c r="B123" s="106" t="s">
        <v>1875</v>
      </c>
      <c r="C123" s="48" t="s">
        <v>4407</v>
      </c>
      <c r="D123" s="48"/>
      <c r="E123" s="58"/>
      <c r="F123" s="54" t="s">
        <v>4081</v>
      </c>
      <c r="G123" s="69"/>
      <c r="H123" s="69"/>
      <c r="I123" s="71"/>
      <c r="J123" s="69"/>
      <c r="K123" s="69"/>
      <c r="L123" s="53">
        <v>7.1745</v>
      </c>
      <c r="M123" s="93"/>
      <c r="N123" s="94"/>
      <c r="O123" s="93"/>
      <c r="P123" s="90"/>
      <c r="Q123" s="53"/>
      <c r="R123" s="35"/>
      <c r="S123" s="183"/>
      <c r="T123" s="185"/>
    </row>
    <row r="124" ht="16.5" spans="1:20">
      <c r="A124" s="32"/>
      <c r="B124" s="106" t="s">
        <v>1875</v>
      </c>
      <c r="C124" s="48" t="s">
        <v>4407</v>
      </c>
      <c r="D124" s="48"/>
      <c r="E124" s="48"/>
      <c r="F124" s="54" t="s">
        <v>4081</v>
      </c>
      <c r="G124" s="48"/>
      <c r="H124" s="48"/>
      <c r="I124" s="71"/>
      <c r="J124" s="73"/>
      <c r="K124" s="72"/>
      <c r="L124" s="53"/>
      <c r="M124" s="81"/>
      <c r="N124" s="178"/>
      <c r="O124" s="178"/>
      <c r="P124" s="82"/>
      <c r="Q124" s="98"/>
      <c r="R124" s="41"/>
      <c r="S124" s="40"/>
      <c r="T124" s="72"/>
    </row>
    <row r="125" ht="16.5" spans="1:20">
      <c r="A125" s="32"/>
      <c r="B125" s="106" t="s">
        <v>1875</v>
      </c>
      <c r="C125" s="48" t="s">
        <v>4407</v>
      </c>
      <c r="D125" s="48"/>
      <c r="E125" s="48"/>
      <c r="F125" s="58"/>
      <c r="G125" s="48"/>
      <c r="H125" s="48"/>
      <c r="I125" s="110"/>
      <c r="J125" s="73"/>
      <c r="K125" s="72"/>
      <c r="L125" s="53"/>
      <c r="M125" s="81"/>
      <c r="N125" s="178"/>
      <c r="O125" s="178"/>
      <c r="P125" s="82"/>
      <c r="Q125" s="98"/>
      <c r="R125" s="41"/>
      <c r="S125" s="40"/>
      <c r="T125" s="72"/>
    </row>
    <row r="126" ht="33" spans="1:20">
      <c r="A126" s="32" t="s">
        <v>1913</v>
      </c>
      <c r="B126" s="106" t="s">
        <v>1824</v>
      </c>
      <c r="C126" s="112" t="s">
        <v>1248</v>
      </c>
      <c r="D126" s="43">
        <v>382</v>
      </c>
      <c r="E126" s="194"/>
      <c r="F126" s="120" t="s">
        <v>4139</v>
      </c>
      <c r="G126" s="53" t="s">
        <v>4408</v>
      </c>
      <c r="H126" s="195"/>
      <c r="I126" s="64"/>
      <c r="J126" s="72"/>
      <c r="K126" s="72"/>
      <c r="L126" s="53">
        <v>7.1745</v>
      </c>
      <c r="M126" s="87" t="s">
        <v>1218</v>
      </c>
      <c r="N126" s="87" t="s">
        <v>621</v>
      </c>
      <c r="O126" s="87" t="s">
        <v>621</v>
      </c>
      <c r="P126" s="207"/>
      <c r="Q126" s="59"/>
      <c r="R126" s="39"/>
      <c r="S126" s="363"/>
      <c r="T126" s="364"/>
    </row>
    <row r="127" ht="33" spans="1:20">
      <c r="A127" s="32"/>
      <c r="B127" s="106" t="s">
        <v>1824</v>
      </c>
      <c r="C127" s="112" t="s">
        <v>1248</v>
      </c>
      <c r="D127" s="38"/>
      <c r="E127" s="196"/>
      <c r="F127" s="197"/>
      <c r="G127" s="53" t="s">
        <v>4409</v>
      </c>
      <c r="H127" s="195"/>
      <c r="I127" s="64"/>
      <c r="J127" s="72"/>
      <c r="K127" s="72"/>
      <c r="L127" s="53">
        <v>7.1745</v>
      </c>
      <c r="M127" s="87" t="s">
        <v>1218</v>
      </c>
      <c r="N127" s="87" t="s">
        <v>621</v>
      </c>
      <c r="O127" s="87" t="s">
        <v>621</v>
      </c>
      <c r="P127" s="207"/>
      <c r="Q127" s="59"/>
      <c r="R127" s="39"/>
      <c r="S127" s="363"/>
      <c r="T127" s="364"/>
    </row>
    <row r="128" ht="33" spans="1:20">
      <c r="A128" s="32"/>
      <c r="B128" s="106" t="s">
        <v>1824</v>
      </c>
      <c r="C128" s="112" t="s">
        <v>1248</v>
      </c>
      <c r="D128" s="38"/>
      <c r="E128" s="196"/>
      <c r="F128" s="197"/>
      <c r="G128" s="53" t="s">
        <v>4410</v>
      </c>
      <c r="H128" s="195"/>
      <c r="I128" s="64"/>
      <c r="J128" s="72"/>
      <c r="K128" s="72"/>
      <c r="L128" s="53">
        <v>7.1745</v>
      </c>
      <c r="M128" s="87" t="s">
        <v>1218</v>
      </c>
      <c r="N128" s="87" t="s">
        <v>621</v>
      </c>
      <c r="O128" s="87" t="s">
        <v>621</v>
      </c>
      <c r="P128" s="207"/>
      <c r="Q128" s="59"/>
      <c r="R128" s="39"/>
      <c r="S128" s="363"/>
      <c r="T128" s="364"/>
    </row>
    <row r="129" ht="33" spans="1:20">
      <c r="A129" s="32"/>
      <c r="B129" s="106" t="s">
        <v>1824</v>
      </c>
      <c r="C129" s="112" t="s">
        <v>1248</v>
      </c>
      <c r="D129" s="38"/>
      <c r="E129" s="194"/>
      <c r="F129" s="120" t="s">
        <v>4095</v>
      </c>
      <c r="G129" s="53" t="s">
        <v>4411</v>
      </c>
      <c r="H129" s="195"/>
      <c r="I129" s="64"/>
      <c r="J129" s="226"/>
      <c r="K129" s="226"/>
      <c r="L129" s="53">
        <v>7.1745</v>
      </c>
      <c r="M129" s="87" t="s">
        <v>1218</v>
      </c>
      <c r="N129" s="87" t="s">
        <v>621</v>
      </c>
      <c r="O129" s="87" t="s">
        <v>621</v>
      </c>
      <c r="P129" s="207"/>
      <c r="Q129" s="59"/>
      <c r="R129" s="39"/>
      <c r="S129" s="363"/>
      <c r="T129" s="364"/>
    </row>
    <row r="130" ht="33" spans="1:20">
      <c r="A130" s="32"/>
      <c r="B130" s="106" t="s">
        <v>1824</v>
      </c>
      <c r="C130" s="112" t="s">
        <v>1248</v>
      </c>
      <c r="D130" s="38"/>
      <c r="E130" s="196"/>
      <c r="F130" s="197"/>
      <c r="G130" s="53" t="s">
        <v>4412</v>
      </c>
      <c r="H130" s="195"/>
      <c r="I130" s="64"/>
      <c r="J130" s="72"/>
      <c r="K130" s="72"/>
      <c r="L130" s="53">
        <v>7.1745</v>
      </c>
      <c r="M130" s="87" t="s">
        <v>1218</v>
      </c>
      <c r="N130" s="87" t="s">
        <v>621</v>
      </c>
      <c r="O130" s="87" t="s">
        <v>621</v>
      </c>
      <c r="P130" s="207"/>
      <c r="Q130" s="59"/>
      <c r="R130" s="39"/>
      <c r="S130" s="363"/>
      <c r="T130" s="364"/>
    </row>
    <row r="131" ht="33" spans="1:20">
      <c r="A131" s="32"/>
      <c r="B131" s="106" t="s">
        <v>1824</v>
      </c>
      <c r="C131" s="217" t="s">
        <v>1922</v>
      </c>
      <c r="D131" s="43">
        <v>89</v>
      </c>
      <c r="E131" s="57"/>
      <c r="F131" s="201" t="s">
        <v>4113</v>
      </c>
      <c r="G131" s="58" t="s">
        <v>4350</v>
      </c>
      <c r="H131" s="200"/>
      <c r="I131" s="71"/>
      <c r="J131" s="72"/>
      <c r="K131" s="71"/>
      <c r="L131" s="53">
        <v>7.1745</v>
      </c>
      <c r="M131" s="87" t="s">
        <v>1218</v>
      </c>
      <c r="N131" s="87">
        <v>45736</v>
      </c>
      <c r="O131" s="146">
        <v>45750</v>
      </c>
      <c r="P131" s="207"/>
      <c r="Q131" s="59"/>
      <c r="R131" s="39"/>
      <c r="S131" s="363"/>
      <c r="T131" s="364"/>
    </row>
    <row r="132" ht="33" spans="1:20">
      <c r="A132" s="32"/>
      <c r="B132" s="106" t="s">
        <v>1824</v>
      </c>
      <c r="C132" s="217" t="s">
        <v>1922</v>
      </c>
      <c r="D132" s="38"/>
      <c r="E132" s="57"/>
      <c r="F132" s="201" t="s">
        <v>4113</v>
      </c>
      <c r="G132" s="58" t="s">
        <v>4351</v>
      </c>
      <c r="H132" s="200"/>
      <c r="I132" s="71"/>
      <c r="J132" s="72"/>
      <c r="K132" s="72"/>
      <c r="L132" s="53">
        <v>7.1745</v>
      </c>
      <c r="M132" s="87" t="s">
        <v>1218</v>
      </c>
      <c r="N132" s="87">
        <v>45736</v>
      </c>
      <c r="O132" s="146">
        <v>45750</v>
      </c>
      <c r="P132" s="207"/>
      <c r="Q132" s="59"/>
      <c r="R132" s="39"/>
      <c r="S132" s="363"/>
      <c r="T132" s="364"/>
    </row>
    <row r="133" ht="33" spans="1:20">
      <c r="A133" s="32"/>
      <c r="B133" s="106" t="s">
        <v>1824</v>
      </c>
      <c r="C133" s="217" t="s">
        <v>1922</v>
      </c>
      <c r="D133" s="38"/>
      <c r="E133" s="57"/>
      <c r="F133" s="201" t="s">
        <v>4113</v>
      </c>
      <c r="G133" s="58" t="s">
        <v>4413</v>
      </c>
      <c r="H133" s="200"/>
      <c r="I133" s="64"/>
      <c r="J133" s="72"/>
      <c r="K133" s="226"/>
      <c r="L133" s="53">
        <v>7.1745</v>
      </c>
      <c r="M133" s="87" t="s">
        <v>1218</v>
      </c>
      <c r="N133" s="87" t="s">
        <v>621</v>
      </c>
      <c r="O133" s="87" t="s">
        <v>621</v>
      </c>
      <c r="P133" s="207"/>
      <c r="Q133" s="59"/>
      <c r="R133" s="366"/>
      <c r="S133" s="363"/>
      <c r="T133" s="364"/>
    </row>
    <row r="134" ht="33" spans="1:20">
      <c r="A134" s="114"/>
      <c r="B134" s="106" t="s">
        <v>1824</v>
      </c>
      <c r="C134" s="217" t="s">
        <v>1922</v>
      </c>
      <c r="D134" s="38"/>
      <c r="E134" s="202"/>
      <c r="F134" s="155" t="s">
        <v>4087</v>
      </c>
      <c r="G134" s="48" t="s">
        <v>4358</v>
      </c>
      <c r="H134" s="200"/>
      <c r="I134" s="64"/>
      <c r="J134" s="350"/>
      <c r="K134" s="350"/>
      <c r="L134" s="246">
        <v>7.1745</v>
      </c>
      <c r="M134" s="87" t="s">
        <v>1218</v>
      </c>
      <c r="N134" s="87" t="s">
        <v>621</v>
      </c>
      <c r="O134" s="87" t="s">
        <v>621</v>
      </c>
      <c r="P134" s="208"/>
      <c r="Q134" s="59"/>
      <c r="R134" s="366"/>
      <c r="S134" s="367"/>
      <c r="T134" s="368"/>
    </row>
    <row r="135" ht="33" spans="1:20">
      <c r="A135" s="114"/>
      <c r="B135" s="106" t="s">
        <v>1824</v>
      </c>
      <c r="C135" s="187" t="s">
        <v>209</v>
      </c>
      <c r="D135" s="188">
        <v>121</v>
      </c>
      <c r="E135" s="57"/>
      <c r="F135" s="106" t="s">
        <v>4087</v>
      </c>
      <c r="G135" s="57" t="s">
        <v>4357</v>
      </c>
      <c r="H135" s="55"/>
      <c r="I135" s="64"/>
      <c r="J135" s="72"/>
      <c r="K135" s="72"/>
      <c r="L135" s="53">
        <v>7.1745</v>
      </c>
      <c r="M135" s="87" t="s">
        <v>1218</v>
      </c>
      <c r="N135" s="87" t="s">
        <v>621</v>
      </c>
      <c r="O135" s="87" t="s">
        <v>621</v>
      </c>
      <c r="P135" s="208"/>
      <c r="Q135" s="81"/>
      <c r="R135" s="207"/>
      <c r="S135" s="369"/>
      <c r="T135" s="370"/>
    </row>
    <row r="136" ht="33" spans="1:20">
      <c r="A136" s="114"/>
      <c r="B136" s="106" t="s">
        <v>1824</v>
      </c>
      <c r="C136" s="187" t="s">
        <v>209</v>
      </c>
      <c r="D136" s="189"/>
      <c r="E136" s="194"/>
      <c r="F136" s="203" t="s">
        <v>4093</v>
      </c>
      <c r="G136" s="57" t="s">
        <v>4414</v>
      </c>
      <c r="H136" s="204"/>
      <c r="I136" s="64"/>
      <c r="J136" s="72"/>
      <c r="K136" s="72"/>
      <c r="L136" s="53">
        <v>7.1745</v>
      </c>
      <c r="M136" s="87" t="s">
        <v>1218</v>
      </c>
      <c r="N136" s="87" t="s">
        <v>621</v>
      </c>
      <c r="O136" s="87" t="s">
        <v>621</v>
      </c>
      <c r="P136" s="208"/>
      <c r="Q136" s="369"/>
      <c r="R136" s="370"/>
      <c r="S136" s="371"/>
      <c r="T136" s="372"/>
    </row>
    <row r="137" ht="33" spans="1:20">
      <c r="A137" s="114"/>
      <c r="B137" s="106" t="s">
        <v>1824</v>
      </c>
      <c r="C137" s="187" t="s">
        <v>209</v>
      </c>
      <c r="D137" s="189"/>
      <c r="E137" s="223"/>
      <c r="F137" s="365"/>
      <c r="G137" s="57" t="s">
        <v>4166</v>
      </c>
      <c r="H137" s="257"/>
      <c r="I137" s="64"/>
      <c r="J137" s="72"/>
      <c r="K137" s="72"/>
      <c r="L137" s="53">
        <v>7.1745</v>
      </c>
      <c r="M137" s="87" t="s">
        <v>1218</v>
      </c>
      <c r="N137" s="87" t="s">
        <v>621</v>
      </c>
      <c r="O137" s="87" t="s">
        <v>621</v>
      </c>
      <c r="P137" s="208"/>
      <c r="Q137" s="369"/>
      <c r="R137" s="370"/>
      <c r="S137" s="371"/>
      <c r="T137" s="372"/>
    </row>
    <row r="138" ht="33" spans="1:20">
      <c r="A138" s="114"/>
      <c r="B138" s="106" t="s">
        <v>1824</v>
      </c>
      <c r="C138" s="187" t="s">
        <v>209</v>
      </c>
      <c r="D138" s="189"/>
      <c r="E138" s="194"/>
      <c r="F138" s="106" t="s">
        <v>4087</v>
      </c>
      <c r="G138" s="223" t="s">
        <v>4292</v>
      </c>
      <c r="H138" s="204"/>
      <c r="I138" s="76"/>
      <c r="J138" s="72"/>
      <c r="K138" s="72"/>
      <c r="L138" s="53">
        <v>7.1745</v>
      </c>
      <c r="M138" s="87" t="s">
        <v>1218</v>
      </c>
      <c r="N138" s="87" t="s">
        <v>621</v>
      </c>
      <c r="O138" s="87" t="s">
        <v>621</v>
      </c>
      <c r="P138" s="208"/>
      <c r="Q138" s="369"/>
      <c r="R138" s="370"/>
      <c r="S138" s="371"/>
      <c r="T138" s="372"/>
    </row>
    <row r="139" ht="33" spans="1:20">
      <c r="A139" s="32"/>
      <c r="B139" s="106" t="s">
        <v>1824</v>
      </c>
      <c r="C139" s="187" t="s">
        <v>209</v>
      </c>
      <c r="D139" s="189"/>
      <c r="E139" s="57"/>
      <c r="F139" s="54" t="s">
        <v>4095</v>
      </c>
      <c r="G139" s="54" t="s">
        <v>4415</v>
      </c>
      <c r="H139" s="204"/>
      <c r="I139" s="76"/>
      <c r="J139" s="64"/>
      <c r="K139" s="72"/>
      <c r="L139" s="53">
        <v>7.1745</v>
      </c>
      <c r="M139" s="87" t="s">
        <v>1218</v>
      </c>
      <c r="N139" s="87" t="s">
        <v>621</v>
      </c>
      <c r="O139" s="87" t="s">
        <v>621</v>
      </c>
      <c r="P139" s="208"/>
      <c r="Q139" s="53"/>
      <c r="R139" s="373"/>
      <c r="S139" s="195"/>
      <c r="T139" s="374"/>
    </row>
    <row r="140" ht="33" spans="1:20">
      <c r="A140" s="32"/>
      <c r="B140" s="106" t="s">
        <v>1824</v>
      </c>
      <c r="C140" s="187" t="s">
        <v>209</v>
      </c>
      <c r="D140" s="189"/>
      <c r="E140" s="57"/>
      <c r="F140" s="54" t="s">
        <v>4095</v>
      </c>
      <c r="G140" s="54" t="s">
        <v>4416</v>
      </c>
      <c r="H140" s="55"/>
      <c r="I140" s="71"/>
      <c r="J140" s="68"/>
      <c r="K140" s="68"/>
      <c r="L140" s="53">
        <v>7.1745</v>
      </c>
      <c r="M140" s="87" t="s">
        <v>1218</v>
      </c>
      <c r="N140" s="87" t="s">
        <v>621</v>
      </c>
      <c r="O140" s="87" t="s">
        <v>621</v>
      </c>
      <c r="P140" s="208"/>
      <c r="Q140" s="53"/>
      <c r="R140" s="373"/>
      <c r="S140" s="195"/>
      <c r="T140" s="374"/>
    </row>
    <row r="141" ht="33" spans="1:20">
      <c r="A141" s="32"/>
      <c r="B141" s="106" t="s">
        <v>1824</v>
      </c>
      <c r="C141" s="187" t="s">
        <v>209</v>
      </c>
      <c r="D141" s="189"/>
      <c r="E141" s="57"/>
      <c r="F141" s="54"/>
      <c r="G141" s="54"/>
      <c r="H141" s="55"/>
      <c r="I141" s="64"/>
      <c r="J141" s="72"/>
      <c r="K141" s="72"/>
      <c r="L141" s="53"/>
      <c r="M141" s="81"/>
      <c r="N141" s="81"/>
      <c r="O141" s="81"/>
      <c r="P141" s="207"/>
      <c r="Q141" s="53"/>
      <c r="R141" s="373"/>
      <c r="S141" s="195"/>
      <c r="T141" s="374"/>
    </row>
    <row r="142" ht="33" spans="1:20">
      <c r="A142" s="114"/>
      <c r="B142" s="106" t="s">
        <v>1824</v>
      </c>
      <c r="C142" s="187" t="s">
        <v>209</v>
      </c>
      <c r="D142" s="189"/>
      <c r="E142" s="57"/>
      <c r="F142" s="106"/>
      <c r="G142" s="57"/>
      <c r="H142" s="55"/>
      <c r="I142" s="64"/>
      <c r="J142" s="64"/>
      <c r="K142" s="64"/>
      <c r="L142" s="53"/>
      <c r="M142" s="87"/>
      <c r="N142" s="87"/>
      <c r="O142" s="81"/>
      <c r="P142" s="207"/>
      <c r="Q142" s="369"/>
      <c r="R142" s="370"/>
      <c r="S142" s="371"/>
      <c r="T142" s="372"/>
    </row>
    <row r="143" ht="33" spans="1:20">
      <c r="A143" s="115"/>
      <c r="B143" s="106" t="s">
        <v>1824</v>
      </c>
      <c r="C143" s="227" t="s">
        <v>4161</v>
      </c>
      <c r="D143" s="188">
        <v>123</v>
      </c>
      <c r="E143" s="194"/>
      <c r="F143" s="120" t="s">
        <v>4139</v>
      </c>
      <c r="G143" s="205" t="s">
        <v>4287</v>
      </c>
      <c r="H143" s="204"/>
      <c r="I143" s="71"/>
      <c r="J143" s="72"/>
      <c r="K143" s="72"/>
      <c r="L143" s="53">
        <v>7.1745</v>
      </c>
      <c r="M143" s="87" t="s">
        <v>1218</v>
      </c>
      <c r="N143" s="81">
        <v>45742</v>
      </c>
      <c r="O143" s="81">
        <v>45748</v>
      </c>
      <c r="P143" s="207"/>
      <c r="Q143" s="375"/>
      <c r="R143" s="277"/>
      <c r="S143" s="367"/>
      <c r="T143" s="376"/>
    </row>
    <row r="144" ht="33" spans="1:20">
      <c r="A144" s="115"/>
      <c r="B144" s="106" t="s">
        <v>1824</v>
      </c>
      <c r="C144" s="227" t="s">
        <v>4161</v>
      </c>
      <c r="D144" s="189"/>
      <c r="E144" s="196"/>
      <c r="F144" s="197"/>
      <c r="G144" s="205" t="s">
        <v>4356</v>
      </c>
      <c r="H144" s="221"/>
      <c r="I144" s="71"/>
      <c r="J144" s="66"/>
      <c r="K144" s="66"/>
      <c r="L144" s="53">
        <v>7.1745</v>
      </c>
      <c r="M144" s="87" t="s">
        <v>1218</v>
      </c>
      <c r="N144" s="87" t="s">
        <v>621</v>
      </c>
      <c r="O144" s="87" t="s">
        <v>621</v>
      </c>
      <c r="P144" s="207"/>
      <c r="Q144" s="375"/>
      <c r="R144" s="277"/>
      <c r="S144" s="367"/>
      <c r="T144" s="376"/>
    </row>
    <row r="145" ht="33" spans="1:20">
      <c r="A145" s="115"/>
      <c r="B145" s="106" t="s">
        <v>1824</v>
      </c>
      <c r="C145" s="227" t="s">
        <v>4161</v>
      </c>
      <c r="D145" s="189"/>
      <c r="E145" s="196"/>
      <c r="F145" s="197"/>
      <c r="G145" s="205" t="s">
        <v>4417</v>
      </c>
      <c r="H145" s="195"/>
      <c r="I145" s="71"/>
      <c r="J145" s="66"/>
      <c r="K145" s="66"/>
      <c r="L145" s="53">
        <v>7.1745</v>
      </c>
      <c r="M145" s="87" t="s">
        <v>1218</v>
      </c>
      <c r="N145" s="87" t="s">
        <v>621</v>
      </c>
      <c r="O145" s="87" t="s">
        <v>621</v>
      </c>
      <c r="P145" s="207"/>
      <c r="Q145" s="375"/>
      <c r="R145" s="277"/>
      <c r="S145" s="367"/>
      <c r="T145" s="376"/>
    </row>
    <row r="146" ht="33" spans="1:20">
      <c r="A146" s="115"/>
      <c r="B146" s="106" t="s">
        <v>1824</v>
      </c>
      <c r="C146" s="227" t="s">
        <v>4161</v>
      </c>
      <c r="D146" s="189"/>
      <c r="E146" s="194"/>
      <c r="F146" s="203" t="s">
        <v>4087</v>
      </c>
      <c r="G146" s="106" t="s">
        <v>4284</v>
      </c>
      <c r="H146" s="55"/>
      <c r="I146" s="71"/>
      <c r="J146" s="64"/>
      <c r="K146" s="72"/>
      <c r="L146" s="53">
        <v>7.1745</v>
      </c>
      <c r="M146" s="87" t="s">
        <v>1218</v>
      </c>
      <c r="N146" s="87" t="s">
        <v>621</v>
      </c>
      <c r="O146" s="87" t="s">
        <v>621</v>
      </c>
      <c r="P146" s="207"/>
      <c r="Q146" s="375"/>
      <c r="R146" s="277"/>
      <c r="S146" s="367"/>
      <c r="T146" s="376"/>
    </row>
    <row r="147" ht="33" spans="1:20">
      <c r="A147" s="115"/>
      <c r="B147" s="106" t="s">
        <v>1824</v>
      </c>
      <c r="C147" s="227" t="s">
        <v>4161</v>
      </c>
      <c r="D147" s="189"/>
      <c r="E147" s="196"/>
      <c r="F147" s="151"/>
      <c r="G147" s="106" t="s">
        <v>4418</v>
      </c>
      <c r="H147" s="55"/>
      <c r="I147" s="71"/>
      <c r="J147" s="64"/>
      <c r="K147" s="72"/>
      <c r="L147" s="53">
        <v>7.1745</v>
      </c>
      <c r="M147" s="87" t="s">
        <v>1218</v>
      </c>
      <c r="N147" s="87" t="s">
        <v>621</v>
      </c>
      <c r="O147" s="87" t="s">
        <v>621</v>
      </c>
      <c r="P147" s="207"/>
      <c r="Q147" s="375"/>
      <c r="R147" s="277"/>
      <c r="S147" s="367"/>
      <c r="T147" s="376"/>
    </row>
    <row r="148" ht="33" spans="1:20">
      <c r="A148" s="216"/>
      <c r="B148" s="106" t="s">
        <v>1824</v>
      </c>
      <c r="C148" s="192" t="s">
        <v>4163</v>
      </c>
      <c r="D148" s="43">
        <v>85</v>
      </c>
      <c r="E148" s="57"/>
      <c r="F148" s="106" t="s">
        <v>4093</v>
      </c>
      <c r="G148" s="54" t="s">
        <v>4172</v>
      </c>
      <c r="H148" s="55"/>
      <c r="I148" s="64"/>
      <c r="J148" s="72"/>
      <c r="K148" s="72"/>
      <c r="L148" s="53">
        <v>7.1745</v>
      </c>
      <c r="M148" s="87" t="s">
        <v>1218</v>
      </c>
      <c r="N148" s="87" t="s">
        <v>621</v>
      </c>
      <c r="O148" s="87" t="s">
        <v>621</v>
      </c>
      <c r="P148" s="207"/>
      <c r="Q148" s="377"/>
      <c r="R148" s="378"/>
      <c r="S148" s="363"/>
      <c r="T148" s="379"/>
    </row>
    <row r="149" ht="49.5" spans="1:20">
      <c r="A149" s="36"/>
      <c r="B149" s="151" t="s">
        <v>3248</v>
      </c>
      <c r="C149" s="34" t="s">
        <v>1248</v>
      </c>
      <c r="D149" s="35"/>
      <c r="E149" s="57"/>
      <c r="F149" s="106"/>
      <c r="G149" s="54"/>
      <c r="H149" s="200"/>
      <c r="I149" s="64"/>
      <c r="J149" s="64"/>
      <c r="K149" s="64"/>
      <c r="L149" s="225"/>
      <c r="M149" s="81"/>
      <c r="N149" s="87"/>
      <c r="O149" s="87"/>
      <c r="P149" s="207"/>
      <c r="Q149" s="158"/>
      <c r="R149" s="48"/>
      <c r="S149" s="158"/>
      <c r="T149" s="380"/>
    </row>
    <row r="150" ht="49.5" spans="1:20">
      <c r="A150" s="32"/>
      <c r="B150" s="151" t="s">
        <v>3248</v>
      </c>
      <c r="C150" s="40" t="s">
        <v>1922</v>
      </c>
      <c r="D150" s="35"/>
      <c r="E150" s="155"/>
      <c r="F150" s="54"/>
      <c r="G150" s="205"/>
      <c r="H150" s="221"/>
      <c r="I150" s="71"/>
      <c r="J150" s="66"/>
      <c r="K150" s="66"/>
      <c r="L150" s="53"/>
      <c r="M150" s="87"/>
      <c r="N150" s="87"/>
      <c r="O150" s="87"/>
      <c r="P150" s="207"/>
      <c r="Q150" s="53"/>
      <c r="R150" s="373"/>
      <c r="S150" s="195"/>
      <c r="T150" s="374"/>
    </row>
    <row r="151" ht="49.5" spans="1:20">
      <c r="A151" s="32"/>
      <c r="B151" s="151" t="s">
        <v>3248</v>
      </c>
      <c r="C151" s="194" t="s">
        <v>209</v>
      </c>
      <c r="D151" s="107"/>
      <c r="E151" s="57"/>
      <c r="F151" s="106"/>
      <c r="G151" s="57" t="s">
        <v>4419</v>
      </c>
      <c r="H151" s="55"/>
      <c r="I151" s="64"/>
      <c r="J151" s="68"/>
      <c r="K151" s="68"/>
      <c r="L151" s="53">
        <v>7.1745</v>
      </c>
      <c r="M151" s="81" t="s">
        <v>4167</v>
      </c>
      <c r="N151" s="87" t="s">
        <v>621</v>
      </c>
      <c r="O151" s="87" t="s">
        <v>621</v>
      </c>
      <c r="P151" s="207"/>
      <c r="Q151" s="53"/>
      <c r="R151" s="373"/>
      <c r="S151" s="195"/>
      <c r="T151" s="374"/>
    </row>
    <row r="152" ht="49.5" spans="1:20">
      <c r="A152" s="32"/>
      <c r="B152" s="151" t="s">
        <v>3248</v>
      </c>
      <c r="C152" s="194" t="s">
        <v>209</v>
      </c>
      <c r="D152" s="113"/>
      <c r="E152" s="57"/>
      <c r="F152" s="106"/>
      <c r="G152" s="57"/>
      <c r="H152" s="204"/>
      <c r="I152" s="64"/>
      <c r="J152" s="68"/>
      <c r="K152" s="68"/>
      <c r="L152" s="53"/>
      <c r="M152" s="81"/>
      <c r="N152" s="87"/>
      <c r="O152" s="87"/>
      <c r="P152" s="207"/>
      <c r="Q152" s="53"/>
      <c r="R152" s="373"/>
      <c r="S152" s="195"/>
      <c r="T152" s="374"/>
    </row>
    <row r="153" ht="16.5" spans="1:20">
      <c r="A153" s="32"/>
      <c r="B153" s="197" t="s">
        <v>1875</v>
      </c>
      <c r="C153" s="187" t="s">
        <v>1248</v>
      </c>
      <c r="D153" s="46"/>
      <c r="E153" s="194"/>
      <c r="F153" s="106" t="s">
        <v>4090</v>
      </c>
      <c r="G153" s="53" t="s">
        <v>4420</v>
      </c>
      <c r="H153" s="55"/>
      <c r="I153" s="71"/>
      <c r="J153" s="226"/>
      <c r="K153" s="226"/>
      <c r="L153" s="53">
        <v>7.1745</v>
      </c>
      <c r="M153" s="87" t="s">
        <v>1218</v>
      </c>
      <c r="N153" s="87" t="s">
        <v>621</v>
      </c>
      <c r="O153" s="87" t="s">
        <v>621</v>
      </c>
      <c r="P153" s="207"/>
      <c r="Q153" s="350"/>
      <c r="R153" s="41"/>
      <c r="S153" s="99"/>
      <c r="T153" s="380"/>
    </row>
    <row r="154" ht="16.5" spans="1:20">
      <c r="A154" s="32"/>
      <c r="B154" s="197" t="s">
        <v>1875</v>
      </c>
      <c r="C154" s="187" t="s">
        <v>1248</v>
      </c>
      <c r="D154" s="46"/>
      <c r="E154" s="194"/>
      <c r="F154" s="106" t="s">
        <v>4090</v>
      </c>
      <c r="G154" s="53" t="s">
        <v>4421</v>
      </c>
      <c r="H154" s="55"/>
      <c r="I154" s="71"/>
      <c r="J154" s="226"/>
      <c r="K154" s="71"/>
      <c r="L154" s="53">
        <v>7.1745</v>
      </c>
      <c r="M154" s="87" t="s">
        <v>1218</v>
      </c>
      <c r="N154" s="87" t="s">
        <v>621</v>
      </c>
      <c r="O154" s="87" t="s">
        <v>621</v>
      </c>
      <c r="P154" s="207"/>
      <c r="Q154" s="53"/>
      <c r="R154" s="373"/>
      <c r="S154" s="195"/>
      <c r="T154" s="374"/>
    </row>
    <row r="155" ht="16.5" spans="1:20">
      <c r="A155" s="32"/>
      <c r="B155" s="197" t="s">
        <v>1875</v>
      </c>
      <c r="C155" s="40" t="s">
        <v>1922</v>
      </c>
      <c r="D155" s="46"/>
      <c r="E155" s="57"/>
      <c r="F155" s="54" t="s">
        <v>4139</v>
      </c>
      <c r="G155" s="205" t="s">
        <v>4288</v>
      </c>
      <c r="H155" s="204"/>
      <c r="I155" s="71"/>
      <c r="J155" s="72"/>
      <c r="K155" s="158"/>
      <c r="L155" s="53">
        <v>7.1745</v>
      </c>
      <c r="M155" s="87" t="s">
        <v>1218</v>
      </c>
      <c r="N155" s="87" t="s">
        <v>621</v>
      </c>
      <c r="O155" s="87" t="s">
        <v>621</v>
      </c>
      <c r="P155" s="207"/>
      <c r="Q155" s="53"/>
      <c r="R155" s="373"/>
      <c r="S155" s="195"/>
      <c r="T155" s="374"/>
    </row>
    <row r="156" ht="16.5" spans="1:20">
      <c r="A156" s="32"/>
      <c r="B156" s="197" t="s">
        <v>1875</v>
      </c>
      <c r="C156" s="40" t="s">
        <v>1922</v>
      </c>
      <c r="D156" s="46"/>
      <c r="E156" s="57"/>
      <c r="F156" s="106" t="s">
        <v>4090</v>
      </c>
      <c r="G156" s="57" t="s">
        <v>4178</v>
      </c>
      <c r="H156" s="204"/>
      <c r="I156" s="71"/>
      <c r="J156" s="66"/>
      <c r="K156" s="66"/>
      <c r="L156" s="53">
        <v>7.1745</v>
      </c>
      <c r="M156" s="81" t="s">
        <v>4167</v>
      </c>
      <c r="N156" s="87" t="s">
        <v>621</v>
      </c>
      <c r="O156" s="87" t="s">
        <v>621</v>
      </c>
      <c r="P156" s="207"/>
      <c r="Q156" s="53"/>
      <c r="R156" s="373"/>
      <c r="S156" s="195"/>
      <c r="T156" s="374"/>
    </row>
    <row r="157" ht="16.5" spans="1:20">
      <c r="A157" s="32"/>
      <c r="B157" s="197" t="s">
        <v>1875</v>
      </c>
      <c r="C157" s="40" t="s">
        <v>1922</v>
      </c>
      <c r="D157" s="46"/>
      <c r="E157" s="57"/>
      <c r="F157" s="106" t="s">
        <v>4090</v>
      </c>
      <c r="G157" s="54" t="s">
        <v>4179</v>
      </c>
      <c r="H157" s="55"/>
      <c r="I157" s="71"/>
      <c r="J157" s="68"/>
      <c r="K157" s="68"/>
      <c r="L157" s="53">
        <v>7.1745</v>
      </c>
      <c r="M157" s="81" t="s">
        <v>4167</v>
      </c>
      <c r="N157" s="87" t="s">
        <v>621</v>
      </c>
      <c r="O157" s="87" t="s">
        <v>621</v>
      </c>
      <c r="P157" s="207"/>
      <c r="Q157" s="53"/>
      <c r="R157" s="373"/>
      <c r="S157" s="195"/>
      <c r="T157" s="374"/>
    </row>
    <row r="158" ht="16.5" spans="1:20">
      <c r="A158" s="32"/>
      <c r="B158" s="197" t="s">
        <v>1875</v>
      </c>
      <c r="C158" s="40" t="s">
        <v>1922</v>
      </c>
      <c r="D158" s="46"/>
      <c r="E158" s="57"/>
      <c r="F158" s="106" t="s">
        <v>4090</v>
      </c>
      <c r="G158" s="54" t="s">
        <v>4422</v>
      </c>
      <c r="H158" s="204"/>
      <c r="I158" s="71"/>
      <c r="J158" s="68"/>
      <c r="K158" s="68"/>
      <c r="L158" s="53">
        <v>7.1745</v>
      </c>
      <c r="M158" s="87" t="s">
        <v>1218</v>
      </c>
      <c r="N158" s="87" t="s">
        <v>621</v>
      </c>
      <c r="O158" s="87" t="s">
        <v>621</v>
      </c>
      <c r="P158" s="207"/>
      <c r="Q158" s="53"/>
      <c r="R158" s="373"/>
      <c r="S158" s="195"/>
      <c r="T158" s="374"/>
    </row>
    <row r="159" ht="33" spans="1:20">
      <c r="A159" s="32"/>
      <c r="B159" s="197" t="s">
        <v>1875</v>
      </c>
      <c r="C159" s="40" t="s">
        <v>1922</v>
      </c>
      <c r="D159" s="46"/>
      <c r="E159" s="57"/>
      <c r="F159" s="106" t="s">
        <v>4113</v>
      </c>
      <c r="G159" s="54" t="s">
        <v>4423</v>
      </c>
      <c r="H159" s="204"/>
      <c r="I159" s="71"/>
      <c r="J159" s="68"/>
      <c r="K159" s="68"/>
      <c r="L159" s="53">
        <v>7.1745</v>
      </c>
      <c r="M159" s="87" t="s">
        <v>1218</v>
      </c>
      <c r="N159" s="87" t="s">
        <v>621</v>
      </c>
      <c r="O159" s="87" t="s">
        <v>621</v>
      </c>
      <c r="P159" s="207"/>
      <c r="Q159" s="53"/>
      <c r="R159" s="373"/>
      <c r="S159" s="195"/>
      <c r="T159" s="374"/>
    </row>
    <row r="160" ht="16.5" spans="1:20">
      <c r="A160" s="32"/>
      <c r="B160" s="197" t="s">
        <v>1875</v>
      </c>
      <c r="C160" s="40" t="s">
        <v>1922</v>
      </c>
      <c r="D160" s="46"/>
      <c r="E160" s="57"/>
      <c r="F160" s="106" t="s">
        <v>4090</v>
      </c>
      <c r="G160" s="54" t="s">
        <v>4289</v>
      </c>
      <c r="H160" s="204"/>
      <c r="I160" s="71"/>
      <c r="J160" s="68"/>
      <c r="K160" s="68"/>
      <c r="L160" s="53">
        <v>7.1745</v>
      </c>
      <c r="M160" s="81" t="s">
        <v>1218</v>
      </c>
      <c r="N160" s="87" t="s">
        <v>621</v>
      </c>
      <c r="O160" s="87" t="s">
        <v>621</v>
      </c>
      <c r="P160" s="207"/>
      <c r="Q160" s="53"/>
      <c r="R160" s="373"/>
      <c r="S160" s="195"/>
      <c r="T160" s="374"/>
    </row>
    <row r="161" ht="16.5" spans="1:20">
      <c r="A161" s="32"/>
      <c r="B161" s="197" t="s">
        <v>1875</v>
      </c>
      <c r="C161" s="40" t="s">
        <v>1922</v>
      </c>
      <c r="D161" s="46"/>
      <c r="E161" s="57"/>
      <c r="F161" s="54" t="s">
        <v>4139</v>
      </c>
      <c r="G161" s="54" t="s">
        <v>4018</v>
      </c>
      <c r="H161" s="204"/>
      <c r="I161" s="71"/>
      <c r="J161" s="68"/>
      <c r="K161" s="68"/>
      <c r="L161" s="53">
        <v>7.1745</v>
      </c>
      <c r="M161" s="81" t="s">
        <v>4167</v>
      </c>
      <c r="N161" s="87" t="s">
        <v>621</v>
      </c>
      <c r="O161" s="87" t="s">
        <v>621</v>
      </c>
      <c r="P161" s="207"/>
      <c r="Q161" s="53"/>
      <c r="R161" s="373"/>
      <c r="S161" s="195"/>
      <c r="T161" s="374"/>
    </row>
    <row r="162" ht="33" spans="1:20">
      <c r="A162" s="32"/>
      <c r="B162" s="197" t="s">
        <v>1875</v>
      </c>
      <c r="C162" s="40" t="s">
        <v>209</v>
      </c>
      <c r="D162" s="46"/>
      <c r="E162" s="57"/>
      <c r="F162" s="106" t="s">
        <v>4093</v>
      </c>
      <c r="G162" s="57" t="s">
        <v>4285</v>
      </c>
      <c r="H162" s="204"/>
      <c r="I162" s="71"/>
      <c r="J162" s="68"/>
      <c r="K162" s="68"/>
      <c r="L162" s="53">
        <v>7.1745</v>
      </c>
      <c r="M162" s="81" t="s">
        <v>4167</v>
      </c>
      <c r="N162" s="87" t="s">
        <v>621</v>
      </c>
      <c r="O162" s="87" t="s">
        <v>621</v>
      </c>
      <c r="P162" s="207"/>
      <c r="Q162" s="53"/>
      <c r="R162" s="373"/>
      <c r="S162" s="195"/>
      <c r="T162" s="374"/>
    </row>
    <row r="163" ht="16.5" spans="1:20">
      <c r="A163" s="32"/>
      <c r="B163" s="197" t="s">
        <v>1875</v>
      </c>
      <c r="C163" s="40" t="s">
        <v>209</v>
      </c>
      <c r="D163" s="46"/>
      <c r="E163" s="57"/>
      <c r="F163" s="106" t="s">
        <v>4090</v>
      </c>
      <c r="G163" s="57"/>
      <c r="H163" s="55"/>
      <c r="I163" s="64"/>
      <c r="J163" s="68"/>
      <c r="K163" s="68"/>
      <c r="L163" s="53">
        <v>7.1745</v>
      </c>
      <c r="M163" s="81" t="s">
        <v>4359</v>
      </c>
      <c r="N163" s="87" t="s">
        <v>621</v>
      </c>
      <c r="O163" s="87" t="s">
        <v>621</v>
      </c>
      <c r="P163" s="207"/>
      <c r="Q163" s="53"/>
      <c r="R163" s="373"/>
      <c r="S163" s="195"/>
      <c r="T163" s="374"/>
    </row>
    <row r="164" ht="16.5" spans="1:20">
      <c r="A164" s="32"/>
      <c r="B164" s="197" t="s">
        <v>1875</v>
      </c>
      <c r="C164" s="40" t="s">
        <v>209</v>
      </c>
      <c r="D164" s="46"/>
      <c r="E164" s="57"/>
      <c r="F164" s="54" t="s">
        <v>4095</v>
      </c>
      <c r="G164" s="54"/>
      <c r="H164" s="55"/>
      <c r="I164" s="71"/>
      <c r="J164" s="68"/>
      <c r="K164" s="68"/>
      <c r="L164" s="53">
        <v>7.1745</v>
      </c>
      <c r="M164" s="81" t="s">
        <v>4167</v>
      </c>
      <c r="N164" s="87" t="s">
        <v>621</v>
      </c>
      <c r="O164" s="87" t="s">
        <v>621</v>
      </c>
      <c r="P164" s="207"/>
      <c r="Q164" s="53"/>
      <c r="R164" s="373"/>
      <c r="S164" s="195"/>
      <c r="T164" s="374"/>
    </row>
    <row r="165" ht="16.5" spans="1:20">
      <c r="A165" s="32"/>
      <c r="B165" s="197" t="s">
        <v>1875</v>
      </c>
      <c r="C165" s="40" t="s">
        <v>209</v>
      </c>
      <c r="D165" s="46"/>
      <c r="E165" s="57"/>
      <c r="F165" s="54" t="s">
        <v>4095</v>
      </c>
      <c r="G165" s="54"/>
      <c r="H165" s="204"/>
      <c r="I165" s="71"/>
      <c r="J165" s="68"/>
      <c r="K165" s="68"/>
      <c r="L165" s="53">
        <v>7.1745</v>
      </c>
      <c r="M165" s="81" t="s">
        <v>4359</v>
      </c>
      <c r="N165" s="87" t="s">
        <v>621</v>
      </c>
      <c r="O165" s="87" t="s">
        <v>621</v>
      </c>
      <c r="P165" s="207"/>
      <c r="Q165" s="53"/>
      <c r="R165" s="373"/>
      <c r="S165" s="195"/>
      <c r="T165" s="374"/>
    </row>
    <row r="166" ht="33" spans="1:20">
      <c r="A166" s="32"/>
      <c r="B166" s="197" t="s">
        <v>1875</v>
      </c>
      <c r="C166" s="40" t="s">
        <v>209</v>
      </c>
      <c r="D166" s="46"/>
      <c r="E166" s="57"/>
      <c r="F166" s="201" t="s">
        <v>4087</v>
      </c>
      <c r="G166" s="53" t="s">
        <v>4424</v>
      </c>
      <c r="H166" s="204"/>
      <c r="I166" s="71"/>
      <c r="J166" s="72"/>
      <c r="K166" s="72"/>
      <c r="L166" s="53">
        <v>7.1745</v>
      </c>
      <c r="M166" s="81" t="s">
        <v>1218</v>
      </c>
      <c r="N166" s="81" t="s">
        <v>621</v>
      </c>
      <c r="O166" s="81" t="s">
        <v>621</v>
      </c>
      <c r="P166" s="207"/>
      <c r="Q166" s="53"/>
      <c r="R166" s="373"/>
      <c r="S166" s="195"/>
      <c r="T166" s="374"/>
    </row>
    <row r="167" ht="16.5" spans="1:20">
      <c r="A167" s="32"/>
      <c r="B167" s="197" t="s">
        <v>1875</v>
      </c>
      <c r="C167" s="40" t="s">
        <v>209</v>
      </c>
      <c r="D167" s="46"/>
      <c r="E167" s="57"/>
      <c r="F167" s="54" t="s">
        <v>4139</v>
      </c>
      <c r="G167" s="54"/>
      <c r="H167" s="55"/>
      <c r="I167" s="71"/>
      <c r="J167" s="68"/>
      <c r="K167" s="68"/>
      <c r="L167" s="53">
        <v>7.1745</v>
      </c>
      <c r="M167" s="81" t="s">
        <v>4167</v>
      </c>
      <c r="N167" s="87" t="s">
        <v>621</v>
      </c>
      <c r="O167" s="87" t="s">
        <v>621</v>
      </c>
      <c r="P167" s="207"/>
      <c r="Q167" s="53"/>
      <c r="R167" s="373"/>
      <c r="S167" s="195"/>
      <c r="T167" s="374"/>
    </row>
    <row r="168" ht="33" spans="1:20">
      <c r="A168" s="32"/>
      <c r="B168" s="197" t="s">
        <v>1875</v>
      </c>
      <c r="C168" s="40" t="s">
        <v>209</v>
      </c>
      <c r="D168" s="46"/>
      <c r="E168" s="57"/>
      <c r="F168" s="106" t="s">
        <v>4093</v>
      </c>
      <c r="G168" s="54" t="s">
        <v>1416</v>
      </c>
      <c r="H168" s="55"/>
      <c r="I168" s="71"/>
      <c r="J168" s="68"/>
      <c r="K168" s="68"/>
      <c r="L168" s="53">
        <v>7.1745</v>
      </c>
      <c r="M168" s="81" t="s">
        <v>4359</v>
      </c>
      <c r="N168" s="87" t="s">
        <v>621</v>
      </c>
      <c r="O168" s="87" t="s">
        <v>621</v>
      </c>
      <c r="P168" s="207"/>
      <c r="Q168" s="53"/>
      <c r="R168" s="373"/>
      <c r="S168" s="195"/>
      <c r="T168" s="374"/>
    </row>
    <row r="169" ht="16.5" spans="1:20">
      <c r="A169" s="32"/>
      <c r="B169" s="197" t="s">
        <v>1875</v>
      </c>
      <c r="C169" s="40" t="s">
        <v>209</v>
      </c>
      <c r="D169" s="46"/>
      <c r="E169" s="57"/>
      <c r="F169" s="118" t="s">
        <v>4256</v>
      </c>
      <c r="G169" s="54"/>
      <c r="H169" s="55"/>
      <c r="I169" s="71"/>
      <c r="J169" s="68"/>
      <c r="K169" s="68"/>
      <c r="L169" s="53">
        <v>7.1745</v>
      </c>
      <c r="M169" s="81" t="s">
        <v>4359</v>
      </c>
      <c r="N169" s="87" t="s">
        <v>621</v>
      </c>
      <c r="O169" s="87" t="s">
        <v>621</v>
      </c>
      <c r="P169" s="207"/>
      <c r="Q169" s="53"/>
      <c r="R169" s="373"/>
      <c r="S169" s="195"/>
      <c r="T169" s="374"/>
    </row>
    <row r="170" ht="33" spans="1:20">
      <c r="A170" s="32"/>
      <c r="B170" s="197" t="s">
        <v>1875</v>
      </c>
      <c r="C170" s="40" t="s">
        <v>209</v>
      </c>
      <c r="D170" s="46"/>
      <c r="E170" s="57"/>
      <c r="F170" s="106" t="s">
        <v>4095</v>
      </c>
      <c r="G170" s="54" t="s">
        <v>4177</v>
      </c>
      <c r="H170" s="55"/>
      <c r="I170" s="64"/>
      <c r="J170" s="68"/>
      <c r="K170" s="68"/>
      <c r="L170" s="53">
        <v>7.1745</v>
      </c>
      <c r="M170" s="81" t="s">
        <v>4359</v>
      </c>
      <c r="N170" s="87" t="s">
        <v>621</v>
      </c>
      <c r="O170" s="87" t="s">
        <v>621</v>
      </c>
      <c r="P170" s="207"/>
      <c r="Q170" s="53"/>
      <c r="R170" s="373"/>
      <c r="S170" s="195"/>
      <c r="T170" s="374"/>
    </row>
    <row r="171" ht="33" spans="1:20">
      <c r="A171" s="32"/>
      <c r="B171" s="197" t="s">
        <v>1875</v>
      </c>
      <c r="C171" s="40" t="s">
        <v>209</v>
      </c>
      <c r="D171" s="46"/>
      <c r="E171" s="224"/>
      <c r="F171" s="106" t="s">
        <v>4095</v>
      </c>
      <c r="G171" s="54" t="s">
        <v>4293</v>
      </c>
      <c r="H171" s="55"/>
      <c r="I171" s="64"/>
      <c r="J171" s="68"/>
      <c r="K171" s="68"/>
      <c r="L171" s="53">
        <v>7.1745</v>
      </c>
      <c r="M171" s="81" t="s">
        <v>4359</v>
      </c>
      <c r="N171" s="87" t="s">
        <v>621</v>
      </c>
      <c r="O171" s="87" t="s">
        <v>621</v>
      </c>
      <c r="P171" s="207"/>
      <c r="Q171" s="53"/>
      <c r="R171" s="373"/>
      <c r="S171" s="195"/>
      <c r="T171" s="374"/>
    </row>
    <row r="172" ht="16.5" spans="1:20">
      <c r="A172" s="32"/>
      <c r="B172" s="197" t="s">
        <v>1875</v>
      </c>
      <c r="C172" s="186" t="s">
        <v>4425</v>
      </c>
      <c r="D172" s="46"/>
      <c r="E172" s="57"/>
      <c r="F172" s="106"/>
      <c r="G172" s="54"/>
      <c r="H172" s="204"/>
      <c r="I172" s="64"/>
      <c r="J172" s="68"/>
      <c r="K172" s="68"/>
      <c r="L172" s="53"/>
      <c r="M172" s="81"/>
      <c r="N172" s="87"/>
      <c r="O172" s="87"/>
      <c r="P172" s="207"/>
      <c r="Q172" s="53"/>
      <c r="R172" s="373"/>
      <c r="S172" s="195"/>
      <c r="T172" s="374"/>
    </row>
    <row r="173" ht="16.5" spans="1:20">
      <c r="A173" s="32"/>
      <c r="B173" s="197" t="s">
        <v>1875</v>
      </c>
      <c r="C173" s="186" t="s">
        <v>4425</v>
      </c>
      <c r="D173" s="46"/>
      <c r="E173" s="57"/>
      <c r="F173" s="106"/>
      <c r="G173" s="54"/>
      <c r="H173" s="204"/>
      <c r="I173" s="64"/>
      <c r="J173" s="68"/>
      <c r="K173" s="68"/>
      <c r="L173" s="53"/>
      <c r="M173" s="81"/>
      <c r="N173" s="87"/>
      <c r="O173" s="87"/>
      <c r="P173" s="207"/>
      <c r="Q173" s="53"/>
      <c r="R173" s="373"/>
      <c r="S173" s="195"/>
      <c r="T173" s="374"/>
    </row>
    <row r="174" ht="16.5" spans="1:20">
      <c r="A174" s="32"/>
      <c r="B174" s="197" t="s">
        <v>1875</v>
      </c>
      <c r="C174" s="227" t="s">
        <v>4426</v>
      </c>
      <c r="D174" s="46"/>
      <c r="E174" s="57"/>
      <c r="F174" s="106"/>
      <c r="G174" s="57"/>
      <c r="H174" s="204"/>
      <c r="I174" s="71"/>
      <c r="J174" s="68"/>
      <c r="K174" s="68"/>
      <c r="L174" s="53"/>
      <c r="M174" s="81"/>
      <c r="N174" s="87"/>
      <c r="O174" s="87"/>
      <c r="P174" s="207"/>
      <c r="Q174" s="53"/>
      <c r="R174" s="373"/>
      <c r="S174" s="195"/>
      <c r="T174" s="374"/>
    </row>
    <row r="175" ht="16.5" spans="1:20">
      <c r="A175" s="32"/>
      <c r="B175" s="197" t="s">
        <v>1875</v>
      </c>
      <c r="C175" s="227" t="s">
        <v>4426</v>
      </c>
      <c r="D175" s="46"/>
      <c r="E175" s="57"/>
      <c r="F175" s="106"/>
      <c r="G175" s="57"/>
      <c r="H175" s="55"/>
      <c r="I175" s="71"/>
      <c r="J175" s="68"/>
      <c r="K175" s="68"/>
      <c r="L175" s="53"/>
      <c r="M175" s="81"/>
      <c r="N175" s="87"/>
      <c r="O175" s="87"/>
      <c r="P175" s="207"/>
      <c r="Q175" s="350"/>
      <c r="R175" s="41"/>
      <c r="S175" s="99"/>
      <c r="T175" s="380"/>
    </row>
    <row r="176" ht="33" spans="1:27">
      <c r="A176" s="115" t="s">
        <v>1984</v>
      </c>
      <c r="B176" s="228" t="s">
        <v>1824</v>
      </c>
      <c r="C176" s="40" t="s">
        <v>1120</v>
      </c>
      <c r="D176" s="35">
        <v>95</v>
      </c>
      <c r="E176" s="53"/>
      <c r="F176" s="106" t="s">
        <v>4087</v>
      </c>
      <c r="G176" s="53" t="s">
        <v>4362</v>
      </c>
      <c r="H176" s="55"/>
      <c r="I176" s="252"/>
      <c r="J176" s="72"/>
      <c r="K176" s="64"/>
      <c r="L176" s="53">
        <v>7.1745</v>
      </c>
      <c r="M176" s="81"/>
      <c r="N176" s="81">
        <v>45733</v>
      </c>
      <c r="O176" s="81">
        <v>45738</v>
      </c>
      <c r="P176" s="82"/>
      <c r="Q176" s="82"/>
      <c r="R176" s="82"/>
      <c r="S176" s="82"/>
      <c r="T176" s="126"/>
      <c r="U176"/>
      <c r="V176"/>
      <c r="W176"/>
      <c r="X176"/>
      <c r="Y176"/>
      <c r="Z176"/>
      <c r="AA176"/>
    </row>
    <row r="177" ht="33" spans="1:27">
      <c r="A177" s="115"/>
      <c r="B177" s="228" t="s">
        <v>1824</v>
      </c>
      <c r="C177" s="40" t="s">
        <v>1120</v>
      </c>
      <c r="D177" s="35"/>
      <c r="E177" s="53"/>
      <c r="F177" s="106" t="s">
        <v>4087</v>
      </c>
      <c r="G177" s="53" t="s">
        <v>4363</v>
      </c>
      <c r="H177" s="55"/>
      <c r="I177" s="252"/>
      <c r="J177" s="72"/>
      <c r="K177" s="64"/>
      <c r="L177" s="53">
        <v>7.1745</v>
      </c>
      <c r="M177" s="81"/>
      <c r="N177" s="81">
        <v>45733</v>
      </c>
      <c r="O177" s="81">
        <v>45738</v>
      </c>
      <c r="P177" s="264"/>
      <c r="Q177" s="82"/>
      <c r="R177" s="82"/>
      <c r="S177" s="82"/>
      <c r="T177" s="126"/>
      <c r="U177"/>
      <c r="V177"/>
      <c r="W177"/>
      <c r="X177"/>
      <c r="Y177"/>
      <c r="Z177"/>
      <c r="AA177"/>
    </row>
    <row r="178" ht="33" spans="1:27">
      <c r="A178" s="229"/>
      <c r="B178" s="228" t="s">
        <v>1824</v>
      </c>
      <c r="C178" s="40" t="s">
        <v>1120</v>
      </c>
      <c r="D178" s="35"/>
      <c r="E178" s="53"/>
      <c r="F178" s="106" t="s">
        <v>4087</v>
      </c>
      <c r="G178" s="53" t="s">
        <v>4364</v>
      </c>
      <c r="H178" s="55"/>
      <c r="I178" s="252"/>
      <c r="J178" s="72"/>
      <c r="K178" s="64"/>
      <c r="L178" s="53">
        <v>7.1745</v>
      </c>
      <c r="M178" s="91"/>
      <c r="N178" s="81">
        <v>45735</v>
      </c>
      <c r="O178" s="81">
        <v>45738</v>
      </c>
      <c r="P178" s="264"/>
      <c r="Q178" s="80"/>
      <c r="R178" s="278"/>
      <c r="S178" s="383"/>
      <c r="T178" s="384"/>
      <c r="U178"/>
      <c r="V178"/>
      <c r="W178"/>
      <c r="X178"/>
      <c r="Y178"/>
      <c r="Z178"/>
      <c r="AA178"/>
    </row>
    <row r="179" ht="33" spans="1:27">
      <c r="A179" s="36"/>
      <c r="B179" s="228" t="s">
        <v>1824</v>
      </c>
      <c r="C179" s="40" t="s">
        <v>1120</v>
      </c>
      <c r="D179" s="35"/>
      <c r="E179" s="48"/>
      <c r="F179" s="106" t="s">
        <v>4087</v>
      </c>
      <c r="G179" s="53" t="s">
        <v>4427</v>
      </c>
      <c r="H179" s="55"/>
      <c r="I179" s="252"/>
      <c r="J179" s="72"/>
      <c r="K179" s="64"/>
      <c r="L179" s="53">
        <v>7.1745</v>
      </c>
      <c r="M179" s="91"/>
      <c r="N179" s="81">
        <v>45743</v>
      </c>
      <c r="O179" s="81">
        <v>45746</v>
      </c>
      <c r="P179" s="264"/>
      <c r="Q179" s="80"/>
      <c r="R179" s="278"/>
      <c r="S179" s="383"/>
      <c r="T179" s="383"/>
      <c r="U179"/>
      <c r="V179"/>
      <c r="W179"/>
      <c r="X179"/>
      <c r="Y179"/>
      <c r="Z179"/>
      <c r="AA179"/>
    </row>
    <row r="180" ht="33" spans="1:27">
      <c r="A180" s="229"/>
      <c r="B180" s="228" t="s">
        <v>1824</v>
      </c>
      <c r="C180" s="40" t="s">
        <v>1120</v>
      </c>
      <c r="D180" s="35"/>
      <c r="E180" s="53"/>
      <c r="F180" s="201" t="s">
        <v>4087</v>
      </c>
      <c r="G180" s="53" t="s">
        <v>4366</v>
      </c>
      <c r="H180" s="55"/>
      <c r="I180" s="64"/>
      <c r="J180" s="72"/>
      <c r="K180" s="252"/>
      <c r="L180" s="53">
        <v>7.1745</v>
      </c>
      <c r="M180" s="91"/>
      <c r="N180" s="81">
        <v>45743</v>
      </c>
      <c r="O180" s="81">
        <v>45746</v>
      </c>
      <c r="P180" s="264"/>
      <c r="Q180" s="385"/>
      <c r="R180" s="386"/>
      <c r="S180" s="387"/>
      <c r="T180" s="387"/>
      <c r="U180"/>
      <c r="V180"/>
      <c r="W180"/>
      <c r="X180"/>
      <c r="Y180"/>
      <c r="Z180"/>
      <c r="AA180"/>
    </row>
    <row r="181" ht="33" spans="1:27">
      <c r="A181" s="229"/>
      <c r="B181" s="228" t="s">
        <v>1824</v>
      </c>
      <c r="C181" s="40" t="s">
        <v>1120</v>
      </c>
      <c r="D181" s="35"/>
      <c r="E181" s="53"/>
      <c r="F181" s="201" t="s">
        <v>4087</v>
      </c>
      <c r="G181" s="53" t="s">
        <v>4294</v>
      </c>
      <c r="H181" s="55"/>
      <c r="I181" s="24"/>
      <c r="J181" s="72"/>
      <c r="K181" s="252"/>
      <c r="L181" s="53">
        <v>7.1745</v>
      </c>
      <c r="M181" s="91"/>
      <c r="N181" s="81"/>
      <c r="O181" s="81">
        <v>45719</v>
      </c>
      <c r="P181" s="82"/>
      <c r="Q181" s="385"/>
      <c r="R181" s="386"/>
      <c r="S181" s="387"/>
      <c r="T181" s="387"/>
      <c r="U181"/>
      <c r="V181"/>
      <c r="W181"/>
      <c r="X181"/>
      <c r="Y181"/>
      <c r="Z181"/>
      <c r="AA181"/>
    </row>
    <row r="182" ht="33" spans="1:27">
      <c r="A182" s="229"/>
      <c r="B182" s="228" t="s">
        <v>1824</v>
      </c>
      <c r="C182" s="40" t="s">
        <v>1120</v>
      </c>
      <c r="D182" s="35"/>
      <c r="E182" s="53"/>
      <c r="F182" s="201" t="s">
        <v>4087</v>
      </c>
      <c r="G182" s="53" t="s">
        <v>4295</v>
      </c>
      <c r="H182" s="55"/>
      <c r="I182" s="64"/>
      <c r="J182" s="64"/>
      <c r="K182" s="252"/>
      <c r="L182" s="53">
        <v>7.1745</v>
      </c>
      <c r="M182" s="81"/>
      <c r="N182" s="81"/>
      <c r="O182" s="81">
        <v>45719</v>
      </c>
      <c r="P182" s="82"/>
      <c r="Q182" s="388"/>
      <c r="R182" s="39"/>
      <c r="S182" s="280"/>
      <c r="T182" s="285"/>
      <c r="U182"/>
      <c r="V182"/>
      <c r="W182"/>
      <c r="X182"/>
      <c r="Y182"/>
      <c r="Z182"/>
      <c r="AA182"/>
    </row>
    <row r="183" ht="33" spans="1:27">
      <c r="A183" s="229"/>
      <c r="B183" s="228" t="s">
        <v>1824</v>
      </c>
      <c r="C183" s="35" t="s">
        <v>509</v>
      </c>
      <c r="D183" s="35">
        <v>51</v>
      </c>
      <c r="E183" s="53"/>
      <c r="F183" s="236" t="s">
        <v>4090</v>
      </c>
      <c r="G183" s="106" t="s">
        <v>4199</v>
      </c>
      <c r="H183" s="56"/>
      <c r="I183" s="252"/>
      <c r="J183" s="64"/>
      <c r="K183" s="252"/>
      <c r="L183" s="53">
        <v>7.1745</v>
      </c>
      <c r="M183" s="81">
        <v>45726</v>
      </c>
      <c r="N183" s="81">
        <v>45738</v>
      </c>
      <c r="O183" s="81">
        <v>45740</v>
      </c>
      <c r="P183" s="382"/>
      <c r="Q183" s="388"/>
      <c r="R183" s="39"/>
      <c r="S183" s="280"/>
      <c r="T183" s="285"/>
      <c r="U183"/>
      <c r="V183"/>
      <c r="W183"/>
      <c r="X183"/>
      <c r="Y183"/>
      <c r="Z183"/>
      <c r="AA183"/>
    </row>
    <row r="184" ht="33" spans="1:27">
      <c r="A184" s="229"/>
      <c r="B184" s="228" t="s">
        <v>1824</v>
      </c>
      <c r="C184" s="35" t="s">
        <v>509</v>
      </c>
      <c r="D184" s="35"/>
      <c r="E184" s="53"/>
      <c r="F184" s="236" t="s">
        <v>4090</v>
      </c>
      <c r="G184" s="230" t="s">
        <v>4296</v>
      </c>
      <c r="K184" s="64"/>
      <c r="L184" s="53">
        <v>7.1745</v>
      </c>
      <c r="M184" s="81" t="s">
        <v>1644</v>
      </c>
      <c r="N184" s="81">
        <v>45714</v>
      </c>
      <c r="O184" s="81">
        <v>45718</v>
      </c>
      <c r="P184" s="382"/>
      <c r="Q184" s="388"/>
      <c r="R184" s="39"/>
      <c r="S184" s="280"/>
      <c r="T184" s="285"/>
      <c r="U184"/>
      <c r="V184"/>
      <c r="W184"/>
      <c r="X184"/>
      <c r="Y184"/>
      <c r="Z184"/>
      <c r="AA184"/>
    </row>
    <row r="185" ht="33" spans="1:27">
      <c r="A185" s="229"/>
      <c r="B185" s="228" t="s">
        <v>1824</v>
      </c>
      <c r="C185" s="35" t="s">
        <v>509</v>
      </c>
      <c r="D185" s="35"/>
      <c r="E185" s="53"/>
      <c r="F185" s="381" t="s">
        <v>4090</v>
      </c>
      <c r="G185" s="248" t="s">
        <v>4297</v>
      </c>
      <c r="K185" s="252"/>
      <c r="L185" s="53">
        <v>7.1745</v>
      </c>
      <c r="M185" s="81" t="s">
        <v>1644</v>
      </c>
      <c r="N185" s="81">
        <v>45713</v>
      </c>
      <c r="O185" s="87">
        <v>45717</v>
      </c>
      <c r="P185" s="266"/>
      <c r="Q185" s="388"/>
      <c r="R185" s="39"/>
      <c r="S185" s="280"/>
      <c r="T185" s="285"/>
      <c r="U185"/>
      <c r="V185"/>
      <c r="W185"/>
      <c r="X185"/>
      <c r="Y185"/>
      <c r="Z185"/>
      <c r="AA185"/>
    </row>
    <row r="186" ht="33" spans="1:27">
      <c r="A186" s="229"/>
      <c r="B186" s="228" t="s">
        <v>1824</v>
      </c>
      <c r="C186" s="35" t="s">
        <v>509</v>
      </c>
      <c r="D186" s="35"/>
      <c r="E186" s="53"/>
      <c r="F186" s="381" t="s">
        <v>4095</v>
      </c>
      <c r="G186" s="248" t="s">
        <v>1037</v>
      </c>
      <c r="K186" s="252"/>
      <c r="L186" s="53">
        <v>7.1745</v>
      </c>
      <c r="M186" s="271">
        <v>45704</v>
      </c>
      <c r="N186" s="81">
        <v>45706</v>
      </c>
      <c r="O186" s="87" t="s">
        <v>3579</v>
      </c>
      <c r="P186" s="266"/>
      <c r="Q186" s="388"/>
      <c r="R186" s="39"/>
      <c r="S186" s="280"/>
      <c r="T186" s="285"/>
      <c r="U186"/>
      <c r="V186"/>
      <c r="W186"/>
      <c r="X186"/>
      <c r="Y186"/>
      <c r="Z186"/>
      <c r="AA186"/>
    </row>
    <row r="187" ht="33" spans="1:27">
      <c r="A187" s="229"/>
      <c r="B187" s="228" t="s">
        <v>1824</v>
      </c>
      <c r="C187" s="34" t="s">
        <v>1393</v>
      </c>
      <c r="D187" s="35">
        <v>22</v>
      </c>
      <c r="E187" s="53"/>
      <c r="F187" s="54" t="s">
        <v>4113</v>
      </c>
      <c r="G187" s="248" t="s">
        <v>4213</v>
      </c>
      <c r="H187" s="55"/>
      <c r="I187" s="71"/>
      <c r="J187" s="71"/>
      <c r="K187" s="256"/>
      <c r="L187" s="53">
        <v>7.1745</v>
      </c>
      <c r="M187" s="81">
        <v>45741</v>
      </c>
      <c r="N187" s="81">
        <v>45741</v>
      </c>
      <c r="O187" s="81">
        <v>45745</v>
      </c>
      <c r="P187" s="82"/>
      <c r="Q187" s="267"/>
      <c r="R187" s="207"/>
      <c r="S187" s="34"/>
      <c r="T187" s="72"/>
      <c r="U187"/>
      <c r="V187"/>
      <c r="W187"/>
      <c r="X187"/>
      <c r="Y187"/>
      <c r="Z187"/>
      <c r="AA187"/>
    </row>
    <row r="188" ht="33" spans="1:27">
      <c r="A188" s="229"/>
      <c r="B188" s="228" t="s">
        <v>1824</v>
      </c>
      <c r="C188" s="34" t="s">
        <v>1393</v>
      </c>
      <c r="D188" s="35"/>
      <c r="E188" s="53"/>
      <c r="F188" s="54" t="s">
        <v>4090</v>
      </c>
      <c r="G188" s="72" t="s">
        <v>4304</v>
      </c>
      <c r="H188" s="55"/>
      <c r="I188" s="71"/>
      <c r="J188" s="71"/>
      <c r="K188" s="253"/>
      <c r="L188" s="53">
        <v>7.1745</v>
      </c>
      <c r="M188" s="81" t="s">
        <v>1644</v>
      </c>
      <c r="N188" s="81">
        <v>45741</v>
      </c>
      <c r="O188" s="146">
        <v>45750</v>
      </c>
      <c r="P188" s="82"/>
      <c r="Q188" s="389"/>
      <c r="R188" s="278"/>
      <c r="S188" s="390"/>
      <c r="T188" s="383"/>
      <c r="U188"/>
      <c r="V188"/>
      <c r="W188"/>
      <c r="X188"/>
      <c r="Y188"/>
      <c r="Z188"/>
      <c r="AA188"/>
    </row>
    <row r="189" ht="33" spans="1:27">
      <c r="A189" s="229"/>
      <c r="B189" s="228" t="s">
        <v>1824</v>
      </c>
      <c r="C189" s="34" t="s">
        <v>1393</v>
      </c>
      <c r="D189" s="35"/>
      <c r="E189" s="48"/>
      <c r="F189" s="54" t="s">
        <v>4090</v>
      </c>
      <c r="G189" s="72" t="s">
        <v>4368</v>
      </c>
      <c r="H189" s="71"/>
      <c r="I189" s="71"/>
      <c r="J189" s="72"/>
      <c r="K189" s="253"/>
      <c r="L189" s="53">
        <v>7.1745</v>
      </c>
      <c r="M189" s="81" t="s">
        <v>1644</v>
      </c>
      <c r="N189" s="81">
        <v>45735</v>
      </c>
      <c r="O189" s="81">
        <v>45744</v>
      </c>
      <c r="P189" s="82"/>
      <c r="Q189" s="389"/>
      <c r="R189" s="278"/>
      <c r="S189" s="390"/>
      <c r="T189" s="383"/>
      <c r="U189"/>
      <c r="V189"/>
      <c r="W189"/>
      <c r="X189"/>
      <c r="Y189"/>
      <c r="Z189"/>
      <c r="AA189"/>
    </row>
    <row r="190" ht="33" spans="1:27">
      <c r="A190" s="229"/>
      <c r="B190" s="228" t="s">
        <v>1824</v>
      </c>
      <c r="C190" s="34" t="s">
        <v>1393</v>
      </c>
      <c r="D190" s="35"/>
      <c r="E190" s="53"/>
      <c r="F190" s="54" t="s">
        <v>4090</v>
      </c>
      <c r="G190" s="72" t="s">
        <v>4369</v>
      </c>
      <c r="H190" s="55"/>
      <c r="I190" s="64"/>
      <c r="J190" s="72"/>
      <c r="K190" s="258"/>
      <c r="L190" s="53">
        <v>7.1745</v>
      </c>
      <c r="M190" s="81" t="s">
        <v>1644</v>
      </c>
      <c r="N190" s="81">
        <v>45738</v>
      </c>
      <c r="O190" s="81">
        <v>45742</v>
      </c>
      <c r="P190" s="136"/>
      <c r="Q190" s="389"/>
      <c r="R190" s="278"/>
      <c r="S190" s="390"/>
      <c r="T190" s="383"/>
      <c r="U190"/>
      <c r="V190"/>
      <c r="W190"/>
      <c r="X190"/>
      <c r="Y190"/>
      <c r="Z190"/>
      <c r="AA190"/>
    </row>
    <row r="191" ht="33" spans="1:27">
      <c r="A191" s="229"/>
      <c r="B191" s="228" t="s">
        <v>1824</v>
      </c>
      <c r="C191" s="34" t="s">
        <v>1393</v>
      </c>
      <c r="D191" s="35"/>
      <c r="E191" s="53"/>
      <c r="F191" s="54" t="s">
        <v>4113</v>
      </c>
      <c r="G191" s="40" t="s">
        <v>4370</v>
      </c>
      <c r="H191" s="55"/>
      <c r="J191" s="255"/>
      <c r="K191" s="64"/>
      <c r="L191" s="53">
        <v>7.1745</v>
      </c>
      <c r="M191" s="81"/>
      <c r="N191" s="81"/>
      <c r="O191" s="81">
        <v>45718</v>
      </c>
      <c r="P191" s="82"/>
      <c r="Q191" s="389"/>
      <c r="R191" s="278"/>
      <c r="S191" s="390"/>
      <c r="T191" s="383"/>
      <c r="U191"/>
      <c r="V191"/>
      <c r="W191"/>
      <c r="X191"/>
      <c r="Y191"/>
      <c r="Z191"/>
      <c r="AA191"/>
    </row>
    <row r="192" ht="33" spans="1:27">
      <c r="A192" s="229"/>
      <c r="B192" s="228" t="s">
        <v>1824</v>
      </c>
      <c r="C192" s="34" t="s">
        <v>1393</v>
      </c>
      <c r="D192" s="35"/>
      <c r="E192" s="53"/>
      <c r="F192" s="54" t="s">
        <v>4113</v>
      </c>
      <c r="G192" s="72" t="s">
        <v>4298</v>
      </c>
      <c r="H192" s="55"/>
      <c r="I192" s="253"/>
      <c r="J192" s="72"/>
      <c r="K192" s="238"/>
      <c r="L192" s="53">
        <v>7.1745</v>
      </c>
      <c r="M192" s="81"/>
      <c r="N192" s="81"/>
      <c r="O192" s="81">
        <v>45718</v>
      </c>
      <c r="P192" s="82"/>
      <c r="Q192" s="389"/>
      <c r="R192" s="278"/>
      <c r="S192" s="390"/>
      <c r="T192" s="383"/>
      <c r="U192"/>
      <c r="V192"/>
      <c r="W192"/>
      <c r="X192"/>
      <c r="Y192"/>
      <c r="Z192"/>
      <c r="AA192"/>
    </row>
    <row r="193" ht="33" spans="1:27">
      <c r="A193" s="229"/>
      <c r="B193" s="228" t="s">
        <v>1824</v>
      </c>
      <c r="C193" s="34" t="s">
        <v>1393</v>
      </c>
      <c r="D193" s="35"/>
      <c r="E193" s="53"/>
      <c r="F193" s="54" t="s">
        <v>4090</v>
      </c>
      <c r="G193" s="106" t="s">
        <v>4300</v>
      </c>
      <c r="H193" s="55"/>
      <c r="I193" s="64"/>
      <c r="J193" s="64"/>
      <c r="K193" s="64"/>
      <c r="L193" s="53">
        <v>7.1745</v>
      </c>
      <c r="M193" s="81"/>
      <c r="N193" s="81"/>
      <c r="O193" s="81">
        <v>45718</v>
      </c>
      <c r="P193" s="82"/>
      <c r="Q193" s="389"/>
      <c r="R193" s="278"/>
      <c r="S193" s="390"/>
      <c r="T193" s="383"/>
      <c r="U193"/>
      <c r="V193"/>
      <c r="W193"/>
      <c r="X193"/>
      <c r="Y193"/>
      <c r="Z193"/>
      <c r="AA193"/>
    </row>
    <row r="194" ht="33" spans="1:27">
      <c r="A194" s="229"/>
      <c r="B194" s="228" t="s">
        <v>1824</v>
      </c>
      <c r="C194" s="34" t="s">
        <v>1393</v>
      </c>
      <c r="D194" s="35"/>
      <c r="E194" s="53"/>
      <c r="F194" s="54"/>
      <c r="G194" s="72"/>
      <c r="H194" s="55"/>
      <c r="I194" s="64"/>
      <c r="J194" s="253"/>
      <c r="K194" s="253"/>
      <c r="L194" s="53">
        <v>7.1745</v>
      </c>
      <c r="M194" s="81"/>
      <c r="N194" s="81"/>
      <c r="O194" s="81"/>
      <c r="P194" s="82"/>
      <c r="Q194" s="267"/>
      <c r="R194" s="207"/>
      <c r="S194" s="399"/>
      <c r="T194" s="72"/>
      <c r="U194"/>
      <c r="V194"/>
      <c r="W194"/>
      <c r="X194"/>
      <c r="Y194"/>
      <c r="Z194"/>
      <c r="AA194"/>
    </row>
    <row r="195" ht="33" spans="1:27">
      <c r="A195" s="229"/>
      <c r="B195" s="228" t="s">
        <v>1824</v>
      </c>
      <c r="C195" s="42" t="s">
        <v>4196</v>
      </c>
      <c r="D195" s="38">
        <v>32</v>
      </c>
      <c r="E195" s="310"/>
      <c r="F195" s="236" t="s">
        <v>4095</v>
      </c>
      <c r="G195" s="285" t="s">
        <v>4371</v>
      </c>
      <c r="H195" s="239"/>
      <c r="I195" s="64"/>
      <c r="J195" s="261"/>
      <c r="K195" s="261"/>
      <c r="L195" s="53">
        <v>7.1745</v>
      </c>
      <c r="M195" s="81" t="s">
        <v>4372</v>
      </c>
      <c r="N195" s="81">
        <v>45731</v>
      </c>
      <c r="O195" s="81">
        <v>45734</v>
      </c>
      <c r="P195" s="290"/>
      <c r="Q195" s="267"/>
      <c r="R195" s="207"/>
      <c r="S195" s="399"/>
      <c r="T195" s="72"/>
      <c r="U195"/>
      <c r="V195"/>
      <c r="W195"/>
      <c r="X195"/>
      <c r="Y195"/>
      <c r="Z195"/>
      <c r="AA195"/>
    </row>
    <row r="196" ht="33" spans="1:27">
      <c r="A196" s="229"/>
      <c r="B196" s="228" t="s">
        <v>1824</v>
      </c>
      <c r="C196" s="42" t="s">
        <v>4196</v>
      </c>
      <c r="D196" s="38"/>
      <c r="E196" s="35"/>
      <c r="F196" s="54" t="s">
        <v>4090</v>
      </c>
      <c r="G196" s="35" t="s">
        <v>4204</v>
      </c>
      <c r="H196" s="239"/>
      <c r="I196" s="64"/>
      <c r="J196" s="253"/>
      <c r="K196" s="261"/>
      <c r="L196" s="53">
        <v>7.1745</v>
      </c>
      <c r="M196" s="81">
        <v>45731</v>
      </c>
      <c r="N196" s="81">
        <v>45733</v>
      </c>
      <c r="O196" s="81">
        <v>45736</v>
      </c>
      <c r="P196" s="290"/>
      <c r="Q196" s="400"/>
      <c r="R196" s="35"/>
      <c r="S196" s="34"/>
      <c r="T196" s="72"/>
      <c r="U196"/>
      <c r="V196"/>
      <c r="W196"/>
      <c r="X196"/>
      <c r="Y196"/>
      <c r="Z196"/>
      <c r="AA196"/>
    </row>
    <row r="197" ht="33" spans="1:27">
      <c r="A197" s="229"/>
      <c r="B197" s="228" t="s">
        <v>1824</v>
      </c>
      <c r="C197" s="42" t="s">
        <v>4196</v>
      </c>
      <c r="D197" s="38"/>
      <c r="E197" s="249"/>
      <c r="F197" s="236" t="s">
        <v>4095</v>
      </c>
      <c r="G197" s="280" t="s">
        <v>4205</v>
      </c>
      <c r="H197" s="239"/>
      <c r="I197" s="64"/>
      <c r="J197" s="253"/>
      <c r="K197" s="261"/>
      <c r="L197" s="53">
        <v>7.1745</v>
      </c>
      <c r="M197" s="271">
        <v>45728</v>
      </c>
      <c r="N197" s="81">
        <v>45728</v>
      </c>
      <c r="O197" s="81">
        <v>45731</v>
      </c>
      <c r="P197" s="290"/>
      <c r="Q197" s="80"/>
      <c r="R197" s="278"/>
      <c r="S197" s="343"/>
      <c r="T197" s="401"/>
      <c r="U197"/>
      <c r="V197"/>
      <c r="W197"/>
      <c r="X197"/>
      <c r="Y197"/>
      <c r="Z197"/>
      <c r="AA197"/>
    </row>
    <row r="198" ht="49.5" spans="1:27">
      <c r="A198" s="36"/>
      <c r="B198" s="230" t="s">
        <v>3248</v>
      </c>
      <c r="C198" s="53" t="s">
        <v>1120</v>
      </c>
      <c r="D198" s="231" t="s">
        <v>1125</v>
      </c>
      <c r="E198" s="53"/>
      <c r="F198" s="54"/>
      <c r="G198" s="53"/>
      <c r="H198" s="55"/>
      <c r="I198" s="72"/>
      <c r="J198" s="64"/>
      <c r="K198" s="253"/>
      <c r="L198" s="53">
        <v>7.1745</v>
      </c>
      <c r="M198" s="81"/>
      <c r="N198" s="81"/>
      <c r="O198" s="81"/>
      <c r="P198" s="82"/>
      <c r="Q198" s="82"/>
      <c r="R198" s="82"/>
      <c r="S198" s="82"/>
      <c r="T198" s="72"/>
      <c r="U198"/>
      <c r="V198"/>
      <c r="W198"/>
      <c r="X198"/>
      <c r="Y198"/>
      <c r="Z198"/>
      <c r="AA198"/>
    </row>
    <row r="199" ht="49.5" spans="1:27">
      <c r="A199" s="229"/>
      <c r="B199" s="230" t="s">
        <v>3248</v>
      </c>
      <c r="C199" s="43" t="s">
        <v>509</v>
      </c>
      <c r="D199" s="35"/>
      <c r="E199" s="53"/>
      <c r="F199" s="236" t="s">
        <v>4090</v>
      </c>
      <c r="G199" s="230" t="s">
        <v>4374</v>
      </c>
      <c r="H199" s="55"/>
      <c r="I199" s="252"/>
      <c r="J199" s="252"/>
      <c r="K199" s="252"/>
      <c r="L199" s="53">
        <v>7.1745</v>
      </c>
      <c r="M199" s="81"/>
      <c r="N199" s="81"/>
      <c r="O199" s="81"/>
      <c r="P199" s="382"/>
      <c r="Q199" s="388"/>
      <c r="R199" s="39"/>
      <c r="S199" s="280"/>
      <c r="T199" s="285"/>
      <c r="U199"/>
      <c r="V199"/>
      <c r="W199"/>
      <c r="X199"/>
      <c r="Y199"/>
      <c r="Z199"/>
      <c r="AA199"/>
    </row>
    <row r="200" ht="49.5" spans="1:27">
      <c r="A200" s="229"/>
      <c r="B200" s="230" t="s">
        <v>3248</v>
      </c>
      <c r="C200" s="43" t="s">
        <v>509</v>
      </c>
      <c r="D200" s="35"/>
      <c r="E200" s="53"/>
      <c r="F200" s="236" t="s">
        <v>4095</v>
      </c>
      <c r="G200" s="106" t="s">
        <v>4375</v>
      </c>
      <c r="H200" s="56"/>
      <c r="I200" s="392"/>
      <c r="J200" s="64"/>
      <c r="K200" s="252"/>
      <c r="L200" s="53">
        <v>7.1745</v>
      </c>
      <c r="M200" s="81">
        <v>45736</v>
      </c>
      <c r="N200" s="81"/>
      <c r="O200" s="81"/>
      <c r="P200" s="382"/>
      <c r="Q200" s="388"/>
      <c r="R200" s="39"/>
      <c r="S200" s="280"/>
      <c r="T200" s="285"/>
      <c r="U200"/>
      <c r="V200"/>
      <c r="W200"/>
      <c r="X200"/>
      <c r="Y200"/>
      <c r="Z200"/>
      <c r="AA200"/>
    </row>
    <row r="201" ht="49.5" spans="1:27">
      <c r="A201" s="229"/>
      <c r="B201" s="230" t="s">
        <v>3248</v>
      </c>
      <c r="C201" s="43" t="s">
        <v>509</v>
      </c>
      <c r="D201" s="35"/>
      <c r="E201" s="53"/>
      <c r="F201" s="247" t="s">
        <v>4192</v>
      </c>
      <c r="G201" s="248" t="s">
        <v>4210</v>
      </c>
      <c r="H201" s="56"/>
      <c r="I201" s="392"/>
      <c r="J201" s="252"/>
      <c r="K201" s="252"/>
      <c r="L201" s="53">
        <v>7.1745</v>
      </c>
      <c r="M201" s="81">
        <v>45741</v>
      </c>
      <c r="N201" s="81"/>
      <c r="O201" s="87"/>
      <c r="P201" s="266"/>
      <c r="Q201" s="388"/>
      <c r="R201" s="39"/>
      <c r="S201" s="280"/>
      <c r="T201" s="285"/>
      <c r="U201"/>
      <c r="V201"/>
      <c r="W201"/>
      <c r="X201"/>
      <c r="Y201"/>
      <c r="Z201"/>
      <c r="AA201"/>
    </row>
    <row r="202" ht="49.5" spans="1:27">
      <c r="A202" s="229"/>
      <c r="B202" s="230" t="s">
        <v>3248</v>
      </c>
      <c r="C202" s="53" t="s">
        <v>1393</v>
      </c>
      <c r="D202" s="232"/>
      <c r="E202" s="53"/>
      <c r="F202" s="54" t="s">
        <v>4113</v>
      </c>
      <c r="G202" s="44" t="s">
        <v>4376</v>
      </c>
      <c r="H202" s="55"/>
      <c r="I202" s="71"/>
      <c r="J202" s="255"/>
      <c r="K202" s="256"/>
      <c r="L202" s="53">
        <v>7.1745</v>
      </c>
      <c r="M202" s="81">
        <v>5.2</v>
      </c>
      <c r="N202" s="81"/>
      <c r="O202" s="81"/>
      <c r="P202" s="82"/>
      <c r="Q202" s="400"/>
      <c r="R202" s="35"/>
      <c r="S202" s="34"/>
      <c r="T202" s="72"/>
      <c r="U202"/>
      <c r="V202"/>
      <c r="W202"/>
      <c r="X202"/>
      <c r="Y202"/>
      <c r="Z202"/>
      <c r="AA202"/>
    </row>
    <row r="203" ht="49.5" spans="1:27">
      <c r="A203" s="229"/>
      <c r="B203" s="230" t="s">
        <v>3248</v>
      </c>
      <c r="C203" s="53" t="s">
        <v>1393</v>
      </c>
      <c r="D203" s="35"/>
      <c r="E203" s="249"/>
      <c r="F203" s="279" t="s">
        <v>4090</v>
      </c>
      <c r="G203" s="44" t="s">
        <v>4306</v>
      </c>
      <c r="H203" s="239"/>
      <c r="I203" s="71"/>
      <c r="J203" s="261"/>
      <c r="K203" s="261"/>
      <c r="L203" s="53">
        <v>7.1745</v>
      </c>
      <c r="M203" s="81" t="s">
        <v>1251</v>
      </c>
      <c r="N203" s="81"/>
      <c r="O203" s="81" t="s">
        <v>3624</v>
      </c>
      <c r="P203" s="382"/>
      <c r="Q203" s="267"/>
      <c r="R203" s="207"/>
      <c r="S203" s="399"/>
      <c r="T203" s="72"/>
      <c r="U203"/>
      <c r="V203"/>
      <c r="W203"/>
      <c r="X203"/>
      <c r="Y203"/>
      <c r="Z203"/>
      <c r="AA203"/>
    </row>
    <row r="204" ht="49.5" spans="1:27">
      <c r="A204" s="229"/>
      <c r="B204" s="230" t="s">
        <v>3248</v>
      </c>
      <c r="C204" s="53" t="s">
        <v>1393</v>
      </c>
      <c r="D204" s="35"/>
      <c r="E204" s="249"/>
      <c r="F204" s="279" t="s">
        <v>4090</v>
      </c>
      <c r="G204" s="219" t="s">
        <v>4377</v>
      </c>
      <c r="H204" s="239"/>
      <c r="I204" s="71"/>
      <c r="J204" s="261"/>
      <c r="K204" s="261"/>
      <c r="L204" s="53">
        <v>7.1745</v>
      </c>
      <c r="M204" s="81">
        <v>45741</v>
      </c>
      <c r="N204" s="81"/>
      <c r="O204" s="81" t="s">
        <v>3624</v>
      </c>
      <c r="P204" s="82"/>
      <c r="Q204" s="389"/>
      <c r="R204" s="278"/>
      <c r="S204" s="390"/>
      <c r="T204" s="383"/>
      <c r="U204"/>
      <c r="V204"/>
      <c r="W204"/>
      <c r="X204"/>
      <c r="Y204"/>
      <c r="Z204"/>
      <c r="AA204"/>
    </row>
    <row r="205" ht="49.5" spans="1:27">
      <c r="A205" s="229"/>
      <c r="B205" s="230" t="s">
        <v>3248</v>
      </c>
      <c r="C205" s="53" t="s">
        <v>1393</v>
      </c>
      <c r="D205" s="38"/>
      <c r="E205" s="391"/>
      <c r="F205" s="58" t="s">
        <v>4090</v>
      </c>
      <c r="G205" s="219" t="s">
        <v>4367</v>
      </c>
      <c r="H205" s="239"/>
      <c r="I205" s="71"/>
      <c r="L205" s="53">
        <v>7.1745</v>
      </c>
      <c r="M205" s="81">
        <v>45740</v>
      </c>
      <c r="N205" s="396"/>
      <c r="O205" s="87"/>
      <c r="P205" s="82"/>
      <c r="Q205" s="389"/>
      <c r="R205" s="278"/>
      <c r="S205" s="390"/>
      <c r="T205" s="383"/>
      <c r="U205"/>
      <c r="V205"/>
      <c r="W205"/>
      <c r="X205"/>
      <c r="Y205"/>
      <c r="Z205"/>
      <c r="AA205"/>
    </row>
    <row r="206" ht="49.5" spans="1:27">
      <c r="A206" s="229"/>
      <c r="B206" s="230" t="s">
        <v>3248</v>
      </c>
      <c r="C206" s="53" t="s">
        <v>1393</v>
      </c>
      <c r="D206" s="232"/>
      <c r="E206" s="109"/>
      <c r="F206" s="54" t="s">
        <v>4090</v>
      </c>
      <c r="G206" s="72" t="s">
        <v>4378</v>
      </c>
      <c r="H206" s="55"/>
      <c r="I206" s="64"/>
      <c r="J206" s="257"/>
      <c r="K206" s="258"/>
      <c r="L206" s="53">
        <v>7.1745</v>
      </c>
      <c r="M206" s="81"/>
      <c r="N206" s="268"/>
      <c r="O206" s="81"/>
      <c r="P206" s="136"/>
      <c r="Q206" s="400"/>
      <c r="R206" s="35"/>
      <c r="S206" s="34"/>
      <c r="T206" s="72"/>
      <c r="U206"/>
      <c r="V206"/>
      <c r="W206"/>
      <c r="X206"/>
      <c r="Y206"/>
      <c r="Z206"/>
      <c r="AA206"/>
    </row>
    <row r="207" ht="49.5" spans="1:27">
      <c r="A207" s="229"/>
      <c r="B207" s="230" t="s">
        <v>3248</v>
      </c>
      <c r="C207" s="43" t="s">
        <v>4196</v>
      </c>
      <c r="D207" s="232"/>
      <c r="E207" s="35"/>
      <c r="F207" s="54" t="s">
        <v>4090</v>
      </c>
      <c r="G207" s="35" t="s">
        <v>4379</v>
      </c>
      <c r="H207" s="239"/>
      <c r="I207" s="64"/>
      <c r="J207" s="253"/>
      <c r="K207" s="253"/>
      <c r="L207" s="53">
        <v>7.1745</v>
      </c>
      <c r="M207" s="268"/>
      <c r="N207" s="268"/>
      <c r="O207" s="268"/>
      <c r="P207" s="136"/>
      <c r="Q207" s="400"/>
      <c r="R207" s="35"/>
      <c r="S207" s="34"/>
      <c r="T207" s="72"/>
      <c r="U207"/>
      <c r="V207"/>
      <c r="W207"/>
      <c r="X207"/>
      <c r="Y207"/>
      <c r="Z207"/>
      <c r="AA207"/>
    </row>
    <row r="208" ht="49.5" spans="1:27">
      <c r="A208" s="229"/>
      <c r="B208" s="230" t="s">
        <v>3248</v>
      </c>
      <c r="C208" s="43" t="s">
        <v>4196</v>
      </c>
      <c r="D208" s="35"/>
      <c r="E208" s="249"/>
      <c r="F208" s="236" t="s">
        <v>4090</v>
      </c>
      <c r="G208" s="39" t="s">
        <v>1975</v>
      </c>
      <c r="H208" s="239"/>
      <c r="I208" s="64"/>
      <c r="J208" s="261"/>
      <c r="K208" s="261"/>
      <c r="L208" s="53">
        <v>7.1745</v>
      </c>
      <c r="M208" s="268"/>
      <c r="N208" s="275"/>
      <c r="O208" s="275"/>
      <c r="P208" s="136"/>
      <c r="Q208" s="80"/>
      <c r="R208" s="278"/>
      <c r="S208" s="383"/>
      <c r="T208" s="383"/>
      <c r="U208"/>
      <c r="V208"/>
      <c r="W208"/>
      <c r="X208"/>
      <c r="Y208"/>
      <c r="Z208"/>
      <c r="AA208"/>
    </row>
    <row r="209" ht="49.5" spans="1:27">
      <c r="A209" s="104"/>
      <c r="B209" s="230" t="s">
        <v>3248</v>
      </c>
      <c r="C209" s="43" t="s">
        <v>4196</v>
      </c>
      <c r="D209" s="46"/>
      <c r="E209" s="391"/>
      <c r="F209" s="201" t="s">
        <v>4090</v>
      </c>
      <c r="G209" s="311" t="s">
        <v>4373</v>
      </c>
      <c r="H209" s="309"/>
      <c r="I209" s="253"/>
      <c r="J209" s="263"/>
      <c r="K209" s="263"/>
      <c r="L209" s="53">
        <v>7.1745</v>
      </c>
      <c r="M209" s="275"/>
      <c r="N209" s="275"/>
      <c r="O209" s="275"/>
      <c r="P209" s="274"/>
      <c r="Q209" s="402"/>
      <c r="R209" s="403"/>
      <c r="S209" s="404"/>
      <c r="T209" s="387"/>
      <c r="U209"/>
      <c r="V209"/>
      <c r="W209"/>
      <c r="X209"/>
      <c r="Y209"/>
      <c r="Z209"/>
      <c r="AA209"/>
    </row>
    <row r="210" ht="16.5" spans="1:27">
      <c r="A210" s="36"/>
      <c r="B210" s="123" t="s">
        <v>1875</v>
      </c>
      <c r="C210" s="234" t="s">
        <v>1120</v>
      </c>
      <c r="D210" s="43" t="s">
        <v>1125</v>
      </c>
      <c r="E210" s="53"/>
      <c r="F210" s="106"/>
      <c r="G210" s="53"/>
      <c r="H210" s="55"/>
      <c r="I210" s="64"/>
      <c r="J210" s="72"/>
      <c r="K210" s="64"/>
      <c r="L210" s="53">
        <v>7.1745</v>
      </c>
      <c r="M210" s="81"/>
      <c r="N210" s="81"/>
      <c r="O210" s="81"/>
      <c r="P210" s="264"/>
      <c r="Q210" s="80"/>
      <c r="R210" s="278"/>
      <c r="S210" s="383"/>
      <c r="T210" s="383"/>
      <c r="U210"/>
      <c r="V210"/>
      <c r="W210"/>
      <c r="X210"/>
      <c r="Y210"/>
      <c r="Z210"/>
      <c r="AA210"/>
    </row>
    <row r="211" ht="16.5" spans="1:27">
      <c r="A211" s="229"/>
      <c r="B211" s="123" t="s">
        <v>1875</v>
      </c>
      <c r="C211" s="234" t="s">
        <v>1120</v>
      </c>
      <c r="D211" s="38"/>
      <c r="E211" s="53"/>
      <c r="F211" s="106"/>
      <c r="G211" s="106"/>
      <c r="H211" s="55"/>
      <c r="I211" s="253"/>
      <c r="J211" s="287"/>
      <c r="K211" s="287"/>
      <c r="L211" s="53">
        <v>7.1745</v>
      </c>
      <c r="M211" s="275"/>
      <c r="N211" s="275"/>
      <c r="O211" s="397"/>
      <c r="P211" s="274"/>
      <c r="Q211" s="80"/>
      <c r="R211" s="278"/>
      <c r="S211" s="383"/>
      <c r="T211" s="383"/>
      <c r="U211"/>
      <c r="V211"/>
      <c r="W211"/>
      <c r="X211"/>
      <c r="Y211"/>
      <c r="Z211"/>
      <c r="AA211"/>
    </row>
    <row r="212" ht="16.5" spans="1:27">
      <c r="A212" s="36"/>
      <c r="B212" s="123" t="s">
        <v>1875</v>
      </c>
      <c r="C212" s="53" t="s">
        <v>509</v>
      </c>
      <c r="D212" s="35" t="s">
        <v>1125</v>
      </c>
      <c r="E212" s="106"/>
      <c r="F212" s="54" t="s">
        <v>4188</v>
      </c>
      <c r="G212" s="106" t="s">
        <v>4206</v>
      </c>
      <c r="H212" s="55"/>
      <c r="I212" s="253"/>
      <c r="J212" s="252"/>
      <c r="K212" s="64"/>
      <c r="L212" s="53">
        <v>7.1745</v>
      </c>
      <c r="M212" s="81"/>
      <c r="N212" s="81"/>
      <c r="O212" s="81"/>
      <c r="P212" s="89"/>
      <c r="Q212" s="80"/>
      <c r="R212" s="278"/>
      <c r="S212" s="383"/>
      <c r="T212" s="383"/>
      <c r="U212"/>
      <c r="V212"/>
      <c r="W212"/>
      <c r="X212"/>
      <c r="Y212"/>
      <c r="Z212"/>
      <c r="AA212"/>
    </row>
    <row r="213" ht="16.5" spans="1:20">
      <c r="A213" s="229"/>
      <c r="B213" s="123" t="s">
        <v>1875</v>
      </c>
      <c r="C213" s="53" t="s">
        <v>509</v>
      </c>
      <c r="D213" s="278"/>
      <c r="E213" s="53"/>
      <c r="F213" s="247" t="s">
        <v>4207</v>
      </c>
      <c r="G213" s="248" t="s">
        <v>4208</v>
      </c>
      <c r="H213" s="55"/>
      <c r="I213" s="253"/>
      <c r="J213" s="252"/>
      <c r="K213" s="252"/>
      <c r="L213" s="53">
        <v>7.1745</v>
      </c>
      <c r="M213" s="289"/>
      <c r="N213" s="81"/>
      <c r="O213" s="87"/>
      <c r="P213" s="266"/>
      <c r="Q213" s="80"/>
      <c r="R213" s="278"/>
      <c r="S213" s="383"/>
      <c r="T213" s="383"/>
    </row>
    <row r="214" ht="16.5" spans="1:20">
      <c r="A214" s="229"/>
      <c r="B214" s="123" t="s">
        <v>1875</v>
      </c>
      <c r="C214" s="53" t="s">
        <v>509</v>
      </c>
      <c r="D214" s="35"/>
      <c r="E214" s="53"/>
      <c r="F214" s="247" t="s">
        <v>4207</v>
      </c>
      <c r="G214" s="248" t="s">
        <v>4209</v>
      </c>
      <c r="H214" s="55"/>
      <c r="I214" s="253"/>
      <c r="J214" s="252"/>
      <c r="K214" s="252"/>
      <c r="L214" s="53">
        <v>7.1745</v>
      </c>
      <c r="M214" s="289"/>
      <c r="N214" s="81"/>
      <c r="O214" s="87"/>
      <c r="P214" s="266"/>
      <c r="Q214" s="80"/>
      <c r="R214" s="278"/>
      <c r="S214" s="383"/>
      <c r="T214" s="383"/>
    </row>
    <row r="215" ht="16.5" spans="1:20">
      <c r="A215" s="229"/>
      <c r="B215" s="123" t="s">
        <v>1875</v>
      </c>
      <c r="C215" s="53" t="s">
        <v>509</v>
      </c>
      <c r="D215" s="38"/>
      <c r="E215" s="53"/>
      <c r="F215" s="247" t="s">
        <v>4090</v>
      </c>
      <c r="G215" s="248" t="s">
        <v>4374</v>
      </c>
      <c r="H215" s="55"/>
      <c r="I215" s="253"/>
      <c r="J215" s="252"/>
      <c r="K215" s="252"/>
      <c r="L215" s="53">
        <v>7.1745</v>
      </c>
      <c r="M215" s="289"/>
      <c r="N215" s="81"/>
      <c r="O215" s="87"/>
      <c r="P215" s="266"/>
      <c r="Q215" s="402"/>
      <c r="R215" s="403"/>
      <c r="S215" s="404"/>
      <c r="T215" s="387"/>
    </row>
    <row r="216" ht="16.5" spans="1:20">
      <c r="A216" s="229"/>
      <c r="B216" s="123" t="s">
        <v>1875</v>
      </c>
      <c r="C216" s="53" t="s">
        <v>509</v>
      </c>
      <c r="D216" s="46"/>
      <c r="E216" s="53"/>
      <c r="F216" s="54" t="s">
        <v>4139</v>
      </c>
      <c r="G216" s="248" t="s">
        <v>4380</v>
      </c>
      <c r="H216" s="55"/>
      <c r="I216" s="393"/>
      <c r="J216" s="394"/>
      <c r="K216" s="395"/>
      <c r="L216" s="53">
        <v>7.1745</v>
      </c>
      <c r="M216" s="271"/>
      <c r="N216" s="268"/>
      <c r="O216" s="81"/>
      <c r="P216" s="136"/>
      <c r="Q216" s="402"/>
      <c r="R216" s="403"/>
      <c r="S216" s="405"/>
      <c r="T216" s="406"/>
    </row>
    <row r="217" ht="16.5" spans="1:20">
      <c r="A217" s="229"/>
      <c r="B217" s="123" t="s">
        <v>1875</v>
      </c>
      <c r="C217" s="53" t="s">
        <v>1393</v>
      </c>
      <c r="D217" s="35"/>
      <c r="E217" s="249"/>
      <c r="F217" s="54" t="s">
        <v>4113</v>
      </c>
      <c r="G217" s="280" t="s">
        <v>4382</v>
      </c>
      <c r="H217" s="55"/>
      <c r="I217" s="64"/>
      <c r="J217" s="261"/>
      <c r="K217" s="261"/>
      <c r="L217" s="53">
        <v>7.1745</v>
      </c>
      <c r="M217" s="81"/>
      <c r="N217" s="81"/>
      <c r="O217" s="81"/>
      <c r="P217" s="136"/>
      <c r="Q217" s="80"/>
      <c r="R217" s="278"/>
      <c r="S217" s="383"/>
      <c r="T217" s="383"/>
    </row>
    <row r="218" ht="16.5" spans="1:20">
      <c r="A218" s="229"/>
      <c r="B218" s="123" t="s">
        <v>1875</v>
      </c>
      <c r="C218" s="53" t="s">
        <v>1393</v>
      </c>
      <c r="D218" s="35"/>
      <c r="E218" s="249"/>
      <c r="F218" s="205" t="s">
        <v>4090</v>
      </c>
      <c r="G218" s="280"/>
      <c r="H218" s="204"/>
      <c r="I218" s="286"/>
      <c r="J218" s="261"/>
      <c r="K218" s="261"/>
      <c r="L218" s="53"/>
      <c r="M218" s="271"/>
      <c r="N218" s="271"/>
      <c r="O218" s="81"/>
      <c r="P218" s="274"/>
      <c r="Q218" s="407"/>
      <c r="R218" s="386"/>
      <c r="S218" s="383"/>
      <c r="T218" s="383"/>
    </row>
    <row r="219" ht="16.5" spans="1:20">
      <c r="A219" s="229"/>
      <c r="B219" s="123" t="s">
        <v>1875</v>
      </c>
      <c r="C219" s="53" t="s">
        <v>1393</v>
      </c>
      <c r="D219" s="35"/>
      <c r="E219" s="249"/>
      <c r="F219" s="205" t="s">
        <v>4090</v>
      </c>
      <c r="G219" s="280" t="s">
        <v>4383</v>
      </c>
      <c r="H219" s="204"/>
      <c r="I219" s="286"/>
      <c r="J219" s="261"/>
      <c r="K219" s="261"/>
      <c r="L219" s="53"/>
      <c r="M219" s="271"/>
      <c r="N219" s="271"/>
      <c r="O219" s="81"/>
      <c r="P219" s="274"/>
      <c r="Q219" s="407"/>
      <c r="R219" s="386"/>
      <c r="S219" s="383"/>
      <c r="T219" s="383"/>
    </row>
    <row r="220" ht="16.5" spans="1:20">
      <c r="A220" s="229"/>
      <c r="B220" s="123" t="s">
        <v>1875</v>
      </c>
      <c r="C220" s="53" t="s">
        <v>1393</v>
      </c>
      <c r="D220" s="35"/>
      <c r="E220" s="249"/>
      <c r="F220" s="279" t="s">
        <v>4090</v>
      </c>
      <c r="G220" s="219" t="s">
        <v>4384</v>
      </c>
      <c r="H220" s="239"/>
      <c r="I220" s="71"/>
      <c r="J220" s="261"/>
      <c r="K220" s="261"/>
      <c r="L220" s="53">
        <v>7.1745</v>
      </c>
      <c r="M220" s="81"/>
      <c r="N220" s="81"/>
      <c r="O220" s="81">
        <v>4</v>
      </c>
      <c r="P220" s="82"/>
      <c r="Q220" s="407"/>
      <c r="R220" s="386"/>
      <c r="S220" s="383"/>
      <c r="T220" s="383"/>
    </row>
    <row r="221" ht="16.5" spans="1:20">
      <c r="A221" s="229"/>
      <c r="B221" s="123" t="s">
        <v>1875</v>
      </c>
      <c r="C221" s="53" t="s">
        <v>1393</v>
      </c>
      <c r="D221" s="35"/>
      <c r="E221" s="249"/>
      <c r="F221" s="279" t="s">
        <v>4090</v>
      </c>
      <c r="G221" s="219" t="s">
        <v>4428</v>
      </c>
      <c r="H221" s="221"/>
      <c r="I221" s="76"/>
      <c r="J221" s="261"/>
      <c r="K221" s="261"/>
      <c r="L221" s="53">
        <v>7.1745</v>
      </c>
      <c r="M221" s="271"/>
      <c r="N221" s="271"/>
      <c r="O221" s="81"/>
      <c r="P221" s="290"/>
      <c r="Q221" s="407"/>
      <c r="R221" s="386"/>
      <c r="S221" s="383"/>
      <c r="T221" s="383"/>
    </row>
    <row r="222" ht="16.5" spans="1:20">
      <c r="A222" s="229"/>
      <c r="B222" s="123" t="s">
        <v>1875</v>
      </c>
      <c r="C222" s="53" t="s">
        <v>1393</v>
      </c>
      <c r="D222" s="35"/>
      <c r="E222" s="249"/>
      <c r="F222" s="279" t="s">
        <v>4090</v>
      </c>
      <c r="G222" s="219" t="s">
        <v>4429</v>
      </c>
      <c r="H222" s="221"/>
      <c r="I222" s="76"/>
      <c r="J222" s="261"/>
      <c r="K222" s="261"/>
      <c r="L222" s="53">
        <v>7.1745</v>
      </c>
      <c r="M222" s="271"/>
      <c r="N222" s="271"/>
      <c r="O222" s="81"/>
      <c r="P222" s="290"/>
      <c r="Q222" s="407"/>
      <c r="R222" s="386"/>
      <c r="S222" s="383"/>
      <c r="T222" s="383"/>
    </row>
    <row r="223" ht="16.5" spans="1:20">
      <c r="A223" s="229"/>
      <c r="B223" s="123" t="s">
        <v>1875</v>
      </c>
      <c r="C223" s="53" t="s">
        <v>4196</v>
      </c>
      <c r="D223" s="35"/>
      <c r="E223" s="59"/>
      <c r="F223" s="365" t="s">
        <v>4090</v>
      </c>
      <c r="G223" s="365" t="s">
        <v>4307</v>
      </c>
      <c r="H223" s="204"/>
      <c r="I223" s="324"/>
      <c r="J223" s="287"/>
      <c r="K223" s="287"/>
      <c r="L223" s="53">
        <v>7.1745</v>
      </c>
      <c r="M223" s="275"/>
      <c r="N223" s="275"/>
      <c r="O223" s="81"/>
      <c r="P223" s="398"/>
      <c r="Q223" s="397"/>
      <c r="R223" s="408"/>
      <c r="S223" s="383"/>
      <c r="T223" s="383"/>
    </row>
    <row r="224" ht="16.5" spans="1:20">
      <c r="A224" s="229"/>
      <c r="B224" s="123" t="s">
        <v>1875</v>
      </c>
      <c r="C224" s="53" t="s">
        <v>4196</v>
      </c>
      <c r="D224" s="35"/>
      <c r="E224" s="310"/>
      <c r="F224" s="236" t="s">
        <v>4095</v>
      </c>
      <c r="G224" s="285" t="s">
        <v>4309</v>
      </c>
      <c r="H224" s="309"/>
      <c r="I224" s="64"/>
      <c r="J224" s="261"/>
      <c r="K224" s="261"/>
      <c r="L224" s="53">
        <v>7.1745</v>
      </c>
      <c r="M224" s="271"/>
      <c r="N224" s="271"/>
      <c r="O224" s="81"/>
      <c r="P224" s="290"/>
      <c r="Q224" s="409"/>
      <c r="R224" s="408"/>
      <c r="S224" s="383"/>
      <c r="T224" s="383"/>
    </row>
    <row r="225" ht="16.5" spans="1:20">
      <c r="A225" s="229"/>
      <c r="B225" s="123" t="s">
        <v>1875</v>
      </c>
      <c r="C225" s="53" t="s">
        <v>4196</v>
      </c>
      <c r="D225" s="35"/>
      <c r="E225" s="310"/>
      <c r="F225" s="236" t="s">
        <v>4090</v>
      </c>
      <c r="G225" s="285" t="s">
        <v>4308</v>
      </c>
      <c r="H225" s="309"/>
      <c r="I225" s="64"/>
      <c r="J225" s="261"/>
      <c r="K225" s="261"/>
      <c r="L225" s="53">
        <v>7.1745</v>
      </c>
      <c r="M225" s="275"/>
      <c r="N225" s="275"/>
      <c r="O225" s="81"/>
      <c r="P225" s="382"/>
      <c r="Q225" s="397"/>
      <c r="R225" s="408"/>
      <c r="S225" s="383"/>
      <c r="T225" s="383"/>
    </row>
    <row r="226" ht="16.5" spans="1:20">
      <c r="A226" s="229"/>
      <c r="B226" s="123" t="s">
        <v>1875</v>
      </c>
      <c r="C226" s="53" t="s">
        <v>4196</v>
      </c>
      <c r="D226" s="35"/>
      <c r="E226" s="53"/>
      <c r="F226" s="106" t="s">
        <v>4090</v>
      </c>
      <c r="G226" s="106" t="s">
        <v>4310</v>
      </c>
      <c r="H226" s="55"/>
      <c r="I226" s="253"/>
      <c r="J226" s="287"/>
      <c r="K226" s="287"/>
      <c r="L226" s="53">
        <v>7.1745</v>
      </c>
      <c r="M226" s="275"/>
      <c r="N226" s="275"/>
      <c r="O226" s="397"/>
      <c r="P226" s="382"/>
      <c r="Q226" s="397"/>
      <c r="R226" s="408"/>
      <c r="S226" s="383"/>
      <c r="T226" s="383"/>
    </row>
    <row r="227" ht="16.5" spans="1:20">
      <c r="A227" s="229"/>
      <c r="B227" s="123" t="s">
        <v>1875</v>
      </c>
      <c r="C227" s="53" t="s">
        <v>4196</v>
      </c>
      <c r="D227" s="35"/>
      <c r="E227" s="53"/>
      <c r="F227" s="201" t="s">
        <v>4090</v>
      </c>
      <c r="G227" s="246" t="s">
        <v>4214</v>
      </c>
      <c r="H227" s="308"/>
      <c r="I227" s="253"/>
      <c r="J227" s="66"/>
      <c r="K227" s="67"/>
      <c r="L227" s="53">
        <v>7.1745</v>
      </c>
      <c r="M227" s="81"/>
      <c r="N227" s="81"/>
      <c r="O227" s="268"/>
      <c r="P227" s="382"/>
      <c r="Q227" s="268"/>
      <c r="R227" s="86"/>
      <c r="S227" s="383"/>
      <c r="T227" s="383"/>
    </row>
    <row r="228" ht="16.5" spans="1:20">
      <c r="A228" s="229"/>
      <c r="B228" s="123" t="s">
        <v>1875</v>
      </c>
      <c r="C228" s="53" t="s">
        <v>4196</v>
      </c>
      <c r="D228" s="232"/>
      <c r="E228" s="249"/>
      <c r="F228" s="236" t="s">
        <v>4095</v>
      </c>
      <c r="G228" s="280" t="s">
        <v>4311</v>
      </c>
      <c r="H228" s="309"/>
      <c r="I228" s="253"/>
      <c r="J228" s="261"/>
      <c r="K228" s="261"/>
      <c r="L228" s="53">
        <v>7.1745</v>
      </c>
      <c r="M228" s="271"/>
      <c r="N228" s="411"/>
      <c r="O228" s="412"/>
      <c r="P228" s="413"/>
      <c r="Q228" s="400"/>
      <c r="R228" s="35"/>
      <c r="S228" s="34"/>
      <c r="T228" s="66"/>
    </row>
    <row r="229" ht="16.5" spans="1:20">
      <c r="A229" s="229"/>
      <c r="B229" s="123" t="s">
        <v>1875</v>
      </c>
      <c r="C229" s="53" t="s">
        <v>4196</v>
      </c>
      <c r="D229" s="232"/>
      <c r="E229" s="53"/>
      <c r="F229" s="201" t="s">
        <v>4090</v>
      </c>
      <c r="G229" s="246" t="s">
        <v>382</v>
      </c>
      <c r="H229" s="309"/>
      <c r="I229" s="253"/>
      <c r="J229" s="263"/>
      <c r="K229" s="263"/>
      <c r="L229" s="53">
        <v>7.1745</v>
      </c>
      <c r="M229" s="275"/>
      <c r="N229" s="275"/>
      <c r="O229" s="275"/>
      <c r="P229" s="274"/>
      <c r="Q229" s="80"/>
      <c r="R229" s="278"/>
      <c r="S229" s="343"/>
      <c r="T229" s="401"/>
    </row>
    <row r="230" ht="16.5" spans="1:20">
      <c r="A230" s="229"/>
      <c r="B230" s="123" t="s">
        <v>1875</v>
      </c>
      <c r="C230" s="53" t="s">
        <v>4196</v>
      </c>
      <c r="D230" s="232"/>
      <c r="E230" s="249"/>
      <c r="F230" s="201" t="s">
        <v>4090</v>
      </c>
      <c r="G230" s="311" t="s">
        <v>4385</v>
      </c>
      <c r="H230" s="309"/>
      <c r="I230" s="253"/>
      <c r="J230" s="263"/>
      <c r="K230" s="263"/>
      <c r="L230" s="53">
        <v>7.1745</v>
      </c>
      <c r="M230" s="275"/>
      <c r="N230" s="275"/>
      <c r="O230" s="275"/>
      <c r="P230" s="274"/>
      <c r="Q230" s="80"/>
      <c r="R230" s="278"/>
      <c r="S230" s="343"/>
      <c r="T230" s="401"/>
    </row>
    <row r="231" ht="16.5" spans="1:20">
      <c r="A231" s="229"/>
      <c r="B231" s="123" t="s">
        <v>1875</v>
      </c>
      <c r="C231" s="53" t="s">
        <v>4196</v>
      </c>
      <c r="D231" s="232"/>
      <c r="E231" s="249"/>
      <c r="F231" s="201" t="s">
        <v>4090</v>
      </c>
      <c r="G231" s="311" t="s">
        <v>4386</v>
      </c>
      <c r="H231" s="309"/>
      <c r="I231" s="253"/>
      <c r="J231" s="263"/>
      <c r="K231" s="263"/>
      <c r="L231" s="53"/>
      <c r="M231" s="275"/>
      <c r="N231" s="275"/>
      <c r="O231" s="275"/>
      <c r="P231" s="274"/>
      <c r="Q231" s="80"/>
      <c r="R231" s="278"/>
      <c r="S231" s="343"/>
      <c r="T231" s="401"/>
    </row>
    <row r="232" ht="16.5" spans="1:20">
      <c r="A232" s="229"/>
      <c r="B232" s="123" t="s">
        <v>1875</v>
      </c>
      <c r="C232" s="53" t="s">
        <v>4196</v>
      </c>
      <c r="D232" s="38"/>
      <c r="E232" s="249"/>
      <c r="F232" s="201" t="s">
        <v>4090</v>
      </c>
      <c r="G232" s="280" t="s">
        <v>4387</v>
      </c>
      <c r="H232" s="309"/>
      <c r="I232" s="253"/>
      <c r="J232" s="261"/>
      <c r="K232" s="261"/>
      <c r="L232" s="53"/>
      <c r="M232" s="271"/>
      <c r="N232" s="275"/>
      <c r="O232" s="275"/>
      <c r="P232" s="398"/>
      <c r="Q232" s="415"/>
      <c r="R232" s="416"/>
      <c r="S232" s="383"/>
      <c r="T232" s="383"/>
    </row>
    <row r="233" ht="16.5" spans="1:20">
      <c r="A233" s="229"/>
      <c r="B233" s="123" t="s">
        <v>1875</v>
      </c>
      <c r="C233" s="53" t="s">
        <v>4196</v>
      </c>
      <c r="D233" s="38"/>
      <c r="E233" s="249"/>
      <c r="F233" s="201" t="s">
        <v>4090</v>
      </c>
      <c r="G233" s="280" t="s">
        <v>4388</v>
      </c>
      <c r="H233" s="309"/>
      <c r="I233" s="253"/>
      <c r="J233" s="261"/>
      <c r="K233" s="261"/>
      <c r="L233" s="53"/>
      <c r="M233" s="271"/>
      <c r="N233" s="275"/>
      <c r="O233" s="275"/>
      <c r="P233" s="398"/>
      <c r="Q233" s="415"/>
      <c r="R233" s="416"/>
      <c r="S233" s="383"/>
      <c r="T233" s="383"/>
    </row>
    <row r="234" ht="16.5" spans="1:20">
      <c r="A234" s="229"/>
      <c r="B234" s="123" t="s">
        <v>1875</v>
      </c>
      <c r="C234" s="53" t="s">
        <v>4196</v>
      </c>
      <c r="D234" s="35"/>
      <c r="E234" s="249"/>
      <c r="F234" s="236" t="s">
        <v>4090</v>
      </c>
      <c r="G234" s="280" t="s">
        <v>4215</v>
      </c>
      <c r="H234" s="309"/>
      <c r="I234" s="253"/>
      <c r="J234" s="261"/>
      <c r="K234" s="261"/>
      <c r="L234" s="53">
        <v>7.1745</v>
      </c>
      <c r="M234" s="271">
        <v>45777</v>
      </c>
      <c r="N234" s="275"/>
      <c r="O234" s="275"/>
      <c r="P234" s="382"/>
      <c r="Q234" s="415"/>
      <c r="R234" s="416"/>
      <c r="S234" s="383"/>
      <c r="T234" s="383"/>
    </row>
    <row r="235" ht="16.5" spans="1:20">
      <c r="A235" s="36"/>
      <c r="B235" s="36"/>
      <c r="C235" s="36"/>
      <c r="D235" s="278"/>
      <c r="E235" s="278"/>
      <c r="F235" s="410"/>
      <c r="G235" s="383"/>
      <c r="H235" s="383"/>
      <c r="I235" s="260"/>
      <c r="J235" s="260"/>
      <c r="K235" s="260"/>
      <c r="L235" s="383"/>
      <c r="M235" s="268"/>
      <c r="N235" s="268"/>
      <c r="O235" s="268"/>
      <c r="P235" s="414"/>
      <c r="Q235" s="80"/>
      <c r="R235" s="278"/>
      <c r="S235" s="383"/>
      <c r="T235" s="383"/>
    </row>
  </sheetData>
  <sheetProtection formatCells="0" formatColumns="0" formatRows="0" insertRows="0" insertColumns="0" insertHyperlinks="0" deleteColumns="0" deleteRows="0" sort="0" autoFilter="0" pivotTables="0"/>
  <mergeCells count="40">
    <mergeCell ref="A1:S1"/>
    <mergeCell ref="P176:S176"/>
    <mergeCell ref="P198:S198"/>
    <mergeCell ref="A3:A51"/>
    <mergeCell ref="A52:A125"/>
    <mergeCell ref="A126:A175"/>
    <mergeCell ref="A176:A234"/>
    <mergeCell ref="C66:C67"/>
    <mergeCell ref="D7:D10"/>
    <mergeCell ref="D14:D17"/>
    <mergeCell ref="D19:D27"/>
    <mergeCell ref="D29:D51"/>
    <mergeCell ref="D52:D54"/>
    <mergeCell ref="D55:D60"/>
    <mergeCell ref="D62:D67"/>
    <mergeCell ref="D68:D94"/>
    <mergeCell ref="D126:D130"/>
    <mergeCell ref="D131:D134"/>
    <mergeCell ref="D135:D142"/>
    <mergeCell ref="D143:D147"/>
    <mergeCell ref="D151:D152"/>
    <mergeCell ref="D155:D175"/>
    <mergeCell ref="D176:D182"/>
    <mergeCell ref="D183:D186"/>
    <mergeCell ref="D187:D194"/>
    <mergeCell ref="D195:D197"/>
    <mergeCell ref="D198:D209"/>
    <mergeCell ref="D210:D211"/>
    <mergeCell ref="D212:D234"/>
    <mergeCell ref="E126:E128"/>
    <mergeCell ref="E129:E130"/>
    <mergeCell ref="E136:E137"/>
    <mergeCell ref="E143:E145"/>
    <mergeCell ref="E146:E147"/>
    <mergeCell ref="F126:F128"/>
    <mergeCell ref="F129:F130"/>
    <mergeCell ref="F136:F137"/>
    <mergeCell ref="F143:F145"/>
    <mergeCell ref="F146:F147"/>
    <mergeCell ref="R14:R15"/>
  </mergeCells>
  <dataValidations count="3">
    <dataValidation type="list" allowBlank="1" showErrorMessage="1" errorTitle="错误提示" error="请输入下拉列表中的值" sqref="F5 F51 F125 F193 F11:F13 F15:F17 F24:F28 F41:F45 F47:F48 F97:F102 F104:F105 F112:F122 F176:F186 F195:F201 F203:F205 F207:F215 F220:F224 F226:F235">
      <formula1>"经销商增量-占比高,经销商增量-占比低,经销商开发,ODM开发,ODM增量,现有连锁增量,区域新连锁开发,全球新连锁开发,其他"</formula1>
    </dataValidation>
    <dataValidation type="list" allowBlank="1" showErrorMessage="1" errorTitle="错误提示" error="请输入下拉列表中的值" sqref="F14 F103 F2:F4 F6:F10 F18:F23 F29:F40 F49:F50 F52:F96 F106:F111 F123:F124 F126:F133 F135:F136 F138:F175">
      <formula1>"经销商增量-占比高,经销商增量-占比低,经销商开发-重点空白,ODM开发+增量,现有连锁增量,新连锁开发-区域,新连锁开发-全球"</formula1>
    </dataValidation>
    <dataValidation type="list" allowBlank="1" showErrorMessage="1" errorTitle="错误提示" error="请输入下拉列表中的值" id="{e3cc978c-dad8-47be-a37a-77e1ed18047e}" sqref="B3:B234">
      <formula1>"本月预计发货订单,已确认订单（明确本月不发货）,洽谈中"</formula1>
    </dataValidation>
  </dataValidation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9"/>
  <sheetViews>
    <sheetView tabSelected="1" topLeftCell="A77" workbookViewId="0">
      <selection activeCell="A1" sqref="A1:P1"/>
    </sheetView>
  </sheetViews>
  <sheetFormatPr defaultColWidth="9" defaultRowHeight="13.5"/>
  <cols>
    <col min="1" max="1" width="7" style="24" customWidth="1"/>
    <col min="2" max="2" width="14.5" style="24" customWidth="1"/>
    <col min="3" max="3" width="12.45" style="24" customWidth="1"/>
    <col min="4" max="4" width="13.125" style="24" customWidth="1"/>
    <col min="5" max="5" width="31.4083333333333" style="24" customWidth="1"/>
    <col min="6" max="6" width="19" style="25" customWidth="1"/>
    <col min="7" max="7" width="19.4" style="24" customWidth="1"/>
    <col min="8" max="8" width="14.825" style="24" customWidth="1"/>
    <col min="9" max="9" width="16.5" style="24" customWidth="1"/>
    <col min="10" max="10" width="13.875" style="24" customWidth="1"/>
    <col min="11" max="11" width="13.8" style="24" customWidth="1"/>
    <col min="12" max="12" width="9" style="24" customWidth="1"/>
    <col min="13" max="13" width="14.875" style="24" customWidth="1"/>
    <col min="14" max="14" width="11.125" style="26" customWidth="1"/>
    <col min="15" max="15" width="15.5" style="24" customWidth="1"/>
    <col min="16" max="16" width="107.375" style="27" customWidth="1"/>
  </cols>
  <sheetData>
    <row r="1" ht="21" spans="1:16">
      <c r="A1" s="28" t="s">
        <v>4430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ht="16.5" spans="1:16">
      <c r="A2" s="29" t="s">
        <v>1092</v>
      </c>
      <c r="B2" s="29" t="s">
        <v>1820</v>
      </c>
      <c r="C2" s="30" t="s">
        <v>1946</v>
      </c>
      <c r="D2" s="31" t="s">
        <v>3619</v>
      </c>
      <c r="E2" s="31" t="s">
        <v>1822</v>
      </c>
      <c r="F2" s="50" t="s">
        <v>4081</v>
      </c>
      <c r="G2" s="51" t="s">
        <v>1095</v>
      </c>
      <c r="H2" s="52" t="s">
        <v>4082</v>
      </c>
      <c r="I2" s="62" t="s">
        <v>1716</v>
      </c>
      <c r="J2" s="62" t="s">
        <v>1717</v>
      </c>
      <c r="K2" s="62" t="s">
        <v>1718</v>
      </c>
      <c r="L2" s="63" t="s">
        <v>1866</v>
      </c>
      <c r="M2" s="78" t="s">
        <v>1098</v>
      </c>
      <c r="N2" s="79" t="s">
        <v>3620</v>
      </c>
      <c r="O2" s="79" t="s">
        <v>1214</v>
      </c>
      <c r="P2" s="80" t="s">
        <v>4313</v>
      </c>
    </row>
    <row r="3" ht="16.5" spans="1:16">
      <c r="A3" s="32" t="s">
        <v>4431</v>
      </c>
      <c r="B3" s="33" t="s">
        <v>1824</v>
      </c>
      <c r="C3" s="34" t="s">
        <v>2382</v>
      </c>
      <c r="D3" s="35"/>
      <c r="E3" s="53"/>
      <c r="F3" s="54"/>
      <c r="G3" s="55"/>
      <c r="H3" s="55"/>
      <c r="I3" s="64"/>
      <c r="J3" s="64"/>
      <c r="K3" s="64"/>
      <c r="L3" s="65"/>
      <c r="M3" s="81"/>
      <c r="N3" s="81"/>
      <c r="O3" s="81"/>
      <c r="P3" s="82"/>
    </row>
    <row r="4" ht="16.5" spans="1:16">
      <c r="A4" s="36"/>
      <c r="B4" s="33" t="s">
        <v>1824</v>
      </c>
      <c r="C4" s="37" t="s">
        <v>4085</v>
      </c>
      <c r="D4" s="38">
        <v>275</v>
      </c>
      <c r="E4" s="53"/>
      <c r="F4" s="54" t="s">
        <v>4081</v>
      </c>
      <c r="G4" s="48" t="s">
        <v>4432</v>
      </c>
      <c r="H4" s="56"/>
      <c r="I4" s="66"/>
      <c r="J4" s="67"/>
      <c r="K4" s="68"/>
      <c r="L4" s="53">
        <v>7.2008</v>
      </c>
      <c r="M4" s="83"/>
      <c r="N4" s="84"/>
      <c r="O4" s="85"/>
      <c r="P4" s="86"/>
    </row>
    <row r="5" ht="16.5" spans="1:16">
      <c r="A5" s="36"/>
      <c r="B5" s="33" t="s">
        <v>1824</v>
      </c>
      <c r="C5" s="37"/>
      <c r="D5" s="38"/>
      <c r="E5" s="48"/>
      <c r="F5" s="54" t="s">
        <v>4081</v>
      </c>
      <c r="G5" s="57" t="s">
        <v>4433</v>
      </c>
      <c r="H5" s="56"/>
      <c r="I5" s="66"/>
      <c r="J5" s="67"/>
      <c r="K5" s="69"/>
      <c r="L5" s="53">
        <f>L31</f>
        <v>7.2008</v>
      </c>
      <c r="M5" s="81"/>
      <c r="N5" s="84"/>
      <c r="O5" s="87"/>
      <c r="P5" s="86"/>
    </row>
    <row r="6" ht="16.5" spans="1:16">
      <c r="A6" s="36"/>
      <c r="B6" s="33" t="s">
        <v>1824</v>
      </c>
      <c r="C6" s="37"/>
      <c r="D6" s="38"/>
      <c r="E6" s="53"/>
      <c r="F6" s="54" t="s">
        <v>4081</v>
      </c>
      <c r="G6" s="57" t="s">
        <v>4434</v>
      </c>
      <c r="H6" s="56"/>
      <c r="I6" s="66"/>
      <c r="J6" s="67"/>
      <c r="K6" s="69"/>
      <c r="L6" s="53">
        <f>L5</f>
        <v>7.2008</v>
      </c>
      <c r="M6" s="81"/>
      <c r="N6" s="87"/>
      <c r="O6" s="87"/>
      <c r="P6" s="82"/>
    </row>
    <row r="7" ht="16.5" spans="1:16">
      <c r="A7" s="36"/>
      <c r="B7" s="33" t="s">
        <v>1824</v>
      </c>
      <c r="C7" s="37"/>
      <c r="D7" s="38"/>
      <c r="E7" s="53"/>
      <c r="F7" s="58" t="s">
        <v>4081</v>
      </c>
      <c r="G7" s="53" t="s">
        <v>4435</v>
      </c>
      <c r="H7" s="55"/>
      <c r="I7" s="66"/>
      <c r="J7" s="67"/>
      <c r="K7" s="70"/>
      <c r="L7" s="53">
        <f>L4</f>
        <v>7.2008</v>
      </c>
      <c r="M7" s="81"/>
      <c r="N7" s="88"/>
      <c r="O7" s="87"/>
      <c r="P7" s="89"/>
    </row>
    <row r="8" ht="16.5" spans="1:16">
      <c r="A8" s="36"/>
      <c r="B8" s="33" t="s">
        <v>1824</v>
      </c>
      <c r="C8" s="37"/>
      <c r="D8" s="39"/>
      <c r="E8" s="53"/>
      <c r="F8" s="54" t="s">
        <v>4081</v>
      </c>
      <c r="G8" s="57" t="s">
        <v>4436</v>
      </c>
      <c r="H8" s="56"/>
      <c r="I8" s="66"/>
      <c r="J8" s="69"/>
      <c r="K8" s="70"/>
      <c r="L8" s="53">
        <f>L6</f>
        <v>7.2008</v>
      </c>
      <c r="M8" s="81"/>
      <c r="N8" s="88"/>
      <c r="O8" s="88"/>
      <c r="P8" s="89"/>
    </row>
    <row r="9" ht="16.5" spans="1:16">
      <c r="A9" s="36"/>
      <c r="B9" s="33" t="s">
        <v>1824</v>
      </c>
      <c r="C9" s="40" t="s">
        <v>3748</v>
      </c>
      <c r="D9" s="41">
        <v>70</v>
      </c>
      <c r="E9" s="53"/>
      <c r="F9" s="54" t="s">
        <v>4081</v>
      </c>
      <c r="G9" s="57" t="s">
        <v>4437</v>
      </c>
      <c r="H9" s="56"/>
      <c r="I9" s="71"/>
      <c r="J9" s="69"/>
      <c r="K9" s="70"/>
      <c r="L9" s="53">
        <v>7.2008</v>
      </c>
      <c r="M9" s="81"/>
      <c r="N9" s="88"/>
      <c r="O9" s="88"/>
      <c r="P9" s="89"/>
    </row>
    <row r="10" ht="16.5" spans="1:16">
      <c r="A10" s="36"/>
      <c r="B10" s="33" t="s">
        <v>1824</v>
      </c>
      <c r="C10" s="42"/>
      <c r="D10" s="41"/>
      <c r="E10" s="53"/>
      <c r="F10" s="54" t="s">
        <v>4081</v>
      </c>
      <c r="G10" s="57" t="s">
        <v>4438</v>
      </c>
      <c r="H10" s="56"/>
      <c r="I10" s="71"/>
      <c r="J10" s="69"/>
      <c r="K10" s="70"/>
      <c r="L10" s="53">
        <v>7.2008</v>
      </c>
      <c r="M10" s="81"/>
      <c r="N10" s="88"/>
      <c r="O10" s="88"/>
      <c r="P10" s="89"/>
    </row>
    <row r="11" ht="16.5" spans="1:16">
      <c r="A11" s="36"/>
      <c r="B11" s="33" t="s">
        <v>1824</v>
      </c>
      <c r="C11" s="42"/>
      <c r="D11" s="41"/>
      <c r="E11" s="53"/>
      <c r="F11" s="54" t="s">
        <v>4139</v>
      </c>
      <c r="G11" s="57" t="s">
        <v>4439</v>
      </c>
      <c r="H11" s="56"/>
      <c r="I11" s="71"/>
      <c r="J11" s="69"/>
      <c r="K11" s="70"/>
      <c r="L11" s="53">
        <v>7.2008</v>
      </c>
      <c r="M11" s="81">
        <v>45797</v>
      </c>
      <c r="N11" s="88"/>
      <c r="O11" s="88"/>
      <c r="P11" s="89"/>
    </row>
    <row r="12" ht="16.5" spans="1:16">
      <c r="A12" s="36"/>
      <c r="B12" s="33" t="s">
        <v>1824</v>
      </c>
      <c r="C12" s="42"/>
      <c r="D12" s="41"/>
      <c r="E12" s="53"/>
      <c r="F12" s="58" t="s">
        <v>4093</v>
      </c>
      <c r="G12" s="53" t="s">
        <v>4318</v>
      </c>
      <c r="H12" s="55"/>
      <c r="I12" s="71"/>
      <c r="J12" s="70"/>
      <c r="K12" s="71"/>
      <c r="L12" s="53">
        <v>7.2008</v>
      </c>
      <c r="M12" s="81"/>
      <c r="N12" s="87"/>
      <c r="O12" s="87"/>
      <c r="P12" s="86"/>
    </row>
    <row r="13" customFormat="1" ht="18" customHeight="1" spans="1:20">
      <c r="A13" s="36"/>
      <c r="B13" s="33" t="s">
        <v>1824</v>
      </c>
      <c r="C13" s="34" t="s">
        <v>4092</v>
      </c>
      <c r="D13" s="41">
        <v>145</v>
      </c>
      <c r="E13" s="57"/>
      <c r="F13" s="54" t="s">
        <v>4090</v>
      </c>
      <c r="G13" s="53" t="s">
        <v>4393</v>
      </c>
      <c r="H13" s="56"/>
      <c r="I13" s="71"/>
      <c r="J13" s="67"/>
      <c r="K13" s="67"/>
      <c r="L13" s="53">
        <v>7.2008</v>
      </c>
      <c r="M13" s="85">
        <v>45765</v>
      </c>
      <c r="N13" s="84">
        <v>45774</v>
      </c>
      <c r="O13" s="85">
        <v>45792</v>
      </c>
      <c r="P13" s="90"/>
      <c r="Q13" s="98"/>
      <c r="R13" s="41"/>
      <c r="S13" s="99"/>
      <c r="T13" s="100"/>
    </row>
    <row r="14" customFormat="1" ht="18" customHeight="1" spans="1:20">
      <c r="A14" s="36"/>
      <c r="B14" s="33" t="s">
        <v>1824</v>
      </c>
      <c r="C14" s="34"/>
      <c r="D14" s="41"/>
      <c r="E14" s="57"/>
      <c r="F14" s="54" t="s">
        <v>4095</v>
      </c>
      <c r="G14" s="53" t="s">
        <v>4440</v>
      </c>
      <c r="H14" s="56"/>
      <c r="I14" s="71"/>
      <c r="J14" s="67"/>
      <c r="K14" s="72"/>
      <c r="L14" s="53">
        <v>7.2008</v>
      </c>
      <c r="M14" s="85" t="s">
        <v>1218</v>
      </c>
      <c r="N14" s="84">
        <v>45774</v>
      </c>
      <c r="O14" s="85">
        <v>45780</v>
      </c>
      <c r="P14" s="90"/>
      <c r="Q14" s="101"/>
      <c r="R14" s="41"/>
      <c r="S14" s="102"/>
      <c r="T14" s="100"/>
    </row>
    <row r="15" customFormat="1" ht="18" customHeight="1" spans="1:20">
      <c r="A15" s="36"/>
      <c r="B15" s="33" t="s">
        <v>1824</v>
      </c>
      <c r="C15" s="34"/>
      <c r="D15" s="41"/>
      <c r="E15" s="53"/>
      <c r="F15" s="54" t="s">
        <v>4122</v>
      </c>
      <c r="G15" s="53" t="s">
        <v>4229</v>
      </c>
      <c r="H15" s="56"/>
      <c r="I15" s="71"/>
      <c r="J15" s="67"/>
      <c r="K15" s="72"/>
      <c r="L15" s="53">
        <v>7.2008</v>
      </c>
      <c r="M15" s="85">
        <v>45776</v>
      </c>
      <c r="N15" s="84">
        <v>45776</v>
      </c>
      <c r="O15" s="85">
        <v>45780</v>
      </c>
      <c r="P15" s="82"/>
      <c r="Q15" s="98"/>
      <c r="R15" s="41"/>
      <c r="S15" s="99"/>
      <c r="T15" s="100"/>
    </row>
    <row r="16" ht="16.5" spans="1:16">
      <c r="A16" s="36"/>
      <c r="B16" s="33" t="s">
        <v>1824</v>
      </c>
      <c r="C16" s="34" t="s">
        <v>4441</v>
      </c>
      <c r="D16" s="41"/>
      <c r="E16" s="57"/>
      <c r="F16" s="54" t="s">
        <v>4122</v>
      </c>
      <c r="G16" s="53" t="s">
        <v>4320</v>
      </c>
      <c r="H16" s="56"/>
      <c r="I16" s="71"/>
      <c r="J16" s="73"/>
      <c r="K16" s="72"/>
      <c r="L16" s="53">
        <v>7.2008</v>
      </c>
      <c r="M16" s="85">
        <v>45802</v>
      </c>
      <c r="N16" s="81"/>
      <c r="O16" s="87"/>
      <c r="P16" s="82"/>
    </row>
    <row r="17" ht="16.5" spans="1:16">
      <c r="A17" s="36"/>
      <c r="B17" s="33" t="s">
        <v>1824</v>
      </c>
      <c r="C17" s="42" t="s">
        <v>2361</v>
      </c>
      <c r="D17" s="43">
        <v>225</v>
      </c>
      <c r="E17" s="53"/>
      <c r="F17" s="53" t="s">
        <v>4095</v>
      </c>
      <c r="G17" s="53" t="s">
        <v>520</v>
      </c>
      <c r="H17" s="56"/>
      <c r="I17" s="71"/>
      <c r="J17" s="73"/>
      <c r="K17" s="72"/>
      <c r="L17" s="53">
        <v>7.2008</v>
      </c>
      <c r="M17" s="85">
        <v>45803</v>
      </c>
      <c r="N17" s="84"/>
      <c r="O17" s="85">
        <v>45810</v>
      </c>
      <c r="P17" s="82"/>
    </row>
    <row r="18" ht="16.5" spans="1:16">
      <c r="A18" s="36"/>
      <c r="B18" s="33" t="s">
        <v>1824</v>
      </c>
      <c r="C18" s="42"/>
      <c r="D18" s="38"/>
      <c r="E18" s="53"/>
      <c r="F18" s="54" t="s">
        <v>4139</v>
      </c>
      <c r="G18" s="53" t="s">
        <v>4328</v>
      </c>
      <c r="H18" s="56"/>
      <c r="I18" s="71"/>
      <c r="J18" s="74"/>
      <c r="K18" s="72"/>
      <c r="L18" s="53">
        <v>7.2008</v>
      </c>
      <c r="M18" s="85">
        <v>45792</v>
      </c>
      <c r="N18" s="84"/>
      <c r="O18" s="85">
        <v>45796</v>
      </c>
      <c r="P18" s="82"/>
    </row>
    <row r="19" ht="16.5" spans="1:16">
      <c r="A19" s="36"/>
      <c r="B19" s="33" t="s">
        <v>1824</v>
      </c>
      <c r="C19" s="42"/>
      <c r="D19" s="38"/>
      <c r="E19" s="53"/>
      <c r="F19" s="54" t="s">
        <v>4122</v>
      </c>
      <c r="G19" s="53" t="s">
        <v>4442</v>
      </c>
      <c r="H19" s="56"/>
      <c r="I19" s="71"/>
      <c r="J19" s="75"/>
      <c r="K19" s="75"/>
      <c r="L19" s="53">
        <v>7.2008</v>
      </c>
      <c r="M19" s="81"/>
      <c r="N19" s="91"/>
      <c r="O19" s="85"/>
      <c r="P19" s="82"/>
    </row>
    <row r="20" ht="16.5" spans="1:16">
      <c r="A20" s="36"/>
      <c r="B20" s="33" t="s">
        <v>1824</v>
      </c>
      <c r="C20" s="42"/>
      <c r="D20" s="38"/>
      <c r="E20" s="53"/>
      <c r="F20" s="54" t="s">
        <v>4122</v>
      </c>
      <c r="G20" s="53" t="s">
        <v>4398</v>
      </c>
      <c r="H20" s="56"/>
      <c r="I20" s="71"/>
      <c r="J20" s="75"/>
      <c r="K20" s="75"/>
      <c r="L20" s="53">
        <v>7.2008</v>
      </c>
      <c r="M20" s="81"/>
      <c r="N20" s="91"/>
      <c r="O20" s="85">
        <v>45805</v>
      </c>
      <c r="P20" s="82"/>
    </row>
    <row r="21" ht="16.5" spans="1:16">
      <c r="A21" s="36"/>
      <c r="B21" s="33" t="s">
        <v>1824</v>
      </c>
      <c r="C21" s="42"/>
      <c r="D21" s="38"/>
      <c r="E21" s="53"/>
      <c r="F21" s="53" t="s">
        <v>4081</v>
      </c>
      <c r="G21" s="59" t="s">
        <v>4397</v>
      </c>
      <c r="H21" s="60"/>
      <c r="I21" s="76"/>
      <c r="J21" s="75"/>
      <c r="K21" s="75"/>
      <c r="L21" s="53"/>
      <c r="M21" s="81"/>
      <c r="N21" s="92"/>
      <c r="O21" s="92"/>
      <c r="P21" s="90"/>
    </row>
    <row r="22" ht="16.5" spans="1:16">
      <c r="A22" s="36"/>
      <c r="B22" s="33" t="s">
        <v>1824</v>
      </c>
      <c r="C22" s="42"/>
      <c r="D22" s="38"/>
      <c r="E22" s="53"/>
      <c r="F22" s="53" t="s">
        <v>4095</v>
      </c>
      <c r="G22" s="59" t="s">
        <v>4231</v>
      </c>
      <c r="H22" s="60"/>
      <c r="I22" s="76"/>
      <c r="J22" s="75"/>
      <c r="K22" s="71"/>
      <c r="L22" s="53">
        <v>7.1775</v>
      </c>
      <c r="M22" s="81"/>
      <c r="N22" s="92"/>
      <c r="O22" s="85">
        <v>45791</v>
      </c>
      <c r="P22" s="90"/>
    </row>
    <row r="23" ht="16.5" spans="1:16">
      <c r="A23" s="36"/>
      <c r="B23" s="33" t="s">
        <v>1824</v>
      </c>
      <c r="C23" s="42"/>
      <c r="D23" s="38"/>
      <c r="E23" s="53"/>
      <c r="F23" s="53" t="s">
        <v>4095</v>
      </c>
      <c r="G23" s="59" t="s">
        <v>4443</v>
      </c>
      <c r="H23" s="60"/>
      <c r="I23" s="76"/>
      <c r="J23" s="75"/>
      <c r="K23" s="71"/>
      <c r="L23" s="53">
        <v>7.1775</v>
      </c>
      <c r="M23" s="81"/>
      <c r="N23" s="92"/>
      <c r="O23" s="85">
        <v>45787</v>
      </c>
      <c r="P23" s="90"/>
    </row>
    <row r="24" ht="16.5" spans="1:16">
      <c r="A24" s="36"/>
      <c r="B24" s="33" t="s">
        <v>1824</v>
      </c>
      <c r="C24" s="44"/>
      <c r="D24" s="39"/>
      <c r="E24" s="53"/>
      <c r="F24" s="53" t="s">
        <v>4113</v>
      </c>
      <c r="G24" s="59" t="s">
        <v>4114</v>
      </c>
      <c r="H24" s="60"/>
      <c r="I24" s="76"/>
      <c r="J24" s="75"/>
      <c r="K24" s="71"/>
      <c r="L24" s="53">
        <v>7.1775</v>
      </c>
      <c r="M24" s="81"/>
      <c r="N24" s="92"/>
      <c r="O24" s="85">
        <v>45785</v>
      </c>
      <c r="P24" s="90"/>
    </row>
    <row r="25" ht="16.5" spans="1:16">
      <c r="A25" s="36"/>
      <c r="B25" s="33" t="s">
        <v>1824</v>
      </c>
      <c r="C25" s="40" t="s">
        <v>2361</v>
      </c>
      <c r="D25" s="35">
        <v>30</v>
      </c>
      <c r="E25" s="53"/>
      <c r="F25" s="53"/>
      <c r="G25" s="59"/>
      <c r="H25" s="60"/>
      <c r="I25" s="76"/>
      <c r="J25" s="75"/>
      <c r="K25" s="75"/>
      <c r="L25" s="53"/>
      <c r="M25" s="81"/>
      <c r="N25" s="92"/>
      <c r="O25" s="92"/>
      <c r="P25" s="90"/>
    </row>
    <row r="26" ht="28.5" spans="1:16">
      <c r="A26" s="36"/>
      <c r="B26" s="45" t="s">
        <v>3248</v>
      </c>
      <c r="C26" s="40" t="s">
        <v>3748</v>
      </c>
      <c r="D26" s="46"/>
      <c r="E26" s="53"/>
      <c r="F26" s="54" t="s">
        <v>4081</v>
      </c>
      <c r="G26" s="57" t="s">
        <v>4444</v>
      </c>
      <c r="H26" s="56"/>
      <c r="I26" s="71"/>
      <c r="J26" s="69"/>
      <c r="K26" s="69"/>
      <c r="L26" s="53">
        <v>7.2008</v>
      </c>
      <c r="M26" s="93"/>
      <c r="N26" s="94"/>
      <c r="O26" s="93"/>
      <c r="P26" s="82"/>
    </row>
    <row r="27" ht="28.5" spans="1:16">
      <c r="A27" s="36"/>
      <c r="B27" s="45" t="s">
        <v>3248</v>
      </c>
      <c r="C27" s="40"/>
      <c r="D27" s="46"/>
      <c r="E27" s="53"/>
      <c r="F27" s="58"/>
      <c r="G27" s="53"/>
      <c r="H27" s="55"/>
      <c r="I27" s="71"/>
      <c r="J27" s="70"/>
      <c r="K27" s="70"/>
      <c r="L27" s="53">
        <v>7.2008</v>
      </c>
      <c r="M27" s="81">
        <v>45792</v>
      </c>
      <c r="N27" s="88"/>
      <c r="O27" s="88"/>
      <c r="P27" s="89"/>
    </row>
    <row r="28" ht="28.5" spans="1:16">
      <c r="A28" s="36"/>
      <c r="B28" s="45" t="s">
        <v>3248</v>
      </c>
      <c r="C28" s="40" t="s">
        <v>4445</v>
      </c>
      <c r="D28" s="46">
        <v>40</v>
      </c>
      <c r="E28" s="48"/>
      <c r="F28" s="54"/>
      <c r="G28" s="57"/>
      <c r="H28" s="56"/>
      <c r="I28" s="71"/>
      <c r="J28" s="71"/>
      <c r="K28" s="77"/>
      <c r="L28" s="53">
        <v>7.2008</v>
      </c>
      <c r="M28" s="95">
        <v>45778</v>
      </c>
      <c r="N28" s="94"/>
      <c r="O28" s="83"/>
      <c r="P28" s="86"/>
    </row>
    <row r="29" ht="28.5" spans="1:16">
      <c r="A29" s="36"/>
      <c r="B29" s="45" t="s">
        <v>3248</v>
      </c>
      <c r="C29" s="40"/>
      <c r="D29" s="46"/>
      <c r="E29" s="53"/>
      <c r="F29" s="54"/>
      <c r="G29" s="57"/>
      <c r="H29" s="56"/>
      <c r="I29" s="71"/>
      <c r="J29" s="69"/>
      <c r="K29" s="69"/>
      <c r="L29" s="53">
        <v>7.2008</v>
      </c>
      <c r="M29" s="81"/>
      <c r="N29" s="96"/>
      <c r="O29" s="97"/>
      <c r="P29" s="86"/>
    </row>
    <row r="30" ht="28.5" spans="1:16">
      <c r="A30" s="36"/>
      <c r="B30" s="45" t="s">
        <v>3248</v>
      </c>
      <c r="C30" s="34" t="s">
        <v>4092</v>
      </c>
      <c r="D30" s="47"/>
      <c r="E30" s="57"/>
      <c r="F30" s="54" t="s">
        <v>4122</v>
      </c>
      <c r="G30" s="53" t="s">
        <v>4446</v>
      </c>
      <c r="H30" s="56"/>
      <c r="I30" s="71"/>
      <c r="J30" s="73"/>
      <c r="K30" s="72"/>
      <c r="L30" s="53">
        <v>7.2008</v>
      </c>
      <c r="M30" s="85">
        <v>45846</v>
      </c>
      <c r="N30" s="84"/>
      <c r="O30" s="85"/>
      <c r="P30" s="82"/>
    </row>
    <row r="31" ht="28.5" spans="1:16">
      <c r="A31" s="36"/>
      <c r="B31" s="45" t="s">
        <v>3248</v>
      </c>
      <c r="C31" s="40" t="s">
        <v>2361</v>
      </c>
      <c r="D31" s="47"/>
      <c r="E31" s="53"/>
      <c r="F31" s="54" t="s">
        <v>4122</v>
      </c>
      <c r="G31" s="53" t="s">
        <v>4399</v>
      </c>
      <c r="H31" s="56"/>
      <c r="I31" s="71"/>
      <c r="J31" s="73"/>
      <c r="K31" s="72"/>
      <c r="L31" s="53">
        <v>7.2008</v>
      </c>
      <c r="M31" s="81">
        <v>45796</v>
      </c>
      <c r="N31" s="84"/>
      <c r="O31" s="85"/>
      <c r="P31" s="86"/>
    </row>
    <row r="32" ht="28.5" spans="1:16">
      <c r="A32" s="36"/>
      <c r="B32" s="45" t="s">
        <v>3248</v>
      </c>
      <c r="C32" s="48"/>
      <c r="D32" s="49"/>
      <c r="E32" s="48"/>
      <c r="F32" s="53" t="s">
        <v>4095</v>
      </c>
      <c r="G32" s="48" t="s">
        <v>4447</v>
      </c>
      <c r="H32" s="61"/>
      <c r="I32" s="71"/>
      <c r="J32" s="68"/>
      <c r="K32" s="68"/>
      <c r="L32" s="53">
        <v>7.2008</v>
      </c>
      <c r="M32" s="83"/>
      <c r="N32" s="84"/>
      <c r="O32" s="85"/>
      <c r="P32" s="90"/>
    </row>
    <row r="33" ht="28.5" spans="1:16">
      <c r="A33" s="36"/>
      <c r="B33" s="45" t="s">
        <v>3248</v>
      </c>
      <c r="C33" s="48" t="s">
        <v>4085</v>
      </c>
      <c r="D33" s="103"/>
      <c r="E33" s="48"/>
      <c r="F33" s="58" t="s">
        <v>4081</v>
      </c>
      <c r="G33" s="48" t="s">
        <v>4434</v>
      </c>
      <c r="H33" s="61"/>
      <c r="I33" s="71"/>
      <c r="J33" s="68"/>
      <c r="K33" s="68"/>
      <c r="L33" s="53">
        <v>7.2008</v>
      </c>
      <c r="M33" s="83">
        <v>45797</v>
      </c>
      <c r="N33" s="84"/>
      <c r="O33" s="85"/>
      <c r="P33" s="90"/>
    </row>
    <row r="34" ht="28.5" spans="1:16">
      <c r="A34" s="36"/>
      <c r="B34" s="45" t="s">
        <v>3248</v>
      </c>
      <c r="C34" s="48"/>
      <c r="D34" s="104"/>
      <c r="E34" s="53"/>
      <c r="F34" s="53" t="s">
        <v>4139</v>
      </c>
      <c r="G34" s="53" t="s">
        <v>4390</v>
      </c>
      <c r="H34" s="56"/>
      <c r="I34" s="71"/>
      <c r="J34" s="68"/>
      <c r="K34" s="68"/>
      <c r="L34" s="53">
        <v>7.2008</v>
      </c>
      <c r="M34" s="83" t="s">
        <v>4115</v>
      </c>
      <c r="N34" s="84">
        <v>45774</v>
      </c>
      <c r="O34" s="85">
        <v>45784</v>
      </c>
      <c r="P34" s="90"/>
    </row>
    <row r="35" ht="28.5" spans="1:16">
      <c r="A35" s="36"/>
      <c r="B35" s="45" t="s">
        <v>3248</v>
      </c>
      <c r="C35" s="105"/>
      <c r="D35" s="104"/>
      <c r="E35" s="105"/>
      <c r="F35" s="108"/>
      <c r="G35" s="105"/>
      <c r="H35" s="105"/>
      <c r="I35" s="110"/>
      <c r="J35" s="68"/>
      <c r="K35" s="68"/>
      <c r="L35" s="53"/>
      <c r="M35" s="111"/>
      <c r="N35" s="84"/>
      <c r="O35" s="85"/>
      <c r="P35" s="90"/>
    </row>
    <row r="36" ht="16.5" spans="1:16">
      <c r="A36" s="36"/>
      <c r="B36" s="106" t="s">
        <v>1875</v>
      </c>
      <c r="C36" s="40" t="s">
        <v>2382</v>
      </c>
      <c r="D36" s="107" t="s">
        <v>1125</v>
      </c>
      <c r="E36" s="53"/>
      <c r="F36" s="54"/>
      <c r="G36" s="53"/>
      <c r="H36" s="56"/>
      <c r="I36" s="71"/>
      <c r="J36" s="68"/>
      <c r="K36" s="68"/>
      <c r="L36" s="53"/>
      <c r="M36" s="111"/>
      <c r="N36" s="84"/>
      <c r="O36" s="85"/>
      <c r="P36" s="90"/>
    </row>
    <row r="37" ht="16.5" spans="1:16">
      <c r="A37" s="36"/>
      <c r="B37" s="106" t="s">
        <v>1875</v>
      </c>
      <c r="C37" s="40"/>
      <c r="D37" s="46"/>
      <c r="E37" s="53"/>
      <c r="F37" s="54"/>
      <c r="G37" s="53"/>
      <c r="H37" s="56"/>
      <c r="I37" s="71"/>
      <c r="J37" s="68"/>
      <c r="K37" s="68"/>
      <c r="L37" s="53"/>
      <c r="M37" s="111"/>
      <c r="N37" s="84"/>
      <c r="O37" s="85"/>
      <c r="P37" s="90"/>
    </row>
    <row r="38" ht="16.5" spans="1:16">
      <c r="A38" s="36"/>
      <c r="B38" s="106" t="s">
        <v>1875</v>
      </c>
      <c r="C38" s="48" t="s">
        <v>4085</v>
      </c>
      <c r="D38" s="46"/>
      <c r="E38"/>
      <c r="F38"/>
      <c r="G38"/>
      <c r="H38"/>
      <c r="I38"/>
      <c r="J38"/>
      <c r="K38"/>
      <c r="L38"/>
      <c r="M38"/>
      <c r="N38"/>
      <c r="O38"/>
      <c r="P38"/>
    </row>
    <row r="39" ht="16.5" spans="1:16">
      <c r="A39" s="36"/>
      <c r="B39" s="106" t="s">
        <v>1875</v>
      </c>
      <c r="C39" s="48"/>
      <c r="D39" s="46"/>
      <c r="E39"/>
      <c r="F39"/>
      <c r="G39"/>
      <c r="H39"/>
      <c r="I39"/>
      <c r="J39"/>
      <c r="K39"/>
      <c r="L39"/>
      <c r="M39"/>
      <c r="N39"/>
      <c r="O39"/>
      <c r="P39"/>
    </row>
    <row r="40" ht="16.5" spans="1:16">
      <c r="A40" s="36"/>
      <c r="B40" s="106" t="s">
        <v>1875</v>
      </c>
      <c r="C40" s="48"/>
      <c r="D40" s="46"/>
      <c r="E40" s="53"/>
      <c r="F40" s="58" t="s">
        <v>4207</v>
      </c>
      <c r="G40" s="48" t="s">
        <v>4324</v>
      </c>
      <c r="H40" s="56"/>
      <c r="I40" s="66"/>
      <c r="J40" s="69"/>
      <c r="K40" s="69"/>
      <c r="L40" s="53">
        <f>L5</f>
        <v>7.2008</v>
      </c>
      <c r="M40" s="81"/>
      <c r="N40" s="94"/>
      <c r="O40" s="93"/>
      <c r="P40" s="82"/>
    </row>
    <row r="41" ht="16.5" spans="1:16">
      <c r="A41" s="36"/>
      <c r="B41" s="106" t="s">
        <v>1875</v>
      </c>
      <c r="C41" s="48"/>
      <c r="D41" s="46"/>
      <c r="E41" s="53"/>
      <c r="F41" s="54"/>
      <c r="G41" s="57"/>
      <c r="H41" s="56"/>
      <c r="I41" s="71"/>
      <c r="J41" s="69"/>
      <c r="K41" s="69"/>
      <c r="L41" s="53"/>
      <c r="M41" s="81"/>
      <c r="N41" s="94"/>
      <c r="O41" s="93"/>
      <c r="P41" s="82"/>
    </row>
    <row r="42" ht="16.5" spans="1:16">
      <c r="A42" s="36"/>
      <c r="B42" s="106" t="s">
        <v>1875</v>
      </c>
      <c r="C42" s="48"/>
      <c r="D42" s="46"/>
      <c r="E42" s="53"/>
      <c r="F42" s="54"/>
      <c r="G42" s="57"/>
      <c r="H42" s="56"/>
      <c r="I42" s="71"/>
      <c r="J42" s="69"/>
      <c r="K42" s="69"/>
      <c r="L42" s="53"/>
      <c r="M42" s="93"/>
      <c r="N42" s="94"/>
      <c r="O42" s="93"/>
      <c r="P42" s="82"/>
    </row>
    <row r="43" ht="14.25" customHeight="1" spans="1:16">
      <c r="A43" s="36"/>
      <c r="B43" s="106" t="s">
        <v>1875</v>
      </c>
      <c r="C43" s="40" t="s">
        <v>3748</v>
      </c>
      <c r="D43" s="46"/>
      <c r="E43" s="109"/>
      <c r="F43" s="54" t="s">
        <v>4113</v>
      </c>
      <c r="G43" s="57" t="s">
        <v>2268</v>
      </c>
      <c r="H43" s="56"/>
      <c r="I43" s="71"/>
      <c r="J43" s="69"/>
      <c r="K43" s="69"/>
      <c r="L43" s="53">
        <v>7.2008</v>
      </c>
      <c r="M43" s="93"/>
      <c r="N43" s="94"/>
      <c r="O43" s="93"/>
      <c r="P43" s="82"/>
    </row>
    <row r="44" ht="14.25" customHeight="1" spans="1:16">
      <c r="A44" s="36"/>
      <c r="B44" s="106" t="s">
        <v>1875</v>
      </c>
      <c r="C44" s="40"/>
      <c r="D44" s="46"/>
      <c r="E44" s="109"/>
      <c r="F44" s="54" t="s">
        <v>4093</v>
      </c>
      <c r="G44" s="57" t="s">
        <v>4401</v>
      </c>
      <c r="H44" s="56"/>
      <c r="I44" s="71"/>
      <c r="J44" s="69"/>
      <c r="K44" s="69"/>
      <c r="L44" s="53">
        <v>7.2008</v>
      </c>
      <c r="M44" s="93"/>
      <c r="N44" s="94"/>
      <c r="O44" s="93"/>
      <c r="P44" s="82"/>
    </row>
    <row r="45" ht="14.25" customHeight="1" spans="1:16">
      <c r="A45" s="36"/>
      <c r="B45" s="106" t="s">
        <v>1875</v>
      </c>
      <c r="C45" s="40"/>
      <c r="D45" s="46"/>
      <c r="E45" s="109"/>
      <c r="F45" s="54" t="s">
        <v>4139</v>
      </c>
      <c r="G45" s="57" t="s">
        <v>4448</v>
      </c>
      <c r="H45" s="56"/>
      <c r="I45" s="71"/>
      <c r="J45" s="69"/>
      <c r="K45" s="69"/>
      <c r="L45" s="53">
        <v>7.2008</v>
      </c>
      <c r="M45" s="93"/>
      <c r="N45" s="94"/>
      <c r="O45" s="93"/>
      <c r="P45" s="82"/>
    </row>
    <row r="46" ht="14.25" customHeight="1" spans="1:16">
      <c r="A46" s="36"/>
      <c r="B46" s="106" t="s">
        <v>1875</v>
      </c>
      <c r="C46" s="40"/>
      <c r="D46" s="46"/>
      <c r="E46" s="53"/>
      <c r="F46" s="54" t="s">
        <v>4081</v>
      </c>
      <c r="G46" s="57" t="s">
        <v>4118</v>
      </c>
      <c r="H46" s="56"/>
      <c r="I46" s="71"/>
      <c r="J46" s="69"/>
      <c r="K46" s="69"/>
      <c r="L46" s="53">
        <v>7.2008</v>
      </c>
      <c r="M46" s="93"/>
      <c r="N46" s="94"/>
      <c r="O46" s="93"/>
      <c r="P46" s="82"/>
    </row>
    <row r="47" ht="14.25" customHeight="1" spans="1:16">
      <c r="A47" s="36"/>
      <c r="B47" s="106" t="s">
        <v>1875</v>
      </c>
      <c r="C47" s="40"/>
      <c r="D47" s="46"/>
      <c r="E47" s="53"/>
      <c r="F47" s="54" t="s">
        <v>4081</v>
      </c>
      <c r="G47" s="57" t="s">
        <v>4449</v>
      </c>
      <c r="H47" s="56"/>
      <c r="I47" s="71"/>
      <c r="J47" s="69"/>
      <c r="K47" s="69"/>
      <c r="L47" s="53">
        <v>7.2008</v>
      </c>
      <c r="M47" s="93"/>
      <c r="N47" s="94"/>
      <c r="O47" s="93"/>
      <c r="P47" s="82"/>
    </row>
    <row r="48" ht="14.25" customHeight="1" spans="1:16">
      <c r="A48" s="36"/>
      <c r="B48" s="106" t="s">
        <v>1875</v>
      </c>
      <c r="C48" s="40"/>
      <c r="D48" s="46"/>
      <c r="E48" s="53"/>
      <c r="F48" s="54" t="s">
        <v>4081</v>
      </c>
      <c r="G48" s="57"/>
      <c r="H48" s="56"/>
      <c r="I48" s="71"/>
      <c r="J48" s="69"/>
      <c r="K48" s="69"/>
      <c r="L48" s="53">
        <v>7.2008</v>
      </c>
      <c r="M48" s="93"/>
      <c r="N48" s="94"/>
      <c r="O48" s="93"/>
      <c r="P48" s="82"/>
    </row>
    <row r="49" ht="14.25" customHeight="1" spans="1:16">
      <c r="A49" s="36"/>
      <c r="B49" s="106" t="s">
        <v>1875</v>
      </c>
      <c r="C49" s="40"/>
      <c r="D49" s="46"/>
      <c r="E49" s="53"/>
      <c r="F49" s="54" t="s">
        <v>4081</v>
      </c>
      <c r="G49" s="57"/>
      <c r="H49" s="56"/>
      <c r="I49" s="71"/>
      <c r="J49" s="69"/>
      <c r="K49" s="69"/>
      <c r="L49" s="53">
        <v>7.2008</v>
      </c>
      <c r="M49" s="93"/>
      <c r="N49" s="94"/>
      <c r="O49" s="93"/>
      <c r="P49" s="82"/>
    </row>
    <row r="50" ht="14.25" customHeight="1" spans="1:16">
      <c r="A50" s="36"/>
      <c r="B50" s="106" t="s">
        <v>1875</v>
      </c>
      <c r="C50" s="40"/>
      <c r="D50" s="46"/>
      <c r="E50" s="109"/>
      <c r="F50" s="54" t="s">
        <v>4087</v>
      </c>
      <c r="G50" s="57" t="s">
        <v>4450</v>
      </c>
      <c r="H50" s="56"/>
      <c r="I50" s="71"/>
      <c r="J50" s="69"/>
      <c r="K50" s="69"/>
      <c r="L50" s="53">
        <v>7.2008</v>
      </c>
      <c r="M50" s="93"/>
      <c r="N50" s="94"/>
      <c r="O50" s="93"/>
      <c r="P50" s="82"/>
    </row>
    <row r="51" ht="14.25" customHeight="1" spans="1:16">
      <c r="A51" s="36"/>
      <c r="B51" s="106" t="s">
        <v>1875</v>
      </c>
      <c r="C51" s="40"/>
      <c r="D51" s="46"/>
      <c r="E51" s="109"/>
      <c r="F51" s="54" t="s">
        <v>4081</v>
      </c>
      <c r="G51" s="57" t="s">
        <v>4451</v>
      </c>
      <c r="H51" s="56"/>
      <c r="I51" s="71"/>
      <c r="J51" s="69"/>
      <c r="K51" s="69"/>
      <c r="L51" s="53">
        <v>7.2008</v>
      </c>
      <c r="M51" s="93"/>
      <c r="N51" s="94"/>
      <c r="O51" s="93"/>
      <c r="P51"/>
    </row>
    <row r="52" ht="14.25" customHeight="1" spans="1:16">
      <c r="A52" s="36"/>
      <c r="B52" s="106" t="s">
        <v>1875</v>
      </c>
      <c r="C52" s="40"/>
      <c r="D52" s="46"/>
      <c r="E52" s="53"/>
      <c r="F52" s="54"/>
      <c r="G52" s="57"/>
      <c r="H52" s="56"/>
      <c r="I52" s="71"/>
      <c r="J52" s="69"/>
      <c r="K52" s="69"/>
      <c r="L52" s="53">
        <v>7.2008</v>
      </c>
      <c r="M52" s="93"/>
      <c r="N52" s="94"/>
      <c r="O52" s="93"/>
      <c r="P52"/>
    </row>
    <row r="53" ht="14.25" customHeight="1" spans="1:16">
      <c r="A53" s="36"/>
      <c r="B53" s="106" t="s">
        <v>1875</v>
      </c>
      <c r="C53" s="40"/>
      <c r="D53" s="46"/>
      <c r="E53" s="109"/>
      <c r="F53" s="54" t="s">
        <v>4081</v>
      </c>
      <c r="G53" s="57" t="s">
        <v>364</v>
      </c>
      <c r="H53" s="56"/>
      <c r="I53" s="71"/>
      <c r="J53" s="69"/>
      <c r="K53" s="69"/>
      <c r="L53" s="53">
        <v>7.2008</v>
      </c>
      <c r="M53" s="93"/>
      <c r="N53" s="94"/>
      <c r="O53" s="93"/>
      <c r="P53" s="82"/>
    </row>
    <row r="54" ht="14.25" customHeight="1" spans="1:16">
      <c r="A54" s="36"/>
      <c r="B54" s="106" t="s">
        <v>1875</v>
      </c>
      <c r="C54" s="40"/>
      <c r="D54" s="46"/>
      <c r="E54" s="53"/>
      <c r="F54" s="54" t="s">
        <v>4093</v>
      </c>
      <c r="G54" s="57"/>
      <c r="H54" s="56"/>
      <c r="I54" s="71"/>
      <c r="J54" s="69"/>
      <c r="K54" s="69"/>
      <c r="L54" s="53">
        <v>7.2008</v>
      </c>
      <c r="M54" s="93"/>
      <c r="N54" s="94"/>
      <c r="O54" s="93"/>
      <c r="P54" s="82"/>
    </row>
    <row r="55" ht="14.25" customHeight="1" spans="1:16">
      <c r="A55" s="36"/>
      <c r="B55" s="106" t="s">
        <v>1875</v>
      </c>
      <c r="C55" s="40"/>
      <c r="D55" s="46"/>
      <c r="E55" s="53"/>
      <c r="F55" s="54" t="s">
        <v>4093</v>
      </c>
      <c r="G55" s="57"/>
      <c r="H55" s="56"/>
      <c r="I55" s="71"/>
      <c r="J55" s="69"/>
      <c r="K55" s="69"/>
      <c r="L55" s="53">
        <v>7.2008</v>
      </c>
      <c r="M55" s="93"/>
      <c r="N55" s="94"/>
      <c r="O55" s="93"/>
      <c r="P55" s="82"/>
    </row>
    <row r="56" ht="14.25" customHeight="1" spans="1:16">
      <c r="A56" s="36"/>
      <c r="B56" s="106" t="s">
        <v>1875</v>
      </c>
      <c r="C56" s="40"/>
      <c r="D56" s="46"/>
      <c r="E56" s="53"/>
      <c r="F56" s="54" t="s">
        <v>4113</v>
      </c>
      <c r="G56" s="57"/>
      <c r="H56" s="56"/>
      <c r="I56" s="71"/>
      <c r="J56" s="69"/>
      <c r="K56" s="69"/>
      <c r="L56" s="53">
        <v>7.2008</v>
      </c>
      <c r="M56" s="93"/>
      <c r="N56" s="94"/>
      <c r="O56" s="93"/>
      <c r="P56" s="82"/>
    </row>
    <row r="57" ht="14.25" customHeight="1" spans="1:16">
      <c r="A57" s="36"/>
      <c r="B57" s="106" t="s">
        <v>1875</v>
      </c>
      <c r="C57" s="40"/>
      <c r="D57" s="46"/>
      <c r="E57" s="53"/>
      <c r="F57" s="54" t="s">
        <v>4095</v>
      </c>
      <c r="G57" s="57" t="s">
        <v>4452</v>
      </c>
      <c r="H57" s="56"/>
      <c r="I57" s="71"/>
      <c r="J57" s="69"/>
      <c r="K57" s="69"/>
      <c r="L57" s="53">
        <v>7.2008</v>
      </c>
      <c r="M57" s="93"/>
      <c r="N57" s="94"/>
      <c r="O57" s="93"/>
      <c r="P57" s="82"/>
    </row>
    <row r="58" ht="14.25" customHeight="1" spans="1:16">
      <c r="A58" s="36"/>
      <c r="B58" s="106" t="s">
        <v>1875</v>
      </c>
      <c r="C58" s="40"/>
      <c r="D58" s="46"/>
      <c r="E58" s="71"/>
      <c r="F58" s="69"/>
      <c r="G58" s="69"/>
      <c r="H58" s="53"/>
      <c r="I58" s="93"/>
      <c r="J58" s="94"/>
      <c r="K58" s="93"/>
      <c r="L58" s="82">
        <v>7.2008</v>
      </c>
      <c r="M58"/>
      <c r="N58"/>
      <c r="O58"/>
      <c r="P58"/>
    </row>
    <row r="59" ht="14.25" customHeight="1" spans="1:16">
      <c r="A59" s="36"/>
      <c r="B59" s="106" t="s">
        <v>1875</v>
      </c>
      <c r="C59" s="40"/>
      <c r="D59" s="46"/>
      <c r="E59" s="53"/>
      <c r="F59" s="54" t="s">
        <v>4081</v>
      </c>
      <c r="G59" s="57" t="s">
        <v>4453</v>
      </c>
      <c r="H59" s="56"/>
      <c r="I59" s="71"/>
      <c r="J59" s="69"/>
      <c r="K59" s="69"/>
      <c r="L59" s="53"/>
      <c r="M59" s="93"/>
      <c r="N59" s="94"/>
      <c r="O59" s="93"/>
      <c r="P59" s="82"/>
    </row>
    <row r="60" ht="14.25" customHeight="1" spans="1:16">
      <c r="A60" s="36"/>
      <c r="B60" s="106" t="s">
        <v>1875</v>
      </c>
      <c r="C60" s="40"/>
      <c r="D60" s="46"/>
      <c r="E60" s="53"/>
      <c r="F60" s="54" t="s">
        <v>4081</v>
      </c>
      <c r="G60" s="57"/>
      <c r="H60" s="56"/>
      <c r="I60" s="71"/>
      <c r="J60" s="69"/>
      <c r="K60" s="69"/>
      <c r="L60" s="53">
        <v>7.2008</v>
      </c>
      <c r="M60" s="93"/>
      <c r="N60" s="94"/>
      <c r="O60" s="93"/>
      <c r="P60" s="82"/>
    </row>
    <row r="61" ht="14.25" customHeight="1" spans="1:16">
      <c r="A61" s="36"/>
      <c r="B61" s="106" t="s">
        <v>1875</v>
      </c>
      <c r="C61" s="40"/>
      <c r="D61" s="46"/>
      <c r="E61" s="109"/>
      <c r="F61" s="54" t="s">
        <v>4093</v>
      </c>
      <c r="G61" s="57"/>
      <c r="H61" s="56"/>
      <c r="I61" s="71"/>
      <c r="J61" s="69"/>
      <c r="K61" s="69"/>
      <c r="L61" s="53">
        <v>7.2008</v>
      </c>
      <c r="M61" s="93"/>
      <c r="N61" s="94"/>
      <c r="O61" s="93"/>
      <c r="P61" s="82"/>
    </row>
    <row r="62" ht="14.25" customHeight="1" spans="1:16">
      <c r="A62" s="36"/>
      <c r="B62" s="106" t="s">
        <v>1875</v>
      </c>
      <c r="C62" s="42"/>
      <c r="D62" s="46"/>
      <c r="E62" s="53"/>
      <c r="F62" s="54" t="s">
        <v>4095</v>
      </c>
      <c r="G62" s="57" t="s">
        <v>4454</v>
      </c>
      <c r="H62" s="56"/>
      <c r="I62" s="71"/>
      <c r="J62" s="69"/>
      <c r="K62" s="69"/>
      <c r="L62" s="53">
        <v>7.2008</v>
      </c>
      <c r="M62" s="93"/>
      <c r="N62" s="94"/>
      <c r="O62" s="93"/>
      <c r="P62" s="82"/>
    </row>
    <row r="63" ht="16.5" spans="1:16">
      <c r="A63" s="36"/>
      <c r="B63" s="106" t="s">
        <v>1875</v>
      </c>
      <c r="C63" s="37" t="s">
        <v>4092</v>
      </c>
      <c r="D63" s="46"/>
      <c r="E63" s="53"/>
      <c r="F63" s="54" t="s">
        <v>4113</v>
      </c>
      <c r="G63" s="57" t="s">
        <v>1416</v>
      </c>
      <c r="H63" s="56"/>
      <c r="I63" s="71"/>
      <c r="J63" s="69"/>
      <c r="K63" s="69"/>
      <c r="L63" s="53">
        <v>7.2008</v>
      </c>
      <c r="M63" s="93"/>
      <c r="N63" s="94"/>
      <c r="O63" s="93"/>
      <c r="P63" s="82"/>
    </row>
    <row r="64" ht="16.5" spans="1:16">
      <c r="A64" s="36"/>
      <c r="B64" s="106" t="s">
        <v>1875</v>
      </c>
      <c r="C64" s="37"/>
      <c r="D64" s="46"/>
      <c r="E64" s="57"/>
      <c r="F64" s="54" t="s">
        <v>4090</v>
      </c>
      <c r="G64" s="53" t="s">
        <v>4455</v>
      </c>
      <c r="H64" s="56"/>
      <c r="I64" s="71"/>
      <c r="J64" s="73"/>
      <c r="K64" s="72"/>
      <c r="L64" s="53">
        <v>7.2008</v>
      </c>
      <c r="M64" s="85"/>
      <c r="N64" s="84"/>
      <c r="O64" s="85"/>
      <c r="P64" s="90"/>
    </row>
    <row r="65" ht="16.5" spans="1:16">
      <c r="A65" s="36"/>
      <c r="B65" s="106" t="s">
        <v>1875</v>
      </c>
      <c r="C65" s="37"/>
      <c r="D65" s="46"/>
      <c r="E65" s="57"/>
      <c r="F65" s="54" t="s">
        <v>4090</v>
      </c>
      <c r="G65" s="53" t="s">
        <v>4456</v>
      </c>
      <c r="H65" s="56"/>
      <c r="I65" s="71"/>
      <c r="J65" s="73"/>
      <c r="K65" s="72"/>
      <c r="L65" s="53">
        <v>7.2008</v>
      </c>
      <c r="M65" s="85"/>
      <c r="N65" s="84"/>
      <c r="O65" s="85"/>
      <c r="P65" s="90"/>
    </row>
    <row r="66" ht="16.5" spans="1:16">
      <c r="A66" s="36"/>
      <c r="B66" s="106" t="s">
        <v>1875</v>
      </c>
      <c r="C66" s="37"/>
      <c r="D66" s="46"/>
      <c r="E66" s="57"/>
      <c r="F66" s="54" t="s">
        <v>4122</v>
      </c>
      <c r="G66" s="53" t="s">
        <v>4457</v>
      </c>
      <c r="H66" s="56"/>
      <c r="I66" s="71"/>
      <c r="J66" s="73"/>
      <c r="K66" s="72"/>
      <c r="L66" s="53">
        <v>7.2008</v>
      </c>
      <c r="M66" s="85"/>
      <c r="N66" s="84"/>
      <c r="O66" s="85"/>
      <c r="P66" s="90"/>
    </row>
    <row r="67" ht="16.5" spans="1:16">
      <c r="A67" s="36"/>
      <c r="B67" s="106" t="s">
        <v>1875</v>
      </c>
      <c r="C67" s="37"/>
      <c r="D67" s="46"/>
      <c r="E67" s="57"/>
      <c r="F67" s="54" t="s">
        <v>4207</v>
      </c>
      <c r="G67" s="53" t="s">
        <v>520</v>
      </c>
      <c r="H67" s="56"/>
      <c r="I67" s="71"/>
      <c r="J67" s="73"/>
      <c r="K67" s="72"/>
      <c r="L67" s="53">
        <v>7.2008</v>
      </c>
      <c r="M67" s="85"/>
      <c r="N67" s="84"/>
      <c r="O67" s="85"/>
      <c r="P67" s="90"/>
    </row>
    <row r="68" ht="16.5" spans="1:16">
      <c r="A68" s="36"/>
      <c r="B68" s="106" t="s">
        <v>1875</v>
      </c>
      <c r="C68" s="37"/>
      <c r="D68" s="46"/>
      <c r="E68" s="57"/>
      <c r="F68" s="54" t="s">
        <v>4207</v>
      </c>
      <c r="G68" s="53" t="s">
        <v>3746</v>
      </c>
      <c r="H68" s="56"/>
      <c r="I68" s="71"/>
      <c r="J68" s="73"/>
      <c r="K68" s="72"/>
      <c r="L68" s="53">
        <v>7.2008</v>
      </c>
      <c r="M68" s="85"/>
      <c r="N68" s="84"/>
      <c r="O68" s="85"/>
      <c r="P68" s="90"/>
    </row>
    <row r="69" ht="16.5" spans="1:16">
      <c r="A69" s="36"/>
      <c r="B69" s="106" t="s">
        <v>1875</v>
      </c>
      <c r="C69" s="37"/>
      <c r="D69" s="46"/>
      <c r="E69" s="57"/>
      <c r="F69" s="54" t="s">
        <v>4122</v>
      </c>
      <c r="G69" s="53" t="s">
        <v>4458</v>
      </c>
      <c r="H69" s="56"/>
      <c r="I69" s="71"/>
      <c r="J69" s="73"/>
      <c r="K69" s="72"/>
      <c r="L69" s="53">
        <v>7.2008</v>
      </c>
      <c r="M69" s="85"/>
      <c r="N69" s="84"/>
      <c r="O69" s="85"/>
      <c r="P69" s="90"/>
    </row>
    <row r="70" ht="16.5" spans="1:16">
      <c r="A70" s="36"/>
      <c r="B70" s="106" t="s">
        <v>1875</v>
      </c>
      <c r="C70" s="112" t="s">
        <v>2361</v>
      </c>
      <c r="D70" s="46"/>
      <c r="E70" s="57"/>
      <c r="F70" s="54"/>
      <c r="G70" s="53"/>
      <c r="H70" s="56"/>
      <c r="I70" s="71"/>
      <c r="J70" s="73"/>
      <c r="K70" s="72"/>
      <c r="L70" s="53"/>
      <c r="M70" s="85"/>
      <c r="N70" s="84"/>
      <c r="O70" s="85"/>
      <c r="P70" s="90"/>
    </row>
    <row r="71" ht="16.5" spans="1:16">
      <c r="A71" s="36"/>
      <c r="B71" s="106" t="s">
        <v>1875</v>
      </c>
      <c r="C71" s="42"/>
      <c r="D71" s="46"/>
      <c r="E71" s="53"/>
      <c r="F71" s="54" t="s">
        <v>4122</v>
      </c>
      <c r="G71" s="53" t="s">
        <v>4125</v>
      </c>
      <c r="H71" s="56"/>
      <c r="I71" s="71"/>
      <c r="J71" s="64"/>
      <c r="K71" s="64"/>
      <c r="L71" s="53">
        <v>7.2008</v>
      </c>
      <c r="M71" s="81"/>
      <c r="N71" s="81"/>
      <c r="O71" s="81"/>
      <c r="P71" s="82"/>
    </row>
    <row r="72" ht="16.5" spans="1:16">
      <c r="A72" s="36"/>
      <c r="B72" s="106" t="s">
        <v>1875</v>
      </c>
      <c r="C72" s="42"/>
      <c r="D72" s="46"/>
      <c r="E72" s="57"/>
      <c r="F72" s="54" t="s">
        <v>4095</v>
      </c>
      <c r="G72" s="53" t="s">
        <v>4233</v>
      </c>
      <c r="H72" s="56"/>
      <c r="I72" s="71"/>
      <c r="J72" s="73"/>
      <c r="K72" s="72"/>
      <c r="L72" s="53">
        <v>7.2008</v>
      </c>
      <c r="M72" s="85" t="s">
        <v>4115</v>
      </c>
      <c r="N72" s="85">
        <v>45736</v>
      </c>
      <c r="O72" s="85">
        <v>45731</v>
      </c>
      <c r="P72" s="90"/>
    </row>
    <row r="73" ht="16.5" spans="1:16">
      <c r="A73" s="36"/>
      <c r="B73" s="106" t="s">
        <v>1875</v>
      </c>
      <c r="C73" s="42"/>
      <c r="D73" s="46"/>
      <c r="E73" s="57"/>
      <c r="F73" s="54" t="s">
        <v>4095</v>
      </c>
      <c r="G73" s="53" t="s">
        <v>4242</v>
      </c>
      <c r="H73" s="56"/>
      <c r="I73" s="71"/>
      <c r="J73" s="73"/>
      <c r="K73" s="72"/>
      <c r="L73" s="53">
        <v>7.2008</v>
      </c>
      <c r="M73" s="85"/>
      <c r="N73" s="84"/>
      <c r="O73" s="85"/>
      <c r="P73" s="90"/>
    </row>
    <row r="74" ht="16.5" spans="1:16">
      <c r="A74" s="36"/>
      <c r="B74" s="106" t="s">
        <v>1875</v>
      </c>
      <c r="C74" s="42"/>
      <c r="D74" s="46"/>
      <c r="E74" s="57"/>
      <c r="F74" s="53" t="s">
        <v>4095</v>
      </c>
      <c r="G74" s="53" t="s">
        <v>4243</v>
      </c>
      <c r="H74" s="56"/>
      <c r="I74" s="71"/>
      <c r="J74" s="73"/>
      <c r="K74" s="72"/>
      <c r="L74" s="53">
        <v>7.2008</v>
      </c>
      <c r="M74" s="85"/>
      <c r="N74" s="84"/>
      <c r="O74" s="85"/>
      <c r="P74" s="90"/>
    </row>
    <row r="75" ht="16.5" spans="1:16">
      <c r="A75" s="36"/>
      <c r="B75" s="106" t="s">
        <v>1875</v>
      </c>
      <c r="C75" s="42"/>
      <c r="D75" s="46"/>
      <c r="E75" s="53"/>
      <c r="F75" s="54" t="s">
        <v>4122</v>
      </c>
      <c r="G75" s="53" t="s">
        <v>4126</v>
      </c>
      <c r="H75" s="56"/>
      <c r="I75" s="71"/>
      <c r="J75" s="64"/>
      <c r="K75" s="64"/>
      <c r="L75" s="53">
        <v>7.2008</v>
      </c>
      <c r="M75" s="81" t="s">
        <v>4115</v>
      </c>
      <c r="N75" s="81"/>
      <c r="O75" s="81"/>
      <c r="P75" s="82"/>
    </row>
    <row r="76" ht="16.5" spans="1:16">
      <c r="A76" s="36"/>
      <c r="B76" s="106" t="s">
        <v>1875</v>
      </c>
      <c r="C76" s="40" t="s">
        <v>2361</v>
      </c>
      <c r="D76" s="113"/>
      <c r="E76" s="53"/>
      <c r="F76" s="54" t="s">
        <v>4090</v>
      </c>
      <c r="G76" s="53" t="s">
        <v>4459</v>
      </c>
      <c r="H76" s="56"/>
      <c r="I76" s="71"/>
      <c r="J76" s="64"/>
      <c r="K76" s="64"/>
      <c r="L76" s="53">
        <v>7.2008</v>
      </c>
      <c r="M76" s="81"/>
      <c r="N76" s="81"/>
      <c r="O76" s="81"/>
      <c r="P76" s="82"/>
    </row>
    <row r="77" ht="16.5" spans="1:16">
      <c r="A77" s="114" t="s">
        <v>4460</v>
      </c>
      <c r="B77" s="106" t="s">
        <v>1824</v>
      </c>
      <c r="C77" s="112" t="s">
        <v>1825</v>
      </c>
      <c r="D77" s="43">
        <v>466</v>
      </c>
      <c r="E77" s="117"/>
      <c r="F77" s="118" t="s">
        <v>4256</v>
      </c>
      <c r="G77" s="117" t="s">
        <v>4461</v>
      </c>
      <c r="H77" s="119"/>
      <c r="I77" s="124"/>
      <c r="J77" s="125"/>
      <c r="K77" s="124"/>
      <c r="L77" s="53">
        <v>7.2008</v>
      </c>
      <c r="M77" s="131">
        <v>45777</v>
      </c>
      <c r="N77" s="132"/>
      <c r="O77" s="132">
        <v>45808</v>
      </c>
      <c r="P77" s="133"/>
    </row>
    <row r="78" ht="16.5" spans="1:16">
      <c r="A78" s="115"/>
      <c r="B78" s="106" t="s">
        <v>1824</v>
      </c>
      <c r="C78" s="42"/>
      <c r="D78" s="38"/>
      <c r="E78" s="117"/>
      <c r="F78" s="118" t="s">
        <v>4256</v>
      </c>
      <c r="G78" s="117" t="s">
        <v>4462</v>
      </c>
      <c r="H78" s="119"/>
      <c r="I78" s="124"/>
      <c r="J78" s="125"/>
      <c r="K78" s="125"/>
      <c r="L78" s="53">
        <v>7.2008</v>
      </c>
      <c r="M78" s="131">
        <v>45813</v>
      </c>
      <c r="N78" s="134"/>
      <c r="O78" s="132">
        <v>45808</v>
      </c>
      <c r="P78" s="133"/>
    </row>
    <row r="79" ht="16.5" spans="1:16">
      <c r="A79" s="115"/>
      <c r="B79" s="106" t="s">
        <v>1824</v>
      </c>
      <c r="C79" s="42"/>
      <c r="D79" s="38"/>
      <c r="E79" s="120"/>
      <c r="F79" s="118" t="s">
        <v>4093</v>
      </c>
      <c r="G79" s="117" t="s">
        <v>4463</v>
      </c>
      <c r="H79" s="119"/>
      <c r="I79" s="124"/>
      <c r="J79" s="125"/>
      <c r="K79" s="125"/>
      <c r="L79" s="53">
        <v>7.2008</v>
      </c>
      <c r="M79" s="131">
        <v>45785</v>
      </c>
      <c r="N79" s="134"/>
      <c r="O79" s="132"/>
      <c r="P79" s="135"/>
    </row>
    <row r="80" ht="16.5" spans="1:16">
      <c r="A80" s="115"/>
      <c r="B80" s="106" t="s">
        <v>1824</v>
      </c>
      <c r="C80" s="44"/>
      <c r="D80" s="39"/>
      <c r="E80" s="121"/>
      <c r="F80" s="54" t="s">
        <v>4087</v>
      </c>
      <c r="G80" s="117" t="s">
        <v>4464</v>
      </c>
      <c r="H80" s="119"/>
      <c r="I80" s="124"/>
      <c r="J80" s="125"/>
      <c r="K80" s="124"/>
      <c r="L80" s="53">
        <v>7.2008</v>
      </c>
      <c r="M80" s="131"/>
      <c r="N80" s="132"/>
      <c r="O80" s="134"/>
      <c r="P80" s="136"/>
    </row>
    <row r="81" ht="16.5" spans="1:16">
      <c r="A81" s="115"/>
      <c r="B81" s="106" t="s">
        <v>1824</v>
      </c>
      <c r="C81" s="112" t="s">
        <v>4092</v>
      </c>
      <c r="D81" s="43">
        <v>151</v>
      </c>
      <c r="E81" s="48"/>
      <c r="F81" s="58" t="s">
        <v>4192</v>
      </c>
      <c r="G81" s="48" t="s">
        <v>4465</v>
      </c>
      <c r="H81" s="119"/>
      <c r="I81" s="71"/>
      <c r="J81" s="73"/>
      <c r="K81" s="126"/>
      <c r="L81" s="53">
        <v>7.2008</v>
      </c>
      <c r="M81" s="132"/>
      <c r="N81" s="132"/>
      <c r="O81" s="137"/>
      <c r="P81" s="135"/>
    </row>
    <row r="82" ht="16.5" spans="1:16">
      <c r="A82" s="115"/>
      <c r="B82" s="106" t="s">
        <v>1824</v>
      </c>
      <c r="C82" s="42"/>
      <c r="D82" s="38"/>
      <c r="E82" s="122"/>
      <c r="F82" s="118"/>
      <c r="G82" s="116"/>
      <c r="H82" s="119"/>
      <c r="I82" s="71"/>
      <c r="J82" s="127"/>
      <c r="K82" s="126"/>
      <c r="L82" s="53">
        <v>7.2008</v>
      </c>
      <c r="M82" s="132"/>
      <c r="N82" s="132"/>
      <c r="O82" s="137"/>
      <c r="P82" s="135"/>
    </row>
    <row r="83" ht="16.5" spans="1:16">
      <c r="A83" s="115"/>
      <c r="B83" s="106" t="s">
        <v>1824</v>
      </c>
      <c r="C83" s="42"/>
      <c r="D83" s="38"/>
      <c r="E83" s="116"/>
      <c r="F83" s="118" t="s">
        <v>4188</v>
      </c>
      <c r="G83" s="116" t="s">
        <v>4466</v>
      </c>
      <c r="H83" s="119"/>
      <c r="I83" s="124"/>
      <c r="J83" s="128"/>
      <c r="K83" s="128"/>
      <c r="L83" s="53">
        <v>7.2008</v>
      </c>
      <c r="M83" s="131" t="s">
        <v>4132</v>
      </c>
      <c r="N83" s="138"/>
      <c r="O83" s="137" t="s">
        <v>4467</v>
      </c>
      <c r="P83" s="139"/>
    </row>
    <row r="84" ht="16.5" spans="1:16">
      <c r="A84" s="115"/>
      <c r="B84" s="106" t="s">
        <v>1824</v>
      </c>
      <c r="C84" s="42"/>
      <c r="D84" s="38"/>
      <c r="E84" s="54"/>
      <c r="F84" s="54" t="s">
        <v>4113</v>
      </c>
      <c r="G84" s="117" t="s">
        <v>4149</v>
      </c>
      <c r="H84" s="119"/>
      <c r="I84" s="71"/>
      <c r="J84" s="64"/>
      <c r="K84" s="129"/>
      <c r="L84" s="53">
        <v>7.2008</v>
      </c>
      <c r="M84" s="132" t="s">
        <v>1218</v>
      </c>
      <c r="N84" s="140"/>
      <c r="O84" s="132"/>
      <c r="P84" s="135"/>
    </row>
    <row r="85" ht="16.5" spans="1:16">
      <c r="A85" s="115"/>
      <c r="B85" s="106" t="s">
        <v>1824</v>
      </c>
      <c r="C85" s="112" t="s">
        <v>4407</v>
      </c>
      <c r="D85" s="107">
        <v>206</v>
      </c>
      <c r="E85" s="53"/>
      <c r="F85" s="58" t="s">
        <v>4095</v>
      </c>
      <c r="G85" s="53" t="s">
        <v>4468</v>
      </c>
      <c r="H85" s="56"/>
      <c r="I85" s="124"/>
      <c r="J85" s="73"/>
      <c r="K85" s="72"/>
      <c r="L85" s="53">
        <v>7.2008</v>
      </c>
      <c r="M85" s="141" t="s">
        <v>4132</v>
      </c>
      <c r="N85" s="132"/>
      <c r="O85" s="85"/>
      <c r="P85" s="142"/>
    </row>
    <row r="86" ht="16.5" spans="1:16">
      <c r="A86" s="115"/>
      <c r="B86" s="106" t="s">
        <v>1824</v>
      </c>
      <c r="C86" s="42"/>
      <c r="D86" s="46"/>
      <c r="E86" s="54"/>
      <c r="F86" s="54" t="s">
        <v>4090</v>
      </c>
      <c r="G86" s="53" t="s">
        <v>4469</v>
      </c>
      <c r="H86" s="56"/>
      <c r="I86" s="124"/>
      <c r="J86" s="68"/>
      <c r="K86" s="68"/>
      <c r="L86" s="53">
        <v>7.2008</v>
      </c>
      <c r="M86" s="143"/>
      <c r="N86" s="141">
        <v>45776</v>
      </c>
      <c r="O86" s="85">
        <v>45780</v>
      </c>
      <c r="P86" s="86"/>
    </row>
    <row r="87" ht="16.5" spans="1:16">
      <c r="A87" s="115"/>
      <c r="B87" s="106" t="s">
        <v>1824</v>
      </c>
      <c r="C87" s="42"/>
      <c r="D87" s="46"/>
      <c r="E87" s="123"/>
      <c r="F87" s="54" t="s">
        <v>4090</v>
      </c>
      <c r="G87" s="53"/>
      <c r="H87" s="56"/>
      <c r="I87" s="124"/>
      <c r="J87" s="68"/>
      <c r="K87" s="68"/>
      <c r="L87" s="53">
        <v>7.2008</v>
      </c>
      <c r="M87" s="143"/>
      <c r="N87" s="84"/>
      <c r="O87" s="85"/>
      <c r="P87" s="144"/>
    </row>
    <row r="88" ht="16.5" spans="1:16">
      <c r="A88" s="115"/>
      <c r="B88" s="106" t="s">
        <v>1824</v>
      </c>
      <c r="C88" s="44"/>
      <c r="D88" s="113"/>
      <c r="E88" s="123"/>
      <c r="F88" s="54" t="s">
        <v>4139</v>
      </c>
      <c r="G88" s="53" t="s">
        <v>4470</v>
      </c>
      <c r="H88" s="56"/>
      <c r="I88" s="71"/>
      <c r="J88" s="68"/>
      <c r="K88" s="68"/>
      <c r="L88" s="53">
        <v>7.2008</v>
      </c>
      <c r="M88" s="143"/>
      <c r="N88" s="84"/>
      <c r="O88" s="85"/>
      <c r="P88" s="144"/>
    </row>
    <row r="89" ht="16.5" spans="1:16">
      <c r="A89" s="115"/>
      <c r="B89" s="106" t="s">
        <v>1824</v>
      </c>
      <c r="C89" s="112" t="s">
        <v>224</v>
      </c>
      <c r="D89" s="43">
        <v>77</v>
      </c>
      <c r="E89" s="54"/>
      <c r="F89" s="58" t="s">
        <v>4095</v>
      </c>
      <c r="G89" s="53" t="s">
        <v>4335</v>
      </c>
      <c r="H89" s="56"/>
      <c r="I89" s="124"/>
      <c r="J89" s="68"/>
      <c r="K89" s="68"/>
      <c r="L89" s="53">
        <v>7.2008</v>
      </c>
      <c r="M89" s="83" t="s">
        <v>1218</v>
      </c>
      <c r="N89" s="132"/>
      <c r="O89" s="145"/>
      <c r="P89" s="86"/>
    </row>
    <row r="90" ht="16.5" spans="1:16">
      <c r="A90" s="115"/>
      <c r="B90" s="106" t="s">
        <v>1824</v>
      </c>
      <c r="C90" s="42"/>
      <c r="D90" s="38"/>
      <c r="E90" s="123"/>
      <c r="F90" s="54" t="s">
        <v>4090</v>
      </c>
      <c r="G90" s="57" t="s">
        <v>4471</v>
      </c>
      <c r="H90" s="56"/>
      <c r="I90" s="124"/>
      <c r="J90" s="130"/>
      <c r="K90" s="130"/>
      <c r="L90" s="53">
        <v>7.2008</v>
      </c>
      <c r="M90" s="146"/>
      <c r="N90" s="146"/>
      <c r="O90" s="97"/>
      <c r="P90" s="147"/>
    </row>
    <row r="91" ht="16.5" spans="1:16">
      <c r="A91" s="115"/>
      <c r="B91" s="106" t="s">
        <v>1824</v>
      </c>
      <c r="C91" s="44"/>
      <c r="D91" s="39"/>
      <c r="E91" s="53"/>
      <c r="F91" s="58" t="s">
        <v>4095</v>
      </c>
      <c r="G91" s="55" t="s">
        <v>4472</v>
      </c>
      <c r="H91" s="56"/>
      <c r="I91" s="71"/>
      <c r="J91" s="72"/>
      <c r="K91" s="72"/>
      <c r="L91" s="53">
        <v>7.2008</v>
      </c>
      <c r="M91" s="83" t="s">
        <v>1218</v>
      </c>
      <c r="N91" s="81"/>
      <c r="O91" s="141"/>
      <c r="P91" s="148"/>
    </row>
    <row r="92" ht="33" spans="1:16">
      <c r="A92" s="115"/>
      <c r="B92" s="106" t="s">
        <v>3248</v>
      </c>
      <c r="C92" s="112" t="s">
        <v>1825</v>
      </c>
      <c r="D92" s="116" t="s">
        <v>1125</v>
      </c>
      <c r="E92" s="120"/>
      <c r="F92" s="118" t="s">
        <v>4093</v>
      </c>
      <c r="G92" s="117" t="s">
        <v>4473</v>
      </c>
      <c r="H92" s="119"/>
      <c r="I92" s="124"/>
      <c r="J92" s="125"/>
      <c r="K92" s="124"/>
      <c r="L92" s="53">
        <v>7.2008</v>
      </c>
      <c r="M92" s="131" t="s">
        <v>4132</v>
      </c>
      <c r="N92" s="132"/>
      <c r="O92" s="134" t="s">
        <v>4253</v>
      </c>
      <c r="P92" s="149"/>
    </row>
    <row r="93" ht="33" spans="1:16">
      <c r="A93" s="115"/>
      <c r="B93" s="106" t="s">
        <v>3248</v>
      </c>
      <c r="C93" s="42"/>
      <c r="D93" s="103"/>
      <c r="E93" s="120"/>
      <c r="F93" s="118" t="s">
        <v>4093</v>
      </c>
      <c r="G93" s="117" t="s">
        <v>4474</v>
      </c>
      <c r="H93" s="119"/>
      <c r="I93" s="124"/>
      <c r="J93" s="125"/>
      <c r="K93" s="124"/>
      <c r="L93" s="53">
        <v>7.2008</v>
      </c>
      <c r="M93" s="131" t="s">
        <v>4132</v>
      </c>
      <c r="N93" s="132"/>
      <c r="O93" s="134"/>
      <c r="P93" s="149"/>
    </row>
    <row r="94" ht="33" spans="1:16">
      <c r="A94" s="115"/>
      <c r="B94" s="106" t="s">
        <v>3248</v>
      </c>
      <c r="C94" s="42"/>
      <c r="D94" s="103"/>
      <c r="E94" s="120"/>
      <c r="F94" s="118" t="s">
        <v>4093</v>
      </c>
      <c r="G94" s="117" t="s">
        <v>4254</v>
      </c>
      <c r="H94" s="119"/>
      <c r="I94" s="124"/>
      <c r="J94" s="125"/>
      <c r="K94" s="124"/>
      <c r="L94" s="53">
        <v>7.2008</v>
      </c>
      <c r="M94" s="131" t="s">
        <v>4132</v>
      </c>
      <c r="N94" s="132"/>
      <c r="O94" s="134" t="s">
        <v>4253</v>
      </c>
      <c r="P94" s="149"/>
    </row>
    <row r="95" ht="33" spans="1:16">
      <c r="A95" s="115"/>
      <c r="B95" s="106" t="s">
        <v>3248</v>
      </c>
      <c r="C95" s="42"/>
      <c r="D95" s="103"/>
      <c r="E95" s="120"/>
      <c r="F95" s="118" t="s">
        <v>4093</v>
      </c>
      <c r="G95" s="117" t="s">
        <v>4255</v>
      </c>
      <c r="H95" s="119"/>
      <c r="I95" s="124"/>
      <c r="J95" s="125"/>
      <c r="K95" s="124"/>
      <c r="L95" s="53">
        <v>7.2008</v>
      </c>
      <c r="M95" s="131" t="s">
        <v>4132</v>
      </c>
      <c r="N95" s="132"/>
      <c r="O95" s="134" t="s">
        <v>4253</v>
      </c>
      <c r="P95" s="149"/>
    </row>
    <row r="96" ht="33" spans="1:16">
      <c r="A96" s="115"/>
      <c r="B96" s="106" t="s">
        <v>3248</v>
      </c>
      <c r="C96" s="42"/>
      <c r="D96" s="103"/>
      <c r="E96" s="117"/>
      <c r="F96" s="118" t="s">
        <v>4256</v>
      </c>
      <c r="G96" s="117" t="s">
        <v>4475</v>
      </c>
      <c r="H96" s="119"/>
      <c r="I96" s="124"/>
      <c r="J96" s="125"/>
      <c r="K96" s="124"/>
      <c r="L96" s="53">
        <v>7.2008</v>
      </c>
      <c r="M96" s="131"/>
      <c r="N96" s="132"/>
      <c r="O96" s="132"/>
      <c r="P96" s="150"/>
    </row>
    <row r="97" ht="33" spans="1:16">
      <c r="A97" s="115"/>
      <c r="B97" s="106" t="s">
        <v>3248</v>
      </c>
      <c r="C97" s="42"/>
      <c r="D97" s="103"/>
      <c r="E97" s="117"/>
      <c r="F97" s="118" t="s">
        <v>4256</v>
      </c>
      <c r="G97" s="117" t="s">
        <v>4476</v>
      </c>
      <c r="H97" s="119"/>
      <c r="I97" s="124"/>
      <c r="J97" s="125"/>
      <c r="K97" s="124"/>
      <c r="L97" s="53">
        <v>7.2008</v>
      </c>
      <c r="M97" s="131"/>
      <c r="N97" s="132"/>
      <c r="O97" s="132"/>
      <c r="P97" s="150"/>
    </row>
    <row r="98" ht="33" spans="1:16">
      <c r="A98" s="115"/>
      <c r="B98" s="106" t="s">
        <v>3248</v>
      </c>
      <c r="C98" s="42"/>
      <c r="D98" s="103"/>
      <c r="E98" s="117"/>
      <c r="F98" s="118" t="s">
        <v>4256</v>
      </c>
      <c r="G98" s="117" t="s">
        <v>4477</v>
      </c>
      <c r="H98" s="119"/>
      <c r="I98" s="124"/>
      <c r="J98" s="125"/>
      <c r="K98" s="125"/>
      <c r="L98" s="53">
        <v>7.2008</v>
      </c>
      <c r="M98" s="131"/>
      <c r="N98" s="134"/>
      <c r="O98" s="132"/>
      <c r="P98" s="159"/>
    </row>
    <row r="99" ht="33" spans="1:16">
      <c r="A99" s="115"/>
      <c r="B99" s="106" t="s">
        <v>3248</v>
      </c>
      <c r="C99" s="40" t="s">
        <v>224</v>
      </c>
      <c r="D99" s="103"/>
      <c r="E99" s="54"/>
      <c r="F99" s="54"/>
      <c r="G99" s="53"/>
      <c r="H99" s="56"/>
      <c r="I99" s="71"/>
      <c r="J99" s="68"/>
      <c r="K99" s="68"/>
      <c r="L99" s="53"/>
      <c r="M99" s="83"/>
      <c r="N99" s="132"/>
      <c r="O99" s="145"/>
      <c r="P99" s="86"/>
    </row>
    <row r="100" ht="33" spans="1:16">
      <c r="A100" s="115"/>
      <c r="B100" s="106" t="s">
        <v>3248</v>
      </c>
      <c r="C100" s="40"/>
      <c r="D100" s="103"/>
      <c r="E100" s="54"/>
      <c r="F100" s="54"/>
      <c r="G100" s="53"/>
      <c r="H100" s="56"/>
      <c r="I100" s="124"/>
      <c r="J100" s="68"/>
      <c r="K100" s="68"/>
      <c r="L100" s="53"/>
      <c r="M100" s="131"/>
      <c r="N100" s="132"/>
      <c r="O100" s="145"/>
      <c r="P100" s="86"/>
    </row>
    <row r="101" ht="33" spans="1:16">
      <c r="A101" s="115"/>
      <c r="B101" s="106" t="s">
        <v>3248</v>
      </c>
      <c r="C101" s="112" t="s">
        <v>4407</v>
      </c>
      <c r="D101" s="46"/>
      <c r="E101" s="53"/>
      <c r="F101" s="58"/>
      <c r="G101" s="53"/>
      <c r="H101" s="56"/>
      <c r="I101" s="71"/>
      <c r="J101" s="73"/>
      <c r="K101" s="72"/>
      <c r="L101" s="53"/>
      <c r="M101" s="141"/>
      <c r="N101" s="132"/>
      <c r="O101" s="85"/>
      <c r="P101" s="142"/>
    </row>
    <row r="102" ht="33" spans="1:16">
      <c r="A102" s="115"/>
      <c r="B102" s="106" t="s">
        <v>3248</v>
      </c>
      <c r="C102" s="48" t="s">
        <v>4092</v>
      </c>
      <c r="D102" s="103"/>
      <c r="E102" s="116"/>
      <c r="F102" s="118"/>
      <c r="G102" s="116"/>
      <c r="H102" s="119"/>
      <c r="I102" s="124"/>
      <c r="J102" s="128"/>
      <c r="K102" s="128"/>
      <c r="L102" s="53"/>
      <c r="M102" s="131"/>
      <c r="N102" s="138"/>
      <c r="O102" s="137"/>
      <c r="P102" s="160"/>
    </row>
    <row r="103" ht="33" spans="1:16">
      <c r="A103" s="115"/>
      <c r="B103" s="106" t="s">
        <v>3248</v>
      </c>
      <c r="C103" s="48"/>
      <c r="D103" s="103"/>
      <c r="E103" s="48"/>
      <c r="F103" s="58"/>
      <c r="G103" s="48"/>
      <c r="H103" s="119"/>
      <c r="I103" s="71"/>
      <c r="J103" s="73"/>
      <c r="K103" s="126"/>
      <c r="L103" s="53"/>
      <c r="M103" s="132"/>
      <c r="N103" s="132"/>
      <c r="O103" s="137"/>
      <c r="P103" s="159"/>
    </row>
    <row r="104" ht="33" spans="1:16">
      <c r="A104" s="115"/>
      <c r="B104" s="106" t="s">
        <v>3248</v>
      </c>
      <c r="C104" s="116" t="s">
        <v>4478</v>
      </c>
      <c r="D104" s="103"/>
      <c r="E104" s="116"/>
      <c r="F104" s="116" t="s">
        <v>4188</v>
      </c>
      <c r="G104" s="116" t="s">
        <v>4479</v>
      </c>
      <c r="H104" s="119"/>
      <c r="I104" s="124"/>
      <c r="J104" s="128"/>
      <c r="K104" s="128"/>
      <c r="L104" s="53">
        <v>7.2008</v>
      </c>
      <c r="M104" s="131" t="s">
        <v>4132</v>
      </c>
      <c r="N104" s="138"/>
      <c r="O104" s="137"/>
      <c r="P104" s="160"/>
    </row>
    <row r="105" ht="16.5" spans="1:16">
      <c r="A105" s="115"/>
      <c r="B105" s="151" t="s">
        <v>1875</v>
      </c>
      <c r="C105" s="152" t="s">
        <v>1825</v>
      </c>
      <c r="D105" s="46"/>
      <c r="E105" s="154"/>
      <c r="F105" s="118" t="s">
        <v>4093</v>
      </c>
      <c r="G105" s="117"/>
      <c r="H105" s="56"/>
      <c r="I105" s="124"/>
      <c r="J105" s="128"/>
      <c r="K105" s="128"/>
      <c r="L105" s="53">
        <v>7.2008</v>
      </c>
      <c r="M105" s="143"/>
      <c r="N105" s="84"/>
      <c r="O105" s="85"/>
      <c r="P105" s="160"/>
    </row>
    <row r="106" ht="16.5" spans="1:16">
      <c r="A106" s="115"/>
      <c r="B106" s="151" t="s">
        <v>1875</v>
      </c>
      <c r="C106" s="152"/>
      <c r="D106" s="46"/>
      <c r="E106" s="154"/>
      <c r="F106" s="118" t="s">
        <v>4093</v>
      </c>
      <c r="G106" s="117"/>
      <c r="H106" s="56"/>
      <c r="I106" s="124"/>
      <c r="J106" s="128"/>
      <c r="K106" s="128"/>
      <c r="L106" s="53">
        <v>7.2008</v>
      </c>
      <c r="M106" s="143"/>
      <c r="N106" s="84"/>
      <c r="O106" s="85"/>
      <c r="P106" s="161"/>
    </row>
    <row r="107" ht="16.5" spans="1:16">
      <c r="A107" s="115"/>
      <c r="B107" s="151" t="s">
        <v>1875</v>
      </c>
      <c r="C107" s="152"/>
      <c r="D107" s="46"/>
      <c r="E107" s="154"/>
      <c r="F107" s="118" t="s">
        <v>4093</v>
      </c>
      <c r="G107" s="117"/>
      <c r="H107" s="56"/>
      <c r="I107" s="124"/>
      <c r="J107" s="128"/>
      <c r="K107" s="128"/>
      <c r="L107" s="53">
        <v>7.2008</v>
      </c>
      <c r="M107" s="143"/>
      <c r="N107" s="84"/>
      <c r="O107" s="85"/>
      <c r="P107" s="161"/>
    </row>
    <row r="108" ht="16.5" spans="1:16">
      <c r="A108" s="115"/>
      <c r="B108" s="151" t="s">
        <v>1875</v>
      </c>
      <c r="C108" s="152"/>
      <c r="D108" s="46"/>
      <c r="E108" s="154"/>
      <c r="F108" s="118" t="s">
        <v>4093</v>
      </c>
      <c r="G108" s="53"/>
      <c r="H108" s="56"/>
      <c r="I108" s="124"/>
      <c r="J108" s="68"/>
      <c r="K108" s="68"/>
      <c r="L108" s="53">
        <v>7.2008</v>
      </c>
      <c r="M108" s="143"/>
      <c r="N108" s="84"/>
      <c r="O108" s="85"/>
      <c r="P108" s="160"/>
    </row>
    <row r="109" ht="16.5" spans="1:16">
      <c r="A109" s="115"/>
      <c r="B109" s="151" t="s">
        <v>1875</v>
      </c>
      <c r="C109" s="152"/>
      <c r="D109" s="46"/>
      <c r="E109" s="58"/>
      <c r="F109" s="58" t="s">
        <v>4093</v>
      </c>
      <c r="G109" s="53"/>
      <c r="H109" s="56"/>
      <c r="I109" s="124"/>
      <c r="J109" s="68"/>
      <c r="K109" s="68"/>
      <c r="L109" s="53">
        <v>7.2008</v>
      </c>
      <c r="M109" s="143"/>
      <c r="N109" s="84"/>
      <c r="O109" s="162"/>
      <c r="P109" s="163"/>
    </row>
    <row r="110" ht="16.5" spans="1:16">
      <c r="A110" s="115"/>
      <c r="B110" s="151" t="s">
        <v>1875</v>
      </c>
      <c r="C110" s="152"/>
      <c r="D110" s="46"/>
      <c r="E110" s="58"/>
      <c r="F110" s="58" t="s">
        <v>4093</v>
      </c>
      <c r="G110" s="155"/>
      <c r="H110" s="56"/>
      <c r="I110" s="124"/>
      <c r="J110" s="68"/>
      <c r="K110" s="68"/>
      <c r="L110" s="53">
        <v>7.2008</v>
      </c>
      <c r="M110" s="143"/>
      <c r="N110" s="84"/>
      <c r="O110" s="162"/>
      <c r="P110" s="90"/>
    </row>
    <row r="111" ht="16.5" spans="1:16">
      <c r="A111" s="115"/>
      <c r="B111" s="151" t="s">
        <v>1875</v>
      </c>
      <c r="C111" s="152"/>
      <c r="D111" s="46"/>
      <c r="E111" s="58"/>
      <c r="F111" s="58" t="s">
        <v>4093</v>
      </c>
      <c r="G111" s="155"/>
      <c r="H111" s="56"/>
      <c r="I111" s="124"/>
      <c r="J111" s="68"/>
      <c r="K111" s="68"/>
      <c r="L111" s="53">
        <v>7.2008</v>
      </c>
      <c r="M111" s="143"/>
      <c r="N111" s="84"/>
      <c r="O111" s="162"/>
      <c r="P111" s="90"/>
    </row>
    <row r="112" ht="16.5" spans="1:16">
      <c r="A112" s="115"/>
      <c r="B112" s="151" t="s">
        <v>1875</v>
      </c>
      <c r="C112" s="152"/>
      <c r="D112" s="46"/>
      <c r="E112" s="54"/>
      <c r="F112" s="58" t="s">
        <v>4093</v>
      </c>
      <c r="G112" s="155"/>
      <c r="H112" s="56"/>
      <c r="I112" s="124"/>
      <c r="J112" s="68"/>
      <c r="K112" s="68"/>
      <c r="L112" s="53">
        <v>7.2008</v>
      </c>
      <c r="M112" s="143"/>
      <c r="N112" s="84"/>
      <c r="O112" s="162"/>
      <c r="P112" s="90"/>
    </row>
    <row r="113" ht="16.5" spans="1:16">
      <c r="A113" s="115"/>
      <c r="B113" s="151" t="s">
        <v>1875</v>
      </c>
      <c r="C113" s="152"/>
      <c r="D113" s="46"/>
      <c r="E113" s="123"/>
      <c r="F113" s="58" t="s">
        <v>4113</v>
      </c>
      <c r="G113" s="155"/>
      <c r="H113" s="56"/>
      <c r="I113" s="71"/>
      <c r="J113" s="68"/>
      <c r="K113" s="68"/>
      <c r="L113" s="53">
        <v>7.2008</v>
      </c>
      <c r="M113" s="143"/>
      <c r="N113" s="84"/>
      <c r="O113" s="85"/>
      <c r="P113" s="164"/>
    </row>
    <row r="114" ht="16.5" spans="1:16">
      <c r="A114" s="115"/>
      <c r="B114" s="151" t="s">
        <v>1875</v>
      </c>
      <c r="C114" s="153"/>
      <c r="D114" s="46"/>
      <c r="E114" s="123"/>
      <c r="F114" s="58" t="s">
        <v>4093</v>
      </c>
      <c r="G114" s="155"/>
      <c r="H114" s="56"/>
      <c r="I114" s="71"/>
      <c r="J114" s="68"/>
      <c r="K114" s="68"/>
      <c r="L114" s="53">
        <v>7.2008</v>
      </c>
      <c r="M114" s="143"/>
      <c r="N114" s="84"/>
      <c r="O114" s="85"/>
      <c r="P114" s="164"/>
    </row>
    <row r="115" ht="16.5" spans="1:16">
      <c r="A115" s="115"/>
      <c r="B115" s="151" t="s">
        <v>1875</v>
      </c>
      <c r="C115" s="112" t="s">
        <v>224</v>
      </c>
      <c r="D115" s="47"/>
      <c r="E115"/>
      <c r="F115" s="156"/>
      <c r="G115" s="69"/>
      <c r="H115" s="69"/>
      <c r="I115" s="69"/>
      <c r="J115" s="69"/>
      <c r="K115" s="69"/>
      <c r="L115" s="69"/>
      <c r="M115" s="69"/>
      <c r="N115" s="165"/>
      <c r="O115" s="69"/>
      <c r="P115"/>
    </row>
    <row r="116" ht="16.5" spans="1:16">
      <c r="A116" s="115"/>
      <c r="B116" s="151" t="s">
        <v>1875</v>
      </c>
      <c r="C116" s="42"/>
      <c r="D116" s="47"/>
      <c r="E116" s="123"/>
      <c r="F116" s="54" t="s">
        <v>4081</v>
      </c>
      <c r="G116" s="53"/>
      <c r="H116" s="56"/>
      <c r="I116" s="71"/>
      <c r="J116" s="68"/>
      <c r="K116" s="68"/>
      <c r="L116" s="53">
        <v>7.2008</v>
      </c>
      <c r="M116" s="143"/>
      <c r="N116" s="84"/>
      <c r="O116" s="85"/>
      <c r="P116" s="144"/>
    </row>
    <row r="117" ht="16.5" spans="1:16">
      <c r="A117" s="115"/>
      <c r="B117" s="151" t="s">
        <v>1875</v>
      </c>
      <c r="C117" s="42"/>
      <c r="D117" s="47"/>
      <c r="E117" s="123"/>
      <c r="F117" s="54" t="s">
        <v>4090</v>
      </c>
      <c r="G117" s="57" t="s">
        <v>4267</v>
      </c>
      <c r="H117" s="56"/>
      <c r="I117" s="71"/>
      <c r="J117" s="130"/>
      <c r="K117" s="130"/>
      <c r="L117" s="53">
        <v>7.2008</v>
      </c>
      <c r="M117" s="146"/>
      <c r="N117" s="81"/>
      <c r="O117" s="97"/>
      <c r="P117" s="147"/>
    </row>
    <row r="118" ht="16.5" spans="1:16">
      <c r="A118" s="115"/>
      <c r="B118" s="151" t="s">
        <v>1875</v>
      </c>
      <c r="C118" s="42"/>
      <c r="D118" s="47"/>
      <c r="E118" s="123"/>
      <c r="F118" s="54" t="s">
        <v>4095</v>
      </c>
      <c r="G118" s="155" t="s">
        <v>4340</v>
      </c>
      <c r="H118" s="56"/>
      <c r="I118" s="71"/>
      <c r="J118" s="68"/>
      <c r="K118" s="68"/>
      <c r="L118" s="53">
        <v>7.2008</v>
      </c>
      <c r="M118" s="143"/>
      <c r="N118" s="84"/>
      <c r="O118" s="85"/>
      <c r="P118" s="164"/>
    </row>
    <row r="119" ht="16.5" spans="1:16">
      <c r="A119" s="115"/>
      <c r="B119" s="151" t="s">
        <v>1875</v>
      </c>
      <c r="C119" s="42"/>
      <c r="D119" s="47"/>
      <c r="E119" s="123"/>
      <c r="F119" s="54" t="s">
        <v>4090</v>
      </c>
      <c r="G119" s="57" t="s">
        <v>4266</v>
      </c>
      <c r="H119" s="56"/>
      <c r="I119" s="71"/>
      <c r="J119" s="158"/>
      <c r="K119" s="130"/>
      <c r="L119" s="53">
        <v>7.2008</v>
      </c>
      <c r="M119" s="166"/>
      <c r="N119" s="88"/>
      <c r="O119" s="97"/>
      <c r="P119" s="147"/>
    </row>
    <row r="120" ht="16.5" spans="1:16">
      <c r="A120" s="115"/>
      <c r="B120" s="151" t="s">
        <v>1875</v>
      </c>
      <c r="C120" s="42"/>
      <c r="D120" s="47"/>
      <c r="E120" s="123"/>
      <c r="F120" s="54" t="s">
        <v>4090</v>
      </c>
      <c r="G120" s="57" t="s">
        <v>4268</v>
      </c>
      <c r="H120" s="56"/>
      <c r="I120" s="71"/>
      <c r="J120" s="130"/>
      <c r="K120" s="130"/>
      <c r="L120" s="53">
        <v>7.2008</v>
      </c>
      <c r="M120" s="146"/>
      <c r="N120" s="146"/>
      <c r="O120" s="97"/>
      <c r="P120" s="147"/>
    </row>
    <row r="121" ht="16.5" spans="1:16">
      <c r="A121" s="115"/>
      <c r="B121" s="151" t="s">
        <v>1875</v>
      </c>
      <c r="C121" s="42"/>
      <c r="D121" s="47"/>
      <c r="E121" s="123"/>
      <c r="F121" s="54" t="s">
        <v>4095</v>
      </c>
      <c r="G121" s="57" t="s">
        <v>4480</v>
      </c>
      <c r="H121"/>
      <c r="I121"/>
      <c r="J121"/>
      <c r="K121"/>
      <c r="L121"/>
      <c r="M121"/>
      <c r="N121"/>
      <c r="O121"/>
      <c r="P121" s="167"/>
    </row>
    <row r="122" ht="16.5" spans="1:16">
      <c r="A122" s="115"/>
      <c r="B122" s="151" t="s">
        <v>1875</v>
      </c>
      <c r="C122" s="42"/>
      <c r="D122" s="47"/>
      <c r="E122" s="123"/>
      <c r="F122" s="54" t="s">
        <v>4081</v>
      </c>
      <c r="G122" s="155" t="s">
        <v>4153</v>
      </c>
      <c r="H122" s="56"/>
      <c r="I122" s="71"/>
      <c r="J122" s="157"/>
      <c r="K122" s="130"/>
      <c r="L122" s="53">
        <v>7.2008</v>
      </c>
      <c r="M122" s="168"/>
      <c r="N122" s="168"/>
      <c r="O122" s="93"/>
      <c r="P122" s="169"/>
    </row>
    <row r="123" ht="16.5" spans="1:16">
      <c r="A123" s="115"/>
      <c r="B123" s="151" t="s">
        <v>1875</v>
      </c>
      <c r="C123" s="42"/>
      <c r="D123" s="47"/>
      <c r="E123" s="123"/>
      <c r="F123" s="54" t="s">
        <v>4081</v>
      </c>
      <c r="G123" s="155"/>
      <c r="H123" s="55"/>
      <c r="I123" s="71"/>
      <c r="J123" s="68"/>
      <c r="K123" s="130"/>
      <c r="L123" s="53">
        <v>7.2008</v>
      </c>
      <c r="M123" s="143"/>
      <c r="N123" s="87"/>
      <c r="O123" s="93"/>
      <c r="P123" s="170"/>
    </row>
    <row r="124" ht="16.5" spans="1:16">
      <c r="A124" s="115"/>
      <c r="B124" s="151" t="s">
        <v>1875</v>
      </c>
      <c r="C124" s="42"/>
      <c r="D124" s="47"/>
      <c r="E124" s="123"/>
      <c r="F124" s="54" t="s">
        <v>4081</v>
      </c>
      <c r="G124" s="155"/>
      <c r="H124" s="55"/>
      <c r="I124" s="71"/>
      <c r="J124" s="68"/>
      <c r="K124" s="130"/>
      <c r="L124" s="53">
        <v>7.2008</v>
      </c>
      <c r="M124" s="143"/>
      <c r="N124" s="87"/>
      <c r="O124" s="93"/>
      <c r="P124" s="164"/>
    </row>
    <row r="125" ht="16.5" spans="1:16">
      <c r="A125" s="115"/>
      <c r="B125" s="151" t="s">
        <v>1875</v>
      </c>
      <c r="C125" s="42"/>
      <c r="D125" s="47"/>
      <c r="E125" s="123"/>
      <c r="F125" s="54" t="s">
        <v>4081</v>
      </c>
      <c r="G125" s="155"/>
      <c r="H125" s="55"/>
      <c r="I125" s="71"/>
      <c r="J125" s="157"/>
      <c r="K125" s="130"/>
      <c r="L125" s="53">
        <v>7.2008</v>
      </c>
      <c r="M125" s="168"/>
      <c r="N125" s="168"/>
      <c r="O125" s="93"/>
      <c r="P125" s="164"/>
    </row>
    <row r="126" ht="16.5" spans="1:16">
      <c r="A126" s="115"/>
      <c r="B126" s="151" t="s">
        <v>1875</v>
      </c>
      <c r="C126" s="42"/>
      <c r="D126" s="47"/>
      <c r="E126" s="54"/>
      <c r="F126" s="54" t="s">
        <v>4081</v>
      </c>
      <c r="G126" s="155"/>
      <c r="H126" s="157"/>
      <c r="I126" s="124"/>
      <c r="J126" s="157"/>
      <c r="K126" s="130"/>
      <c r="L126" s="53">
        <v>7.2008</v>
      </c>
      <c r="M126" s="168"/>
      <c r="N126" s="168"/>
      <c r="O126" s="93"/>
      <c r="P126" s="90"/>
    </row>
    <row r="127" ht="16.5" spans="1:16">
      <c r="A127" s="115"/>
      <c r="B127" s="151" t="s">
        <v>1875</v>
      </c>
      <c r="C127" s="42"/>
      <c r="D127" s="47"/>
      <c r="E127" s="54"/>
      <c r="F127" s="54" t="s">
        <v>4081</v>
      </c>
      <c r="G127" s="155"/>
      <c r="H127" s="157"/>
      <c r="I127" s="124"/>
      <c r="J127" s="157"/>
      <c r="K127" s="130"/>
      <c r="L127" s="53">
        <v>7.2008</v>
      </c>
      <c r="M127" s="168"/>
      <c r="N127" s="168"/>
      <c r="O127" s="93"/>
      <c r="P127" s="90"/>
    </row>
    <row r="128" ht="16.5" spans="1:16">
      <c r="A128" s="115"/>
      <c r="B128" s="151" t="s">
        <v>1875</v>
      </c>
      <c r="C128" s="42"/>
      <c r="D128" s="47"/>
      <c r="E128" s="54"/>
      <c r="F128" s="54" t="s">
        <v>4081</v>
      </c>
      <c r="G128" s="155"/>
      <c r="H128" s="56"/>
      <c r="I128" s="124"/>
      <c r="J128" s="157"/>
      <c r="K128" s="130"/>
      <c r="L128" s="53">
        <v>7.2008</v>
      </c>
      <c r="M128" s="168"/>
      <c r="N128" s="168"/>
      <c r="O128" s="93"/>
      <c r="P128" s="171"/>
    </row>
    <row r="129" ht="16.5" spans="1:16">
      <c r="A129" s="172"/>
      <c r="B129" s="151" t="s">
        <v>1875</v>
      </c>
      <c r="C129" s="42"/>
      <c r="D129" s="47"/>
      <c r="E129" s="58"/>
      <c r="F129" s="54" t="s">
        <v>4090</v>
      </c>
      <c r="G129" s="69"/>
      <c r="H129" s="69"/>
      <c r="I129" s="124"/>
      <c r="J129" s="69"/>
      <c r="K129" s="69"/>
      <c r="L129" s="53">
        <v>7.2008</v>
      </c>
      <c r="M129" s="93"/>
      <c r="N129" s="94"/>
      <c r="O129" s="93"/>
      <c r="P129" s="90"/>
    </row>
    <row r="130" ht="16.5" spans="1:16">
      <c r="A130" s="173"/>
      <c r="B130" s="151" t="s">
        <v>1875</v>
      </c>
      <c r="C130" s="42"/>
      <c r="D130" s="47"/>
      <c r="E130" s="53"/>
      <c r="F130" s="54" t="s">
        <v>4090</v>
      </c>
      <c r="G130" s="55"/>
      <c r="H130" s="56"/>
      <c r="I130" s="124"/>
      <c r="J130" s="72"/>
      <c r="K130" s="72"/>
      <c r="L130" s="53">
        <v>7.2008</v>
      </c>
      <c r="M130" s="88"/>
      <c r="N130" s="88"/>
      <c r="O130" s="88"/>
      <c r="P130" s="89"/>
    </row>
    <row r="131" ht="16.5" spans="1:16">
      <c r="A131" s="173"/>
      <c r="B131" s="151" t="s">
        <v>1875</v>
      </c>
      <c r="C131" s="42"/>
      <c r="D131" s="47"/>
      <c r="E131" s="53"/>
      <c r="F131" s="54" t="s">
        <v>4090</v>
      </c>
      <c r="G131" s="55" t="s">
        <v>4342</v>
      </c>
      <c r="H131" s="56"/>
      <c r="I131" s="124"/>
      <c r="J131" s="72"/>
      <c r="K131" s="72"/>
      <c r="L131" s="53">
        <v>7.2008</v>
      </c>
      <c r="M131" s="88"/>
      <c r="N131" s="88"/>
      <c r="O131" s="88"/>
      <c r="P131" s="89"/>
    </row>
    <row r="132" ht="16.5" spans="1:16">
      <c r="A132" s="173"/>
      <c r="B132" s="151" t="s">
        <v>1875</v>
      </c>
      <c r="C132" s="42"/>
      <c r="D132" s="47"/>
      <c r="E132" s="174"/>
      <c r="F132" s="54" t="s">
        <v>4090</v>
      </c>
      <c r="G132" s="55" t="s">
        <v>4343</v>
      </c>
      <c r="H132" s="56"/>
      <c r="I132" s="71"/>
      <c r="J132" s="72"/>
      <c r="K132" s="72"/>
      <c r="L132" s="53">
        <v>7.2008</v>
      </c>
      <c r="M132" s="88"/>
      <c r="N132" s="88"/>
      <c r="O132" s="88"/>
      <c r="P132" s="176"/>
    </row>
    <row r="133" ht="16.5" spans="1:16">
      <c r="A133" s="173"/>
      <c r="B133" s="151" t="s">
        <v>1875</v>
      </c>
      <c r="C133" s="42"/>
      <c r="D133" s="47"/>
      <c r="E133" s="174"/>
      <c r="F133" s="54" t="s">
        <v>4095</v>
      </c>
      <c r="G133" s="56"/>
      <c r="H133" s="56"/>
      <c r="I133" s="71"/>
      <c r="J133" s="72"/>
      <c r="K133" s="72"/>
      <c r="L133" s="53">
        <v>7.2008</v>
      </c>
      <c r="M133" s="88"/>
      <c r="N133" s="88"/>
      <c r="O133" s="88"/>
      <c r="P133" s="176"/>
    </row>
    <row r="134" ht="16.5" spans="1:16">
      <c r="A134" s="173"/>
      <c r="B134" s="151" t="s">
        <v>1875</v>
      </c>
      <c r="C134" s="42"/>
      <c r="D134" s="46"/>
      <c r="E134" s="174"/>
      <c r="F134" s="54" t="s">
        <v>4139</v>
      </c>
      <c r="G134" s="56"/>
      <c r="H134" s="56"/>
      <c r="I134" s="71"/>
      <c r="J134" s="72"/>
      <c r="K134" s="72"/>
      <c r="L134" s="53">
        <v>7.2008</v>
      </c>
      <c r="M134" s="88"/>
      <c r="N134" s="88"/>
      <c r="O134" s="88"/>
      <c r="P134" s="176"/>
    </row>
    <row r="135" ht="16.5" spans="1:16">
      <c r="A135" s="173"/>
      <c r="B135" s="151" t="s">
        <v>1875</v>
      </c>
      <c r="C135" s="42"/>
      <c r="D135" s="46"/>
      <c r="E135"/>
      <c r="F135" s="156"/>
      <c r="G135" s="69"/>
      <c r="H135" s="69"/>
      <c r="I135" s="69"/>
      <c r="J135" s="69"/>
      <c r="K135" s="69"/>
      <c r="L135" s="53">
        <v>7.2008</v>
      </c>
      <c r="M135" s="69"/>
      <c r="N135" s="165"/>
      <c r="O135" s="69"/>
      <c r="P135"/>
    </row>
    <row r="136" ht="16.5" spans="1:16">
      <c r="A136" s="173"/>
      <c r="B136" s="151" t="s">
        <v>1875</v>
      </c>
      <c r="C136" s="42"/>
      <c r="D136" s="46"/>
      <c r="E136" s="53"/>
      <c r="F136" s="54" t="s">
        <v>4207</v>
      </c>
      <c r="G136" s="56"/>
      <c r="H136" s="56"/>
      <c r="I136" s="124"/>
      <c r="J136" s="72"/>
      <c r="K136" s="72"/>
      <c r="L136" s="53">
        <v>7.2008</v>
      </c>
      <c r="M136" s="88"/>
      <c r="N136" s="88"/>
      <c r="O136" s="177"/>
      <c r="P136" s="89"/>
    </row>
    <row r="137" ht="16.5" spans="1:16">
      <c r="A137" s="173"/>
      <c r="B137" s="151" t="s">
        <v>1875</v>
      </c>
      <c r="C137" s="42"/>
      <c r="D137" s="46"/>
      <c r="E137" s="53"/>
      <c r="F137" s="54" t="s">
        <v>4095</v>
      </c>
      <c r="G137" s="56"/>
      <c r="H137" s="56"/>
      <c r="I137" s="124"/>
      <c r="J137" s="72"/>
      <c r="K137" s="72"/>
      <c r="L137" s="53">
        <v>7.2008</v>
      </c>
      <c r="M137" s="88"/>
      <c r="N137" s="88"/>
      <c r="O137" s="177"/>
      <c r="P137" s="89"/>
    </row>
    <row r="138" ht="16.5" spans="1:16">
      <c r="A138" s="173"/>
      <c r="B138" s="151" t="s">
        <v>1875</v>
      </c>
      <c r="C138" s="42"/>
      <c r="D138" s="46"/>
      <c r="E138" s="53"/>
      <c r="F138" s="54" t="s">
        <v>4095</v>
      </c>
      <c r="G138" s="56"/>
      <c r="H138" s="56"/>
      <c r="I138" s="124"/>
      <c r="J138" s="72"/>
      <c r="K138" s="72"/>
      <c r="L138" s="53">
        <v>7.2008</v>
      </c>
      <c r="M138" s="88"/>
      <c r="N138" s="88"/>
      <c r="O138" s="177"/>
      <c r="P138" s="89"/>
    </row>
    <row r="139" ht="16.5" spans="1:16">
      <c r="A139" s="173"/>
      <c r="B139" s="151" t="s">
        <v>1875</v>
      </c>
      <c r="C139" s="42"/>
      <c r="D139" s="46"/>
      <c r="E139" s="58"/>
      <c r="F139" s="54" t="s">
        <v>4139</v>
      </c>
      <c r="G139" s="53"/>
      <c r="H139" s="56"/>
      <c r="I139" s="124"/>
      <c r="J139" s="68"/>
      <c r="K139" s="68"/>
      <c r="L139" s="53">
        <v>7.2008</v>
      </c>
      <c r="M139" s="143"/>
      <c r="N139" s="84"/>
      <c r="O139" s="162"/>
      <c r="P139" s="86"/>
    </row>
    <row r="140" ht="16.5" spans="1:16">
      <c r="A140" s="173"/>
      <c r="B140" s="151" t="s">
        <v>1875</v>
      </c>
      <c r="C140" s="42"/>
      <c r="D140" s="46"/>
      <c r="E140" s="58"/>
      <c r="F140" s="54" t="s">
        <v>4139</v>
      </c>
      <c r="G140" s="53"/>
      <c r="H140" s="56"/>
      <c r="I140" s="124"/>
      <c r="J140" s="68"/>
      <c r="K140" s="68"/>
      <c r="L140" s="53">
        <v>7.2008</v>
      </c>
      <c r="M140" s="143"/>
      <c r="N140" s="84"/>
      <c r="O140" s="162"/>
      <c r="P140" s="86"/>
    </row>
    <row r="141" ht="16.5" spans="1:16">
      <c r="A141" s="173"/>
      <c r="B141" s="151" t="s">
        <v>1875</v>
      </c>
      <c r="C141" s="42"/>
      <c r="D141" s="46"/>
      <c r="E141" s="58"/>
      <c r="F141" s="54" t="s">
        <v>4090</v>
      </c>
      <c r="G141" s="53"/>
      <c r="H141" s="56"/>
      <c r="I141" s="124"/>
      <c r="J141" s="68"/>
      <c r="K141" s="68"/>
      <c r="L141" s="53">
        <v>7.2008</v>
      </c>
      <c r="M141" s="143"/>
      <c r="N141" s="84"/>
      <c r="O141" s="162"/>
      <c r="P141" s="86"/>
    </row>
    <row r="142" ht="16.5" spans="1:16">
      <c r="A142" s="173"/>
      <c r="B142" s="151" t="s">
        <v>1875</v>
      </c>
      <c r="C142" s="42"/>
      <c r="D142" s="46"/>
      <c r="E142" s="54"/>
      <c r="F142" s="54" t="s">
        <v>4090</v>
      </c>
      <c r="G142" s="53"/>
      <c r="H142" s="56"/>
      <c r="I142" s="124"/>
      <c r="J142" s="68"/>
      <c r="K142" s="68"/>
      <c r="L142" s="53">
        <v>7.2008</v>
      </c>
      <c r="M142" s="143"/>
      <c r="N142" s="84"/>
      <c r="O142" s="162"/>
      <c r="P142" s="86"/>
    </row>
    <row r="143" ht="18" customHeight="1" spans="1:20">
      <c r="A143" s="173"/>
      <c r="B143" s="151" t="s">
        <v>1875</v>
      </c>
      <c r="C143" s="112" t="s">
        <v>4092</v>
      </c>
      <c r="D143" s="46"/>
      <c r="E143" s="121"/>
      <c r="F143" s="54" t="s">
        <v>4139</v>
      </c>
      <c r="G143" s="53" t="s">
        <v>4405</v>
      </c>
      <c r="H143" s="56"/>
      <c r="I143" s="124"/>
      <c r="J143" s="68"/>
      <c r="K143" s="68"/>
      <c r="L143" s="53">
        <v>7.2008</v>
      </c>
      <c r="M143" s="143"/>
      <c r="N143" s="84"/>
      <c r="O143" s="162"/>
      <c r="P143" s="86"/>
      <c r="Q143" s="182"/>
      <c r="R143" s="35"/>
      <c r="S143" s="99"/>
      <c r="T143" s="100"/>
    </row>
    <row r="144" ht="18" customHeight="1" spans="1:20">
      <c r="A144" s="173"/>
      <c r="B144" s="151" t="s">
        <v>1875</v>
      </c>
      <c r="C144" s="42"/>
      <c r="D144" s="46"/>
      <c r="E144" s="121"/>
      <c r="F144" s="54" t="s">
        <v>4081</v>
      </c>
      <c r="G144" s="155" t="s">
        <v>4150</v>
      </c>
      <c r="H144" s="56"/>
      <c r="I144" s="124"/>
      <c r="J144" s="68"/>
      <c r="K144" s="130"/>
      <c r="L144" s="53">
        <v>7.2008</v>
      </c>
      <c r="M144" s="143"/>
      <c r="N144" s="134">
        <v>45708</v>
      </c>
      <c r="O144" s="81">
        <v>45713</v>
      </c>
      <c r="P144" s="90"/>
      <c r="Q144" s="53"/>
      <c r="R144" s="35"/>
      <c r="S144" s="183"/>
      <c r="T144" s="184" t="s">
        <v>4481</v>
      </c>
    </row>
    <row r="145" ht="18" customHeight="1" spans="1:20">
      <c r="A145" s="173"/>
      <c r="B145" s="151" t="s">
        <v>1875</v>
      </c>
      <c r="C145" s="42"/>
      <c r="D145" s="46"/>
      <c r="E145" s="58"/>
      <c r="F145" s="58" t="s">
        <v>4081</v>
      </c>
      <c r="G145" s="53"/>
      <c r="H145" s="56"/>
      <c r="I145" s="124"/>
      <c r="J145" s="68"/>
      <c r="K145" s="68"/>
      <c r="L145" s="53">
        <v>7.2008</v>
      </c>
      <c r="M145" s="143"/>
      <c r="N145" s="84"/>
      <c r="O145" s="162"/>
      <c r="P145" s="86"/>
      <c r="Q145" s="182"/>
      <c r="R145" s="35"/>
      <c r="S145" s="99"/>
      <c r="T145" s="100"/>
    </row>
    <row r="146" ht="18" customHeight="1" spans="1:20">
      <c r="A146" s="173"/>
      <c r="B146" s="151" t="s">
        <v>1875</v>
      </c>
      <c r="C146" s="42"/>
      <c r="D146" s="46"/>
      <c r="E146" s="109"/>
      <c r="F146" s="54" t="s">
        <v>4081</v>
      </c>
      <c r="G146" s="53" t="s">
        <v>4344</v>
      </c>
      <c r="H146" s="56"/>
      <c r="I146" s="124"/>
      <c r="J146" s="72"/>
      <c r="K146" s="72"/>
      <c r="L146" s="53">
        <v>7.2008</v>
      </c>
      <c r="M146" s="88"/>
      <c r="N146" s="88"/>
      <c r="O146" s="88"/>
      <c r="P146" s="89"/>
      <c r="Q146" s="182"/>
      <c r="R146" s="35"/>
      <c r="S146" s="99"/>
      <c r="T146" s="100"/>
    </row>
    <row r="147" ht="18" customHeight="1" spans="1:20">
      <c r="A147" s="172"/>
      <c r="B147" s="151" t="s">
        <v>1875</v>
      </c>
      <c r="C147" s="42"/>
      <c r="D147" s="103"/>
      <c r="E147" s="109"/>
      <c r="F147" s="58" t="s">
        <v>4192</v>
      </c>
      <c r="G147" s="48"/>
      <c r="H147" s="48"/>
      <c r="I147" s="124"/>
      <c r="J147" s="73"/>
      <c r="K147" s="72"/>
      <c r="L147" s="53">
        <v>7.2008</v>
      </c>
      <c r="M147" s="141"/>
      <c r="N147" s="178"/>
      <c r="O147" s="178"/>
      <c r="P147" s="82"/>
      <c r="Q147" s="98"/>
      <c r="R147" s="41"/>
      <c r="S147" s="40"/>
      <c r="T147" s="72"/>
    </row>
    <row r="148" ht="18" customHeight="1" spans="1:20">
      <c r="A148" s="172"/>
      <c r="B148" s="151" t="s">
        <v>1875</v>
      </c>
      <c r="C148" s="42"/>
      <c r="D148" s="103"/>
      <c r="E148" s="48"/>
      <c r="F148" s="58" t="s">
        <v>4207</v>
      </c>
      <c r="G148" s="48" t="s">
        <v>1489</v>
      </c>
      <c r="H148" s="56"/>
      <c r="I148" s="124"/>
      <c r="J148" s="73"/>
      <c r="K148" s="72"/>
      <c r="L148" s="53">
        <v>7.2008</v>
      </c>
      <c r="M148" s="141"/>
      <c r="N148" s="178"/>
      <c r="O148" s="178"/>
      <c r="P148" s="82"/>
      <c r="Q148" s="98"/>
      <c r="R148" s="41"/>
      <c r="S148" s="40"/>
      <c r="T148" s="72"/>
    </row>
    <row r="149" ht="18" customHeight="1" spans="1:20">
      <c r="A149" s="172"/>
      <c r="B149" s="151" t="s">
        <v>1875</v>
      </c>
      <c r="C149" s="42"/>
      <c r="D149" s="103"/>
      <c r="E149" s="53"/>
      <c r="F149" s="58" t="s">
        <v>4192</v>
      </c>
      <c r="G149" s="48"/>
      <c r="H149" s="56"/>
      <c r="I149" s="124"/>
      <c r="J149" s="73"/>
      <c r="K149" s="72"/>
      <c r="L149" s="53">
        <v>7.2008</v>
      </c>
      <c r="M149" s="141"/>
      <c r="N149" s="178"/>
      <c r="O149" s="178"/>
      <c r="P149" s="82"/>
      <c r="Q149" s="98"/>
      <c r="R149" s="41"/>
      <c r="S149" s="40"/>
      <c r="T149" s="72"/>
    </row>
    <row r="150" ht="18" customHeight="1" spans="1:20">
      <c r="A150" s="172"/>
      <c r="B150" s="151" t="s">
        <v>1875</v>
      </c>
      <c r="C150" s="42"/>
      <c r="D150" s="103"/>
      <c r="E150" s="48"/>
      <c r="F150" s="58" t="s">
        <v>4207</v>
      </c>
      <c r="G150" s="48"/>
      <c r="H150" s="48"/>
      <c r="I150" s="124"/>
      <c r="J150" s="73"/>
      <c r="K150" s="72"/>
      <c r="L150" s="53">
        <v>7.2008</v>
      </c>
      <c r="M150" s="141"/>
      <c r="N150" s="178"/>
      <c r="O150" s="178"/>
      <c r="P150" s="82"/>
      <c r="Q150" s="98"/>
      <c r="R150" s="41"/>
      <c r="S150" s="40"/>
      <c r="T150" s="69"/>
    </row>
    <row r="151" ht="18" customHeight="1" spans="1:20">
      <c r="A151" s="172"/>
      <c r="B151" s="151" t="s">
        <v>1875</v>
      </c>
      <c r="C151" s="42"/>
      <c r="D151" s="103"/>
      <c r="E151" s="109"/>
      <c r="F151" s="58" t="s">
        <v>4207</v>
      </c>
      <c r="G151" s="48"/>
      <c r="H151" s="48"/>
      <c r="I151" s="124"/>
      <c r="J151" s="73"/>
      <c r="K151" s="72"/>
      <c r="L151" s="53">
        <v>7.2008</v>
      </c>
      <c r="M151" s="141"/>
      <c r="N151" s="178"/>
      <c r="O151" s="178"/>
      <c r="P151" s="82"/>
      <c r="Q151" s="98"/>
      <c r="R151" s="41"/>
      <c r="S151" s="40"/>
      <c r="T151" s="69"/>
    </row>
    <row r="152" ht="18" customHeight="1" spans="1:20">
      <c r="A152" s="172"/>
      <c r="B152" s="151" t="s">
        <v>1875</v>
      </c>
      <c r="C152" s="42"/>
      <c r="D152" s="103"/>
      <c r="E152" s="48"/>
      <c r="F152" s="58" t="s">
        <v>4192</v>
      </c>
      <c r="G152" s="48"/>
      <c r="H152" s="48"/>
      <c r="I152" s="124"/>
      <c r="J152" s="73"/>
      <c r="K152" s="72"/>
      <c r="L152" s="53">
        <v>7.2008</v>
      </c>
      <c r="M152" s="141"/>
      <c r="N152" s="178"/>
      <c r="O152" s="178"/>
      <c r="P152" s="82"/>
      <c r="Q152" s="98"/>
      <c r="R152" s="41"/>
      <c r="S152" s="40"/>
      <c r="T152" s="69"/>
    </row>
    <row r="153" ht="18" customHeight="1" spans="1:20">
      <c r="A153" s="172"/>
      <c r="B153" s="151" t="s">
        <v>1875</v>
      </c>
      <c r="C153" s="42"/>
      <c r="D153" s="103"/>
      <c r="E153" s="175"/>
      <c r="F153" s="58" t="s">
        <v>4192</v>
      </c>
      <c r="G153" s="48"/>
      <c r="H153" s="48"/>
      <c r="I153" s="124"/>
      <c r="J153" s="73"/>
      <c r="K153" s="72"/>
      <c r="L153" s="53">
        <v>7.2008</v>
      </c>
      <c r="M153" s="141"/>
      <c r="N153" s="178"/>
      <c r="O153" s="178"/>
      <c r="P153" s="82"/>
      <c r="Q153" s="98"/>
      <c r="R153" s="41"/>
      <c r="S153" s="40"/>
      <c r="T153" s="69"/>
    </row>
    <row r="154" ht="18" customHeight="1" spans="1:20">
      <c r="A154" s="172"/>
      <c r="B154" s="151" t="s">
        <v>1875</v>
      </c>
      <c r="C154" s="42"/>
      <c r="D154" s="103"/>
      <c r="E154" s="48"/>
      <c r="F154" s="58" t="s">
        <v>4192</v>
      </c>
      <c r="G154" s="48"/>
      <c r="H154" s="48"/>
      <c r="I154" s="124"/>
      <c r="J154" s="73"/>
      <c r="K154" s="72"/>
      <c r="L154" s="53">
        <v>7.2008</v>
      </c>
      <c r="M154" s="141"/>
      <c r="N154" s="178"/>
      <c r="O154" s="178"/>
      <c r="P154" s="179"/>
      <c r="Q154" s="98"/>
      <c r="R154" s="41"/>
      <c r="S154" s="40"/>
      <c r="T154" s="69"/>
    </row>
    <row r="155" ht="18" customHeight="1" spans="1:20">
      <c r="A155" s="172"/>
      <c r="B155" s="151" t="s">
        <v>1875</v>
      </c>
      <c r="C155" s="42"/>
      <c r="D155" s="103"/>
      <c r="E155" s="48"/>
      <c r="F155" s="58" t="s">
        <v>4207</v>
      </c>
      <c r="G155" s="48"/>
      <c r="H155" s="48"/>
      <c r="I155" s="124"/>
      <c r="J155" s="73"/>
      <c r="K155" s="72"/>
      <c r="L155" s="53">
        <v>7.2008</v>
      </c>
      <c r="M155" s="141"/>
      <c r="N155" s="178"/>
      <c r="O155" s="178"/>
      <c r="P155" s="82"/>
      <c r="Q155" s="98"/>
      <c r="R155" s="41"/>
      <c r="S155" s="40"/>
      <c r="T155" s="72"/>
    </row>
    <row r="156" ht="18" customHeight="1" spans="1:20">
      <c r="A156" s="172"/>
      <c r="B156" s="151" t="s">
        <v>1875</v>
      </c>
      <c r="C156" s="42"/>
      <c r="D156" s="103"/>
      <c r="E156" s="116"/>
      <c r="F156" s="118" t="s">
        <v>4192</v>
      </c>
      <c r="G156" s="116"/>
      <c r="H156" s="116"/>
      <c r="I156" s="124"/>
      <c r="J156" s="127"/>
      <c r="K156" s="126"/>
      <c r="L156" s="53">
        <v>7.2008</v>
      </c>
      <c r="M156" s="132"/>
      <c r="N156" s="180"/>
      <c r="O156" s="180"/>
      <c r="P156" s="135"/>
      <c r="Q156" s="98"/>
      <c r="R156" s="41"/>
      <c r="S156" s="40"/>
      <c r="T156" s="72"/>
    </row>
    <row r="157" ht="18" customHeight="1" spans="1:20">
      <c r="A157" s="172"/>
      <c r="B157" s="151" t="s">
        <v>1875</v>
      </c>
      <c r="C157" s="42"/>
      <c r="D157" s="103"/>
      <c r="E157" s="109"/>
      <c r="F157" s="118" t="s">
        <v>4192</v>
      </c>
      <c r="G157" s="69"/>
      <c r="H157" s="69"/>
      <c r="I157" s="69"/>
      <c r="J157" s="69"/>
      <c r="K157" s="69"/>
      <c r="L157" s="53">
        <v>7.2008</v>
      </c>
      <c r="M157" s="69"/>
      <c r="N157" s="165"/>
      <c r="O157" s="69"/>
      <c r="P157" s="181"/>
      <c r="Q157" s="98"/>
      <c r="R157" s="41"/>
      <c r="S157" s="40"/>
      <c r="T157" s="72"/>
    </row>
    <row r="158" ht="18" customHeight="1" spans="1:20">
      <c r="A158" s="172"/>
      <c r="B158" s="151" t="s">
        <v>1875</v>
      </c>
      <c r="C158" s="42"/>
      <c r="D158" s="103"/>
      <c r="E158" s="175"/>
      <c r="F158" s="118" t="s">
        <v>4188</v>
      </c>
      <c r="G158" s="69"/>
      <c r="H158" s="69"/>
      <c r="I158" s="124"/>
      <c r="J158" s="69"/>
      <c r="K158" s="69"/>
      <c r="L158" s="53">
        <v>7.2008</v>
      </c>
      <c r="M158" s="93"/>
      <c r="N158" s="94"/>
      <c r="O158" s="93"/>
      <c r="P158" s="90"/>
      <c r="Q158" s="53"/>
      <c r="R158" s="35"/>
      <c r="S158" s="183"/>
      <c r="T158" s="185"/>
    </row>
    <row r="159" ht="18" customHeight="1" spans="1:20">
      <c r="A159" s="172"/>
      <c r="B159" s="151" t="s">
        <v>1875</v>
      </c>
      <c r="C159" s="42"/>
      <c r="D159" s="103"/>
      <c r="E159" s="53"/>
      <c r="F159" s="118" t="s">
        <v>4192</v>
      </c>
      <c r="G159" s="69"/>
      <c r="H159" s="69"/>
      <c r="I159" s="124"/>
      <c r="J159" s="69"/>
      <c r="K159" s="69"/>
      <c r="L159" s="53">
        <v>7.2008</v>
      </c>
      <c r="M159" s="93"/>
      <c r="N159" s="94"/>
      <c r="O159" s="93"/>
      <c r="P159" s="90"/>
      <c r="Q159" s="53"/>
      <c r="R159" s="35"/>
      <c r="S159" s="183"/>
      <c r="T159" s="185"/>
    </row>
    <row r="160" ht="18" customHeight="1" spans="1:20">
      <c r="A160" s="172"/>
      <c r="B160" s="151" t="s">
        <v>1875</v>
      </c>
      <c r="C160" s="42"/>
      <c r="D160" s="103"/>
      <c r="E160" s="53"/>
      <c r="F160" s="58" t="s">
        <v>4207</v>
      </c>
      <c r="G160" s="69"/>
      <c r="H160" s="69"/>
      <c r="I160" s="124"/>
      <c r="J160" s="69"/>
      <c r="K160" s="69"/>
      <c r="L160" s="53">
        <v>7.2008</v>
      </c>
      <c r="M160" s="93"/>
      <c r="N160" s="94"/>
      <c r="O160" s="93"/>
      <c r="P160" s="90"/>
      <c r="Q160" s="53"/>
      <c r="R160" s="35"/>
      <c r="S160" s="183"/>
      <c r="T160" s="185"/>
    </row>
    <row r="161" ht="18" customHeight="1" spans="1:20">
      <c r="A161" s="172"/>
      <c r="B161" s="151" t="s">
        <v>1875</v>
      </c>
      <c r="C161" s="42"/>
      <c r="D161" s="103"/>
      <c r="E161" s="109"/>
      <c r="F161" s="58" t="s">
        <v>4192</v>
      </c>
      <c r="G161" s="69"/>
      <c r="H161" s="69"/>
      <c r="I161" s="124"/>
      <c r="J161" s="69"/>
      <c r="K161" s="69"/>
      <c r="L161" s="53">
        <v>7.2008</v>
      </c>
      <c r="M161" s="93"/>
      <c r="N161" s="94"/>
      <c r="O161" s="93"/>
      <c r="P161" s="90"/>
      <c r="Q161" s="53"/>
      <c r="R161" s="35"/>
      <c r="S161" s="183"/>
      <c r="T161" s="185"/>
    </row>
    <row r="162" ht="18" customHeight="1" spans="1:20">
      <c r="A162" s="172"/>
      <c r="B162" s="151" t="s">
        <v>1875</v>
      </c>
      <c r="C162" s="42"/>
      <c r="D162" s="103"/>
      <c r="E162" s="58"/>
      <c r="F162" s="58" t="s">
        <v>4192</v>
      </c>
      <c r="G162" s="69"/>
      <c r="H162" s="69"/>
      <c r="I162" s="124"/>
      <c r="J162" s="69"/>
      <c r="K162" s="69"/>
      <c r="L162" s="53">
        <v>7.2008</v>
      </c>
      <c r="M162" s="93"/>
      <c r="N162" s="94"/>
      <c r="O162" s="93"/>
      <c r="P162" s="90"/>
      <c r="Q162" s="53"/>
      <c r="R162" s="35"/>
      <c r="S162" s="183"/>
      <c r="T162" s="185"/>
    </row>
    <row r="163" ht="18" customHeight="1" spans="1:20">
      <c r="A163" s="172"/>
      <c r="B163" s="151" t="s">
        <v>1875</v>
      </c>
      <c r="C163" s="42"/>
      <c r="D163" s="103"/>
      <c r="E163" s="58"/>
      <c r="F163" s="58" t="s">
        <v>4192</v>
      </c>
      <c r="G163" s="69"/>
      <c r="H163" s="69"/>
      <c r="I163" s="124"/>
      <c r="J163" s="69"/>
      <c r="K163" s="69"/>
      <c r="L163" s="53">
        <v>7.2008</v>
      </c>
      <c r="M163" s="93"/>
      <c r="N163" s="94"/>
      <c r="O163" s="93"/>
      <c r="P163" s="90"/>
      <c r="Q163" s="53"/>
      <c r="R163" s="35"/>
      <c r="S163" s="183"/>
      <c r="T163" s="185"/>
    </row>
    <row r="164" ht="18" customHeight="1" spans="1:20">
      <c r="A164" s="172"/>
      <c r="B164" s="151" t="s">
        <v>1875</v>
      </c>
      <c r="C164" s="42"/>
      <c r="D164" s="103"/>
      <c r="E164" s="58"/>
      <c r="F164" s="58" t="s">
        <v>4192</v>
      </c>
      <c r="G164" s="69"/>
      <c r="H164" s="69"/>
      <c r="I164" s="124"/>
      <c r="J164" s="69"/>
      <c r="K164" s="69"/>
      <c r="L164" s="53">
        <v>7.2008</v>
      </c>
      <c r="M164" s="93"/>
      <c r="N164" s="94"/>
      <c r="O164" s="93"/>
      <c r="P164" s="90"/>
      <c r="Q164" s="53"/>
      <c r="R164" s="35"/>
      <c r="S164" s="183"/>
      <c r="T164" s="185"/>
    </row>
    <row r="165" ht="18" customHeight="1" spans="1:20">
      <c r="A165" s="172"/>
      <c r="B165" s="151" t="s">
        <v>1875</v>
      </c>
      <c r="C165" s="42"/>
      <c r="D165" s="103"/>
      <c r="E165" s="58"/>
      <c r="F165" s="118" t="s">
        <v>4188</v>
      </c>
      <c r="G165" s="69"/>
      <c r="H165" s="69"/>
      <c r="I165" s="206"/>
      <c r="J165" s="69"/>
      <c r="K165" s="69"/>
      <c r="L165" s="53">
        <v>7.2008</v>
      </c>
      <c r="M165" s="93"/>
      <c r="N165" s="94"/>
      <c r="O165" s="93"/>
      <c r="P165" s="90"/>
      <c r="Q165" s="53"/>
      <c r="R165" s="35"/>
      <c r="S165" s="183"/>
      <c r="T165" s="185"/>
    </row>
    <row r="166" ht="18" customHeight="1" spans="1:20">
      <c r="A166" s="172"/>
      <c r="B166" s="151" t="s">
        <v>1875</v>
      </c>
      <c r="C166" s="42"/>
      <c r="D166" s="103"/>
      <c r="E166" s="121"/>
      <c r="F166" s="58" t="s">
        <v>4192</v>
      </c>
      <c r="G166" s="69"/>
      <c r="H166" s="69"/>
      <c r="I166" s="124"/>
      <c r="J166" s="69"/>
      <c r="K166" s="69"/>
      <c r="L166" s="53">
        <v>7.2008</v>
      </c>
      <c r="M166" s="93"/>
      <c r="N166" s="94"/>
      <c r="O166" s="93"/>
      <c r="P166" s="90"/>
      <c r="Q166" s="53"/>
      <c r="R166" s="35"/>
      <c r="S166" s="183"/>
      <c r="T166" s="185"/>
    </row>
    <row r="167" ht="18" customHeight="1" spans="1:20">
      <c r="A167" s="172"/>
      <c r="B167" s="151" t="s">
        <v>1875</v>
      </c>
      <c r="C167" s="42"/>
      <c r="D167" s="103"/>
      <c r="E167" s="58"/>
      <c r="F167" s="58" t="s">
        <v>4192</v>
      </c>
      <c r="G167" s="69"/>
      <c r="H167" s="69"/>
      <c r="I167" s="124"/>
      <c r="J167" s="69"/>
      <c r="K167" s="69"/>
      <c r="L167" s="53">
        <v>7.2008</v>
      </c>
      <c r="M167" s="93"/>
      <c r="N167" s="94"/>
      <c r="O167" s="93"/>
      <c r="P167" s="90"/>
      <c r="Q167" s="53"/>
      <c r="R167" s="35"/>
      <c r="S167" s="183"/>
      <c r="T167" s="185"/>
    </row>
    <row r="168" ht="18" customHeight="1" spans="1:20">
      <c r="A168" s="172"/>
      <c r="B168" s="151" t="s">
        <v>1875</v>
      </c>
      <c r="C168" s="103"/>
      <c r="D168" s="103"/>
      <c r="E168" s="121"/>
      <c r="F168" s="54" t="s">
        <v>4081</v>
      </c>
      <c r="G168" s="69"/>
      <c r="H168" s="69"/>
      <c r="I168" s="124"/>
      <c r="J168" s="69"/>
      <c r="K168" s="69"/>
      <c r="L168" s="53">
        <v>7.2008</v>
      </c>
      <c r="M168" s="93"/>
      <c r="N168" s="94"/>
      <c r="O168" s="93"/>
      <c r="P168" s="90"/>
      <c r="Q168" s="53"/>
      <c r="R168" s="35"/>
      <c r="S168" s="183"/>
      <c r="T168" s="185"/>
    </row>
    <row r="169" ht="18" customHeight="1" spans="1:20">
      <c r="A169" s="172"/>
      <c r="B169" s="151" t="s">
        <v>1875</v>
      </c>
      <c r="C169" s="103"/>
      <c r="D169" s="103"/>
      <c r="E169" s="121"/>
      <c r="F169" s="58" t="s">
        <v>4192</v>
      </c>
      <c r="G169" s="69"/>
      <c r="H169" s="69"/>
      <c r="I169" s="124"/>
      <c r="J169" s="69"/>
      <c r="K169" s="69"/>
      <c r="L169" s="53">
        <v>7.2008</v>
      </c>
      <c r="M169" s="93"/>
      <c r="N169" s="94"/>
      <c r="O169" s="93"/>
      <c r="P169" s="90"/>
      <c r="Q169" s="53"/>
      <c r="R169" s="35"/>
      <c r="S169" s="183"/>
      <c r="T169" s="185"/>
    </row>
    <row r="170" ht="16.5" spans="1:16">
      <c r="A170" s="172"/>
      <c r="B170" s="151" t="s">
        <v>1875</v>
      </c>
      <c r="C170" s="103"/>
      <c r="D170" s="103"/>
      <c r="E170" s="121"/>
      <c r="F170" s="54" t="s">
        <v>4095</v>
      </c>
      <c r="G170" s="69"/>
      <c r="H170" s="69"/>
      <c r="I170" s="124"/>
      <c r="J170" s="69"/>
      <c r="K170" s="69"/>
      <c r="L170" s="53">
        <v>7.2008</v>
      </c>
      <c r="M170" s="93"/>
      <c r="N170" s="94"/>
      <c r="O170" s="93"/>
      <c r="P170" s="90"/>
    </row>
    <row r="171" ht="16.5" spans="1:16">
      <c r="A171" s="172"/>
      <c r="B171" s="151" t="s">
        <v>1875</v>
      </c>
      <c r="C171" s="103"/>
      <c r="D171" s="103"/>
      <c r="E171" s="58"/>
      <c r="F171" s="54"/>
      <c r="G171" s="69"/>
      <c r="H171" s="69"/>
      <c r="I171" s="124"/>
      <c r="J171" s="69"/>
      <c r="K171" s="69"/>
      <c r="L171" s="53"/>
      <c r="M171" s="93"/>
      <c r="N171" s="94"/>
      <c r="O171" s="93"/>
      <c r="P171" s="90"/>
    </row>
    <row r="172" ht="16.5" spans="1:16">
      <c r="A172" s="172"/>
      <c r="B172" s="151" t="s">
        <v>1875</v>
      </c>
      <c r="C172" s="116" t="s">
        <v>4407</v>
      </c>
      <c r="D172" s="103"/>
      <c r="E172" s="58"/>
      <c r="F172" s="54" t="s">
        <v>4081</v>
      </c>
      <c r="G172" s="69"/>
      <c r="H172" s="69"/>
      <c r="I172" s="71"/>
      <c r="J172" s="69"/>
      <c r="K172" s="69"/>
      <c r="L172" s="53">
        <v>7.2008</v>
      </c>
      <c r="M172" s="93"/>
      <c r="N172" s="94"/>
      <c r="O172" s="93"/>
      <c r="P172" s="90"/>
    </row>
    <row r="173" ht="16.5" spans="1:16">
      <c r="A173" s="115"/>
      <c r="B173" s="151" t="s">
        <v>1875</v>
      </c>
      <c r="C173" s="42"/>
      <c r="D173" s="46"/>
      <c r="E173"/>
      <c r="F173"/>
      <c r="G173"/>
      <c r="H173"/>
      <c r="I173"/>
      <c r="J173"/>
      <c r="K173"/>
      <c r="L173"/>
      <c r="M173"/>
      <c r="N173"/>
      <c r="O173"/>
      <c r="P173"/>
    </row>
    <row r="174" ht="16.5" spans="1:16">
      <c r="A174" s="172"/>
      <c r="B174" s="151" t="s">
        <v>1875</v>
      </c>
      <c r="C174" s="103"/>
      <c r="D174" s="103"/>
      <c r="E174" s="48"/>
      <c r="F174" s="54" t="s">
        <v>4081</v>
      </c>
      <c r="G174" s="48"/>
      <c r="H174" s="48"/>
      <c r="I174" s="124"/>
      <c r="J174" s="73"/>
      <c r="K174" s="72"/>
      <c r="L174" s="53"/>
      <c r="M174" s="141"/>
      <c r="N174" s="178"/>
      <c r="O174" s="178"/>
      <c r="P174" s="82"/>
    </row>
    <row r="175" ht="16.5" spans="1:16">
      <c r="A175" s="32" t="s">
        <v>1913</v>
      </c>
      <c r="B175" s="106" t="s">
        <v>1824</v>
      </c>
      <c r="C175" s="112" t="s">
        <v>1248</v>
      </c>
      <c r="D175" s="43">
        <v>455</v>
      </c>
      <c r="E175" s="194"/>
      <c r="F175" s="120" t="s">
        <v>4139</v>
      </c>
      <c r="G175" s="53" t="s">
        <v>4482</v>
      </c>
      <c r="H175" s="195"/>
      <c r="I175" s="64"/>
      <c r="J175" s="72"/>
      <c r="K175" s="72"/>
      <c r="L175" s="53">
        <v>7.2008</v>
      </c>
      <c r="M175" s="87" t="s">
        <v>1218</v>
      </c>
      <c r="N175" s="87" t="s">
        <v>621</v>
      </c>
      <c r="O175" s="87" t="s">
        <v>621</v>
      </c>
      <c r="P175" s="207"/>
    </row>
    <row r="176" ht="16.5" spans="1:16">
      <c r="A176" s="32"/>
      <c r="B176" s="106" t="s">
        <v>1824</v>
      </c>
      <c r="C176" s="42"/>
      <c r="D176" s="38"/>
      <c r="E176" s="196"/>
      <c r="F176" s="197"/>
      <c r="G176" s="53" t="s">
        <v>4483</v>
      </c>
      <c r="H176" s="195"/>
      <c r="I176" s="64"/>
      <c r="J176" s="72"/>
      <c r="K176" s="72"/>
      <c r="L176" s="53">
        <v>7.2008</v>
      </c>
      <c r="M176" s="87" t="s">
        <v>1218</v>
      </c>
      <c r="N176" s="87" t="s">
        <v>621</v>
      </c>
      <c r="O176" s="87" t="s">
        <v>621</v>
      </c>
      <c r="P176" s="207"/>
    </row>
    <row r="177" ht="16.5" spans="1:16">
      <c r="A177" s="32"/>
      <c r="B177" s="106" t="s">
        <v>1824</v>
      </c>
      <c r="C177" s="42"/>
      <c r="D177" s="38"/>
      <c r="E177" s="198"/>
      <c r="F177" s="120" t="s">
        <v>4087</v>
      </c>
      <c r="G177" s="53" t="s">
        <v>4411</v>
      </c>
      <c r="H177" s="195"/>
      <c r="I177" s="64"/>
      <c r="J177" s="72"/>
      <c r="K177" s="72"/>
      <c r="L177" s="53">
        <v>7.2008</v>
      </c>
      <c r="M177" s="87" t="s">
        <v>1218</v>
      </c>
      <c r="N177" s="81">
        <v>45744</v>
      </c>
      <c r="O177" s="81">
        <v>45752</v>
      </c>
      <c r="P177" s="207"/>
    </row>
    <row r="178" ht="16.5" spans="1:16">
      <c r="A178" s="32"/>
      <c r="B178" s="106" t="s">
        <v>1824</v>
      </c>
      <c r="C178" s="42"/>
      <c r="D178" s="38"/>
      <c r="E178" s="199"/>
      <c r="F178" s="197"/>
      <c r="G178" s="53" t="s">
        <v>4412</v>
      </c>
      <c r="H178" s="195"/>
      <c r="I178" s="64"/>
      <c r="J178" s="72"/>
      <c r="K178" s="72"/>
      <c r="L178" s="53">
        <v>7.2008</v>
      </c>
      <c r="M178" s="87" t="s">
        <v>1218</v>
      </c>
      <c r="N178" s="87">
        <v>45774</v>
      </c>
      <c r="O178" s="87">
        <v>45781</v>
      </c>
      <c r="P178" s="207"/>
    </row>
    <row r="179" ht="16.5" spans="1:16">
      <c r="A179" s="32"/>
      <c r="B179" s="106" t="s">
        <v>1824</v>
      </c>
      <c r="C179" s="42"/>
      <c r="D179" s="38"/>
      <c r="E179" s="199"/>
      <c r="F179" s="197"/>
      <c r="G179" s="53" t="s">
        <v>4484</v>
      </c>
      <c r="H179" s="200"/>
      <c r="I179" s="64"/>
      <c r="J179" s="72"/>
      <c r="K179" s="72"/>
      <c r="L179" s="53">
        <v>7.2008</v>
      </c>
      <c r="M179" s="87" t="s">
        <v>1218</v>
      </c>
      <c r="N179" s="87">
        <v>45776</v>
      </c>
      <c r="O179" s="87" t="s">
        <v>621</v>
      </c>
      <c r="P179" s="207"/>
    </row>
    <row r="180" ht="16.5" spans="1:16">
      <c r="A180" s="32"/>
      <c r="B180" s="106" t="s">
        <v>1824</v>
      </c>
      <c r="C180" s="186" t="s">
        <v>1922</v>
      </c>
      <c r="D180" s="35">
        <v>113</v>
      </c>
      <c r="E180" s="57"/>
      <c r="F180" s="201" t="s">
        <v>4113</v>
      </c>
      <c r="G180" s="58" t="s">
        <v>4485</v>
      </c>
      <c r="H180"/>
      <c r="I180" s="71"/>
      <c r="J180" s="72"/>
      <c r="K180" s="72"/>
      <c r="L180" s="53">
        <v>7.2008</v>
      </c>
      <c r="M180" s="87" t="s">
        <v>1218</v>
      </c>
      <c r="N180" s="87">
        <v>45773</v>
      </c>
      <c r="O180" s="81">
        <v>45778</v>
      </c>
      <c r="P180" s="207"/>
    </row>
    <row r="181" ht="16.5" spans="1:16">
      <c r="A181" s="114"/>
      <c r="B181" s="106" t="s">
        <v>1824</v>
      </c>
      <c r="C181" s="186"/>
      <c r="D181" s="35"/>
      <c r="E181" s="57"/>
      <c r="F181" s="201" t="s">
        <v>4113</v>
      </c>
      <c r="G181" s="58" t="s">
        <v>4486</v>
      </c>
      <c r="H181" s="200"/>
      <c r="I181" s="64"/>
      <c r="J181" s="72"/>
      <c r="K181" s="72"/>
      <c r="L181" s="53">
        <v>7.2008</v>
      </c>
      <c r="M181" s="87" t="s">
        <v>1218</v>
      </c>
      <c r="N181" s="87" t="s">
        <v>621</v>
      </c>
      <c r="O181" s="87" t="s">
        <v>621</v>
      </c>
      <c r="P181" s="207"/>
    </row>
    <row r="182" ht="16.5" spans="1:16">
      <c r="A182" s="114"/>
      <c r="B182" s="106" t="s">
        <v>1824</v>
      </c>
      <c r="C182" s="186"/>
      <c r="D182" s="35"/>
      <c r="E182" s="202"/>
      <c r="F182" s="155" t="s">
        <v>4487</v>
      </c>
      <c r="G182" s="48"/>
      <c r="H182" s="200"/>
      <c r="I182" s="64"/>
      <c r="J182" s="72"/>
      <c r="K182" s="72"/>
      <c r="L182" s="53">
        <v>7.2008</v>
      </c>
      <c r="M182" s="87" t="s">
        <v>1218</v>
      </c>
      <c r="N182" s="87" t="s">
        <v>621</v>
      </c>
      <c r="O182" s="87" t="s">
        <v>621</v>
      </c>
      <c r="P182" s="208"/>
    </row>
    <row r="183" ht="16.5" spans="1:16">
      <c r="A183" s="114"/>
      <c r="B183" s="106" t="s">
        <v>1824</v>
      </c>
      <c r="C183" s="187" t="s">
        <v>209</v>
      </c>
      <c r="D183" s="188">
        <v>149</v>
      </c>
      <c r="E183" s="194"/>
      <c r="F183" s="203" t="s">
        <v>4093</v>
      </c>
      <c r="G183" s="57" t="s">
        <v>4168</v>
      </c>
      <c r="H183" s="204"/>
      <c r="I183" s="64"/>
      <c r="J183" s="72"/>
      <c r="K183" s="72"/>
      <c r="L183" s="53">
        <v>7.2008</v>
      </c>
      <c r="M183" s="87" t="s">
        <v>1218</v>
      </c>
      <c r="N183" s="87">
        <v>45797</v>
      </c>
      <c r="O183" s="87" t="s">
        <v>621</v>
      </c>
      <c r="P183" s="208"/>
    </row>
    <row r="184" ht="16.5" spans="1:16">
      <c r="A184" s="114"/>
      <c r="B184" s="106" t="s">
        <v>1824</v>
      </c>
      <c r="C184" s="37"/>
      <c r="D184" s="189"/>
      <c r="E184" s="194"/>
      <c r="F184" s="54" t="s">
        <v>4095</v>
      </c>
      <c r="G184" s="57" t="s">
        <v>4488</v>
      </c>
      <c r="H184" s="204"/>
      <c r="I184" s="71"/>
      <c r="J184" s="72"/>
      <c r="K184" s="72"/>
      <c r="L184" s="53">
        <v>7.2008</v>
      </c>
      <c r="M184" s="81" t="s">
        <v>1218</v>
      </c>
      <c r="N184" s="87"/>
      <c r="O184" s="87" t="s">
        <v>621</v>
      </c>
      <c r="P184" s="207"/>
    </row>
    <row r="185" ht="16.5" spans="1:16">
      <c r="A185" s="32"/>
      <c r="B185" s="106" t="s">
        <v>1824</v>
      </c>
      <c r="C185" s="37"/>
      <c r="D185" s="189"/>
      <c r="E185" s="57"/>
      <c r="F185" s="106" t="s">
        <v>4087</v>
      </c>
      <c r="G185" s="57" t="s">
        <v>4357</v>
      </c>
      <c r="H185" s="55"/>
      <c r="I185" s="64"/>
      <c r="J185" s="72"/>
      <c r="K185" s="72"/>
      <c r="L185" s="53">
        <v>7.2008</v>
      </c>
      <c r="M185" s="87" t="s">
        <v>1218</v>
      </c>
      <c r="N185" s="87"/>
      <c r="O185" s="87" t="s">
        <v>621</v>
      </c>
      <c r="P185" s="208"/>
    </row>
    <row r="186" ht="17.25" customHeight="1" spans="1:16">
      <c r="A186" s="32"/>
      <c r="B186" s="106" t="s">
        <v>1824</v>
      </c>
      <c r="C186" s="37"/>
      <c r="D186" s="189"/>
      <c r="E186" s="57"/>
      <c r="F186" s="54" t="s">
        <v>4095</v>
      </c>
      <c r="G186" s="54" t="s">
        <v>4292</v>
      </c>
      <c r="H186" s="55"/>
      <c r="I186" s="71"/>
      <c r="J186" s="72"/>
      <c r="K186" s="72"/>
      <c r="L186" s="53">
        <v>7.2008</v>
      </c>
      <c r="M186" s="87" t="s">
        <v>1218</v>
      </c>
      <c r="N186" s="87"/>
      <c r="O186" s="87" t="s">
        <v>621</v>
      </c>
      <c r="P186" s="208"/>
    </row>
    <row r="187" s="23" customFormat="1" ht="16.5" spans="1:20">
      <c r="A187" s="190"/>
      <c r="B187" s="106" t="s">
        <v>1824</v>
      </c>
      <c r="C187" s="37"/>
      <c r="D187" s="189"/>
      <c r="E187" s="194"/>
      <c r="F187" s="54" t="s">
        <v>4095</v>
      </c>
      <c r="G187" s="54" t="s">
        <v>4489</v>
      </c>
      <c r="H187" s="55"/>
      <c r="I187" s="64"/>
      <c r="J187" s="72"/>
      <c r="K187" s="72"/>
      <c r="L187" s="53">
        <v>7.2008</v>
      </c>
      <c r="M187" s="81" t="s">
        <v>1218</v>
      </c>
      <c r="N187" s="87">
        <v>45775</v>
      </c>
      <c r="O187" s="87">
        <v>45779</v>
      </c>
      <c r="P187" s="207"/>
      <c r="Q187" s="109"/>
      <c r="R187" s="209"/>
      <c r="S187" s="210"/>
      <c r="T187" s="211"/>
    </row>
    <row r="188" s="23" customFormat="1" ht="16.5" spans="1:20">
      <c r="A188" s="191"/>
      <c r="B188" s="106" t="s">
        <v>1824</v>
      </c>
      <c r="C188" s="37"/>
      <c r="D188" s="189"/>
      <c r="E188" s="196"/>
      <c r="F188" s="54" t="s">
        <v>4095</v>
      </c>
      <c r="G188" s="54" t="s">
        <v>4490</v>
      </c>
      <c r="H188" s="55"/>
      <c r="I188" s="64"/>
      <c r="J188" s="72"/>
      <c r="K188" s="72"/>
      <c r="L188" s="53">
        <v>7.2008</v>
      </c>
      <c r="M188" s="81" t="s">
        <v>1218</v>
      </c>
      <c r="N188" s="87">
        <v>45775</v>
      </c>
      <c r="O188" s="87"/>
      <c r="P188" s="207"/>
      <c r="Q188" s="212"/>
      <c r="R188" s="213"/>
      <c r="S188" s="214"/>
      <c r="T188" s="215"/>
    </row>
    <row r="189" ht="16.5" spans="1:16">
      <c r="A189" s="115"/>
      <c r="B189" s="106" t="s">
        <v>1824</v>
      </c>
      <c r="C189" s="192" t="s">
        <v>4161</v>
      </c>
      <c r="D189" s="188">
        <v>177</v>
      </c>
      <c r="E189" s="198"/>
      <c r="F189" s="203" t="s">
        <v>4139</v>
      </c>
      <c r="G189" s="106" t="s">
        <v>4491</v>
      </c>
      <c r="H189" s="55"/>
      <c r="I189" s="71"/>
      <c r="J189" s="72"/>
      <c r="K189" s="72"/>
      <c r="L189" s="53">
        <v>7.2008</v>
      </c>
      <c r="M189" s="87" t="s">
        <v>1218</v>
      </c>
      <c r="N189" s="87">
        <v>45775</v>
      </c>
      <c r="O189" s="87">
        <v>45782</v>
      </c>
      <c r="P189" s="207"/>
    </row>
    <row r="190" ht="16.5" spans="1:16">
      <c r="A190" s="115"/>
      <c r="B190" s="106" t="s">
        <v>1824</v>
      </c>
      <c r="C190" s="193"/>
      <c r="D190" s="189"/>
      <c r="E190" s="194"/>
      <c r="F190" s="120" t="s">
        <v>4139</v>
      </c>
      <c r="G190" s="205" t="s">
        <v>4492</v>
      </c>
      <c r="H190" s="204"/>
      <c r="I190" s="64"/>
      <c r="J190" s="72"/>
      <c r="K190" s="72"/>
      <c r="L190" s="53">
        <v>7.2008</v>
      </c>
      <c r="M190" s="87" t="s">
        <v>1218</v>
      </c>
      <c r="N190" s="81" t="s">
        <v>621</v>
      </c>
      <c r="O190" s="87" t="s">
        <v>621</v>
      </c>
      <c r="P190" s="207"/>
    </row>
    <row r="191" ht="16.5" spans="1:16">
      <c r="A191" s="115"/>
      <c r="B191" s="106" t="s">
        <v>1824</v>
      </c>
      <c r="C191" s="193"/>
      <c r="D191" s="189"/>
      <c r="E191" s="194"/>
      <c r="F191" s="120" t="s">
        <v>4139</v>
      </c>
      <c r="G191" s="205" t="s">
        <v>4356</v>
      </c>
      <c r="H191" s="55"/>
      <c r="I191" s="71"/>
      <c r="J191" s="72"/>
      <c r="K191" s="72"/>
      <c r="L191" s="53">
        <v>7.2008</v>
      </c>
      <c r="M191" s="87" t="s">
        <v>1218</v>
      </c>
      <c r="N191" s="81" t="s">
        <v>621</v>
      </c>
      <c r="O191" s="87" t="s">
        <v>621</v>
      </c>
      <c r="P191" s="207"/>
    </row>
    <row r="192" ht="16.5" spans="1:16">
      <c r="A192" s="115"/>
      <c r="B192" s="106" t="s">
        <v>1824</v>
      </c>
      <c r="C192" s="193"/>
      <c r="D192" s="189"/>
      <c r="E192" s="198"/>
      <c r="F192" s="203" t="s">
        <v>4087</v>
      </c>
      <c r="G192" s="106" t="s">
        <v>4493</v>
      </c>
      <c r="H192" s="55"/>
      <c r="I192" s="71"/>
      <c r="J192" s="72"/>
      <c r="K192" s="72"/>
      <c r="L192" s="53">
        <v>7.2008</v>
      </c>
      <c r="M192" s="87" t="s">
        <v>1218</v>
      </c>
      <c r="N192" s="81" t="s">
        <v>621</v>
      </c>
      <c r="O192" s="87" t="s">
        <v>621</v>
      </c>
      <c r="P192" s="207"/>
    </row>
    <row r="193" ht="16.5" spans="1:16">
      <c r="A193" s="216"/>
      <c r="B193" s="106" t="s">
        <v>1824</v>
      </c>
      <c r="C193" s="192" t="s">
        <v>4426</v>
      </c>
      <c r="D193" s="43">
        <v>85</v>
      </c>
      <c r="E193" s="57"/>
      <c r="F193" s="106" t="s">
        <v>4093</v>
      </c>
      <c r="G193" s="54" t="s">
        <v>4172</v>
      </c>
      <c r="H193" s="55"/>
      <c r="I193" s="64"/>
      <c r="J193" s="72"/>
      <c r="K193" s="72"/>
      <c r="L193" s="53">
        <v>7.2008</v>
      </c>
      <c r="M193" s="87"/>
      <c r="N193" s="87"/>
      <c r="O193" s="87"/>
      <c r="P193" s="207"/>
    </row>
    <row r="194" ht="33" spans="1:16">
      <c r="A194" s="36"/>
      <c r="B194" s="151" t="s">
        <v>3248</v>
      </c>
      <c r="C194" s="34" t="s">
        <v>1248</v>
      </c>
      <c r="D194" s="35"/>
      <c r="E194" s="57"/>
      <c r="F194" s="106"/>
      <c r="G194" s="54"/>
      <c r="H194" s="200"/>
      <c r="I194" s="64"/>
      <c r="J194" s="64"/>
      <c r="K194" s="64"/>
      <c r="L194" s="225"/>
      <c r="M194" s="81"/>
      <c r="N194" s="87"/>
      <c r="O194" s="87"/>
      <c r="P194" s="207"/>
    </row>
    <row r="195" ht="33" spans="1:16">
      <c r="A195" s="32"/>
      <c r="B195" s="151" t="s">
        <v>3248</v>
      </c>
      <c r="C195" s="40" t="s">
        <v>1922</v>
      </c>
      <c r="D195" s="35"/>
      <c r="E195" s="155"/>
      <c r="F195" s="54"/>
      <c r="G195" s="205"/>
      <c r="H195" s="221"/>
      <c r="I195" s="71"/>
      <c r="J195" s="72"/>
      <c r="K195" s="72"/>
      <c r="L195" s="53"/>
      <c r="M195" s="87"/>
      <c r="N195" s="87"/>
      <c r="O195" s="87"/>
      <c r="P195" s="207"/>
    </row>
    <row r="196" ht="33" spans="1:16">
      <c r="A196" s="114"/>
      <c r="B196" s="151" t="s">
        <v>3248</v>
      </c>
      <c r="C196" s="187" t="s">
        <v>209</v>
      </c>
      <c r="D196" s="188"/>
      <c r="E196" s="57"/>
      <c r="F196" s="106" t="s">
        <v>4087</v>
      </c>
      <c r="G196" s="57" t="s">
        <v>4357</v>
      </c>
      <c r="H196" s="55"/>
      <c r="I196" s="64"/>
      <c r="J196" s="72"/>
      <c r="K196" s="72"/>
      <c r="L196" s="53">
        <v>7.2008</v>
      </c>
      <c r="M196" s="87" t="s">
        <v>1218</v>
      </c>
      <c r="N196" s="87" t="s">
        <v>621</v>
      </c>
      <c r="O196" s="87" t="s">
        <v>621</v>
      </c>
      <c r="P196" s="208"/>
    </row>
    <row r="197" ht="33" spans="1:16">
      <c r="A197" s="32"/>
      <c r="B197" s="151" t="s">
        <v>3248</v>
      </c>
      <c r="C197" s="37"/>
      <c r="D197" s="107"/>
      <c r="E197" s="57"/>
      <c r="F197" s="106"/>
      <c r="G197" s="57" t="s">
        <v>4419</v>
      </c>
      <c r="H197" s="55"/>
      <c r="I197" s="64"/>
      <c r="J197" s="68"/>
      <c r="K197" s="68"/>
      <c r="L197" s="53">
        <v>7.2008</v>
      </c>
      <c r="M197" s="81" t="s">
        <v>4167</v>
      </c>
      <c r="N197" s="87" t="s">
        <v>621</v>
      </c>
      <c r="O197" s="87" t="s">
        <v>621</v>
      </c>
      <c r="P197" s="207"/>
    </row>
    <row r="198" ht="33" spans="1:16">
      <c r="A198" s="32"/>
      <c r="B198" s="151" t="s">
        <v>3248</v>
      </c>
      <c r="C198" s="37"/>
      <c r="D198" s="113"/>
      <c r="E198" s="57"/>
      <c r="F198" s="106" t="s">
        <v>4093</v>
      </c>
      <c r="G198" s="54" t="s">
        <v>1416</v>
      </c>
      <c r="H198" s="55"/>
      <c r="I198" s="71"/>
      <c r="J198" s="68"/>
      <c r="K198" s="68"/>
      <c r="L198" s="53">
        <v>7.2008</v>
      </c>
      <c r="M198" s="81" t="s">
        <v>4167</v>
      </c>
      <c r="N198" s="87" t="s">
        <v>621</v>
      </c>
      <c r="O198" s="87" t="s">
        <v>621</v>
      </c>
      <c r="P198" s="207"/>
    </row>
    <row r="199" ht="33" spans="1:16">
      <c r="A199" s="216"/>
      <c r="B199" s="151" t="s">
        <v>3248</v>
      </c>
      <c r="C199" s="192" t="s">
        <v>4426</v>
      </c>
      <c r="D199" s="43"/>
      <c r="E199" s="57"/>
      <c r="F199" s="106" t="s">
        <v>4093</v>
      </c>
      <c r="G199" s="54" t="s">
        <v>4172</v>
      </c>
      <c r="H199" s="55"/>
      <c r="I199" s="64"/>
      <c r="J199" s="72"/>
      <c r="K199" s="72"/>
      <c r="L199" s="53">
        <v>7.2008</v>
      </c>
      <c r="M199" s="87" t="s">
        <v>1218</v>
      </c>
      <c r="N199" s="87" t="s">
        <v>621</v>
      </c>
      <c r="O199" s="87" t="s">
        <v>621</v>
      </c>
      <c r="P199" s="207"/>
    </row>
    <row r="200" ht="16.5" spans="1:16">
      <c r="A200" s="32"/>
      <c r="B200" s="197" t="s">
        <v>1875</v>
      </c>
      <c r="C200" s="187" t="s">
        <v>1248</v>
      </c>
      <c r="D200" s="46"/>
      <c r="E200" s="194"/>
      <c r="F200" s="106" t="s">
        <v>4090</v>
      </c>
      <c r="G200" s="53" t="s">
        <v>4420</v>
      </c>
      <c r="H200" s="55"/>
      <c r="I200" s="71"/>
      <c r="J200" s="226"/>
      <c r="K200" s="226"/>
      <c r="L200" s="53">
        <v>7.2008</v>
      </c>
      <c r="M200" s="87" t="s">
        <v>1218</v>
      </c>
      <c r="N200" s="87" t="s">
        <v>621</v>
      </c>
      <c r="O200" s="87" t="s">
        <v>621</v>
      </c>
      <c r="P200" s="207"/>
    </row>
    <row r="201" ht="16.5" spans="1:16">
      <c r="A201" s="32"/>
      <c r="B201" s="197" t="s">
        <v>1875</v>
      </c>
      <c r="C201" s="37"/>
      <c r="D201" s="46"/>
      <c r="E201" s="194"/>
      <c r="F201" s="106" t="s">
        <v>4090</v>
      </c>
      <c r="G201" s="53" t="s">
        <v>4421</v>
      </c>
      <c r="H201" s="55"/>
      <c r="I201" s="71"/>
      <c r="J201" s="226"/>
      <c r="K201" s="71"/>
      <c r="L201" s="53">
        <v>7.2008</v>
      </c>
      <c r="M201" s="87" t="s">
        <v>1218</v>
      </c>
      <c r="N201" s="87" t="s">
        <v>621</v>
      </c>
      <c r="O201" s="87" t="s">
        <v>621</v>
      </c>
      <c r="P201" s="207"/>
    </row>
    <row r="202" ht="16.5" spans="1:16">
      <c r="A202" s="32"/>
      <c r="B202" s="197" t="s">
        <v>1875</v>
      </c>
      <c r="C202" s="217" t="s">
        <v>4161</v>
      </c>
      <c r="D202" s="46"/>
      <c r="E202" s="57"/>
      <c r="F202" s="54" t="s">
        <v>4139</v>
      </c>
      <c r="G202" s="205" t="s">
        <v>4288</v>
      </c>
      <c r="H202" s="204"/>
      <c r="I202" s="71"/>
      <c r="J202" s="72"/>
      <c r="K202" s="158"/>
      <c r="L202" s="53">
        <v>7.2008</v>
      </c>
      <c r="M202" s="87" t="s">
        <v>1218</v>
      </c>
      <c r="N202" s="87" t="s">
        <v>621</v>
      </c>
      <c r="O202" s="87" t="s">
        <v>621</v>
      </c>
      <c r="P202" s="207"/>
    </row>
    <row r="203" ht="16.5" spans="1:16">
      <c r="A203" s="32"/>
      <c r="B203" s="197" t="s">
        <v>1875</v>
      </c>
      <c r="C203" s="218"/>
      <c r="D203" s="46"/>
      <c r="E203" s="57"/>
      <c r="F203" s="106" t="s">
        <v>4090</v>
      </c>
      <c r="G203" s="57" t="s">
        <v>4178</v>
      </c>
      <c r="H203" s="204"/>
      <c r="I203" s="71"/>
      <c r="J203" s="66"/>
      <c r="K203" s="66"/>
      <c r="L203" s="53">
        <v>7.2008</v>
      </c>
      <c r="M203" s="81" t="s">
        <v>4167</v>
      </c>
      <c r="N203" s="87" t="s">
        <v>621</v>
      </c>
      <c r="O203" s="87" t="s">
        <v>621</v>
      </c>
      <c r="P203" s="207"/>
    </row>
    <row r="204" ht="16.5" spans="1:16">
      <c r="A204" s="32"/>
      <c r="B204" s="197" t="s">
        <v>1875</v>
      </c>
      <c r="C204" s="218"/>
      <c r="D204" s="46"/>
      <c r="E204" s="57"/>
      <c r="F204" s="106" t="s">
        <v>4090</v>
      </c>
      <c r="G204" s="54" t="s">
        <v>4179</v>
      </c>
      <c r="H204" s="55"/>
      <c r="I204" s="71"/>
      <c r="J204" s="68"/>
      <c r="K204" s="68"/>
      <c r="L204" s="53">
        <v>7.2008</v>
      </c>
      <c r="M204" s="81" t="s">
        <v>4167</v>
      </c>
      <c r="N204" s="87" t="s">
        <v>621</v>
      </c>
      <c r="O204" s="87" t="s">
        <v>621</v>
      </c>
      <c r="P204" s="207"/>
    </row>
    <row r="205" ht="16.5" spans="1:16">
      <c r="A205" s="32"/>
      <c r="B205" s="197" t="s">
        <v>1875</v>
      </c>
      <c r="C205" s="219"/>
      <c r="D205" s="46"/>
      <c r="E205" s="57"/>
      <c r="F205" s="106" t="s">
        <v>4090</v>
      </c>
      <c r="G205" s="54" t="s">
        <v>4422</v>
      </c>
      <c r="H205" s="204"/>
      <c r="I205" s="71"/>
      <c r="J205" s="68"/>
      <c r="K205" s="68"/>
      <c r="L205" s="53">
        <v>7.2008</v>
      </c>
      <c r="M205" s="87" t="s">
        <v>1218</v>
      </c>
      <c r="N205" s="87" t="s">
        <v>621</v>
      </c>
      <c r="O205" s="87" t="s">
        <v>621</v>
      </c>
      <c r="P205" s="207"/>
    </row>
    <row r="206" ht="16.5" spans="1:16">
      <c r="A206" s="32"/>
      <c r="B206" s="197" t="s">
        <v>1875</v>
      </c>
      <c r="C206" s="112" t="s">
        <v>1922</v>
      </c>
      <c r="D206" s="46"/>
      <c r="E206" s="57"/>
      <c r="F206" s="106" t="s">
        <v>4113</v>
      </c>
      <c r="G206" s="54" t="s">
        <v>4423</v>
      </c>
      <c r="H206" s="204"/>
      <c r="I206" s="71"/>
      <c r="J206" s="68"/>
      <c r="K206" s="68"/>
      <c r="L206" s="53">
        <v>7.2008</v>
      </c>
      <c r="M206" s="87" t="s">
        <v>1218</v>
      </c>
      <c r="N206" s="87" t="s">
        <v>621</v>
      </c>
      <c r="O206" s="87" t="s">
        <v>621</v>
      </c>
      <c r="P206" s="207"/>
    </row>
    <row r="207" ht="16.5" spans="1:16">
      <c r="A207" s="32"/>
      <c r="B207" s="197" t="s">
        <v>1875</v>
      </c>
      <c r="C207" s="42"/>
      <c r="D207" s="46"/>
      <c r="E207" s="57"/>
      <c r="F207" s="106" t="s">
        <v>4087</v>
      </c>
      <c r="G207" s="54" t="s">
        <v>4494</v>
      </c>
      <c r="H207" s="204"/>
      <c r="I207" s="71"/>
      <c r="J207" s="68"/>
      <c r="K207" s="68"/>
      <c r="L207" s="53">
        <v>7.2008</v>
      </c>
      <c r="M207" s="87" t="s">
        <v>1218</v>
      </c>
      <c r="N207" s="87" t="s">
        <v>621</v>
      </c>
      <c r="O207" s="87" t="s">
        <v>621</v>
      </c>
      <c r="P207" s="207"/>
    </row>
    <row r="208" ht="16.5" spans="1:16">
      <c r="A208" s="32"/>
      <c r="B208" s="197" t="s">
        <v>1875</v>
      </c>
      <c r="C208" s="42"/>
      <c r="D208" s="46"/>
      <c r="E208" s="57"/>
      <c r="F208" s="106" t="s">
        <v>4090</v>
      </c>
      <c r="G208" s="54" t="s">
        <v>4289</v>
      </c>
      <c r="H208" s="204"/>
      <c r="I208" s="71"/>
      <c r="J208" s="68"/>
      <c r="K208" s="68"/>
      <c r="L208" s="53">
        <v>7.2008</v>
      </c>
      <c r="M208" s="81" t="s">
        <v>1218</v>
      </c>
      <c r="N208" s="87" t="s">
        <v>621</v>
      </c>
      <c r="O208" s="87" t="s">
        <v>621</v>
      </c>
      <c r="P208" s="207"/>
    </row>
    <row r="209" ht="16.5" spans="1:16">
      <c r="A209" s="32"/>
      <c r="B209" s="197" t="s">
        <v>1875</v>
      </c>
      <c r="C209" s="42"/>
      <c r="D209" s="46"/>
      <c r="E209" s="57"/>
      <c r="F209" s="106" t="s">
        <v>4090</v>
      </c>
      <c r="G209" s="54"/>
      <c r="H209" s="204"/>
      <c r="I209" s="71"/>
      <c r="J209" s="68"/>
      <c r="K209" s="68"/>
      <c r="L209" s="53"/>
      <c r="M209" s="81"/>
      <c r="N209" s="87"/>
      <c r="O209" s="87"/>
      <c r="P209" s="207"/>
    </row>
    <row r="210" ht="16.5" spans="1:16">
      <c r="A210" s="32"/>
      <c r="B210" s="197" t="s">
        <v>1875</v>
      </c>
      <c r="C210" s="44"/>
      <c r="D210" s="46"/>
      <c r="E210" s="57"/>
      <c r="F210" s="54" t="s">
        <v>4139</v>
      </c>
      <c r="G210" s="54" t="s">
        <v>4018</v>
      </c>
      <c r="H210" s="204"/>
      <c r="I210" s="71"/>
      <c r="J210" s="68"/>
      <c r="K210" s="68"/>
      <c r="L210" s="53">
        <v>7.2008</v>
      </c>
      <c r="M210" s="81" t="s">
        <v>4167</v>
      </c>
      <c r="N210" s="87" t="s">
        <v>621</v>
      </c>
      <c r="O210" s="87" t="s">
        <v>621</v>
      </c>
      <c r="P210" s="207"/>
    </row>
    <row r="211" ht="16.5" spans="1:16">
      <c r="A211" s="32"/>
      <c r="B211" s="197" t="s">
        <v>1875</v>
      </c>
      <c r="C211" s="40" t="s">
        <v>209</v>
      </c>
      <c r="D211" s="46"/>
      <c r="E211" s="57"/>
      <c r="F211" s="106" t="s">
        <v>4093</v>
      </c>
      <c r="G211" s="57" t="s">
        <v>4291</v>
      </c>
      <c r="H211" s="204"/>
      <c r="I211" s="71"/>
      <c r="J211" s="68"/>
      <c r="K211" s="68"/>
      <c r="L211" s="53">
        <v>7.2008</v>
      </c>
      <c r="M211" s="81" t="s">
        <v>4167</v>
      </c>
      <c r="N211" s="87" t="s">
        <v>621</v>
      </c>
      <c r="O211" s="87" t="s">
        <v>621</v>
      </c>
      <c r="P211" s="207"/>
    </row>
    <row r="212" ht="16.5" spans="1:16">
      <c r="A212" s="114"/>
      <c r="B212" s="197" t="s">
        <v>1875</v>
      </c>
      <c r="C212" s="34"/>
      <c r="D212" s="220"/>
      <c r="E212" s="222"/>
      <c r="F212" s="106" t="s">
        <v>4087</v>
      </c>
      <c r="G212" s="223" t="s">
        <v>4292</v>
      </c>
      <c r="H212" s="204"/>
      <c r="I212" s="76"/>
      <c r="J212" s="72"/>
      <c r="K212" s="72"/>
      <c r="L212" s="53">
        <v>7.2008</v>
      </c>
      <c r="M212" s="87" t="s">
        <v>1218</v>
      </c>
      <c r="N212" s="87">
        <v>45772</v>
      </c>
      <c r="O212" s="87" t="s">
        <v>621</v>
      </c>
      <c r="P212" s="208"/>
    </row>
    <row r="213" ht="16.5" spans="1:16">
      <c r="A213" s="32"/>
      <c r="B213" s="197" t="s">
        <v>1875</v>
      </c>
      <c r="C213" s="40"/>
      <c r="D213" s="46"/>
      <c r="E213" s="57"/>
      <c r="F213" s="106" t="s">
        <v>4090</v>
      </c>
      <c r="G213" s="57"/>
      <c r="H213" s="55"/>
      <c r="I213" s="64"/>
      <c r="J213" s="68"/>
      <c r="K213" s="68"/>
      <c r="L213" s="53">
        <v>7.2008</v>
      </c>
      <c r="M213" s="81" t="s">
        <v>4359</v>
      </c>
      <c r="N213" s="87" t="s">
        <v>621</v>
      </c>
      <c r="O213" s="87" t="s">
        <v>621</v>
      </c>
      <c r="P213" s="207"/>
    </row>
    <row r="214" ht="16.5" spans="1:16">
      <c r="A214" s="32"/>
      <c r="B214" s="197" t="s">
        <v>1875</v>
      </c>
      <c r="C214" s="40"/>
      <c r="D214" s="46"/>
      <c r="E214" s="57"/>
      <c r="F214" s="201" t="s">
        <v>4087</v>
      </c>
      <c r="G214" s="54" t="s">
        <v>4488</v>
      </c>
      <c r="H214" s="55"/>
      <c r="I214" s="64"/>
      <c r="J214" s="68"/>
      <c r="K214" s="68"/>
      <c r="L214" s="53"/>
      <c r="M214" s="81"/>
      <c r="N214" s="87"/>
      <c r="O214" s="87"/>
      <c r="P214" s="207"/>
    </row>
    <row r="215" ht="16.5" spans="1:16">
      <c r="A215" s="32"/>
      <c r="B215" s="197" t="s">
        <v>1875</v>
      </c>
      <c r="C215" s="40"/>
      <c r="D215" s="46"/>
      <c r="E215" s="57"/>
      <c r="F215" s="54" t="s">
        <v>4095</v>
      </c>
      <c r="G215" s="54"/>
      <c r="H215" s="55"/>
      <c r="I215" s="71"/>
      <c r="J215" s="68"/>
      <c r="K215" s="68"/>
      <c r="L215" s="53">
        <v>7.2008</v>
      </c>
      <c r="M215" s="81" t="s">
        <v>4167</v>
      </c>
      <c r="N215" s="87" t="s">
        <v>621</v>
      </c>
      <c r="O215" s="87" t="s">
        <v>621</v>
      </c>
      <c r="P215" s="207"/>
    </row>
    <row r="216" ht="16.5" spans="1:16">
      <c r="A216" s="32"/>
      <c r="B216" s="197" t="s">
        <v>1875</v>
      </c>
      <c r="C216" s="40"/>
      <c r="D216" s="46"/>
      <c r="E216" s="57"/>
      <c r="F216" s="54" t="s">
        <v>4095</v>
      </c>
      <c r="G216" s="54"/>
      <c r="H216" s="204"/>
      <c r="I216" s="71"/>
      <c r="J216" s="68"/>
      <c r="K216" s="68"/>
      <c r="L216" s="53">
        <v>7.2008</v>
      </c>
      <c r="M216" s="81"/>
      <c r="N216" s="87"/>
      <c r="O216" s="87"/>
      <c r="P216" s="207"/>
    </row>
    <row r="217" ht="16.5" spans="1:16">
      <c r="A217" s="32"/>
      <c r="B217" s="197" t="s">
        <v>1875</v>
      </c>
      <c r="C217" s="40"/>
      <c r="D217" s="46"/>
      <c r="E217" s="57"/>
      <c r="F217" s="54" t="s">
        <v>4095</v>
      </c>
      <c r="G217" s="54"/>
      <c r="H217" s="204"/>
      <c r="I217" s="71"/>
      <c r="J217" s="68"/>
      <c r="K217" s="68"/>
      <c r="L217" s="53">
        <v>7.2008</v>
      </c>
      <c r="M217" s="81" t="s">
        <v>4359</v>
      </c>
      <c r="N217" s="87" t="s">
        <v>621</v>
      </c>
      <c r="O217" s="87" t="s">
        <v>621</v>
      </c>
      <c r="P217" s="207"/>
    </row>
    <row r="218" ht="16.5" spans="1:16">
      <c r="A218" s="32"/>
      <c r="B218" s="197" t="s">
        <v>1875</v>
      </c>
      <c r="C218" s="40"/>
      <c r="D218" s="46"/>
      <c r="E218" s="57"/>
      <c r="F218" s="201" t="s">
        <v>4087</v>
      </c>
      <c r="G218" s="53" t="s">
        <v>4424</v>
      </c>
      <c r="H218" s="204"/>
      <c r="I218" s="71"/>
      <c r="J218" s="72"/>
      <c r="K218" s="72"/>
      <c r="L218" s="53">
        <v>7.2008</v>
      </c>
      <c r="M218" s="81" t="s">
        <v>1218</v>
      </c>
      <c r="N218" s="81" t="s">
        <v>621</v>
      </c>
      <c r="O218" s="81" t="s">
        <v>621</v>
      </c>
      <c r="P218" s="207"/>
    </row>
    <row r="219" ht="16.5" spans="1:16">
      <c r="A219" s="32"/>
      <c r="B219" s="197" t="s">
        <v>1875</v>
      </c>
      <c r="C219" s="40"/>
      <c r="D219" s="46"/>
      <c r="E219" s="57"/>
      <c r="F219" s="54" t="s">
        <v>4139</v>
      </c>
      <c r="G219" s="54"/>
      <c r="H219" s="55"/>
      <c r="I219" s="71"/>
      <c r="J219" s="68"/>
      <c r="K219" s="68"/>
      <c r="L219" s="53">
        <v>7.2008</v>
      </c>
      <c r="M219" s="81" t="s">
        <v>4167</v>
      </c>
      <c r="N219" s="87" t="s">
        <v>621</v>
      </c>
      <c r="O219" s="87" t="s">
        <v>621</v>
      </c>
      <c r="P219" s="207"/>
    </row>
    <row r="220" ht="16.5" spans="1:16">
      <c r="A220" s="32"/>
      <c r="B220" s="197" t="s">
        <v>1875</v>
      </c>
      <c r="C220" s="40"/>
      <c r="D220" s="46"/>
      <c r="E220" s="57"/>
      <c r="F220" s="118" t="s">
        <v>4256</v>
      </c>
      <c r="G220" s="54"/>
      <c r="H220" s="55"/>
      <c r="I220" s="71"/>
      <c r="J220" s="68"/>
      <c r="K220" s="68"/>
      <c r="L220" s="53">
        <v>7.2008</v>
      </c>
      <c r="M220" s="81" t="s">
        <v>4359</v>
      </c>
      <c r="N220" s="87" t="s">
        <v>621</v>
      </c>
      <c r="O220" s="87" t="s">
        <v>621</v>
      </c>
      <c r="P220" s="207"/>
    </row>
    <row r="221" ht="16.5" spans="1:16">
      <c r="A221" s="32"/>
      <c r="B221" s="197" t="s">
        <v>1875</v>
      </c>
      <c r="C221" s="40"/>
      <c r="D221" s="46"/>
      <c r="E221" s="57"/>
      <c r="F221" s="106" t="s">
        <v>4095</v>
      </c>
      <c r="G221" s="54" t="s">
        <v>4177</v>
      </c>
      <c r="H221" s="55"/>
      <c r="I221" s="64"/>
      <c r="J221" s="68"/>
      <c r="K221" s="68"/>
      <c r="L221" s="53">
        <v>7.2008</v>
      </c>
      <c r="M221" s="81" t="s">
        <v>4359</v>
      </c>
      <c r="N221" s="87" t="s">
        <v>621</v>
      </c>
      <c r="O221" s="87" t="s">
        <v>621</v>
      </c>
      <c r="P221" s="207"/>
    </row>
    <row r="222" ht="16.5" spans="1:16">
      <c r="A222" s="32"/>
      <c r="B222" s="197" t="s">
        <v>1875</v>
      </c>
      <c r="C222" s="40"/>
      <c r="D222" s="46"/>
      <c r="E222" s="224"/>
      <c r="F222" s="106" t="s">
        <v>4095</v>
      </c>
      <c r="G222" s="54" t="s">
        <v>4293</v>
      </c>
      <c r="H222" s="55"/>
      <c r="I222" s="64"/>
      <c r="J222" s="68"/>
      <c r="K222" s="68"/>
      <c r="L222" s="53">
        <v>7.2008</v>
      </c>
      <c r="M222" s="81" t="s">
        <v>4359</v>
      </c>
      <c r="N222" s="87" t="s">
        <v>621</v>
      </c>
      <c r="O222" s="87" t="s">
        <v>621</v>
      </c>
      <c r="P222" s="207"/>
    </row>
    <row r="223" ht="16.5" spans="1:16">
      <c r="A223" s="32"/>
      <c r="B223" s="197" t="s">
        <v>1875</v>
      </c>
      <c r="C223" s="186" t="s">
        <v>4425</v>
      </c>
      <c r="D223" s="46"/>
      <c r="E223" s="57"/>
      <c r="F223" s="106"/>
      <c r="G223" s="54"/>
      <c r="H223" s="204"/>
      <c r="I223" s="64"/>
      <c r="J223" s="68"/>
      <c r="K223" s="68"/>
      <c r="L223" s="53"/>
      <c r="M223" s="81"/>
      <c r="N223" s="87"/>
      <c r="O223" s="87"/>
      <c r="P223" s="207"/>
    </row>
    <row r="224" ht="16.5" spans="1:16">
      <c r="A224" s="32"/>
      <c r="B224" s="197" t="s">
        <v>1875</v>
      </c>
      <c r="C224" s="40"/>
      <c r="D224" s="46"/>
      <c r="E224" s="57"/>
      <c r="F224" s="106"/>
      <c r="G224" s="54"/>
      <c r="H224" s="204"/>
      <c r="I224" s="64"/>
      <c r="J224" s="68"/>
      <c r="K224" s="68"/>
      <c r="L224" s="53"/>
      <c r="M224" s="81"/>
      <c r="N224" s="87"/>
      <c r="O224" s="87"/>
      <c r="P224" s="207"/>
    </row>
    <row r="225" ht="16.5" spans="1:16">
      <c r="A225" s="32"/>
      <c r="B225" s="197" t="s">
        <v>1875</v>
      </c>
      <c r="C225" s="227" t="s">
        <v>4426</v>
      </c>
      <c r="D225" s="46"/>
      <c r="E225" s="57"/>
      <c r="F225" s="106"/>
      <c r="G225" s="57"/>
      <c r="H225" s="204"/>
      <c r="I225" s="71"/>
      <c r="J225" s="68"/>
      <c r="K225" s="68"/>
      <c r="L225" s="53"/>
      <c r="M225" s="81"/>
      <c r="N225" s="87"/>
      <c r="O225" s="87"/>
      <c r="P225" s="207"/>
    </row>
    <row r="226" ht="16.5" spans="1:16">
      <c r="A226" s="216"/>
      <c r="B226" s="197" t="s">
        <v>1875</v>
      </c>
      <c r="C226" s="192" t="s">
        <v>4495</v>
      </c>
      <c r="D226" s="43">
        <v>85</v>
      </c>
      <c r="E226" s="57"/>
      <c r="F226" s="106" t="s">
        <v>4093</v>
      </c>
      <c r="G226" s="54" t="s">
        <v>4172</v>
      </c>
      <c r="H226" s="55"/>
      <c r="I226" s="64"/>
      <c r="J226" s="72"/>
      <c r="K226" s="72"/>
      <c r="L226" s="53">
        <v>7.2008</v>
      </c>
      <c r="M226" s="87" t="s">
        <v>1218</v>
      </c>
      <c r="N226" s="87" t="s">
        <v>621</v>
      </c>
      <c r="O226" s="87" t="s">
        <v>621</v>
      </c>
      <c r="P226" s="207"/>
    </row>
    <row r="227" ht="16.5" spans="1:16">
      <c r="A227" s="32"/>
      <c r="B227" s="197" t="s">
        <v>1875</v>
      </c>
      <c r="C227" s="34"/>
      <c r="D227" s="46"/>
      <c r="E227" s="57"/>
      <c r="F227" s="106"/>
      <c r="G227" s="57"/>
      <c r="H227" s="55"/>
      <c r="I227" s="71"/>
      <c r="J227" s="68"/>
      <c r="K227" s="68"/>
      <c r="L227" s="53"/>
      <c r="M227" s="81"/>
      <c r="N227" s="87"/>
      <c r="O227" s="87"/>
      <c r="P227" s="207"/>
    </row>
    <row r="228" ht="16.5" spans="1:16">
      <c r="A228" s="115" t="s">
        <v>1984</v>
      </c>
      <c r="B228" s="228" t="s">
        <v>1824</v>
      </c>
      <c r="C228" s="112" t="s">
        <v>1120</v>
      </c>
      <c r="D228" s="43">
        <v>220</v>
      </c>
      <c r="E228" s="109"/>
      <c r="F228" s="106" t="s">
        <v>4087</v>
      </c>
      <c r="G228" s="53" t="s">
        <v>4496</v>
      </c>
      <c r="H228" s="55"/>
      <c r="I228" s="252"/>
      <c r="J228" s="72"/>
      <c r="K228" s="64"/>
      <c r="L228" s="53">
        <v>7.2008</v>
      </c>
      <c r="M228" s="81"/>
      <c r="N228" s="81"/>
      <c r="O228" s="81">
        <v>45807</v>
      </c>
      <c r="P228" s="82"/>
    </row>
    <row r="229" ht="16.5" spans="1:16">
      <c r="A229" s="115"/>
      <c r="B229" s="228" t="s">
        <v>1824</v>
      </c>
      <c r="C229" s="42"/>
      <c r="D229" s="38"/>
      <c r="E229" s="53"/>
      <c r="F229" s="106" t="s">
        <v>4087</v>
      </c>
      <c r="G229" s="53" t="s">
        <v>4497</v>
      </c>
      <c r="H229" s="55"/>
      <c r="I229" s="252"/>
      <c r="J229" s="72"/>
      <c r="K229" s="64"/>
      <c r="L229" s="53">
        <v>7.2008</v>
      </c>
      <c r="M229" s="81"/>
      <c r="N229" s="81"/>
      <c r="O229" s="81"/>
      <c r="P229" s="264"/>
    </row>
    <row r="230" ht="16.5" spans="1:16">
      <c r="A230" s="229"/>
      <c r="B230" s="228" t="s">
        <v>1824</v>
      </c>
      <c r="C230" s="42"/>
      <c r="D230" s="38"/>
      <c r="E230" s="53"/>
      <c r="F230" s="201"/>
      <c r="G230" s="53"/>
      <c r="H230" s="55"/>
      <c r="I230" s="64"/>
      <c r="J230" s="69"/>
      <c r="K230" s="72"/>
      <c r="L230" s="53"/>
      <c r="M230" s="91"/>
      <c r="N230" s="81"/>
      <c r="O230" s="81"/>
      <c r="P230" s="265"/>
    </row>
    <row r="231" ht="16.5" spans="1:16">
      <c r="A231" s="229"/>
      <c r="B231" s="228" t="s">
        <v>1824</v>
      </c>
      <c r="C231" s="43" t="s">
        <v>509</v>
      </c>
      <c r="D231" s="43">
        <v>129</v>
      </c>
      <c r="E231" s="106"/>
      <c r="F231" s="54" t="s">
        <v>4090</v>
      </c>
      <c r="G231" s="106" t="s">
        <v>4498</v>
      </c>
      <c r="H231" s="71"/>
      <c r="I231" s="253"/>
      <c r="J231" s="252"/>
      <c r="K231" s="64"/>
      <c r="L231" s="53">
        <v>7.2008</v>
      </c>
      <c r="M231" s="81"/>
      <c r="N231" s="81"/>
      <c r="O231" s="81"/>
      <c r="P231" s="89"/>
    </row>
    <row r="232" ht="16.5" spans="1:16">
      <c r="A232" s="229"/>
      <c r="B232" s="228" t="s">
        <v>1824</v>
      </c>
      <c r="C232" s="38"/>
      <c r="D232" s="38"/>
      <c r="E232" s="235"/>
      <c r="F232" s="236" t="s">
        <v>4192</v>
      </c>
      <c r="G232" s="237" t="s">
        <v>4210</v>
      </c>
      <c r="H232" s="71"/>
      <c r="I232" s="253"/>
      <c r="J232" s="252"/>
      <c r="K232" s="252"/>
      <c r="L232" s="53">
        <v>7.2008</v>
      </c>
      <c r="M232" s="81" t="s">
        <v>1251</v>
      </c>
      <c r="N232" s="81"/>
      <c r="O232" s="81"/>
      <c r="P232" s="89"/>
    </row>
    <row r="233" ht="16.5" spans="1:16">
      <c r="A233" s="229"/>
      <c r="B233" s="228" t="s">
        <v>1824</v>
      </c>
      <c r="C233" s="38"/>
      <c r="D233" s="38"/>
      <c r="E233" s="109"/>
      <c r="F233" s="236" t="s">
        <v>4090</v>
      </c>
      <c r="G233" s="238" t="s">
        <v>4499</v>
      </c>
      <c r="H233" s="56"/>
      <c r="I233" s="254"/>
      <c r="J233" s="252"/>
      <c r="K233" s="252"/>
      <c r="L233" s="53">
        <v>7.2008</v>
      </c>
      <c r="M233" s="81"/>
      <c r="N233" s="81"/>
      <c r="O233" s="87"/>
      <c r="P233" s="266"/>
    </row>
    <row r="234" ht="16.5" spans="1:16">
      <c r="A234" s="229"/>
      <c r="B234" s="228" t="s">
        <v>1824</v>
      </c>
      <c r="C234" s="53" t="s">
        <v>1393</v>
      </c>
      <c r="D234" s="35">
        <v>161</v>
      </c>
      <c r="E234" s="35"/>
      <c r="F234" s="58" t="s">
        <v>4090</v>
      </c>
      <c r="G234" s="186" t="s">
        <v>4384</v>
      </c>
      <c r="H234" s="239"/>
      <c r="I234" s="71"/>
      <c r="J234" s="253"/>
      <c r="K234" s="253"/>
      <c r="L234" s="53">
        <v>7.2008</v>
      </c>
      <c r="M234" s="81">
        <v>45805</v>
      </c>
      <c r="N234" s="81"/>
      <c r="O234" s="81" t="s">
        <v>2805</v>
      </c>
      <c r="P234" s="267"/>
    </row>
    <row r="235" ht="16.5" spans="1:16">
      <c r="A235" s="229"/>
      <c r="B235" s="228" t="s">
        <v>1824</v>
      </c>
      <c r="C235" s="42"/>
      <c r="D235" s="38"/>
      <c r="E235" s="240"/>
      <c r="F235" s="241" t="s">
        <v>4090</v>
      </c>
      <c r="G235" s="242" t="s">
        <v>4428</v>
      </c>
      <c r="H235" s="71"/>
      <c r="I235" s="71"/>
      <c r="J235" s="69"/>
      <c r="K235" s="69"/>
      <c r="L235" s="53">
        <v>7.2008</v>
      </c>
      <c r="M235" s="81">
        <v>45839</v>
      </c>
      <c r="N235" s="165"/>
      <c r="O235" s="81" t="s">
        <v>2805</v>
      </c>
      <c r="P235" s="167"/>
    </row>
    <row r="236" ht="16.5" spans="1:16">
      <c r="A236" s="229"/>
      <c r="B236" s="228" t="s">
        <v>1824</v>
      </c>
      <c r="C236" s="42"/>
      <c r="D236" s="38"/>
      <c r="E236" s="48"/>
      <c r="F236" s="54" t="s">
        <v>4113</v>
      </c>
      <c r="G236" s="40" t="s">
        <v>4376</v>
      </c>
      <c r="H236" s="55"/>
      <c r="I236" s="71"/>
      <c r="J236" s="255"/>
      <c r="K236" s="256"/>
      <c r="L236" s="53">
        <v>7.2008</v>
      </c>
      <c r="M236" s="81"/>
      <c r="N236" s="81"/>
      <c r="O236" s="81" t="s">
        <v>2805</v>
      </c>
      <c r="P236" s="267"/>
    </row>
    <row r="237" ht="16.5" spans="1:16">
      <c r="A237" s="229"/>
      <c r="B237" s="228" t="s">
        <v>1824</v>
      </c>
      <c r="C237" s="42"/>
      <c r="D237" s="38"/>
      <c r="E237" s="41"/>
      <c r="F237" s="54" t="s">
        <v>4090</v>
      </c>
      <c r="G237" s="72" t="s">
        <v>4378</v>
      </c>
      <c r="H237" s="239"/>
      <c r="I237" s="64"/>
      <c r="J237" s="257"/>
      <c r="K237" s="258"/>
      <c r="L237" s="53">
        <v>7.2008</v>
      </c>
      <c r="M237" s="81"/>
      <c r="N237" s="268">
        <v>45784</v>
      </c>
      <c r="O237" s="81">
        <v>45788</v>
      </c>
      <c r="P237" s="147"/>
    </row>
    <row r="238" ht="16.5" spans="1:16">
      <c r="A238" s="229"/>
      <c r="B238" s="228" t="s">
        <v>1824</v>
      </c>
      <c r="C238" s="42"/>
      <c r="D238" s="38"/>
      <c r="E238" s="35"/>
      <c r="F238" s="54" t="s">
        <v>4090</v>
      </c>
      <c r="G238" s="35" t="s">
        <v>4215</v>
      </c>
      <c r="H238" s="243"/>
      <c r="I238" s="64"/>
      <c r="J238" s="69"/>
      <c r="K238" s="64"/>
      <c r="L238" s="53">
        <v>7.2008</v>
      </c>
      <c r="M238" s="81"/>
      <c r="N238" s="81"/>
      <c r="O238" s="269">
        <v>45778</v>
      </c>
      <c r="P238" s="147"/>
    </row>
    <row r="239" ht="16.5" spans="1:16">
      <c r="A239" s="229"/>
      <c r="B239" s="228" t="s">
        <v>1824</v>
      </c>
      <c r="C239" s="42"/>
      <c r="D239" s="38"/>
      <c r="E239" s="35"/>
      <c r="F239" s="58" t="s">
        <v>4090</v>
      </c>
      <c r="G239" s="40" t="s">
        <v>4306</v>
      </c>
      <c r="H239" s="239"/>
      <c r="I239" s="71"/>
      <c r="J239" s="69"/>
      <c r="K239" s="64"/>
      <c r="L239" s="53">
        <v>7.2008</v>
      </c>
      <c r="M239" s="81"/>
      <c r="N239" s="81"/>
      <c r="O239" s="146">
        <v>45779</v>
      </c>
      <c r="P239" s="147"/>
    </row>
    <row r="240" ht="16.5" spans="1:16">
      <c r="A240" s="229"/>
      <c r="B240" s="228" t="s">
        <v>1824</v>
      </c>
      <c r="C240" s="42"/>
      <c r="D240" s="38"/>
      <c r="E240" s="35"/>
      <c r="F240" s="244" t="s">
        <v>4090</v>
      </c>
      <c r="G240" s="186" t="s">
        <v>4500</v>
      </c>
      <c r="H240" s="239"/>
      <c r="I240" s="71"/>
      <c r="J240" s="259"/>
      <c r="K240" s="64"/>
      <c r="L240" s="53">
        <v>7.2008</v>
      </c>
      <c r="M240" s="81"/>
      <c r="N240" s="81"/>
      <c r="O240" s="146">
        <v>45784</v>
      </c>
      <c r="P240" s="147"/>
    </row>
    <row r="241" ht="16.5" spans="1:16">
      <c r="A241" s="229"/>
      <c r="B241" s="228" t="s">
        <v>1824</v>
      </c>
      <c r="C241" s="34"/>
      <c r="D241" s="35"/>
      <c r="E241" s="53"/>
      <c r="F241" s="54"/>
      <c r="G241" s="72"/>
      <c r="H241" s="55"/>
      <c r="I241" s="64"/>
      <c r="J241" s="71"/>
      <c r="K241" s="256"/>
      <c r="L241" s="53"/>
      <c r="M241" s="81"/>
      <c r="N241" s="81"/>
      <c r="O241" s="81"/>
      <c r="P241" s="267"/>
    </row>
    <row r="242" ht="16.5" spans="1:16">
      <c r="A242" s="229"/>
      <c r="B242" s="228" t="s">
        <v>1824</v>
      </c>
      <c r="C242" s="42" t="s">
        <v>4196</v>
      </c>
      <c r="D242" s="38">
        <v>61</v>
      </c>
      <c r="E242" s="245"/>
      <c r="F242" s="201" t="s">
        <v>4207</v>
      </c>
      <c r="G242" s="246" t="s">
        <v>4501</v>
      </c>
      <c r="H242" s="239"/>
      <c r="I242" s="64"/>
      <c r="J242" s="260"/>
      <c r="K242" s="260"/>
      <c r="L242" s="53">
        <v>7.2008</v>
      </c>
      <c r="M242" s="81"/>
      <c r="N242" s="81"/>
      <c r="O242" s="268"/>
      <c r="P242" s="270"/>
    </row>
    <row r="243" ht="16.5" spans="1:16">
      <c r="A243" s="229"/>
      <c r="B243" s="228" t="s">
        <v>1824</v>
      </c>
      <c r="C243" s="42"/>
      <c r="D243" s="38"/>
      <c r="E243" s="48"/>
      <c r="F243" s="54" t="s">
        <v>4090</v>
      </c>
      <c r="G243" s="40" t="s">
        <v>4502</v>
      </c>
      <c r="H243" s="55"/>
      <c r="I243" s="64"/>
      <c r="J243" s="259"/>
      <c r="K243" s="259"/>
      <c r="L243" s="53">
        <v>7.2008</v>
      </c>
      <c r="M243" s="271" t="s">
        <v>1251</v>
      </c>
      <c r="N243" s="81">
        <v>45777</v>
      </c>
      <c r="O243" s="81"/>
      <c r="P243" s="272"/>
    </row>
    <row r="244" ht="16.5" spans="1:16">
      <c r="A244" s="229"/>
      <c r="B244" s="228" t="s">
        <v>1824</v>
      </c>
      <c r="C244" s="42"/>
      <c r="D244" s="38"/>
      <c r="E244" s="48"/>
      <c r="F244" s="54" t="s">
        <v>4090</v>
      </c>
      <c r="G244" s="40" t="s">
        <v>4503</v>
      </c>
      <c r="H244" s="55"/>
      <c r="I244" s="64"/>
      <c r="J244" s="259"/>
      <c r="K244" s="259"/>
      <c r="L244" s="53">
        <v>7.2008</v>
      </c>
      <c r="M244" s="271"/>
      <c r="N244" s="81">
        <v>45815</v>
      </c>
      <c r="O244" s="81"/>
      <c r="P244" s="273"/>
    </row>
    <row r="245" ht="16.5" spans="1:16">
      <c r="A245" s="229"/>
      <c r="B245" s="228" t="s">
        <v>1824</v>
      </c>
      <c r="C245" s="42"/>
      <c r="D245" s="38"/>
      <c r="E245" s="48"/>
      <c r="F245" s="54" t="s">
        <v>4090</v>
      </c>
      <c r="G245" s="40" t="s">
        <v>4388</v>
      </c>
      <c r="H245" s="55"/>
      <c r="I245" s="71"/>
      <c r="J245" s="259"/>
      <c r="K245" s="259"/>
      <c r="L245" s="53">
        <v>7.2008</v>
      </c>
      <c r="M245" s="271"/>
      <c r="N245" s="81"/>
      <c r="O245" s="81"/>
      <c r="P245" s="273"/>
    </row>
    <row r="246" ht="16.5" spans="1:16">
      <c r="A246" s="229"/>
      <c r="B246" s="228" t="s">
        <v>1824</v>
      </c>
      <c r="C246" s="42"/>
      <c r="D246" s="38"/>
      <c r="E246" s="53"/>
      <c r="F246" s="106" t="s">
        <v>4090</v>
      </c>
      <c r="G246" s="106" t="s">
        <v>4307</v>
      </c>
      <c r="H246" s="55"/>
      <c r="I246" s="253"/>
      <c r="J246" s="260"/>
      <c r="K246" s="260"/>
      <c r="L246" s="53">
        <v>7.2008</v>
      </c>
      <c r="M246" s="268"/>
      <c r="N246" s="268"/>
      <c r="O246" s="81"/>
      <c r="P246" s="274"/>
    </row>
    <row r="247" ht="33" spans="1:16">
      <c r="A247" s="36"/>
      <c r="B247" s="230" t="s">
        <v>3248</v>
      </c>
      <c r="C247" s="53" t="s">
        <v>1120</v>
      </c>
      <c r="D247" s="231" t="s">
        <v>1125</v>
      </c>
      <c r="E247" s="53"/>
      <c r="F247" s="54"/>
      <c r="G247" s="53"/>
      <c r="H247" s="55"/>
      <c r="I247" s="72"/>
      <c r="J247" s="64"/>
      <c r="K247" s="253"/>
      <c r="L247" s="53">
        <v>7.2008</v>
      </c>
      <c r="M247" s="81"/>
      <c r="N247" s="81"/>
      <c r="O247" s="81"/>
      <c r="P247" s="82"/>
    </row>
    <row r="248" ht="33" spans="1:16">
      <c r="A248" s="229"/>
      <c r="B248" s="230" t="s">
        <v>3248</v>
      </c>
      <c r="C248" s="43" t="s">
        <v>509</v>
      </c>
      <c r="D248" s="35"/>
      <c r="E248" s="48"/>
      <c r="F248" s="247"/>
      <c r="G248" s="248"/>
      <c r="H248" s="56"/>
      <c r="I248" s="254"/>
      <c r="J248" s="252"/>
      <c r="K248" s="252"/>
      <c r="L248" s="53"/>
      <c r="M248" s="81"/>
      <c r="N248" s="81"/>
      <c r="O248" s="87"/>
      <c r="P248" s="266"/>
    </row>
    <row r="249" ht="33" spans="1:16">
      <c r="A249" s="229"/>
      <c r="B249" s="230" t="s">
        <v>3248</v>
      </c>
      <c r="C249" s="117" t="s">
        <v>1393</v>
      </c>
      <c r="D249" s="232"/>
      <c r="E249" s="249"/>
      <c r="F249" s="236"/>
      <c r="G249" s="227"/>
      <c r="H249" s="55"/>
      <c r="I249" s="64"/>
      <c r="J249" s="261"/>
      <c r="K249" s="261"/>
      <c r="L249" s="53"/>
      <c r="M249" s="271"/>
      <c r="N249" s="81"/>
      <c r="O249" s="81"/>
      <c r="P249" s="82"/>
    </row>
    <row r="250" ht="33" spans="1:16">
      <c r="A250" s="229"/>
      <c r="B250" s="230" t="s">
        <v>3248</v>
      </c>
      <c r="C250" s="233"/>
      <c r="D250" s="232"/>
      <c r="E250" s="249"/>
      <c r="F250" s="250"/>
      <c r="G250" s="251"/>
      <c r="H250" s="55"/>
      <c r="I250" s="64"/>
      <c r="J250" s="257"/>
      <c r="K250" s="257"/>
      <c r="L250" s="53"/>
      <c r="M250" s="271"/>
      <c r="N250" s="81"/>
      <c r="O250" s="146"/>
      <c r="P250" s="82"/>
    </row>
    <row r="251" ht="33" spans="1:16">
      <c r="A251" s="229"/>
      <c r="B251" s="230" t="s">
        <v>3248</v>
      </c>
      <c r="C251" s="233"/>
      <c r="D251" s="232"/>
      <c r="E251" s="53"/>
      <c r="F251" s="54"/>
      <c r="G251" s="34"/>
      <c r="H251" s="55"/>
      <c r="I251" s="64"/>
      <c r="J251" s="262"/>
      <c r="K251" s="256"/>
      <c r="L251" s="53"/>
      <c r="M251" s="271"/>
      <c r="N251" s="81"/>
      <c r="O251" s="81"/>
      <c r="P251" s="82"/>
    </row>
    <row r="252" ht="33" spans="1:16">
      <c r="A252" s="229"/>
      <c r="B252" s="230" t="s">
        <v>3248</v>
      </c>
      <c r="C252" s="233"/>
      <c r="D252" s="232"/>
      <c r="E252" s="249"/>
      <c r="F252" s="54"/>
      <c r="G252" s="72"/>
      <c r="H252" s="55"/>
      <c r="I252" s="64"/>
      <c r="J252" s="257"/>
      <c r="K252" s="258"/>
      <c r="L252" s="53"/>
      <c r="M252" s="271"/>
      <c r="N252" s="268"/>
      <c r="O252" s="81"/>
      <c r="P252" s="136"/>
    </row>
    <row r="253" ht="33" spans="1:16">
      <c r="A253" s="229"/>
      <c r="B253" s="230" t="s">
        <v>3248</v>
      </c>
      <c r="C253" s="40" t="s">
        <v>4504</v>
      </c>
      <c r="D253" s="38"/>
      <c r="E253" s="249"/>
      <c r="F253" s="106"/>
      <c r="G253" s="59"/>
      <c r="H253" s="55"/>
      <c r="I253" s="64"/>
      <c r="J253" s="263"/>
      <c r="K253" s="263"/>
      <c r="L253" s="53"/>
      <c r="M253" s="271"/>
      <c r="N253" s="271"/>
      <c r="O253" s="275"/>
      <c r="P253" s="274"/>
    </row>
    <row r="254" ht="33" spans="1:16">
      <c r="A254" s="229"/>
      <c r="B254" s="230" t="s">
        <v>3248</v>
      </c>
      <c r="C254" s="53"/>
      <c r="D254" s="35"/>
      <c r="E254" s="48"/>
      <c r="F254" s="54"/>
      <c r="G254" s="40"/>
      <c r="H254" s="55"/>
      <c r="I254" s="64"/>
      <c r="J254" s="259"/>
      <c r="K254" s="259"/>
      <c r="L254" s="53"/>
      <c r="M254" s="271"/>
      <c r="N254" s="81"/>
      <c r="O254" s="81"/>
      <c r="P254" s="272"/>
    </row>
    <row r="255" ht="33" spans="1:16">
      <c r="A255" s="104"/>
      <c r="B255" s="230" t="s">
        <v>3248</v>
      </c>
      <c r="C255" s="40"/>
      <c r="D255" s="46"/>
      <c r="E255" s="53"/>
      <c r="F255" s="106"/>
      <c r="G255" s="106"/>
      <c r="H255" s="55"/>
      <c r="I255" s="253"/>
      <c r="J255" s="260"/>
      <c r="K255" s="260"/>
      <c r="L255" s="53"/>
      <c r="M255" s="268"/>
      <c r="N255" s="268"/>
      <c r="O255" s="81"/>
      <c r="P255" s="276"/>
    </row>
    <row r="256" ht="16.5" spans="1:16">
      <c r="A256" s="36"/>
      <c r="B256" s="54" t="s">
        <v>1875</v>
      </c>
      <c r="C256" s="234" t="s">
        <v>1120</v>
      </c>
      <c r="D256" s="43" t="s">
        <v>1125</v>
      </c>
      <c r="E256" s="53"/>
      <c r="F256" s="106"/>
      <c r="G256" s="53"/>
      <c r="H256" s="55"/>
      <c r="I256" s="64"/>
      <c r="J256" s="72"/>
      <c r="K256" s="64"/>
      <c r="L256" s="53">
        <v>7.2008</v>
      </c>
      <c r="M256" s="81"/>
      <c r="N256" s="81"/>
      <c r="O256" s="81"/>
      <c r="P256" s="264"/>
    </row>
    <row r="257" ht="16.5" spans="1:16">
      <c r="A257" s="229"/>
      <c r="B257" s="54" t="s">
        <v>1875</v>
      </c>
      <c r="C257" s="277"/>
      <c r="D257" s="38"/>
      <c r="E257" s="53"/>
      <c r="F257" s="106" t="s">
        <v>4087</v>
      </c>
      <c r="G257" s="53" t="s">
        <v>4496</v>
      </c>
      <c r="H257" s="55"/>
      <c r="I257" s="64"/>
      <c r="J257" s="285"/>
      <c r="K257" s="286"/>
      <c r="L257" s="53">
        <v>7.2008</v>
      </c>
      <c r="M257" s="271"/>
      <c r="N257" s="271"/>
      <c r="O257" s="81"/>
      <c r="P257" s="288"/>
    </row>
    <row r="258" ht="16.5" spans="1:16">
      <c r="A258" s="229"/>
      <c r="B258" s="54" t="s">
        <v>1875</v>
      </c>
      <c r="C258" s="277"/>
      <c r="D258" s="38"/>
      <c r="E258" s="53"/>
      <c r="F258" s="106" t="s">
        <v>4087</v>
      </c>
      <c r="G258" s="53" t="s">
        <v>4505</v>
      </c>
      <c r="H258" s="55"/>
      <c r="I258" s="64"/>
      <c r="J258" s="285"/>
      <c r="K258" s="286"/>
      <c r="L258" s="53">
        <v>7.2008</v>
      </c>
      <c r="M258" s="271"/>
      <c r="N258" s="271"/>
      <c r="O258" s="81"/>
      <c r="P258" s="288"/>
    </row>
    <row r="259" ht="16.5" spans="1:16">
      <c r="A259" s="229"/>
      <c r="B259" s="54" t="s">
        <v>1875</v>
      </c>
      <c r="C259" s="277"/>
      <c r="D259" s="38"/>
      <c r="E259" s="53"/>
      <c r="F259" s="106"/>
      <c r="G259" s="53"/>
      <c r="H259" s="55"/>
      <c r="I259" s="64"/>
      <c r="J259" s="285"/>
      <c r="K259" s="286"/>
      <c r="L259" s="53"/>
      <c r="M259" s="271"/>
      <c r="N259" s="271"/>
      <c r="O259" s="81"/>
      <c r="P259" s="264"/>
    </row>
    <row r="260" ht="16.5" spans="1:16">
      <c r="A260" s="229"/>
      <c r="B260" s="54" t="s">
        <v>1875</v>
      </c>
      <c r="C260" s="277"/>
      <c r="D260" s="38"/>
      <c r="E260" s="53"/>
      <c r="F260" s="106"/>
      <c r="G260" s="106"/>
      <c r="H260" s="55"/>
      <c r="I260" s="253"/>
      <c r="J260" s="287"/>
      <c r="K260" s="287"/>
      <c r="L260" s="53">
        <v>7.2008</v>
      </c>
      <c r="M260" s="275"/>
      <c r="N260" s="275"/>
      <c r="O260" s="268"/>
      <c r="P260" s="274"/>
    </row>
    <row r="261" ht="16.5" spans="1:16">
      <c r="A261" s="36"/>
      <c r="B261" s="54" t="s">
        <v>1875</v>
      </c>
      <c r="C261" s="53" t="s">
        <v>509</v>
      </c>
      <c r="D261" s="35" t="s">
        <v>1125</v>
      </c>
      <c r="E261" s="106"/>
      <c r="F261" s="54" t="s">
        <v>4139</v>
      </c>
      <c r="G261" s="106" t="s">
        <v>4380</v>
      </c>
      <c r="H261" s="71"/>
      <c r="I261" s="253"/>
      <c r="J261" s="252"/>
      <c r="K261" s="64"/>
      <c r="L261" s="53"/>
      <c r="M261" s="81"/>
      <c r="N261" s="81"/>
      <c r="O261" s="81"/>
      <c r="P261" s="89"/>
    </row>
    <row r="262" ht="16.5" spans="1:16">
      <c r="A262" s="229"/>
      <c r="B262" s="54" t="s">
        <v>1875</v>
      </c>
      <c r="C262" s="39"/>
      <c r="D262" s="39"/>
      <c r="E262" s="106"/>
      <c r="F262" s="236"/>
      <c r="G262" s="238"/>
      <c r="H262" s="56"/>
      <c r="I262" s="254"/>
      <c r="J262" s="252"/>
      <c r="K262" s="252"/>
      <c r="L262" s="53"/>
      <c r="M262" s="81"/>
      <c r="N262" s="81"/>
      <c r="O262" s="87"/>
      <c r="P262" s="266"/>
    </row>
    <row r="263" ht="16.5" spans="1:16">
      <c r="A263" s="229"/>
      <c r="B263" s="54" t="s">
        <v>1875</v>
      </c>
      <c r="C263" s="53"/>
      <c r="D263" s="278"/>
      <c r="E263" s="53"/>
      <c r="F263" s="247"/>
      <c r="G263" s="248"/>
      <c r="H263" s="55"/>
      <c r="I263" s="253"/>
      <c r="J263" s="252"/>
      <c r="K263" s="252"/>
      <c r="L263" s="53">
        <v>7.2008</v>
      </c>
      <c r="M263" s="289"/>
      <c r="N263" s="81"/>
      <c r="O263" s="87"/>
      <c r="P263" s="266"/>
    </row>
    <row r="264" ht="16.5" spans="1:16">
      <c r="A264" s="229"/>
      <c r="B264" s="54" t="s">
        <v>1875</v>
      </c>
      <c r="C264" s="233" t="s">
        <v>1393</v>
      </c>
      <c r="D264" s="35"/>
      <c r="E264" s="249"/>
      <c r="F264" s="244" t="s">
        <v>4090</v>
      </c>
      <c r="G264" s="219" t="s">
        <v>4506</v>
      </c>
      <c r="H264" s="239"/>
      <c r="I264" s="71"/>
      <c r="J264" s="259"/>
      <c r="K264" s="259"/>
      <c r="L264" s="53">
        <v>7.2008</v>
      </c>
      <c r="M264" s="271"/>
      <c r="N264" s="81"/>
      <c r="O264" s="146"/>
      <c r="P264" s="82"/>
    </row>
    <row r="265" ht="16.5" spans="1:16">
      <c r="A265" s="229"/>
      <c r="B265" s="54" t="s">
        <v>1875</v>
      </c>
      <c r="C265" s="233"/>
      <c r="D265" s="35"/>
      <c r="E265" s="249"/>
      <c r="F265" s="279" t="s">
        <v>4090</v>
      </c>
      <c r="G265" s="219" t="s">
        <v>4429</v>
      </c>
      <c r="H265" s="221"/>
      <c r="I265" s="71"/>
      <c r="J265" s="261"/>
      <c r="K265" s="261"/>
      <c r="L265" s="53">
        <v>7.2008</v>
      </c>
      <c r="M265" s="271"/>
      <c r="N265" s="271"/>
      <c r="O265" s="81"/>
      <c r="P265" s="290"/>
    </row>
    <row r="266" ht="16.5" spans="1:16">
      <c r="A266" s="229"/>
      <c r="B266" s="54" t="s">
        <v>1875</v>
      </c>
      <c r="C266" s="233"/>
      <c r="D266" s="35"/>
      <c r="E266" s="249"/>
      <c r="F266" s="279" t="s">
        <v>4090</v>
      </c>
      <c r="G266" s="219" t="s">
        <v>4507</v>
      </c>
      <c r="H266" s="221"/>
      <c r="I266" s="71"/>
      <c r="J266" s="261"/>
      <c r="K266" s="261"/>
      <c r="L266" s="53">
        <v>7.2008</v>
      </c>
      <c r="M266" s="271"/>
      <c r="N266" s="271"/>
      <c r="O266" s="81"/>
      <c r="P266" s="290"/>
    </row>
    <row r="267" ht="16.5" spans="1:16">
      <c r="A267" s="229"/>
      <c r="B267" s="54" t="s">
        <v>1875</v>
      </c>
      <c r="C267" s="233"/>
      <c r="D267" s="35"/>
      <c r="E267" s="249"/>
      <c r="F267" s="54" t="s">
        <v>4113</v>
      </c>
      <c r="G267" s="280" t="s">
        <v>4382</v>
      </c>
      <c r="H267" s="55"/>
      <c r="I267" s="71"/>
      <c r="J267" s="261"/>
      <c r="K267" s="261"/>
      <c r="L267" s="53">
        <v>7.2008</v>
      </c>
      <c r="M267" s="81"/>
      <c r="N267" s="81"/>
      <c r="O267" s="81"/>
      <c r="P267" s="290"/>
    </row>
    <row r="268" ht="16.5" spans="1:16">
      <c r="A268" s="229"/>
      <c r="B268" s="54" t="s">
        <v>1875</v>
      </c>
      <c r="C268" s="233"/>
      <c r="D268" s="35"/>
      <c r="E268" s="249"/>
      <c r="F268" s="205" t="s">
        <v>4090</v>
      </c>
      <c r="G268" s="280" t="s">
        <v>4383</v>
      </c>
      <c r="H268" s="71"/>
      <c r="I268" s="286"/>
      <c r="J268" s="261"/>
      <c r="K268" s="261"/>
      <c r="L268" s="53">
        <v>7.2008</v>
      </c>
      <c r="M268" s="271"/>
      <c r="N268" s="271"/>
      <c r="O268" s="81"/>
      <c r="P268" s="82"/>
    </row>
    <row r="269" ht="16.5" spans="1:16">
      <c r="A269" s="229"/>
      <c r="B269" s="54" t="s">
        <v>1875</v>
      </c>
      <c r="C269" s="233"/>
      <c r="D269" s="35"/>
      <c r="E269" s="249"/>
      <c r="F269" s="236" t="s">
        <v>4090</v>
      </c>
      <c r="G269" s="280" t="s">
        <v>4508</v>
      </c>
      <c r="H269" s="204"/>
      <c r="I269" s="286"/>
      <c r="J269" s="261"/>
      <c r="K269" s="261"/>
      <c r="L269" s="53">
        <v>7.2008</v>
      </c>
      <c r="M269" s="271"/>
      <c r="N269" s="271"/>
      <c r="O269" s="81"/>
      <c r="P269" s="82"/>
    </row>
    <row r="270" ht="16.5" spans="1:16">
      <c r="A270" s="229"/>
      <c r="B270" s="54" t="s">
        <v>1875</v>
      </c>
      <c r="C270" s="233"/>
      <c r="D270" s="35"/>
      <c r="E270" s="249"/>
      <c r="F270" s="236" t="s">
        <v>4090</v>
      </c>
      <c r="G270" s="280" t="s">
        <v>4509</v>
      </c>
      <c r="H270" s="204"/>
      <c r="I270" s="286"/>
      <c r="J270" s="261"/>
      <c r="K270" s="261"/>
      <c r="L270" s="53">
        <v>7.2008</v>
      </c>
      <c r="M270" s="271"/>
      <c r="N270" s="271"/>
      <c r="O270" s="81"/>
      <c r="P270" s="82"/>
    </row>
    <row r="271" ht="16.5" spans="1:16">
      <c r="A271" s="229"/>
      <c r="B271" s="54" t="s">
        <v>1875</v>
      </c>
      <c r="C271" s="233"/>
      <c r="D271" s="35"/>
      <c r="E271" s="249"/>
      <c r="F271" s="236" t="s">
        <v>4090</v>
      </c>
      <c r="G271" s="280" t="s">
        <v>4510</v>
      </c>
      <c r="H271" s="204"/>
      <c r="I271" s="286"/>
      <c r="J271" s="261"/>
      <c r="K271" s="261"/>
      <c r="L271" s="53">
        <v>7.2008</v>
      </c>
      <c r="M271" s="271"/>
      <c r="N271" s="271"/>
      <c r="O271" s="81"/>
      <c r="P271" s="290"/>
    </row>
    <row r="272" ht="16.5" spans="1:16">
      <c r="A272" s="229"/>
      <c r="B272" s="54" t="s">
        <v>1875</v>
      </c>
      <c r="C272" s="233"/>
      <c r="D272" s="35"/>
      <c r="E272" s="249"/>
      <c r="F272" s="236" t="s">
        <v>4090</v>
      </c>
      <c r="G272" s="280" t="s">
        <v>772</v>
      </c>
      <c r="H272" s="204"/>
      <c r="I272" s="286"/>
      <c r="J272" s="261"/>
      <c r="K272" s="253"/>
      <c r="L272" s="53">
        <v>7.2008</v>
      </c>
      <c r="M272" s="271"/>
      <c r="N272" s="271"/>
      <c r="O272" s="81"/>
      <c r="P272" s="274"/>
    </row>
    <row r="273" ht="16.5" spans="1:16">
      <c r="A273" s="229"/>
      <c r="B273" s="54" t="s">
        <v>1875</v>
      </c>
      <c r="C273" s="233"/>
      <c r="D273" s="35"/>
      <c r="E273" s="35"/>
      <c r="F273" s="54" t="s">
        <v>4090</v>
      </c>
      <c r="G273" s="34" t="s">
        <v>4511</v>
      </c>
      <c r="H273" s="55"/>
      <c r="I273" s="64"/>
      <c r="J273" s="253"/>
      <c r="K273" s="253"/>
      <c r="L273" s="53">
        <v>7.2008</v>
      </c>
      <c r="M273" s="81"/>
      <c r="N273" s="81"/>
      <c r="O273" s="81"/>
      <c r="P273" s="270"/>
    </row>
    <row r="274" ht="16.5" spans="1:16">
      <c r="A274" s="229"/>
      <c r="B274" s="54" t="s">
        <v>1875</v>
      </c>
      <c r="C274" s="233"/>
      <c r="D274" s="35"/>
      <c r="E274" s="35"/>
      <c r="F274" s="54" t="s">
        <v>4090</v>
      </c>
      <c r="G274" s="34" t="s">
        <v>4512</v>
      </c>
      <c r="H274" s="55"/>
      <c r="I274" s="64"/>
      <c r="J274" s="253"/>
      <c r="K274" s="253"/>
      <c r="L274" s="53"/>
      <c r="M274" s="81"/>
      <c r="N274" s="81"/>
      <c r="O274" s="81"/>
      <c r="P274" s="270"/>
    </row>
    <row r="275" ht="16.5" spans="1:16">
      <c r="A275" s="229"/>
      <c r="B275" s="54" t="s">
        <v>1875</v>
      </c>
      <c r="C275" s="233"/>
      <c r="D275" s="35"/>
      <c r="E275" s="35"/>
      <c r="F275" s="54" t="s">
        <v>4090</v>
      </c>
      <c r="G275" s="34" t="s">
        <v>3898</v>
      </c>
      <c r="H275" s="55"/>
      <c r="I275" s="64"/>
      <c r="J275" s="253"/>
      <c r="K275" s="253"/>
      <c r="L275" s="53">
        <v>7.2008</v>
      </c>
      <c r="M275" s="81"/>
      <c r="N275" s="81"/>
      <c r="O275" s="81"/>
      <c r="P275" s="267"/>
    </row>
    <row r="276" ht="16.5" spans="1:16">
      <c r="A276" s="229"/>
      <c r="B276" s="54" t="s">
        <v>1875</v>
      </c>
      <c r="C276" s="233"/>
      <c r="D276" s="35"/>
      <c r="E276" s="35"/>
      <c r="F276" s="54" t="s">
        <v>4090</v>
      </c>
      <c r="G276" s="34" t="s">
        <v>4513</v>
      </c>
      <c r="H276" s="55"/>
      <c r="I276" s="64"/>
      <c r="J276" s="253"/>
      <c r="K276" s="253"/>
      <c r="L276" s="53"/>
      <c r="M276" s="81"/>
      <c r="N276" s="81"/>
      <c r="O276" s="81"/>
      <c r="P276" s="270"/>
    </row>
    <row r="277" ht="16.5" spans="1:16">
      <c r="A277" s="229"/>
      <c r="B277" s="54" t="s">
        <v>1875</v>
      </c>
      <c r="C277" s="233"/>
      <c r="D277" s="35"/>
      <c r="E277" s="35"/>
      <c r="F277" s="54" t="s">
        <v>4090</v>
      </c>
      <c r="G277" s="34" t="s">
        <v>4514</v>
      </c>
      <c r="H277" s="55"/>
      <c r="I277" s="64"/>
      <c r="J277" s="253"/>
      <c r="K277" s="253"/>
      <c r="L277" s="53">
        <v>7.2008</v>
      </c>
      <c r="M277" s="81"/>
      <c r="N277" s="81"/>
      <c r="O277" s="81"/>
      <c r="P277" s="291"/>
    </row>
    <row r="278" ht="16.5" spans="1:16">
      <c r="A278" s="229"/>
      <c r="B278" s="54" t="s">
        <v>1875</v>
      </c>
      <c r="C278" s="233"/>
      <c r="D278" s="35"/>
      <c r="E278" s="281"/>
      <c r="F278" s="54" t="s">
        <v>4090</v>
      </c>
      <c r="G278" s="282" t="s">
        <v>4202</v>
      </c>
      <c r="H278" s="55"/>
      <c r="I278" s="64"/>
      <c r="J278" s="259"/>
      <c r="K278" s="259"/>
      <c r="L278" s="53">
        <v>7.2008</v>
      </c>
      <c r="M278" s="259"/>
      <c r="N278" s="259"/>
      <c r="O278" s="259"/>
      <c r="P278"/>
    </row>
    <row r="279" ht="16.5" spans="1:16">
      <c r="A279" s="229"/>
      <c r="B279" s="54" t="s">
        <v>1875</v>
      </c>
      <c r="C279" s="233"/>
      <c r="D279" s="35"/>
      <c r="E279" s="35"/>
      <c r="F279" s="54" t="s">
        <v>4090</v>
      </c>
      <c r="G279" s="34" t="s">
        <v>4515</v>
      </c>
      <c r="H279" s="55"/>
      <c r="I279" s="64"/>
      <c r="J279" s="253"/>
      <c r="K279" s="253"/>
      <c r="L279" s="53">
        <v>7.2008</v>
      </c>
      <c r="M279" s="81"/>
      <c r="N279" s="81"/>
      <c r="O279" s="81"/>
      <c r="P279" s="291"/>
    </row>
    <row r="280" ht="16.5" spans="1:16">
      <c r="A280" s="229"/>
      <c r="B280" s="54" t="s">
        <v>1875</v>
      </c>
      <c r="C280" s="233"/>
      <c r="D280" s="35"/>
      <c r="E280" s="35"/>
      <c r="F280" s="54" t="s">
        <v>4090</v>
      </c>
      <c r="G280" s="34" t="s">
        <v>4516</v>
      </c>
      <c r="H280" s="55"/>
      <c r="I280" s="64"/>
      <c r="J280" s="253"/>
      <c r="K280" s="253"/>
      <c r="L280" s="53"/>
      <c r="M280" s="81"/>
      <c r="N280" s="81"/>
      <c r="O280" s="81"/>
      <c r="P280" s="291"/>
    </row>
    <row r="281" ht="33" spans="1:16">
      <c r="A281" s="229"/>
      <c r="B281" s="54" t="s">
        <v>1875</v>
      </c>
      <c r="C281" s="233"/>
      <c r="D281" s="35"/>
      <c r="E281" s="35"/>
      <c r="F281" s="58" t="s">
        <v>4090</v>
      </c>
      <c r="G281" s="186" t="s">
        <v>4377</v>
      </c>
      <c r="H281" s="239"/>
      <c r="I281" s="71"/>
      <c r="J281" s="253"/>
      <c r="K281" s="253"/>
      <c r="L281" s="53">
        <v>7.2008</v>
      </c>
      <c r="M281" s="81">
        <v>45749</v>
      </c>
      <c r="N281" s="81"/>
      <c r="O281" s="81"/>
      <c r="P281" s="267"/>
    </row>
    <row r="282" ht="16.5" spans="1:16">
      <c r="A282" s="229"/>
      <c r="B282" s="54" t="s">
        <v>1875</v>
      </c>
      <c r="C282" s="233"/>
      <c r="D282" s="35"/>
      <c r="E282" s="35"/>
      <c r="F282" s="54" t="s">
        <v>4090</v>
      </c>
      <c r="G282" s="34" t="s">
        <v>4517</v>
      </c>
      <c r="H282" s="239"/>
      <c r="I282" s="64"/>
      <c r="J282" s="253"/>
      <c r="K282" s="253"/>
      <c r="L282" s="53">
        <v>7.2008</v>
      </c>
      <c r="M282" s="81"/>
      <c r="N282" s="81"/>
      <c r="O282" s="81"/>
      <c r="P282" s="270"/>
    </row>
    <row r="283" ht="16.5" spans="1:16">
      <c r="A283" s="229"/>
      <c r="B283" s="54" t="s">
        <v>1875</v>
      </c>
      <c r="C283" s="53" t="s">
        <v>4518</v>
      </c>
      <c r="D283" s="35"/>
      <c r="E283" s="283"/>
      <c r="F283" s="284" t="s">
        <v>4188</v>
      </c>
      <c r="G283" s="282" t="s">
        <v>4519</v>
      </c>
      <c r="H283" s="55"/>
      <c r="I283" s="64"/>
      <c r="J283" s="253"/>
      <c r="K283" s="253"/>
      <c r="L283" s="53">
        <v>7.2008</v>
      </c>
      <c r="M283" s="81"/>
      <c r="N283" s="81"/>
      <c r="O283" s="81"/>
      <c r="P283" s="292"/>
    </row>
    <row r="284" ht="16.5" spans="1:16">
      <c r="A284" s="229"/>
      <c r="B284" s="54" t="s">
        <v>1875</v>
      </c>
      <c r="C284" s="53"/>
      <c r="D284" s="35"/>
      <c r="E284" s="35"/>
      <c r="F284" s="54" t="s">
        <v>4113</v>
      </c>
      <c r="G284" s="54" t="s">
        <v>4520</v>
      </c>
      <c r="H284" s="55"/>
      <c r="I284" s="64"/>
      <c r="J284" s="253"/>
      <c r="K284" s="253"/>
      <c r="L284" s="53">
        <v>7.2008</v>
      </c>
      <c r="M284" s="81"/>
      <c r="N284" s="81"/>
      <c r="O284" s="81"/>
      <c r="P284" s="270"/>
    </row>
    <row r="285" ht="16.5" spans="1:16">
      <c r="A285" s="229"/>
      <c r="B285" s="54" t="s">
        <v>1875</v>
      </c>
      <c r="C285" s="53" t="s">
        <v>4504</v>
      </c>
      <c r="D285" s="35"/>
      <c r="E285" s="53"/>
      <c r="F285" s="106" t="s">
        <v>4139</v>
      </c>
      <c r="G285" s="72" t="s">
        <v>4454</v>
      </c>
      <c r="H285" s="55"/>
      <c r="I285" s="253"/>
      <c r="J285" s="253"/>
      <c r="K285" s="253"/>
      <c r="L285" s="53">
        <v>7.2008</v>
      </c>
      <c r="M285" s="81"/>
      <c r="N285" s="81"/>
      <c r="O285" s="81"/>
      <c r="P285" s="293"/>
    </row>
    <row r="286" ht="16.5" spans="1:16">
      <c r="A286" s="229"/>
      <c r="B286" s="54" t="s">
        <v>1875</v>
      </c>
      <c r="C286" s="53"/>
      <c r="D286" s="35"/>
      <c r="E286" s="109"/>
      <c r="F286" s="106" t="s">
        <v>4207</v>
      </c>
      <c r="G286" s="72" t="s">
        <v>4521</v>
      </c>
      <c r="H286" s="55"/>
      <c r="I286" s="253"/>
      <c r="J286" s="253"/>
      <c r="K286" s="253"/>
      <c r="L286" s="53">
        <v>7.2008</v>
      </c>
      <c r="M286" s="81"/>
      <c r="N286" s="81"/>
      <c r="O286" s="81"/>
      <c r="P286" s="293"/>
    </row>
    <row r="287" ht="16.5" spans="1:16">
      <c r="A287" s="229"/>
      <c r="B287" s="54" t="s">
        <v>1875</v>
      </c>
      <c r="C287" s="53"/>
      <c r="D287" s="35"/>
      <c r="E287" s="53"/>
      <c r="F287" s="54" t="s">
        <v>4095</v>
      </c>
      <c r="G287" s="72" t="s">
        <v>4309</v>
      </c>
      <c r="H287" s="55"/>
      <c r="I287" s="253"/>
      <c r="J287" s="253"/>
      <c r="K287" s="253"/>
      <c r="L287" s="53">
        <v>7.2008</v>
      </c>
      <c r="M287" s="81"/>
      <c r="N287" s="81"/>
      <c r="O287" s="81"/>
      <c r="P287" s="293"/>
    </row>
    <row r="288" ht="16.5" spans="1:16">
      <c r="A288" s="229"/>
      <c r="B288" s="54" t="s">
        <v>1875</v>
      </c>
      <c r="C288" s="53"/>
      <c r="D288" s="35"/>
      <c r="E288" s="53"/>
      <c r="F288" s="106" t="s">
        <v>4090</v>
      </c>
      <c r="G288" s="106" t="s">
        <v>4310</v>
      </c>
      <c r="H288" s="55"/>
      <c r="I288" s="253"/>
      <c r="J288" s="260"/>
      <c r="K288" s="260"/>
      <c r="L288" s="53">
        <v>7.2008</v>
      </c>
      <c r="M288" s="268"/>
      <c r="N288" s="268"/>
      <c r="O288" s="268"/>
      <c r="P288" s="294"/>
    </row>
    <row r="289" ht="16.5" spans="1:16">
      <c r="A289" s="229"/>
      <c r="B289" s="54" t="s">
        <v>1875</v>
      </c>
      <c r="C289" s="53"/>
      <c r="D289" s="35"/>
      <c r="E289" s="53"/>
      <c r="F289" s="106" t="s">
        <v>4090</v>
      </c>
      <c r="G289" s="106" t="s">
        <v>4522</v>
      </c>
      <c r="H289" s="55"/>
      <c r="I289" s="253"/>
      <c r="J289" s="260"/>
      <c r="K289" s="260"/>
      <c r="L289" s="53">
        <v>7.2008</v>
      </c>
      <c r="M289" s="268"/>
      <c r="N289" s="268"/>
      <c r="O289" s="268"/>
      <c r="P289" s="294"/>
    </row>
    <row r="290" ht="16.5" spans="1:16">
      <c r="A290" s="229"/>
      <c r="B290" s="54" t="s">
        <v>1875</v>
      </c>
      <c r="C290" s="53"/>
      <c r="D290" s="35"/>
      <c r="E290" s="53"/>
      <c r="F290" s="106" t="s">
        <v>4090</v>
      </c>
      <c r="G290" s="106" t="s">
        <v>4523</v>
      </c>
      <c r="H290" s="55"/>
      <c r="I290" s="253"/>
      <c r="J290" s="260"/>
      <c r="K290" s="260"/>
      <c r="L290" s="53">
        <v>7.2008</v>
      </c>
      <c r="M290" s="268"/>
      <c r="N290" s="268"/>
      <c r="O290" s="268"/>
      <c r="P290" s="294"/>
    </row>
    <row r="291" ht="16.5" spans="1:16">
      <c r="A291" s="229"/>
      <c r="B291" s="54" t="s">
        <v>1875</v>
      </c>
      <c r="C291" s="53"/>
      <c r="D291" s="35"/>
      <c r="E291" s="53"/>
      <c r="F291" s="106" t="s">
        <v>4139</v>
      </c>
      <c r="G291" s="106"/>
      <c r="H291" s="55"/>
      <c r="I291" s="253"/>
      <c r="J291" s="260"/>
      <c r="K291" s="260"/>
      <c r="L291" s="53">
        <v>7.2008</v>
      </c>
      <c r="M291" s="268"/>
      <c r="N291" s="268"/>
      <c r="O291" s="268"/>
      <c r="P291" s="294"/>
    </row>
    <row r="292" ht="16.5" spans="1:16">
      <c r="A292" s="229"/>
      <c r="B292" s="54" t="s">
        <v>1875</v>
      </c>
      <c r="C292" s="53"/>
      <c r="D292" s="35"/>
      <c r="E292" s="53"/>
      <c r="F292" s="201" t="s">
        <v>4090</v>
      </c>
      <c r="G292" s="246" t="s">
        <v>4214</v>
      </c>
      <c r="H292" s="308"/>
      <c r="I292" s="253"/>
      <c r="J292" s="66"/>
      <c r="K292" s="67"/>
      <c r="L292" s="53">
        <v>7.2008</v>
      </c>
      <c r="M292" s="81"/>
      <c r="N292" s="81"/>
      <c r="O292" s="268"/>
      <c r="P292" s="294"/>
    </row>
    <row r="293" ht="16.5" spans="1:16">
      <c r="A293" s="229"/>
      <c r="B293" s="54" t="s">
        <v>1875</v>
      </c>
      <c r="C293" s="40"/>
      <c r="D293" s="232"/>
      <c r="E293" s="53"/>
      <c r="F293" s="201" t="s">
        <v>4090</v>
      </c>
      <c r="G293" s="246" t="s">
        <v>382</v>
      </c>
      <c r="H293" s="309"/>
      <c r="I293" s="324"/>
      <c r="J293" s="263"/>
      <c r="K293" s="263"/>
      <c r="L293" s="53">
        <v>7.2008</v>
      </c>
      <c r="M293" s="275"/>
      <c r="N293" s="275"/>
      <c r="O293" s="275"/>
      <c r="P293" s="274"/>
    </row>
    <row r="294" ht="16.5" spans="1:16">
      <c r="A294" s="229"/>
      <c r="B294" s="54" t="s">
        <v>1875</v>
      </c>
      <c r="C294" s="40"/>
      <c r="D294" s="232"/>
      <c r="E294" s="310"/>
      <c r="F294" s="201"/>
      <c r="G294" s="311"/>
      <c r="H294" s="309"/>
      <c r="I294" s="324"/>
      <c r="J294" s="263"/>
      <c r="K294" s="263"/>
      <c r="L294" s="53"/>
      <c r="M294" s="275"/>
      <c r="N294" s="275"/>
      <c r="O294" s="275"/>
      <c r="P294" s="274"/>
    </row>
    <row r="295" ht="16.5" spans="1:16">
      <c r="A295" s="229"/>
      <c r="B295" s="54" t="s">
        <v>1875</v>
      </c>
      <c r="C295" s="40"/>
      <c r="D295" s="232"/>
      <c r="E295" s="249"/>
      <c r="F295" s="201" t="s">
        <v>4090</v>
      </c>
      <c r="G295" s="311" t="s">
        <v>4386</v>
      </c>
      <c r="H295" s="309"/>
      <c r="I295" s="324"/>
      <c r="J295" s="263"/>
      <c r="K295" s="263"/>
      <c r="L295" s="53">
        <v>7.2008</v>
      </c>
      <c r="M295" s="275"/>
      <c r="N295" s="275"/>
      <c r="O295" s="275"/>
      <c r="P295" s="274"/>
    </row>
    <row r="296" ht="16.5" spans="1:16">
      <c r="A296" s="229"/>
      <c r="B296" s="54" t="s">
        <v>1875</v>
      </c>
      <c r="C296" s="53"/>
      <c r="D296" s="38"/>
      <c r="E296" s="249"/>
      <c r="F296" s="201" t="s">
        <v>4090</v>
      </c>
      <c r="G296" s="280" t="s">
        <v>4387</v>
      </c>
      <c r="H296" s="309"/>
      <c r="I296" s="324"/>
      <c r="J296" s="261"/>
      <c r="K296" s="261"/>
      <c r="L296" s="53">
        <v>7.2008</v>
      </c>
      <c r="M296" s="271"/>
      <c r="N296" s="275"/>
      <c r="O296" s="275"/>
      <c r="P296" s="274"/>
    </row>
    <row r="297" ht="16.5" spans="1:16">
      <c r="A297" s="295"/>
      <c r="B297" s="295"/>
      <c r="C297" s="296"/>
      <c r="D297" s="297"/>
      <c r="E297" s="297"/>
      <c r="F297" s="312"/>
      <c r="G297" s="296"/>
      <c r="H297" s="296"/>
      <c r="I297" s="325"/>
      <c r="J297" s="325"/>
      <c r="K297" s="325"/>
      <c r="L297" s="296"/>
      <c r="M297" s="296"/>
      <c r="N297" s="330"/>
      <c r="O297" s="330"/>
      <c r="P297" s="331"/>
    </row>
    <row r="298" ht="16.5" spans="1:16">
      <c r="A298" s="298"/>
      <c r="B298" s="299"/>
      <c r="C298" s="298"/>
      <c r="D298" s="300"/>
      <c r="E298" s="297"/>
      <c r="F298" s="312"/>
      <c r="G298" s="296"/>
      <c r="H298" s="313"/>
      <c r="I298" s="326"/>
      <c r="J298" s="325"/>
      <c r="K298" s="325"/>
      <c r="L298" s="296"/>
      <c r="M298" s="296"/>
      <c r="N298" s="330"/>
      <c r="O298" s="330"/>
      <c r="P298" s="331"/>
    </row>
    <row r="299" ht="16.5" spans="1:16">
      <c r="A299" s="299"/>
      <c r="B299" s="299"/>
      <c r="C299" s="301"/>
      <c r="D299" s="300"/>
      <c r="E299" s="297"/>
      <c r="F299" s="312"/>
      <c r="G299" s="296"/>
      <c r="H299" s="313"/>
      <c r="I299" s="326"/>
      <c r="J299" s="325"/>
      <c r="K299" s="325"/>
      <c r="L299" s="296"/>
      <c r="M299" s="296"/>
      <c r="N299" s="330"/>
      <c r="O299" s="330"/>
      <c r="P299" s="331"/>
    </row>
    <row r="300" ht="16.5" spans="1:16">
      <c r="A300" s="299"/>
      <c r="B300" s="299"/>
      <c r="C300" s="301"/>
      <c r="D300" s="300"/>
      <c r="E300" s="297"/>
      <c r="F300" s="312"/>
      <c r="G300" s="296"/>
      <c r="H300" s="313"/>
      <c r="I300" s="326"/>
      <c r="J300" s="325"/>
      <c r="K300" s="325"/>
      <c r="L300" s="296"/>
      <c r="M300" s="312"/>
      <c r="N300" s="330"/>
      <c r="O300" s="330"/>
      <c r="P300" s="331"/>
    </row>
    <row r="301" ht="16.5" spans="1:16">
      <c r="A301" s="299"/>
      <c r="B301" s="299"/>
      <c r="C301" s="301"/>
      <c r="D301" s="300"/>
      <c r="E301" s="297"/>
      <c r="F301" s="312"/>
      <c r="G301" s="296"/>
      <c r="H301" s="313"/>
      <c r="I301" s="326"/>
      <c r="J301" s="325"/>
      <c r="K301" s="325"/>
      <c r="L301" s="296"/>
      <c r="M301" s="296"/>
      <c r="N301" s="330"/>
      <c r="O301" s="330"/>
      <c r="P301" s="331"/>
    </row>
    <row r="302" ht="16.5" spans="1:16">
      <c r="A302" s="299"/>
      <c r="B302" s="301"/>
      <c r="C302" s="301"/>
      <c r="D302" s="300"/>
      <c r="E302" s="297"/>
      <c r="F302" s="312"/>
      <c r="G302" s="314"/>
      <c r="H302" s="313"/>
      <c r="I302" s="326"/>
      <c r="J302" s="325"/>
      <c r="K302" s="325"/>
      <c r="L302" s="296"/>
      <c r="M302" s="296"/>
      <c r="N302" s="330"/>
      <c r="O302" s="330"/>
      <c r="P302" s="331"/>
    </row>
    <row r="303" ht="16.5" spans="1:16">
      <c r="A303" s="295"/>
      <c r="B303" s="295"/>
      <c r="C303" s="296"/>
      <c r="D303" s="297"/>
      <c r="E303" s="297"/>
      <c r="F303" s="312"/>
      <c r="G303" s="296"/>
      <c r="H303" s="296"/>
      <c r="I303" s="327"/>
      <c r="J303" s="327"/>
      <c r="K303" s="327"/>
      <c r="L303" s="296"/>
      <c r="M303" s="296"/>
      <c r="N303" s="330"/>
      <c r="O303" s="330"/>
      <c r="P303" s="331"/>
    </row>
    <row r="304" ht="16.5" spans="1:16">
      <c r="A304" s="302"/>
      <c r="B304" s="302"/>
      <c r="C304" s="302"/>
      <c r="D304" s="302"/>
      <c r="E304" s="302"/>
      <c r="F304" s="315"/>
      <c r="G304" s="316"/>
      <c r="H304" s="317"/>
      <c r="I304" s="325"/>
      <c r="J304" s="325"/>
      <c r="K304" s="328"/>
      <c r="L304" s="296"/>
      <c r="M304" s="296"/>
      <c r="N304" s="330"/>
      <c r="O304" s="330"/>
      <c r="P304" s="331"/>
    </row>
    <row r="305" ht="16.5" spans="1:16">
      <c r="A305" s="302"/>
      <c r="B305" s="302"/>
      <c r="C305" s="302"/>
      <c r="D305" s="302"/>
      <c r="E305" s="302"/>
      <c r="F305" s="315"/>
      <c r="G305" s="302"/>
      <c r="H305" s="317"/>
      <c r="I305" s="329"/>
      <c r="J305" s="11"/>
      <c r="K305" s="328"/>
      <c r="L305" s="296"/>
      <c r="M305" s="296"/>
      <c r="N305" s="330"/>
      <c r="O305" s="330"/>
      <c r="P305" s="331"/>
    </row>
    <row r="306" ht="16.5" spans="1:16">
      <c r="A306" s="302"/>
      <c r="B306" s="302"/>
      <c r="C306" s="302"/>
      <c r="D306" s="302"/>
      <c r="E306" s="302"/>
      <c r="F306" s="315"/>
      <c r="G306" s="302"/>
      <c r="H306" s="317"/>
      <c r="I306" s="325"/>
      <c r="J306" s="325"/>
      <c r="K306" s="328"/>
      <c r="L306" s="328"/>
      <c r="M306" s="296"/>
      <c r="N306" s="330"/>
      <c r="O306" s="330"/>
      <c r="P306" s="331"/>
    </row>
    <row r="307" ht="16.5" spans="1:16">
      <c r="A307" s="302"/>
      <c r="B307" s="302"/>
      <c r="C307" s="302"/>
      <c r="D307" s="302"/>
      <c r="E307" s="302"/>
      <c r="F307" s="315"/>
      <c r="G307" s="302"/>
      <c r="H307" s="318"/>
      <c r="I307" s="325"/>
      <c r="J307" s="325"/>
      <c r="K307" s="328"/>
      <c r="L307" s="296"/>
      <c r="M307" s="296"/>
      <c r="N307" s="330"/>
      <c r="O307" s="330"/>
      <c r="P307" s="331"/>
    </row>
    <row r="308" ht="16.5" spans="1:16">
      <c r="A308" s="302"/>
      <c r="B308" s="302"/>
      <c r="C308" s="302"/>
      <c r="D308" s="302"/>
      <c r="E308" s="302"/>
      <c r="F308" s="315"/>
      <c r="G308" s="302"/>
      <c r="H308" s="319"/>
      <c r="I308" s="319"/>
      <c r="J308" s="319"/>
      <c r="K308" s="319"/>
      <c r="L308" s="319"/>
      <c r="M308" s="319"/>
      <c r="N308" s="319"/>
      <c r="O308" s="319"/>
      <c r="P308" s="331"/>
    </row>
    <row r="309" ht="16.5" spans="1:16">
      <c r="A309" s="302"/>
      <c r="B309" s="302"/>
      <c r="C309" s="303"/>
      <c r="D309" s="303"/>
      <c r="E309" s="303"/>
      <c r="F309" s="320"/>
      <c r="G309" s="303"/>
      <c r="H309" s="319"/>
      <c r="I309" s="319"/>
      <c r="J309" s="319"/>
      <c r="K309" s="319"/>
      <c r="L309" s="319"/>
      <c r="M309" s="319"/>
      <c r="N309" s="319"/>
      <c r="O309" s="319"/>
      <c r="P309" s="332"/>
    </row>
    <row r="310" spans="1:16">
      <c r="A310" s="302"/>
      <c r="B310" s="302"/>
      <c r="C310" s="303"/>
      <c r="D310" s="303"/>
      <c r="E310" s="303"/>
      <c r="F310" s="320"/>
      <c r="G310" s="303"/>
      <c r="H310" s="319"/>
      <c r="I310" s="319"/>
      <c r="J310" s="319"/>
      <c r="K310" s="319"/>
      <c r="L310" s="319"/>
      <c r="M310" s="319"/>
      <c r="N310" s="319"/>
      <c r="O310" s="319"/>
      <c r="P310" s="333"/>
    </row>
    <row r="311" spans="1:16">
      <c r="A311" s="304"/>
      <c r="B311" s="304"/>
      <c r="C311" s="305"/>
      <c r="D311" s="306"/>
      <c r="E311" s="306"/>
      <c r="F311" s="305"/>
      <c r="G311" s="305"/>
      <c r="H311" s="319"/>
      <c r="I311" s="319"/>
      <c r="J311" s="319"/>
      <c r="K311" s="319"/>
      <c r="L311" s="319"/>
      <c r="M311" s="319"/>
      <c r="N311" s="319"/>
      <c r="O311" s="319"/>
      <c r="P311" s="333"/>
    </row>
    <row r="312" spans="1:16">
      <c r="A312" s="304"/>
      <c r="B312" s="304"/>
      <c r="C312" s="304"/>
      <c r="D312" s="307"/>
      <c r="E312" s="307"/>
      <c r="F312" s="321"/>
      <c r="G312" s="304"/>
      <c r="H312" s="319"/>
      <c r="I312" s="319"/>
      <c r="J312" s="319"/>
      <c r="K312" s="319"/>
      <c r="L312" s="319"/>
      <c r="M312" s="319"/>
      <c r="N312" s="319"/>
      <c r="O312" s="319"/>
      <c r="P312" s="334"/>
    </row>
    <row r="313" spans="1:16">
      <c r="A313"/>
      <c r="B313"/>
      <c r="C313" s="25"/>
      <c r="D313"/>
      <c r="E313"/>
      <c r="F313"/>
      <c r="G313"/>
      <c r="H313" s="319"/>
      <c r="I313" s="319"/>
      <c r="J313" s="319"/>
      <c r="K313" s="319"/>
      <c r="L313" s="319"/>
      <c r="M313" s="319"/>
      <c r="N313" s="319"/>
      <c r="O313" s="319"/>
      <c r="P313"/>
    </row>
    <row r="314" spans="1:16">
      <c r="A314"/>
      <c r="B314"/>
      <c r="C314"/>
      <c r="D314"/>
      <c r="E314"/>
      <c r="F314"/>
      <c r="G314"/>
      <c r="H314" s="319"/>
      <c r="I314" s="319"/>
      <c r="J314" s="319"/>
      <c r="K314" s="319"/>
      <c r="L314" s="319"/>
      <c r="M314" s="319"/>
      <c r="N314" s="319"/>
      <c r="O314" s="319"/>
      <c r="P314"/>
    </row>
    <row r="315" spans="1:16">
      <c r="A315"/>
      <c r="B315"/>
      <c r="C315"/>
      <c r="D315"/>
      <c r="E315"/>
      <c r="F315"/>
      <c r="G315"/>
      <c r="H315" s="319"/>
      <c r="I315" s="319"/>
      <c r="J315" s="319"/>
      <c r="K315" s="319"/>
      <c r="L315" s="319"/>
      <c r="M315" s="319"/>
      <c r="N315" s="319"/>
      <c r="O315" s="319"/>
      <c r="P315"/>
    </row>
    <row r="316" spans="1:16">
      <c r="A316"/>
      <c r="B316"/>
      <c r="C316"/>
      <c r="D316"/>
      <c r="E316" s="316"/>
      <c r="F316" s="322"/>
      <c r="G316" s="316"/>
      <c r="H316" s="319"/>
      <c r="I316" s="319"/>
      <c r="J316" s="319"/>
      <c r="K316" s="319"/>
      <c r="L316" s="319"/>
      <c r="M316" s="319"/>
      <c r="N316" s="319"/>
      <c r="O316" s="319"/>
      <c r="P316"/>
    </row>
    <row r="317" spans="1:16">
      <c r="A317" s="304"/>
      <c r="B317" s="304"/>
      <c r="C317" s="304"/>
      <c r="D317" s="304"/>
      <c r="E317" s="316"/>
      <c r="F317" s="322"/>
      <c r="G317" s="316"/>
      <c r="H317" s="319"/>
      <c r="I317" s="319"/>
      <c r="J317" s="319"/>
      <c r="K317" s="319"/>
      <c r="L317" s="319"/>
      <c r="M317" s="319"/>
      <c r="N317" s="319"/>
      <c r="O317" s="319"/>
      <c r="P317" s="334"/>
    </row>
    <row r="318" spans="1:16">
      <c r="A318"/>
      <c r="B318"/>
      <c r="C318"/>
      <c r="D318"/>
      <c r="E318"/>
      <c r="F318"/>
      <c r="G318"/>
      <c r="H318" s="323"/>
      <c r="I318" s="323"/>
      <c r="J318"/>
      <c r="K318"/>
      <c r="L318"/>
      <c r="M318"/>
      <c r="N318"/>
      <c r="O318"/>
      <c r="P318"/>
    </row>
    <row r="319" spans="1:16">
      <c r="A319"/>
      <c r="B319"/>
      <c r="C319"/>
      <c r="D319"/>
      <c r="E319"/>
      <c r="F319"/>
      <c r="G319"/>
      <c r="H319" s="323"/>
      <c r="I319" s="323"/>
      <c r="J319"/>
      <c r="K319"/>
      <c r="L319"/>
      <c r="M319"/>
      <c r="N319"/>
      <c r="O319"/>
      <c r="P319"/>
    </row>
    <row r="320" spans="1:16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>
      <c r="A338"/>
      <c r="B338"/>
      <c r="C338"/>
      <c r="D338"/>
      <c r="E338"/>
      <c r="F338"/>
      <c r="G338" s="335"/>
      <c r="H338" s="336"/>
      <c r="I338"/>
      <c r="J338" s="337"/>
      <c r="K338"/>
      <c r="L338"/>
      <c r="M338"/>
      <c r="N338"/>
      <c r="O338"/>
      <c r="P338"/>
    </row>
    <row r="339" spans="1:16">
      <c r="A339"/>
      <c r="B339"/>
      <c r="C339"/>
      <c r="D339"/>
      <c r="E339"/>
      <c r="F339"/>
      <c r="G339" s="335"/>
      <c r="H339"/>
      <c r="I339"/>
      <c r="J339" s="337"/>
      <c r="K339"/>
      <c r="L339"/>
      <c r="M339"/>
      <c r="N339"/>
      <c r="O339"/>
      <c r="P339"/>
    </row>
  </sheetData>
  <sheetProtection formatCells="0" formatColumns="0" formatRows="0" insertRows="0" insertColumns="0" insertHyperlinks="0" deleteColumns="0" deleteRows="0" sort="0" autoFilter="0" pivotTables="0"/>
  <mergeCells count="78">
    <mergeCell ref="A1:P1"/>
    <mergeCell ref="A3:A76"/>
    <mergeCell ref="A77:A174"/>
    <mergeCell ref="A175:A227"/>
    <mergeCell ref="A228:A296"/>
    <mergeCell ref="C4:C8"/>
    <mergeCell ref="C9:C12"/>
    <mergeCell ref="C13:C16"/>
    <mergeCell ref="C17:C24"/>
    <mergeCell ref="C26:C29"/>
    <mergeCell ref="C33:C34"/>
    <mergeCell ref="C38:C42"/>
    <mergeCell ref="C43:C61"/>
    <mergeCell ref="C63:C69"/>
    <mergeCell ref="C70:C75"/>
    <mergeCell ref="C77:C80"/>
    <mergeCell ref="C81:C84"/>
    <mergeCell ref="C85:C88"/>
    <mergeCell ref="C89:C91"/>
    <mergeCell ref="C92:C98"/>
    <mergeCell ref="C99:C100"/>
    <mergeCell ref="C102:C103"/>
    <mergeCell ref="C105:C114"/>
    <mergeCell ref="C115:C141"/>
    <mergeCell ref="C143:C167"/>
    <mergeCell ref="C172:C174"/>
    <mergeCell ref="C175:C179"/>
    <mergeCell ref="C180:C182"/>
    <mergeCell ref="C183:C188"/>
    <mergeCell ref="C189:C192"/>
    <mergeCell ref="C196:C198"/>
    <mergeCell ref="C200:C201"/>
    <mergeCell ref="C202:C205"/>
    <mergeCell ref="C206:C210"/>
    <mergeCell ref="C211:C222"/>
    <mergeCell ref="C223:C224"/>
    <mergeCell ref="C225:C227"/>
    <mergeCell ref="C228:C230"/>
    <mergeCell ref="C231:C233"/>
    <mergeCell ref="C234:C241"/>
    <mergeCell ref="C242:C246"/>
    <mergeCell ref="C249:C252"/>
    <mergeCell ref="C253:C255"/>
    <mergeCell ref="C256:C260"/>
    <mergeCell ref="C261:C263"/>
    <mergeCell ref="C264:C282"/>
    <mergeCell ref="C283:C284"/>
    <mergeCell ref="C285:C296"/>
    <mergeCell ref="D4:D8"/>
    <mergeCell ref="D9:D12"/>
    <mergeCell ref="D13:D16"/>
    <mergeCell ref="D17:D24"/>
    <mergeCell ref="D26:D31"/>
    <mergeCell ref="D36:D76"/>
    <mergeCell ref="D77:D80"/>
    <mergeCell ref="D81:D84"/>
    <mergeCell ref="D85:D88"/>
    <mergeCell ref="D89:D91"/>
    <mergeCell ref="D92:D104"/>
    <mergeCell ref="D105:D130"/>
    <mergeCell ref="D175:D179"/>
    <mergeCell ref="D180:D182"/>
    <mergeCell ref="D183:D188"/>
    <mergeCell ref="D189:D192"/>
    <mergeCell ref="D197:D198"/>
    <mergeCell ref="D202:D227"/>
    <mergeCell ref="D228:D230"/>
    <mergeCell ref="D231:D233"/>
    <mergeCell ref="D234:D241"/>
    <mergeCell ref="D242:D246"/>
    <mergeCell ref="D247:D255"/>
    <mergeCell ref="D256:D260"/>
    <mergeCell ref="D261:D296"/>
    <mergeCell ref="E175:E176"/>
    <mergeCell ref="E177:E179"/>
    <mergeCell ref="E187:E188"/>
    <mergeCell ref="F175:F176"/>
    <mergeCell ref="F177:F179"/>
  </mergeCells>
  <dataValidations count="3">
    <dataValidation type="list" allowBlank="1" showErrorMessage="1" errorTitle="错误提示" error="请输入下拉列表中的值" sqref="F32 F84 F90 F168 F2:F12 F17:F18 F21:F29 F36:F37 F41:F57 F59:F63 F73:F74 F77:F80 F86:F88 F92:F100 F105:F114 F116:F132 F141:F146 F170:F172 F174:F181 F183:F227">
      <formula1>"经销商增量-占比高,经销商增量-占比低,经销商开发-重点空白,ODM开发+增量,现有连锁增量,新连锁开发-区域,新连锁开发-全球"</formula1>
    </dataValidation>
    <dataValidation type="list" allowBlank="1" showErrorMessage="1" errorTitle="错误提示" error="请输入下拉列表中的值" sqref="F40 F85 F89 F91 F169 F242 F253 F281 F283 F13:F16 F19:F20 F30:F31 F33:F35 F64:F72 F75:F76 F81:F83 F101:F104 F133:F134 F136:F140 F147:F167 F228:F234 F238:F239 F246:F249 F255:F263 F265:F266 F285:F1048576">
      <formula1>"经销商增量-占比高,经销商增量-占比低,经销商开发,ODM开发,ODM增量,现有连锁增量,区域新连锁开发,全球新连锁开发,其他"</formula1>
    </dataValidation>
    <dataValidation type="list" allowBlank="1" showErrorMessage="1" errorTitle="错误提示" error="请输入下拉列表中的值" id="{e3cc978c-dad8-47be-a37a-77e1ed18047e}" sqref="B3:B296">
      <formula1>"本月预计发货订单,已确认订单（明确本月不发货）,洽谈中"</formula1>
    </dataValidation>
  </dataValidation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7">
    <outlinePr summaryBelow="0" summaryRight="0"/>
  </sheetPr>
  <dimension ref="A1:M602"/>
  <sheetViews>
    <sheetView workbookViewId="0">
      <pane ySplit="1" topLeftCell="A2" activePane="bottomLeft" state="frozen"/>
      <selection/>
      <selection pane="bottomLeft" activeCell="A24" sqref="A2:T1000"/>
    </sheetView>
  </sheetViews>
  <sheetFormatPr defaultColWidth="9" defaultRowHeight="13.5"/>
  <cols>
    <col min="1" max="1" width="16.25" style="12" customWidth="1"/>
    <col min="2" max="2" width="13.0083333333333" customWidth="1"/>
    <col min="3" max="3" width="18.425" customWidth="1"/>
    <col min="4" max="4" width="16.7583333333333" customWidth="1"/>
    <col min="5" max="5" width="20.8833333333333" customWidth="1"/>
    <col min="6" max="6" width="20.7416666666667" customWidth="1"/>
    <col min="7" max="7" width="12.9666666666667" customWidth="1"/>
    <col min="8" max="8" width="16.575" customWidth="1"/>
    <col min="9" max="9" width="16.1583333333333" customWidth="1"/>
    <col min="10" max="10" width="19.675" customWidth="1"/>
    <col min="11" max="11" width="16.9" customWidth="1"/>
    <col min="12" max="12" width="3.625" customWidth="1"/>
    <col min="13" max="13" width="5.94166666666667" customWidth="1"/>
    <col min="16" max="16" width="23.5" customWidth="1"/>
  </cols>
  <sheetData>
    <row r="1" s="9" customFormat="1" ht="22.5" customHeight="1" spans="1:13">
      <c r="A1" s="4" t="s">
        <v>4524</v>
      </c>
      <c r="B1" s="4" t="s">
        <v>4525</v>
      </c>
      <c r="C1" s="4" t="s">
        <v>4526</v>
      </c>
      <c r="D1" s="4" t="s">
        <v>4527</v>
      </c>
      <c r="E1" s="4" t="s">
        <v>4528</v>
      </c>
      <c r="F1" s="4" t="s">
        <v>4529</v>
      </c>
      <c r="G1" s="4" t="s">
        <v>4530</v>
      </c>
      <c r="H1" s="4" t="s">
        <v>4531</v>
      </c>
      <c r="I1" s="4" t="s">
        <v>4532</v>
      </c>
      <c r="J1" s="4" t="s">
        <v>4533</v>
      </c>
      <c r="K1" s="4" t="s">
        <v>4534</v>
      </c>
      <c r="L1" s="16"/>
      <c r="M1" s="16"/>
    </row>
    <row r="2" s="10" customFormat="1" ht="22.5" customHeight="1" spans="1:13">
      <c r="A2" s="13" t="s">
        <v>1163</v>
      </c>
      <c r="B2" s="8">
        <v>4426</v>
      </c>
      <c r="C2" s="8">
        <v>0</v>
      </c>
      <c r="D2" s="8">
        <v>0</v>
      </c>
      <c r="E2" s="8">
        <v>0</v>
      </c>
      <c r="F2" s="8">
        <v>0</v>
      </c>
      <c r="G2" s="8">
        <v>675</v>
      </c>
      <c r="H2" s="8">
        <v>0</v>
      </c>
      <c r="I2" s="8">
        <v>0</v>
      </c>
      <c r="J2" s="8">
        <v>0</v>
      </c>
      <c r="K2" s="8">
        <v>0</v>
      </c>
      <c r="L2" s="17"/>
      <c r="M2" s="17"/>
    </row>
    <row r="3" s="10" customFormat="1" ht="39" customHeight="1" spans="1:13">
      <c r="A3" s="13" t="s">
        <v>4535</v>
      </c>
      <c r="B3" s="8">
        <v>1309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17"/>
      <c r="M3" s="17"/>
    </row>
    <row r="4" s="10" customFormat="1" ht="42" customHeight="1" spans="1:13">
      <c r="A4" s="13" t="s">
        <v>4536</v>
      </c>
      <c r="B4" s="8">
        <v>83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17"/>
      <c r="M4" s="17"/>
    </row>
    <row r="5" s="10" customFormat="1" ht="22.5" customHeight="1" spans="1:13">
      <c r="A5" s="13" t="s">
        <v>4537</v>
      </c>
      <c r="B5" s="8">
        <v>266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17"/>
      <c r="M5" s="17"/>
    </row>
    <row r="6" s="10" customFormat="1" ht="39" customHeight="1" spans="1:13">
      <c r="A6" s="13" t="s">
        <v>4538</v>
      </c>
      <c r="B6" s="8">
        <v>135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7"/>
      <c r="M6" s="17"/>
    </row>
    <row r="7" s="10" customFormat="1" ht="49.5" customHeight="1" spans="1:13">
      <c r="A7" s="13" t="s">
        <v>4539</v>
      </c>
      <c r="B7" s="8">
        <v>84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17"/>
      <c r="M7" s="17"/>
    </row>
    <row r="8" s="10" customFormat="1" ht="22.5" customHeight="1" spans="1:13">
      <c r="A8" s="13" t="s">
        <v>1913</v>
      </c>
      <c r="B8" s="8">
        <v>1877</v>
      </c>
      <c r="C8" s="8">
        <v>0</v>
      </c>
      <c r="D8" s="8">
        <v>0</v>
      </c>
      <c r="E8" s="8">
        <v>0</v>
      </c>
      <c r="F8" s="8">
        <v>0</v>
      </c>
      <c r="G8" s="8">
        <v>455</v>
      </c>
      <c r="H8" s="8">
        <v>0</v>
      </c>
      <c r="I8" s="8">
        <v>0</v>
      </c>
      <c r="J8" s="8">
        <v>0</v>
      </c>
      <c r="K8" s="8">
        <v>0</v>
      </c>
      <c r="L8" s="17"/>
      <c r="M8" s="17"/>
    </row>
    <row r="9" s="10" customFormat="1" ht="22.5" customHeight="1" spans="1:13">
      <c r="A9" s="13" t="s">
        <v>4540</v>
      </c>
      <c r="B9" s="8">
        <v>231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17"/>
      <c r="M9" s="17"/>
    </row>
    <row r="10" s="10" customFormat="1" ht="22.5" customHeight="1" spans="1:13">
      <c r="A10" s="13" t="s">
        <v>4541</v>
      </c>
      <c r="B10" s="8">
        <v>191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17"/>
      <c r="M10" s="17"/>
    </row>
    <row r="11" s="10" customFormat="1" ht="22.5" customHeight="1" spans="1:13">
      <c r="A11" s="13" t="s">
        <v>4542</v>
      </c>
      <c r="B11" s="8">
        <v>487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17"/>
      <c r="M11" s="17"/>
    </row>
    <row r="12" s="10" customFormat="1" ht="22.5" customHeight="1" spans="1:13">
      <c r="A12" s="13" t="s">
        <v>4543</v>
      </c>
      <c r="B12" s="8">
        <v>137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17"/>
      <c r="M12" s="17"/>
    </row>
    <row r="13" s="10" customFormat="1" ht="22.5" customHeight="1" spans="1:13">
      <c r="A13" s="13" t="s">
        <v>4544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7"/>
      <c r="M13" s="17"/>
    </row>
    <row r="14" s="10" customFormat="1" ht="22.5" customHeight="1" spans="1:13">
      <c r="A14" s="13" t="s">
        <v>1984</v>
      </c>
      <c r="B14" s="8">
        <v>1046</v>
      </c>
      <c r="C14" s="8">
        <v>0</v>
      </c>
      <c r="D14" s="8">
        <v>0</v>
      </c>
      <c r="E14" s="8">
        <v>0</v>
      </c>
      <c r="F14" s="8">
        <v>0</v>
      </c>
      <c r="G14" s="8">
        <v>220</v>
      </c>
      <c r="H14" s="8">
        <v>0</v>
      </c>
      <c r="I14" s="8">
        <v>0</v>
      </c>
      <c r="J14" s="8">
        <v>0</v>
      </c>
      <c r="K14" s="8">
        <v>0</v>
      </c>
      <c r="L14" s="17"/>
      <c r="M14" s="17"/>
    </row>
    <row r="15" s="10" customFormat="1" ht="22.5" customHeight="1" spans="1:13">
      <c r="A15" s="13" t="s">
        <v>4545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17"/>
      <c r="M15" s="17"/>
    </row>
    <row r="16" s="10" customFormat="1" ht="22.5" customHeight="1" spans="1:13">
      <c r="A16" s="13" t="s">
        <v>4546</v>
      </c>
      <c r="B16" s="8">
        <v>295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17"/>
      <c r="M16" s="17"/>
    </row>
    <row r="17" s="10" customFormat="1" ht="22.5" customHeight="1" spans="1:13">
      <c r="A17" s="13" t="s">
        <v>4547</v>
      </c>
      <c r="B17" s="8">
        <v>210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17"/>
      <c r="M17" s="17"/>
    </row>
    <row r="18" s="10" customFormat="1" ht="22.5" customHeight="1" spans="1:13">
      <c r="A18" s="13" t="s">
        <v>4548</v>
      </c>
      <c r="B18" s="8">
        <v>135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17"/>
      <c r="M18" s="17"/>
    </row>
    <row r="19" s="10" customFormat="1" ht="22.5" customHeight="1" spans="1:13">
      <c r="A19" s="13" t="s">
        <v>4549</v>
      </c>
      <c r="B19" s="8">
        <v>299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17"/>
      <c r="M19" s="17"/>
    </row>
    <row r="20" s="10" customFormat="1" ht="22.5" customHeight="1" spans="1:13">
      <c r="A20" s="13" t="s">
        <v>4084</v>
      </c>
      <c r="B20" s="8">
        <v>939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17"/>
      <c r="M20" s="17"/>
    </row>
    <row r="21" s="10" customFormat="1" ht="22.5" customHeight="1" spans="1:13">
      <c r="A21" s="13" t="s">
        <v>4550</v>
      </c>
      <c r="B21" s="8">
        <v>461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17"/>
      <c r="M21" s="17"/>
    </row>
    <row r="22" s="10" customFormat="1" ht="22.5" customHeight="1" spans="1:13">
      <c r="A22" s="13" t="s">
        <v>4551</v>
      </c>
      <c r="B22" s="8">
        <v>103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17"/>
      <c r="M22" s="17"/>
    </row>
    <row r="23" s="10" customFormat="1" ht="22.5" customHeight="1" spans="1:13">
      <c r="A23" s="13" t="s">
        <v>4552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7"/>
      <c r="M23" s="17"/>
    </row>
    <row r="24" s="11" customFormat="1" ht="22.5" customHeight="1" spans="1:13">
      <c r="A24" s="13" t="s">
        <v>4130</v>
      </c>
      <c r="B24" s="6">
        <v>564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/>
      <c r="M24" s="6"/>
    </row>
    <row r="25" ht="22.5" customHeight="1" spans="1:13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ht="22.5" customHeight="1" spans="1:13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22.5" customHeight="1" spans="1:1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ht="22.5" customHeight="1" spans="1:1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ht="22.5" customHeight="1" spans="1:1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ht="22.5" customHeight="1" spans="1:13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ht="22.5" customHeight="1" spans="1:1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ht="22.5" customHeight="1" spans="1:1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ht="22.5" customHeight="1" spans="1:1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ht="22.5" customHeight="1" spans="1:13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ht="22.5" customHeight="1" spans="1:1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ht="22.5" customHeight="1" spans="1:1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ht="22.5" customHeight="1" spans="1:1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ht="22.5" customHeight="1" spans="1:13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ht="22.5" customHeight="1" spans="1:13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ht="22.5" customHeight="1" spans="1:1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ht="22.5" customHeight="1" spans="1:1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ht="22.5" customHeight="1" spans="1:13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ht="22.5" customHeight="1" spans="1:13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ht="22.5" customHeight="1" spans="1:13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ht="22.5" customHeight="1" spans="1:1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ht="22.5" customHeight="1" spans="1:13">
      <c r="A46" s="18" t="s">
        <v>4553</v>
      </c>
      <c r="B46" s="19"/>
      <c r="C46" s="19"/>
      <c r="D46" s="19"/>
      <c r="E46" s="19"/>
      <c r="F46" s="19"/>
      <c r="G46" s="6"/>
      <c r="H46" s="6"/>
      <c r="I46" s="6"/>
      <c r="J46" s="6"/>
      <c r="K46" s="6"/>
      <c r="L46" s="15"/>
      <c r="M46" s="15"/>
    </row>
    <row r="47" ht="22.5" customHeight="1" spans="1:13">
      <c r="A47" s="18" t="s">
        <v>4554</v>
      </c>
      <c r="B47" s="19"/>
      <c r="C47" s="19"/>
      <c r="D47" s="19"/>
      <c r="E47" s="19"/>
      <c r="F47" s="19"/>
      <c r="G47" s="6"/>
      <c r="H47" s="6"/>
      <c r="I47" s="6"/>
      <c r="J47" s="6"/>
      <c r="K47" s="6"/>
      <c r="L47" s="15"/>
      <c r="M47" s="15"/>
    </row>
    <row r="48" ht="22.5" customHeight="1" spans="1:13">
      <c r="A48" s="18" t="s">
        <v>4555</v>
      </c>
      <c r="B48" s="19"/>
      <c r="C48" s="19"/>
      <c r="D48" s="19"/>
      <c r="E48" s="19"/>
      <c r="F48" s="19"/>
      <c r="G48" s="6"/>
      <c r="H48" s="6"/>
      <c r="I48" s="6"/>
      <c r="J48" s="6"/>
      <c r="K48" s="6"/>
      <c r="L48" s="15"/>
      <c r="M48" s="15"/>
    </row>
    <row r="49" ht="22.5" customHeight="1" spans="1:13">
      <c r="A49" s="18" t="s">
        <v>4556</v>
      </c>
      <c r="B49" s="19"/>
      <c r="C49" s="19"/>
      <c r="D49" s="19"/>
      <c r="E49" s="19"/>
      <c r="F49" s="19"/>
      <c r="G49" s="6"/>
      <c r="H49" s="6"/>
      <c r="I49" s="6"/>
      <c r="J49" s="6"/>
      <c r="K49" s="6"/>
      <c r="L49" s="15"/>
      <c r="M49" s="15"/>
    </row>
    <row r="50" ht="22.5" customHeight="1" spans="1:13">
      <c r="A50" s="18" t="s">
        <v>4557</v>
      </c>
      <c r="B50" s="19"/>
      <c r="C50" s="19"/>
      <c r="D50" s="19"/>
      <c r="E50" s="19"/>
      <c r="F50" s="19"/>
      <c r="G50" s="6"/>
      <c r="H50" s="6"/>
      <c r="I50" s="6"/>
      <c r="J50" s="6"/>
      <c r="K50" s="6"/>
      <c r="L50" s="15"/>
      <c r="M50" s="15"/>
    </row>
    <row r="51" ht="22.5" customHeight="1" spans="1:13">
      <c r="A51" s="18" t="s">
        <v>4558</v>
      </c>
      <c r="B51" s="19"/>
      <c r="C51" s="19"/>
      <c r="D51" s="19"/>
      <c r="E51" s="19"/>
      <c r="F51" s="19"/>
      <c r="G51" s="6"/>
      <c r="H51" s="6"/>
      <c r="I51" s="6"/>
      <c r="J51" s="6"/>
      <c r="K51" s="6"/>
      <c r="L51" s="15"/>
      <c r="M51" s="15"/>
    </row>
    <row r="52" ht="22.5" customHeight="1" spans="1:13">
      <c r="A52" s="18" t="s">
        <v>4559</v>
      </c>
      <c r="B52" s="19"/>
      <c r="C52" s="19"/>
      <c r="D52" s="19"/>
      <c r="E52" s="19"/>
      <c r="F52" s="19"/>
      <c r="G52" s="6"/>
      <c r="H52" s="6"/>
      <c r="I52" s="6"/>
      <c r="J52" s="6"/>
      <c r="K52" s="6"/>
      <c r="L52" s="15"/>
      <c r="M52" s="15"/>
    </row>
    <row r="53" ht="22.5" customHeight="1" spans="1:13">
      <c r="A53" s="18" t="s">
        <v>4560</v>
      </c>
      <c r="B53" s="19"/>
      <c r="C53" s="19"/>
      <c r="D53" s="19"/>
      <c r="E53" s="19"/>
      <c r="F53" s="19"/>
      <c r="G53" s="6"/>
      <c r="H53" s="6"/>
      <c r="I53" s="6"/>
      <c r="J53" s="6"/>
      <c r="K53" s="6"/>
      <c r="L53" s="15"/>
      <c r="M53" s="15"/>
    </row>
    <row r="54" ht="22.5" customHeight="1" spans="1:13">
      <c r="A54" s="18" t="s">
        <v>4561</v>
      </c>
      <c r="B54" s="19"/>
      <c r="C54" s="19"/>
      <c r="D54" s="6"/>
      <c r="E54" s="6"/>
      <c r="F54" s="6"/>
      <c r="G54" s="6"/>
      <c r="H54" s="6"/>
      <c r="I54" s="6"/>
      <c r="J54" s="6"/>
      <c r="K54" s="6"/>
      <c r="L54" s="15"/>
      <c r="M54" s="15"/>
    </row>
    <row r="55" ht="22.5" customHeight="1" spans="1:13">
      <c r="A55" s="18" t="s">
        <v>4562</v>
      </c>
      <c r="B55" s="19"/>
      <c r="C55" s="19"/>
      <c r="D55" s="6"/>
      <c r="E55" s="6"/>
      <c r="F55" s="6"/>
      <c r="G55" s="6"/>
      <c r="H55" s="6"/>
      <c r="I55" s="6"/>
      <c r="J55" s="6"/>
      <c r="K55" s="6"/>
      <c r="L55" s="15"/>
      <c r="M55" s="15"/>
    </row>
    <row r="56" ht="22.5" customHeight="1" spans="1:1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ht="22.5" customHeight="1" spans="1:13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ht="22.5" customHeight="1" spans="1:13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ht="22.5" customHeight="1" spans="1:1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ht="22.5" customHeight="1" spans="1:13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ht="22.5" customHeight="1" spans="1:1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ht="22.5" customHeight="1" spans="1:13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ht="22.5" customHeight="1" spans="1:13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ht="22.5" customHeight="1" spans="1:1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ht="22.5" customHeight="1" spans="1:13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ht="22.5" customHeight="1" spans="1:13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ht="22.5" customHeight="1" spans="1:13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ht="22.5" customHeight="1" spans="1:13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ht="22.5" customHeight="1" spans="1:1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ht="22.5" customHeight="1" spans="1:13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ht="22.5" customHeight="1" spans="1:1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ht="22.5" customHeight="1" spans="1:1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ht="22.5" customHeight="1" spans="1:13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ht="22.5" customHeight="1" spans="1:13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22.5" customHeight="1" spans="1:13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22.5" customHeight="1" spans="1:13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22.5" customHeight="1" spans="1:13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22.5" customHeight="1" spans="1:13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ht="22.5" customHeight="1" spans="1:13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ht="22.5" customHeight="1" spans="1:13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ht="22.5" customHeight="1" spans="1:13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ht="22.5" customHeight="1" spans="1:13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ht="22.5" customHeight="1" spans="1:1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ht="22.5" customHeight="1" spans="1:1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ht="22.5" customHeight="1" spans="1:13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ht="22.5" customHeight="1" spans="1:13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ht="22.5" customHeight="1" spans="1:13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ht="22.5" customHeight="1" spans="1:13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ht="22.5" customHeight="1" spans="1:13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ht="22.5" customHeight="1" spans="1:13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ht="22.5" customHeight="1" spans="1:13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ht="22.5" customHeight="1" spans="1:13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ht="22.5" customHeight="1" spans="1:1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ht="22.5" customHeight="1" spans="1:13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ht="22.5" customHeight="1" spans="1:13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ht="22.5" customHeight="1" spans="1:13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ht="22.5" customHeight="1" spans="1:13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ht="22.5" customHeight="1" spans="1:13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ht="22.5" customHeight="1" spans="1:13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ht="22.5" customHeight="1" spans="1:13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ht="22.5" customHeight="1" spans="1:13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ht="22.5" customHeight="1" spans="1:13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ht="22.5" customHeight="1" spans="1:13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ht="22.5" customHeight="1" spans="1:13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ht="22.5" customHeight="1" spans="1:13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ht="22.5" customHeight="1" spans="1:13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ht="22.5" customHeight="1" spans="1:13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ht="22.5" customHeight="1" spans="1:13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ht="22.5" customHeight="1" spans="1:13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ht="22.5" customHeight="1" spans="1:13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ht="22.5" customHeight="1" spans="1:13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ht="22.5" customHeight="1" spans="1:13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ht="22.5" customHeight="1" spans="1:13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ht="22.5" customHeight="1" spans="1:13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ht="22.5" customHeight="1" spans="1:13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ht="22.5" customHeight="1" spans="1:13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ht="22.5" customHeight="1" spans="1:13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ht="22.5" customHeight="1" spans="1:13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ht="22.5" customHeight="1" spans="1:13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ht="22.5" customHeight="1" spans="1:13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ht="22.5" customHeight="1" spans="1:13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ht="22.5" customHeight="1" spans="1:13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ht="22.5" customHeight="1" spans="1:13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ht="22.5" customHeight="1" spans="1:13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ht="22.5" customHeight="1" spans="1:13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ht="22.5" customHeight="1" spans="1:13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ht="22.5" customHeight="1" spans="1:13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ht="22.5" customHeight="1" spans="1:13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ht="22.5" customHeight="1" spans="1:13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ht="22.5" customHeight="1" spans="1:13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ht="22.5" customHeight="1" spans="1:13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ht="22.5" customHeight="1" spans="1:13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ht="22.5" customHeight="1" spans="1:13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9" t="s">
        <v>4563</v>
      </c>
    </row>
    <row r="134" ht="22.5" customHeight="1" spans="1:13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ht="22.5" customHeight="1" spans="1:13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ht="22.5" customHeight="1" spans="1:13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ht="22.5" customHeight="1" spans="1:13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ht="22.5" customHeight="1" spans="1:13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ht="22.5" customHeight="1" spans="1:13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ht="22.5" customHeight="1" spans="1:13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ht="22.5" customHeight="1" spans="1:13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ht="22.5" customHeight="1" spans="1:13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ht="22.5" customHeight="1" spans="1:13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ht="22.5" customHeight="1" spans="1:13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ht="22.5" customHeight="1" spans="1:1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ht="22.5" customHeight="1" spans="1:13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ht="22.5" customHeight="1" spans="1:1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ht="22.5" customHeight="1" spans="1:13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ht="22.5" customHeight="1" spans="1:1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ht="22.5" customHeight="1" spans="1:13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ht="22.5" customHeight="1" spans="1:1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ht="22.5" customHeight="1" spans="1:13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ht="22.5" customHeight="1" spans="1:1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ht="22.5" customHeight="1" spans="1:13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ht="22.5" customHeight="1" spans="1:1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ht="22.5" customHeight="1" spans="1:13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ht="22.5" customHeight="1" spans="1:1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ht="22.5" customHeight="1" spans="1:13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ht="22.5" customHeight="1" spans="1:1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ht="22.5" customHeight="1" spans="1:13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ht="22.5" customHeight="1" spans="1:1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ht="22.5" customHeight="1" spans="1:13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ht="22.5" customHeight="1" spans="1:1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ht="22.5" customHeight="1" spans="1:13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ht="22.5" customHeight="1" spans="1:1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ht="22.5" customHeight="1" spans="1:13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ht="22.5" customHeight="1" spans="1:1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ht="22.5" customHeight="1" spans="1:13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ht="22.5" customHeight="1" spans="1:1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ht="22.5" customHeight="1" spans="1:13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ht="22.5" customHeight="1" spans="1:1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ht="22.5" customHeight="1" spans="1:13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ht="22.5" customHeight="1" spans="1:1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ht="22.5" customHeight="1" spans="1:13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ht="22.5" customHeight="1" spans="1:1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ht="22.5" customHeight="1" spans="1:13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ht="22.5" customHeight="1" spans="1:1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ht="22.5" customHeight="1" spans="1:13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ht="22.5" customHeight="1" spans="1:1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ht="22.5" customHeight="1" spans="1:13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ht="22.5" customHeight="1" spans="1:1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ht="22.5" customHeight="1" spans="1:13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ht="22.5" customHeight="1" spans="1:1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ht="22.5" customHeight="1" spans="1:13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ht="22.5" customHeight="1" spans="1:1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ht="22.5" customHeight="1" spans="1:13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ht="22.5" customHeight="1" spans="1:1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ht="22.5" customHeight="1" spans="1:13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ht="22.5" customHeight="1" spans="1:1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ht="22.5" customHeight="1" spans="1:13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ht="22.5" customHeight="1" spans="1:1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ht="22.5" customHeight="1" spans="1:13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ht="22.5" customHeight="1" spans="1:1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ht="22.5" customHeight="1" spans="1:13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ht="22.5" customHeight="1" spans="1:1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ht="22.5" customHeight="1" spans="1:13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ht="22.5" customHeight="1" spans="1:1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ht="22.5" customHeight="1" spans="1:13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ht="22.5" customHeight="1" spans="1:1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ht="22.5" customHeight="1" spans="1:13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ht="22.5" customHeight="1" spans="1:1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ht="22.5" customHeight="1" spans="1:13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ht="22.5" customHeight="1" spans="1:1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ht="22.5" customHeight="1" spans="1:13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ht="22.5" customHeight="1" spans="1:1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ht="22.5" customHeight="1" spans="1:13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ht="22.5" customHeight="1" spans="1:1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ht="22.5" customHeight="1" spans="1:13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ht="22.5" customHeight="1" spans="1:1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ht="22.5" customHeight="1" spans="1:13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ht="22.5" customHeight="1" spans="1:1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ht="22.5" customHeight="1" spans="1:13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ht="22.5" customHeight="1" spans="1:1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ht="22.5" customHeight="1" spans="1:13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ht="22.5" customHeight="1" spans="1:1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ht="22.5" customHeight="1" spans="1:13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ht="22.5" customHeight="1" spans="1:1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ht="22.5" customHeight="1" spans="1:13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ht="22.5" customHeight="1" spans="1:1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ht="22.5" customHeight="1" spans="1:13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ht="22.5" customHeight="1" spans="1:1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ht="22.5" customHeight="1" spans="1:13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ht="22.5" customHeight="1" spans="1:1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ht="22.5" customHeight="1" spans="1:13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ht="22.5" customHeight="1" spans="1:1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ht="22.5" customHeight="1" spans="1:13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ht="22.5" customHeight="1" spans="1:1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ht="22.5" customHeight="1" spans="1:13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ht="22.5" customHeight="1" spans="1:1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ht="22.5" customHeight="1" spans="1:13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ht="22.5" customHeight="1" spans="1:1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ht="22.5" customHeight="1" spans="1:13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ht="22.5" customHeight="1" spans="1:1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ht="22.5" customHeight="1" spans="1:13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ht="22.5" customHeight="1" spans="1:1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ht="22.5" customHeight="1" spans="1:13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ht="22.5" customHeight="1" spans="1:1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ht="22.5" customHeight="1" spans="1:13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ht="22.5" customHeight="1" spans="1:1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ht="22.5" customHeight="1" spans="1:13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ht="22.5" customHeight="1" spans="1:1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ht="22.5" customHeight="1" spans="1:13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ht="22.5" customHeight="1" spans="1:1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ht="22.5" customHeight="1" spans="1:13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ht="22.5" customHeight="1" spans="1:1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ht="22.5" customHeight="1" spans="1:13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ht="22.5" customHeight="1" spans="1:1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ht="22.5" customHeight="1" spans="1:13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ht="22.5" customHeight="1" spans="1:1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ht="22.5" customHeight="1" spans="1:13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ht="22.5" customHeight="1" spans="1:1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ht="22.5" customHeight="1" spans="1:13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ht="22.5" customHeight="1" spans="1:1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ht="22.5" customHeight="1" spans="1:13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ht="22.5" customHeight="1" spans="1:1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ht="22.5" customHeight="1" spans="1:13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ht="22.5" customHeight="1" spans="1:1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ht="22.5" customHeight="1" spans="1:13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ht="22.5" customHeight="1" spans="1:1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ht="22.5" customHeight="1" spans="1:13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ht="22.5" customHeight="1" spans="1:1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ht="22.5" customHeight="1" spans="1:13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ht="22.5" customHeight="1" spans="1:1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ht="22.5" customHeight="1" spans="1:13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ht="22.5" customHeight="1" spans="1:1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ht="22.5" customHeight="1" spans="1:13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ht="22.5" customHeight="1" spans="1:1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ht="22.5" customHeight="1" spans="1:13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ht="22.5" customHeight="1" spans="1:1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ht="22.5" customHeight="1" spans="1:13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ht="22.5" customHeight="1" spans="1:1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ht="22.5" customHeight="1" spans="1:13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ht="22.5" customHeight="1" spans="1:1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ht="22.5" customHeight="1" spans="1:13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ht="22.5" customHeight="1" spans="1:1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ht="22.5" customHeight="1" spans="1:13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ht="22.5" customHeight="1" spans="1:1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ht="22.5" customHeight="1" spans="1:13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ht="22.5" customHeight="1" spans="1:1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ht="22.5" customHeight="1" spans="1:13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ht="22.5" customHeight="1" spans="1:1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ht="22.5" customHeight="1" spans="1:13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ht="22.5" customHeight="1" spans="1:1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ht="22.5" customHeight="1" spans="1:13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ht="22.5" customHeight="1" spans="1:1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ht="22.5" customHeight="1" spans="1:13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ht="22.5" customHeight="1" spans="1:1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ht="22.5" customHeight="1" spans="1:13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ht="22.5" customHeight="1" spans="1:1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ht="22.5" customHeight="1" spans="1:13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ht="22.5" customHeight="1" spans="1:1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ht="22.5" customHeight="1" spans="1:13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ht="22.5" customHeight="1" spans="1:1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ht="22.5" customHeight="1" spans="1:13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ht="22.5" customHeight="1" spans="1:1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ht="22.5" customHeight="1" spans="1:13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ht="22.5" customHeight="1" spans="1:1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ht="22.5" customHeight="1" spans="1:13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ht="22.5" customHeight="1" spans="1:1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ht="22.5" customHeight="1" spans="1:13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ht="22.5" customHeight="1" spans="1:1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ht="22.5" customHeight="1" spans="1:13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ht="22.5" customHeight="1" spans="1:1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ht="22.5" customHeight="1" spans="1:13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ht="22.5" customHeight="1" spans="1:1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ht="22.5" customHeight="1" spans="1:13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ht="22.5" customHeight="1" spans="1:1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ht="22.5" customHeight="1" spans="1:13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ht="22.5" customHeight="1" spans="1:1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ht="22.5" customHeight="1" spans="1:13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ht="22.5" customHeight="1" spans="1:1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ht="22.5" customHeight="1" spans="1:13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ht="22.5" customHeight="1" spans="1:1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ht="22.5" customHeight="1" spans="1:13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ht="22.5" customHeight="1" spans="1:1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ht="22.5" customHeight="1" spans="1:13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ht="22.5" customHeight="1" spans="1:1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ht="22.5" customHeight="1" spans="1:13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ht="22.5" customHeight="1" spans="1:1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ht="22.5" customHeight="1" spans="1:13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ht="22.5" customHeight="1" spans="1:1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ht="22.5" customHeight="1" spans="1:13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ht="22.5" customHeight="1" spans="1:1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ht="22.5" customHeight="1" spans="1:13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ht="22.5" customHeight="1" spans="1:1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ht="22.5" customHeight="1" spans="1:13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ht="22.5" customHeight="1" spans="1:1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ht="22.5" customHeight="1" spans="1:13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ht="22.5" customHeight="1" spans="1:1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ht="22.5" customHeight="1" spans="1:13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ht="22.5" customHeight="1" spans="1:1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ht="22.5" customHeight="1" spans="1:13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ht="22.5" customHeight="1" spans="1:1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ht="22.5" customHeight="1" spans="1:13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ht="22.5" customHeight="1" spans="1:1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ht="22.5" customHeight="1" spans="1:13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ht="22.5" customHeight="1" spans="1:1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ht="22.5" customHeight="1" spans="1:13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ht="22.5" customHeight="1" spans="1:1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ht="22.5" customHeight="1" spans="1:13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ht="22.5" customHeight="1" spans="1:1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ht="22.5" customHeight="1" spans="1:13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ht="22.5" customHeight="1" spans="1:1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ht="22.5" customHeight="1" spans="1:13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ht="22.5" customHeight="1" spans="1:1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ht="22.5" customHeight="1" spans="1:13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ht="22.5" customHeight="1" spans="1:1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ht="22.5" customHeight="1" spans="1:13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ht="22.5" customHeight="1" spans="1:1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ht="22.5" customHeight="1" spans="1:13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ht="22.5" customHeight="1" spans="1:1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ht="22.5" customHeight="1" spans="1:13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ht="22.5" customHeight="1" spans="1:1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ht="22.5" customHeight="1" spans="1:13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ht="22.5" customHeight="1" spans="1:1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ht="22.5" customHeight="1" spans="1:13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ht="22.5" customHeight="1" spans="1:13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ht="22.5" customHeight="1" spans="1:13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ht="22.5" customHeight="1" spans="1:13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ht="22.5" customHeight="1" spans="1:13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ht="22.5" customHeight="1" spans="1:13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ht="22.5" customHeight="1" spans="1:13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ht="22.5" customHeight="1" spans="1:13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ht="22.5" customHeight="1" spans="1:13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ht="22.5" customHeight="1" spans="1:13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ht="22.5" customHeight="1" spans="1:13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ht="22.5" customHeight="1" spans="1:13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ht="22.5" customHeight="1" spans="1:13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ht="22.5" customHeight="1" spans="1:13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ht="22.5" customHeight="1" spans="1:13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ht="22.5" customHeight="1" spans="1:13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ht="22.5" customHeight="1" spans="1:13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ht="22.5" customHeight="1" spans="1:13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ht="22.5" customHeight="1" spans="1:13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ht="22.5" customHeight="1" spans="1:13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ht="22.5" customHeight="1" spans="1:13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ht="22.5" customHeight="1" spans="1:13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ht="22.5" customHeight="1" spans="1:13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ht="22.5" customHeight="1" spans="1:13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ht="22.5" customHeight="1" spans="1:13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ht="22.5" customHeight="1" spans="1:13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ht="22.5" customHeight="1" spans="1:13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ht="22.5" customHeight="1" spans="1:1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ht="22.5" customHeight="1" spans="1:13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ht="22.5" customHeight="1" spans="1:13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ht="22.5" customHeight="1" spans="1:13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ht="22.5" customHeight="1" spans="1:13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ht="22.5" customHeight="1" spans="1:13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ht="22.5" customHeight="1" spans="1:13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ht="22.5" customHeight="1" spans="1:13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ht="22.5" customHeight="1" spans="1:13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ht="22.5" customHeight="1" spans="1:13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ht="22.5" customHeight="1" spans="1:1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ht="22.5" customHeight="1" spans="1:13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ht="22.5" customHeight="1" spans="1:13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ht="22.5" customHeight="1" spans="1:13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ht="22.5" customHeight="1" spans="1:13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ht="22.5" customHeight="1" spans="1:13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ht="22.5" customHeight="1" spans="1:13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ht="22.5" customHeight="1" spans="1:13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ht="22.5" customHeight="1" spans="1:13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ht="22.5" customHeight="1" spans="1:13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ht="22.5" customHeight="1" spans="1:1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ht="22.5" customHeight="1" spans="1:13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ht="22.5" customHeight="1" spans="1:13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ht="22.5" customHeight="1" spans="1:13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ht="22.5" customHeight="1" spans="1:13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ht="22.5" customHeight="1" spans="1:13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ht="22.5" customHeight="1" spans="1:13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ht="22.5" customHeight="1" spans="1:13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ht="22.5" customHeight="1" spans="1:13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ht="22.5" customHeight="1" spans="1:13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ht="22.5" customHeight="1" spans="1: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ht="22.5" customHeight="1" spans="1:13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ht="22.5" customHeight="1" spans="1:13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ht="22.5" customHeight="1" spans="1:13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ht="22.5" customHeight="1" spans="1:13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ht="22.5" customHeight="1" spans="1:13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ht="22.5" customHeight="1" spans="1:13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ht="22.5" customHeight="1" spans="1:13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ht="22.5" customHeight="1" spans="1:13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ht="22.5" customHeight="1" spans="1:13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ht="22.5" customHeight="1" spans="1:1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ht="22.5" customHeight="1" spans="1:13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ht="22.5" customHeight="1" spans="1:13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ht="22.5" customHeight="1" spans="1:13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ht="22.5" customHeight="1" spans="1:13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ht="22.5" customHeight="1" spans="1:13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ht="22.5" customHeight="1" spans="1:13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ht="22.5" customHeight="1" spans="1:13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ht="22.5" customHeight="1" spans="1:13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ht="22.5" customHeight="1" spans="1:13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ht="22.5" customHeight="1" spans="1:1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ht="22.5" customHeight="1" spans="1:13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ht="22.5" customHeight="1" spans="1:13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ht="22.5" customHeight="1" spans="1:13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ht="22.5" customHeight="1" spans="1:13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ht="22.5" customHeight="1" spans="1:13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ht="22.5" customHeight="1" spans="1:13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ht="22.5" customHeight="1" spans="1:13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ht="22.5" customHeight="1" spans="1:13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ht="22.5" customHeight="1" spans="1:13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ht="22.5" customHeight="1" spans="1:1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ht="22.5" customHeight="1" spans="1:13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ht="22.5" customHeight="1" spans="1:13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ht="22.5" customHeight="1" spans="1:13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ht="22.5" customHeight="1" spans="1:13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ht="22.5" customHeight="1" spans="1:13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ht="22.5" customHeight="1" spans="1:13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ht="22.5" customHeight="1" spans="1:13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ht="22.5" customHeight="1" spans="1:13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ht="22.5" customHeight="1" spans="1:13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ht="22.5" customHeight="1" spans="1:1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ht="22.5" customHeight="1" spans="1:13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ht="22.5" customHeight="1" spans="1:13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ht="22.5" customHeight="1" spans="1:13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ht="22.5" customHeight="1" spans="1:13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ht="22.5" customHeight="1" spans="1:13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ht="22.5" customHeight="1" spans="1:13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ht="22.5" customHeight="1" spans="1:13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ht="22.5" customHeight="1" spans="1:13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ht="22.5" customHeight="1" spans="1:13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ht="22.5" customHeight="1" spans="1:1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ht="22.5" customHeight="1" spans="1:13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ht="22.5" customHeight="1" spans="1:13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ht="22.5" customHeight="1" spans="1:13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ht="22.5" customHeight="1" spans="1:13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ht="22.5" customHeight="1" spans="1:13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ht="22.5" customHeight="1" spans="1:13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ht="22.5" customHeight="1" spans="1:13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ht="22.5" customHeight="1" spans="1:13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ht="22.5" customHeight="1" spans="1:13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ht="22.5" customHeight="1" spans="1:1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ht="22.5" customHeight="1" spans="1:13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ht="22.5" customHeight="1" spans="1:13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ht="22.5" customHeight="1" spans="1:13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ht="22.5" customHeight="1" spans="1:13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ht="22.5" customHeight="1" spans="1:13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ht="22.5" customHeight="1" spans="1:13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ht="22.5" customHeight="1" spans="1:13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ht="22.5" customHeight="1" spans="1:13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ht="22.5" customHeight="1" spans="1:13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ht="22.5" customHeight="1" spans="1:1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ht="22.5" customHeight="1" spans="1:13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ht="22.5" customHeight="1" spans="1:13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ht="22.5" customHeight="1" spans="1:13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ht="22.5" customHeight="1" spans="1:13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ht="22.5" customHeight="1" spans="1:13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ht="22.5" customHeight="1" spans="1:13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ht="22.5" customHeight="1" spans="1:13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ht="22.5" customHeight="1" spans="1:13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ht="22.5" customHeight="1" spans="1:13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ht="22.5" customHeight="1" spans="1:1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ht="22.5" customHeight="1" spans="1:13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ht="22.5" customHeight="1" spans="1:13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ht="22.5" customHeight="1" spans="1:13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ht="22.5" customHeight="1" spans="1:13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ht="22.5" customHeight="1" spans="1:13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ht="22.5" customHeight="1" spans="1:13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ht="22.5" customHeight="1" spans="1:13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ht="22.5" customHeight="1" spans="1:13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ht="22.5" customHeight="1" spans="1:13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ht="22.5" customHeight="1" spans="1:1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ht="22.5" customHeight="1" spans="1:13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ht="22.5" customHeight="1" spans="1:13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ht="22.5" customHeight="1" spans="1:13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ht="22.5" customHeight="1" spans="1:13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ht="22.5" customHeight="1" spans="1:13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ht="22.5" customHeight="1" spans="1:13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ht="22.5" customHeight="1" spans="1:13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ht="22.5" customHeight="1" spans="1:13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ht="22.5" customHeight="1" spans="1:13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ht="22.5" customHeight="1" spans="1: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ht="22.5" customHeight="1" spans="1:13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ht="22.5" customHeight="1" spans="1:13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ht="22.5" customHeight="1" spans="1:13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ht="22.5" customHeight="1" spans="1:13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ht="22.5" customHeight="1" spans="1:13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ht="22.5" customHeight="1" spans="1:13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ht="22.5" customHeight="1" spans="1:13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ht="22.5" customHeight="1" spans="1:13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ht="22.5" customHeight="1" spans="1:13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ht="22.5" customHeight="1" spans="1:1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ht="22.5" customHeight="1" spans="1:13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ht="22.5" customHeight="1" spans="1:13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ht="22.5" customHeight="1" spans="1:13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ht="22.5" customHeight="1" spans="1:13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ht="22.5" customHeight="1" spans="1:13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ht="22.5" customHeight="1" spans="1:13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ht="22.5" customHeight="1" spans="1:13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ht="22.5" customHeight="1" spans="1:13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ht="22.5" customHeight="1" spans="1:13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ht="22.5" customHeight="1" spans="1:13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ht="22.5" customHeight="1" spans="1:13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ht="22.5" customHeight="1" spans="1:13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ht="22.5" customHeight="1" spans="1:13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ht="22.5" customHeight="1" spans="1:13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ht="22.5" customHeight="1" spans="1:13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ht="22.5" customHeight="1" spans="1:13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ht="22.5" customHeight="1" spans="1:13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ht="22.5" customHeight="1" spans="1:13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ht="22.5" customHeight="1" spans="1:13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ht="22.5" customHeight="1" spans="1:13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ht="22.5" customHeight="1" spans="1:13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ht="22.5" customHeight="1" spans="1:13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ht="22.5" customHeight="1" spans="1:13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ht="22.5" customHeight="1" spans="1:13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ht="22.5" customHeight="1" spans="1:13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ht="22.5" customHeight="1" spans="1:13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ht="22.5" customHeight="1" spans="1:13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ht="22.5" customHeight="1" spans="1:13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ht="22.5" customHeight="1" spans="1:13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ht="22.5" customHeight="1" spans="1:1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ht="22.5" customHeight="1" spans="1:13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ht="22.5" customHeight="1" spans="1:13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ht="22.5" customHeight="1" spans="1:13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ht="22.5" customHeight="1" spans="1:13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ht="22.5" customHeight="1" spans="1:13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ht="22.5" customHeight="1" spans="1:13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ht="22.5" customHeight="1" spans="1:13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ht="22.5" customHeight="1" spans="1:13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ht="22.5" customHeight="1" spans="1:13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ht="22.5" customHeight="1" spans="1:1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ht="22.5" customHeight="1" spans="1:13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ht="22.5" customHeight="1" spans="1:13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ht="22.5" customHeight="1" spans="1:13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ht="22.5" customHeight="1" spans="1:13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ht="22.5" customHeight="1" spans="1:13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ht="22.5" customHeight="1" spans="1:13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ht="22.5" customHeight="1" spans="1:13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ht="22.5" customHeight="1" spans="1:13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ht="22.5" customHeight="1" spans="1:13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ht="22.5" customHeight="1" spans="1:1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ht="22.5" customHeight="1" spans="1:13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ht="22.5" customHeight="1" spans="1:13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ht="22.5" customHeight="1" spans="1:13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ht="22.5" customHeight="1" spans="1:13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ht="22.5" customHeight="1" spans="1:13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ht="22.5" customHeight="1" spans="1:13">
      <c r="A579" s="20" t="s">
        <v>4524</v>
      </c>
      <c r="B579" s="20" t="s">
        <v>4525</v>
      </c>
      <c r="C579" s="20" t="s">
        <v>4526</v>
      </c>
      <c r="D579" s="20" t="s">
        <v>4527</v>
      </c>
      <c r="E579" s="20" t="s">
        <v>4528</v>
      </c>
      <c r="F579" s="20" t="s">
        <v>4529</v>
      </c>
      <c r="G579" s="20" t="s">
        <v>4530</v>
      </c>
      <c r="H579" s="20" t="s">
        <v>4531</v>
      </c>
      <c r="I579" s="20" t="s">
        <v>4533</v>
      </c>
      <c r="J579" s="20" t="s">
        <v>4534</v>
      </c>
      <c r="K579" s="20"/>
      <c r="L579" s="15"/>
      <c r="M579" s="15"/>
    </row>
    <row r="580" customFormat="1" ht="22.5" customHeight="1" spans="1:13">
      <c r="A580" s="13" t="s">
        <v>1163</v>
      </c>
      <c r="B580" s="21">
        <v>29100000</v>
      </c>
      <c r="C580" s="7">
        <v>24690867.691525</v>
      </c>
      <c r="D580" s="7">
        <v>17493474.841305</v>
      </c>
      <c r="E580" s="22">
        <v>84.8483425825601</v>
      </c>
      <c r="F580" s="22">
        <v>70.8499800811355</v>
      </c>
      <c r="G580" s="21">
        <v>9190000</v>
      </c>
      <c r="H580" s="7">
        <v>3819057.141</v>
      </c>
      <c r="I580" s="22">
        <v>41.5566609466811</v>
      </c>
      <c r="J580" s="22">
        <v>28.2350522966422</v>
      </c>
      <c r="K580" s="6"/>
      <c r="L580" s="15"/>
      <c r="M580" s="15"/>
    </row>
    <row r="581" customFormat="1" ht="22.5" customHeight="1" spans="1:13">
      <c r="A581" s="13" t="s">
        <v>1913</v>
      </c>
      <c r="B581" s="21">
        <v>10400000</v>
      </c>
      <c r="C581" s="7">
        <v>4705182.2879</v>
      </c>
      <c r="D581" s="7">
        <v>4233310.1995</v>
      </c>
      <c r="E581" s="22">
        <v>45.2421373836538</v>
      </c>
      <c r="F581" s="22">
        <v>89.9712262027874</v>
      </c>
      <c r="G581" s="21">
        <v>2000000</v>
      </c>
      <c r="H581" s="7">
        <v>531960.477</v>
      </c>
      <c r="I581" s="22">
        <v>26.5980238499999</v>
      </c>
      <c r="J581" s="22">
        <v>55.1587408626224</v>
      </c>
      <c r="K581" s="6"/>
      <c r="L581" s="15"/>
      <c r="M581" s="15"/>
    </row>
    <row r="582" customFormat="1" ht="22.5" customHeight="1" spans="1:13">
      <c r="A582" s="13" t="s">
        <v>1984</v>
      </c>
      <c r="B582" s="21">
        <v>7310000</v>
      </c>
      <c r="C582" s="7">
        <v>8489558.0068</v>
      </c>
      <c r="D582" s="7">
        <v>2942135.9922</v>
      </c>
      <c r="E582" s="22">
        <v>116.136224443228</v>
      </c>
      <c r="F582" s="22">
        <v>34.6559383874095</v>
      </c>
      <c r="G582" s="21">
        <v>2000000</v>
      </c>
      <c r="H582" s="7">
        <v>2502206.584</v>
      </c>
      <c r="I582" s="22">
        <v>125.110329199999</v>
      </c>
      <c r="J582" s="22">
        <v>0</v>
      </c>
      <c r="K582" s="6"/>
      <c r="L582" s="15"/>
      <c r="M582" s="15"/>
    </row>
    <row r="583" customFormat="1" ht="22.5" customHeight="1" spans="1:13">
      <c r="A583" s="13" t="s">
        <v>4084</v>
      </c>
      <c r="B583" s="21">
        <v>9390000</v>
      </c>
      <c r="C583" s="7">
        <v>5680369.358025</v>
      </c>
      <c r="D583" s="7">
        <v>6383975.662305</v>
      </c>
      <c r="E583" s="22">
        <v>60.4938163793929</v>
      </c>
      <c r="F583" s="22">
        <v>112.38662945898</v>
      </c>
      <c r="G583" s="21">
        <v>3190000</v>
      </c>
      <c r="H583" s="7">
        <v>472369.08</v>
      </c>
      <c r="I583" s="22">
        <v>14.8078081504702</v>
      </c>
      <c r="J583" s="22">
        <v>100</v>
      </c>
      <c r="K583" s="6"/>
      <c r="L583" s="15"/>
      <c r="M583" s="15"/>
    </row>
    <row r="584" customFormat="1" ht="22.5" customHeight="1" spans="1:13">
      <c r="A584" s="13" t="s">
        <v>4130</v>
      </c>
      <c r="B584" s="21">
        <v>2000000</v>
      </c>
      <c r="C584" s="7">
        <v>5815758.0388</v>
      </c>
      <c r="D584" s="7">
        <v>3934052.9873</v>
      </c>
      <c r="E584" s="22">
        <v>290.78790194</v>
      </c>
      <c r="F584" s="22">
        <v>67.6447156338666</v>
      </c>
      <c r="G584" s="21">
        <v>2000000</v>
      </c>
      <c r="H584" s="7">
        <v>312521</v>
      </c>
      <c r="I584" s="22">
        <v>15.62605</v>
      </c>
      <c r="J584" s="22">
        <v>100</v>
      </c>
      <c r="K584" s="6"/>
      <c r="L584" s="15"/>
      <c r="M584" s="15"/>
    </row>
    <row r="585" ht="22.5" customHeight="1" spans="1:13">
      <c r="A585" s="13" t="s">
        <v>4536</v>
      </c>
      <c r="B585" s="21">
        <v>830000</v>
      </c>
      <c r="C585" s="7">
        <v>538305.0554</v>
      </c>
      <c r="D585" s="7">
        <v>326368.1024</v>
      </c>
      <c r="E585" s="22">
        <v>64.8560307710843</v>
      </c>
      <c r="F585" s="22">
        <v>60.6288384487648</v>
      </c>
      <c r="G585" s="21">
        <v>230000</v>
      </c>
      <c r="H585" s="7">
        <v>236385.425999999</v>
      </c>
      <c r="I585" s="22">
        <v>102.776272173913</v>
      </c>
      <c r="J585" s="22">
        <v>0</v>
      </c>
      <c r="K585" s="6"/>
      <c r="L585" s="15"/>
      <c r="M585" s="15"/>
    </row>
    <row r="586" ht="39" customHeight="1" spans="1:13">
      <c r="A586" s="13" t="s">
        <v>4537</v>
      </c>
      <c r="B586" s="21">
        <v>2660000</v>
      </c>
      <c r="C586" s="7">
        <v>716765.2122</v>
      </c>
      <c r="D586" s="7">
        <v>444511.0447</v>
      </c>
      <c r="E586" s="22">
        <v>26.9460606090225</v>
      </c>
      <c r="F586" s="22">
        <v>62.0162693632468</v>
      </c>
      <c r="G586" s="21">
        <v>0</v>
      </c>
      <c r="H586" s="7">
        <v>0</v>
      </c>
      <c r="I586" s="22">
        <v>0</v>
      </c>
      <c r="J586" s="22">
        <v>0</v>
      </c>
      <c r="K586" s="6"/>
      <c r="L586" s="15"/>
      <c r="M586" s="15"/>
    </row>
    <row r="587" ht="22.5" customHeight="1" spans="1:13">
      <c r="A587" s="13" t="s">
        <v>4535</v>
      </c>
      <c r="B587" s="21">
        <v>4720000</v>
      </c>
      <c r="C587" s="7">
        <v>1638099.0184</v>
      </c>
      <c r="D587" s="7">
        <v>1638099.0184</v>
      </c>
      <c r="E587" s="22">
        <v>34.7054876779661</v>
      </c>
      <c r="F587" s="22">
        <v>100</v>
      </c>
      <c r="G587" s="21">
        <v>0</v>
      </c>
      <c r="H587" s="7">
        <v>0</v>
      </c>
      <c r="I587" s="22">
        <v>0</v>
      </c>
      <c r="J587" s="22">
        <v>0</v>
      </c>
      <c r="K587" s="6"/>
      <c r="L587" s="15"/>
      <c r="M587" s="15"/>
    </row>
    <row r="588" ht="22.5" customHeight="1" spans="1:13">
      <c r="A588" s="13" t="s">
        <v>4538</v>
      </c>
      <c r="B588" s="21">
        <v>1350000</v>
      </c>
      <c r="C588" s="7">
        <v>1608555.4372</v>
      </c>
      <c r="D588" s="7">
        <v>1706189.1393</v>
      </c>
      <c r="E588" s="22">
        <v>119.152254607407</v>
      </c>
      <c r="F588" s="22">
        <v>106.069651057221</v>
      </c>
      <c r="G588" s="21">
        <v>350000</v>
      </c>
      <c r="H588" s="7">
        <v>295575.051</v>
      </c>
      <c r="I588" s="22">
        <v>84.4500145714285</v>
      </c>
      <c r="J588" s="22">
        <v>99.2718093111315</v>
      </c>
      <c r="K588" s="6"/>
      <c r="L588" s="15"/>
      <c r="M588" s="15"/>
    </row>
    <row r="589" ht="39" customHeight="1" spans="1:13">
      <c r="A589" s="13" t="s">
        <v>4539</v>
      </c>
      <c r="B589" s="21">
        <v>840000</v>
      </c>
      <c r="C589" s="7">
        <v>203457.5647</v>
      </c>
      <c r="D589" s="7">
        <v>118142.8947</v>
      </c>
      <c r="E589" s="22">
        <v>24.2211386547619</v>
      </c>
      <c r="F589" s="22">
        <v>58.0675851862292</v>
      </c>
      <c r="G589" s="21">
        <v>0</v>
      </c>
      <c r="H589" s="7">
        <v>0</v>
      </c>
      <c r="I589" s="22">
        <v>0</v>
      </c>
      <c r="J589" s="22">
        <v>0</v>
      </c>
      <c r="K589" s="6"/>
      <c r="L589" s="15"/>
      <c r="M589" s="15"/>
    </row>
    <row r="590" ht="22.5" customHeight="1" spans="1:13">
      <c r="A590" s="13" t="s">
        <v>4540</v>
      </c>
      <c r="B590" s="21">
        <v>2310000</v>
      </c>
      <c r="C590" s="7">
        <v>2612278.7282</v>
      </c>
      <c r="D590" s="7">
        <v>213688.1558</v>
      </c>
      <c r="E590" s="22">
        <v>113.085659229437</v>
      </c>
      <c r="F590" s="22">
        <v>8.18014377612922</v>
      </c>
      <c r="G590" s="21">
        <v>320000</v>
      </c>
      <c r="H590" s="7">
        <v>1028113.0245</v>
      </c>
      <c r="I590" s="22">
        <v>321.28532015625</v>
      </c>
      <c r="J590" s="22">
        <v>0</v>
      </c>
      <c r="K590" s="6"/>
      <c r="L590" s="15"/>
      <c r="M590" s="15"/>
    </row>
    <row r="591" ht="22.5" customHeight="1" spans="1:13">
      <c r="A591" s="13" t="s">
        <v>4541</v>
      </c>
      <c r="B591" s="21">
        <v>1910000</v>
      </c>
      <c r="C591" s="7">
        <v>857336.4877</v>
      </c>
      <c r="D591" s="7">
        <v>859759.4877</v>
      </c>
      <c r="E591" s="22">
        <v>44.886727104712</v>
      </c>
      <c r="F591" s="22">
        <v>100.282619488936</v>
      </c>
      <c r="G591" s="21">
        <v>0</v>
      </c>
      <c r="H591" s="7">
        <v>0</v>
      </c>
      <c r="I591" s="22">
        <v>0</v>
      </c>
      <c r="J591" s="22">
        <v>0</v>
      </c>
      <c r="K591" s="6"/>
      <c r="L591" s="15"/>
      <c r="M591" s="15"/>
    </row>
    <row r="592" ht="22.5" customHeight="1" spans="1:13">
      <c r="A592" s="13" t="s">
        <v>4542</v>
      </c>
      <c r="B592" s="21">
        <v>1720000</v>
      </c>
      <c r="C592" s="7">
        <v>2710513.3437</v>
      </c>
      <c r="D592" s="7">
        <v>233937.3934</v>
      </c>
      <c r="E592" s="22">
        <v>157.587985098837</v>
      </c>
      <c r="F592" s="22">
        <v>8.6307412558487</v>
      </c>
      <c r="G592" s="21">
        <v>950000</v>
      </c>
      <c r="H592" s="7">
        <v>1224909.5595</v>
      </c>
      <c r="I592" s="22">
        <v>128.937848368421</v>
      </c>
      <c r="J592" s="22">
        <v>0</v>
      </c>
      <c r="K592" s="6"/>
      <c r="L592" s="15"/>
      <c r="M592" s="15"/>
    </row>
    <row r="593" ht="22.5" customHeight="1" spans="1:13">
      <c r="A593" s="13" t="s">
        <v>4543</v>
      </c>
      <c r="B593" s="21">
        <v>1370000</v>
      </c>
      <c r="C593" s="7">
        <v>2309429.4472</v>
      </c>
      <c r="D593" s="7">
        <v>1634750.9553</v>
      </c>
      <c r="E593" s="22">
        <v>168.57149249635</v>
      </c>
      <c r="F593" s="22">
        <v>70.7859232193478</v>
      </c>
      <c r="G593" s="21">
        <v>220000</v>
      </c>
      <c r="H593" s="7">
        <v>249184</v>
      </c>
      <c r="I593" s="22">
        <v>113.265454545454</v>
      </c>
      <c r="J593" s="22">
        <v>0</v>
      </c>
      <c r="K593" s="6"/>
      <c r="L593" s="15"/>
      <c r="M593" s="15"/>
    </row>
    <row r="594" ht="22.5" customHeight="1" spans="1:13">
      <c r="A594" s="13" t="s">
        <v>4544</v>
      </c>
      <c r="B594" s="21">
        <v>0</v>
      </c>
      <c r="C594" s="7">
        <v>0</v>
      </c>
      <c r="D594" s="7">
        <v>0</v>
      </c>
      <c r="E594" s="22">
        <v>0</v>
      </c>
      <c r="F594" s="22">
        <v>0</v>
      </c>
      <c r="G594" s="21">
        <v>0</v>
      </c>
      <c r="H594" s="7">
        <v>0</v>
      </c>
      <c r="I594" s="22">
        <v>0</v>
      </c>
      <c r="J594" s="22">
        <v>0</v>
      </c>
      <c r="K594" s="6"/>
      <c r="L594" s="15"/>
      <c r="M594" s="15"/>
    </row>
    <row r="595" ht="22.5" customHeight="1" spans="1:13">
      <c r="A595" s="13" t="s">
        <v>4546</v>
      </c>
      <c r="B595" s="21">
        <v>2950000</v>
      </c>
      <c r="C595" s="7">
        <v>330787.312</v>
      </c>
      <c r="D595" s="7">
        <v>330787.312</v>
      </c>
      <c r="E595" s="22">
        <v>11.2131292203389</v>
      </c>
      <c r="F595" s="22">
        <v>100</v>
      </c>
      <c r="G595" s="21">
        <v>0</v>
      </c>
      <c r="H595" s="7">
        <v>0</v>
      </c>
      <c r="I595" s="22">
        <v>0</v>
      </c>
      <c r="J595" s="22">
        <v>0</v>
      </c>
      <c r="K595" s="6"/>
      <c r="L595" s="15"/>
      <c r="M595" s="15"/>
    </row>
    <row r="596" ht="22.5" customHeight="1" spans="1:13">
      <c r="A596" s="13" t="s">
        <v>4547</v>
      </c>
      <c r="B596" s="21">
        <v>2100000</v>
      </c>
      <c r="C596" s="7">
        <v>1418325.39428</v>
      </c>
      <c r="D596" s="7">
        <v>1632920.01636</v>
      </c>
      <c r="E596" s="22">
        <v>67.5393044895238</v>
      </c>
      <c r="F596" s="22">
        <v>115.130140301051</v>
      </c>
      <c r="G596" s="21">
        <v>0</v>
      </c>
      <c r="H596" s="7">
        <v>0</v>
      </c>
      <c r="I596" s="22">
        <v>0</v>
      </c>
      <c r="J596" s="22">
        <v>0</v>
      </c>
      <c r="K596" s="6"/>
      <c r="L596" s="15"/>
      <c r="M596" s="15"/>
    </row>
    <row r="597" ht="22.5" customHeight="1" spans="1:13">
      <c r="A597" s="13" t="s">
        <v>4548</v>
      </c>
      <c r="B597" s="21">
        <v>1350000</v>
      </c>
      <c r="C597" s="7">
        <v>1533436.421594</v>
      </c>
      <c r="D597" s="7">
        <v>1533436.421594</v>
      </c>
      <c r="E597" s="22">
        <v>113.587883081037</v>
      </c>
      <c r="F597" s="22">
        <v>100</v>
      </c>
      <c r="G597" s="21">
        <v>400000</v>
      </c>
      <c r="H597" s="7">
        <v>472369.08</v>
      </c>
      <c r="I597" s="22">
        <v>118.09227</v>
      </c>
      <c r="J597" s="22">
        <v>100</v>
      </c>
      <c r="K597" s="6"/>
      <c r="L597" s="15"/>
      <c r="M597" s="15"/>
    </row>
    <row r="598" ht="22.5" customHeight="1" spans="1:13">
      <c r="A598" s="13" t="s">
        <v>4545</v>
      </c>
      <c r="B598" s="21">
        <v>0</v>
      </c>
      <c r="C598" s="7">
        <v>0</v>
      </c>
      <c r="D598" s="7">
        <v>0</v>
      </c>
      <c r="E598" s="22">
        <v>0</v>
      </c>
      <c r="F598" s="22">
        <v>0</v>
      </c>
      <c r="G598" s="21">
        <v>0</v>
      </c>
      <c r="H598" s="7">
        <v>0</v>
      </c>
      <c r="I598" s="22">
        <v>0</v>
      </c>
      <c r="J598" s="22">
        <v>0</v>
      </c>
      <c r="K598" s="6"/>
      <c r="L598" s="15"/>
      <c r="M598" s="15"/>
    </row>
    <row r="599" ht="22.5" customHeight="1" spans="1:13">
      <c r="A599" s="13" t="s">
        <v>4549</v>
      </c>
      <c r="B599" s="21">
        <v>2990000</v>
      </c>
      <c r="C599" s="7">
        <v>2397820.230151</v>
      </c>
      <c r="D599" s="7">
        <v>2886831.912351</v>
      </c>
      <c r="E599" s="22">
        <v>80.1946565267893</v>
      </c>
      <c r="F599" s="22">
        <v>120.394009361127</v>
      </c>
      <c r="G599" s="21">
        <v>0</v>
      </c>
      <c r="H599" s="7">
        <v>0</v>
      </c>
      <c r="I599" s="22">
        <v>0</v>
      </c>
      <c r="J599" s="22">
        <v>0</v>
      </c>
      <c r="K599" s="6"/>
      <c r="L599" s="15"/>
      <c r="M599" s="15"/>
    </row>
    <row r="600" ht="22.5" customHeight="1" spans="1:13">
      <c r="A600" s="13" t="s">
        <v>4550</v>
      </c>
      <c r="B600" s="21">
        <v>970000</v>
      </c>
      <c r="C600" s="7">
        <v>1500422</v>
      </c>
      <c r="D600" s="7">
        <v>1111665</v>
      </c>
      <c r="E600" s="22">
        <v>154.682680412371</v>
      </c>
      <c r="F600" s="22">
        <v>74.0901559694539</v>
      </c>
      <c r="G600" s="21">
        <v>0</v>
      </c>
      <c r="H600" s="7">
        <v>0</v>
      </c>
      <c r="I600" s="22">
        <v>0</v>
      </c>
      <c r="J600" s="22">
        <v>0</v>
      </c>
      <c r="K600" s="6"/>
      <c r="L600" s="15"/>
      <c r="M600" s="15"/>
    </row>
    <row r="601" ht="22.5" customHeight="1" spans="1:13">
      <c r="A601" s="13" t="s">
        <v>4551</v>
      </c>
      <c r="B601" s="21">
        <v>1030000</v>
      </c>
      <c r="C601" s="7">
        <v>4315336.0388</v>
      </c>
      <c r="D601" s="7">
        <v>2822387.9873</v>
      </c>
      <c r="E601" s="22">
        <v>418.964663961165</v>
      </c>
      <c r="F601" s="22">
        <v>65.4036664102952</v>
      </c>
      <c r="G601" s="21">
        <v>1030000</v>
      </c>
      <c r="H601" s="7">
        <v>312521</v>
      </c>
      <c r="I601" s="22">
        <v>30.3418446601941</v>
      </c>
      <c r="J601" s="22">
        <v>100</v>
      </c>
      <c r="K601" s="6"/>
      <c r="L601" s="15"/>
      <c r="M601" s="15"/>
    </row>
    <row r="602" ht="22.5" customHeight="1" spans="1:13">
      <c r="A602" s="13" t="s">
        <v>4552</v>
      </c>
      <c r="B602" s="21">
        <v>0</v>
      </c>
      <c r="C602" s="7">
        <v>0</v>
      </c>
      <c r="D602" s="7">
        <v>0</v>
      </c>
      <c r="E602" s="22">
        <v>0</v>
      </c>
      <c r="F602" s="22">
        <v>0</v>
      </c>
      <c r="G602" s="21">
        <v>0</v>
      </c>
      <c r="H602" s="7">
        <v>0</v>
      </c>
      <c r="I602" s="22">
        <v>0</v>
      </c>
      <c r="J602" s="22">
        <v>0</v>
      </c>
      <c r="K602" s="6"/>
      <c r="L602" s="15"/>
      <c r="M602" s="15"/>
    </row>
  </sheetData>
  <sheetProtection formatCells="0" formatColumns="0" formatRows="0" insertRows="0" insertColumns="0" insertHyperlinks="0" deleteColumns="0" deleteRows="0" sort="0" autoFilter="0" pivotTables="0"/>
  <mergeCells count="8">
    <mergeCell ref="A46:E46"/>
    <mergeCell ref="A47:E47"/>
    <mergeCell ref="A48:B48"/>
    <mergeCell ref="A49:B49"/>
    <mergeCell ref="A50:C50"/>
    <mergeCell ref="A52:B52"/>
    <mergeCell ref="A53:B53"/>
    <mergeCell ref="A54:C54"/>
  </mergeCells>
  <conditionalFormatting sqref="A1:T45 A54:T998 G46:T53 A46">
    <cfRule type="cellIs" dxfId="0" priority="2" operator="equal">
      <formula>"欧洲事业部"</formula>
    </cfRule>
    <cfRule type="cellIs" dxfId="1" priority="3" operator="equal">
      <formula>"亚非"</formula>
    </cfRule>
    <cfRule type="cellIs" dxfId="2" priority="4" operator="equal">
      <formula>"亚太"</formula>
    </cfRule>
    <cfRule type="cellIs" dxfId="3" priority="5" operator="equal">
      <formula>"中心合计"</formula>
    </cfRule>
  </conditionalFormatting>
  <conditionalFormatting sqref="A1:T45 A46 F46:T47 C48:T49 D50:T50 A51:T998 A48:A50">
    <cfRule type="cellIs" dxfId="4" priority="1" operator="equal">
      <formula>"美洲大区"</formula>
    </cfRule>
  </conditionalFormatting>
  <pageMargins left="0.75" right="0.75" top="1" bottom="1" header="0.5" footer="0.5"/>
  <headerFooter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3.5" outlineLevelCol="6"/>
  <cols>
    <col min="1" max="1" width="22.8416666666667" customWidth="1"/>
    <col min="2" max="2" width="8.675" customWidth="1"/>
    <col min="3" max="3" width="23.175" customWidth="1"/>
    <col min="4" max="4" width="18.0083333333333" style="3" customWidth="1"/>
    <col min="5" max="5" width="21.175" style="3" customWidth="1"/>
    <col min="6" max="6" width="18.0083333333333" style="3" customWidth="1"/>
    <col min="7" max="7" width="21.175" style="3" customWidth="1"/>
    <col min="8" max="8" width="15.25" customWidth="1"/>
    <col min="9" max="9" width="16.25" customWidth="1"/>
    <col min="10" max="10" width="20.125" customWidth="1"/>
  </cols>
  <sheetData>
    <row r="1" s="1" customFormat="1" ht="22.5" customHeight="1" spans="1:7">
      <c r="A1" s="4" t="s">
        <v>4564</v>
      </c>
      <c r="B1" s="4" t="s">
        <v>4565</v>
      </c>
      <c r="C1" s="4" t="s">
        <v>4566</v>
      </c>
      <c r="D1" s="5" t="s">
        <v>4526</v>
      </c>
      <c r="E1" s="5" t="s">
        <v>4567</v>
      </c>
      <c r="F1" s="5" t="s">
        <v>4531</v>
      </c>
      <c r="G1" s="5" t="s">
        <v>4568</v>
      </c>
    </row>
    <row r="2" ht="22.5" customHeight="1" spans="1:7">
      <c r="A2" s="6" t="s">
        <v>4122</v>
      </c>
      <c r="B2" s="6" t="s">
        <v>4569</v>
      </c>
      <c r="C2" s="7" t="s">
        <v>1163</v>
      </c>
      <c r="D2" s="7">
        <v>0</v>
      </c>
      <c r="E2" s="8">
        <v>0</v>
      </c>
      <c r="F2" s="7">
        <v>0</v>
      </c>
      <c r="G2" s="8">
        <v>0</v>
      </c>
    </row>
    <row r="3" ht="22.5" customHeight="1" spans="1:7">
      <c r="A3" s="6" t="s">
        <v>4188</v>
      </c>
      <c r="B3" s="6" t="s">
        <v>4570</v>
      </c>
      <c r="C3" s="7" t="s">
        <v>1163</v>
      </c>
      <c r="D3" s="7">
        <v>0</v>
      </c>
      <c r="E3" s="8">
        <v>0</v>
      </c>
      <c r="F3" s="7">
        <v>0</v>
      </c>
      <c r="G3" s="8">
        <v>0</v>
      </c>
    </row>
    <row r="4" ht="22.5" customHeight="1" spans="1:7">
      <c r="A4" s="6" t="s">
        <v>4093</v>
      </c>
      <c r="B4" s="6" t="s">
        <v>4569</v>
      </c>
      <c r="C4" s="7" t="s">
        <v>1163</v>
      </c>
      <c r="D4" s="7">
        <v>0</v>
      </c>
      <c r="E4" s="8">
        <v>0</v>
      </c>
      <c r="F4" s="7">
        <v>0</v>
      </c>
      <c r="G4" s="8">
        <v>0</v>
      </c>
    </row>
    <row r="5" ht="22.5" customHeight="1" spans="1:7">
      <c r="A5" s="6" t="s">
        <v>4128</v>
      </c>
      <c r="B5" s="6" t="s">
        <v>4570</v>
      </c>
      <c r="C5" s="7" t="s">
        <v>1163</v>
      </c>
      <c r="D5" s="7">
        <v>0</v>
      </c>
      <c r="E5" s="8">
        <v>0</v>
      </c>
      <c r="F5" s="7">
        <v>0</v>
      </c>
      <c r="G5" s="8">
        <v>0</v>
      </c>
    </row>
    <row r="6" ht="22.5" customHeight="1" spans="1:7">
      <c r="A6" s="6" t="s">
        <v>4090</v>
      </c>
      <c r="B6" s="6" t="s">
        <v>4090</v>
      </c>
      <c r="C6" s="7" t="s">
        <v>1163</v>
      </c>
      <c r="D6" s="7">
        <v>0</v>
      </c>
      <c r="E6" s="8">
        <v>0</v>
      </c>
      <c r="F6" s="7">
        <v>0</v>
      </c>
      <c r="G6" s="8">
        <v>0</v>
      </c>
    </row>
    <row r="7" ht="22.5" customHeight="1" spans="1:7">
      <c r="A7" s="6" t="s">
        <v>4207</v>
      </c>
      <c r="B7" s="6" t="s">
        <v>4570</v>
      </c>
      <c r="C7" s="7" t="s">
        <v>1163</v>
      </c>
      <c r="D7" s="7">
        <v>0</v>
      </c>
      <c r="E7" s="8">
        <v>0</v>
      </c>
      <c r="F7" s="7">
        <v>0</v>
      </c>
      <c r="G7" s="8">
        <v>0</v>
      </c>
    </row>
    <row r="8" ht="22.5" customHeight="1" spans="1:7">
      <c r="A8" s="6" t="s">
        <v>4256</v>
      </c>
      <c r="B8" s="6" t="s">
        <v>4570</v>
      </c>
      <c r="C8" s="7" t="s">
        <v>1163</v>
      </c>
      <c r="D8" s="7">
        <v>0</v>
      </c>
      <c r="E8" s="8">
        <v>0</v>
      </c>
      <c r="F8" s="7">
        <v>0</v>
      </c>
      <c r="G8" s="8">
        <v>0</v>
      </c>
    </row>
    <row r="9" ht="22.5" customHeight="1" spans="1:7">
      <c r="A9" s="6" t="s">
        <v>4081</v>
      </c>
      <c r="B9" s="6" t="s">
        <v>4570</v>
      </c>
      <c r="C9" s="7" t="s">
        <v>1163</v>
      </c>
      <c r="D9" s="7">
        <v>0</v>
      </c>
      <c r="E9" s="8">
        <v>0</v>
      </c>
      <c r="F9" s="7">
        <v>0</v>
      </c>
      <c r="G9" s="8">
        <v>0</v>
      </c>
    </row>
    <row r="10" ht="22.5" customHeight="1" spans="1:7">
      <c r="A10" s="6" t="s">
        <v>4139</v>
      </c>
      <c r="B10" s="6" t="s">
        <v>4569</v>
      </c>
      <c r="C10" s="7" t="s">
        <v>1163</v>
      </c>
      <c r="D10" s="7">
        <v>0</v>
      </c>
      <c r="E10" s="8">
        <v>0</v>
      </c>
      <c r="F10" s="7">
        <v>0</v>
      </c>
      <c r="G10" s="8">
        <v>0</v>
      </c>
    </row>
    <row r="11" ht="22.5" customHeight="1" spans="1:7">
      <c r="A11" s="6" t="s">
        <v>4095</v>
      </c>
      <c r="B11" s="6" t="s">
        <v>4569</v>
      </c>
      <c r="C11" s="7" t="s">
        <v>1163</v>
      </c>
      <c r="D11" s="7">
        <v>0</v>
      </c>
      <c r="E11" s="8">
        <v>0</v>
      </c>
      <c r="F11" s="7">
        <v>0</v>
      </c>
      <c r="G11" s="8">
        <v>0</v>
      </c>
    </row>
    <row r="12" ht="22.5" customHeight="1" spans="1:7">
      <c r="A12" s="6" t="s">
        <v>4087</v>
      </c>
      <c r="B12" s="6" t="s">
        <v>4569</v>
      </c>
      <c r="C12" s="7" t="s">
        <v>1163</v>
      </c>
      <c r="D12" s="7">
        <v>0</v>
      </c>
      <c r="E12" s="8">
        <v>0</v>
      </c>
      <c r="F12" s="7">
        <v>0</v>
      </c>
      <c r="G12" s="8">
        <v>0</v>
      </c>
    </row>
    <row r="13" s="2" customFormat="1" ht="22.5" customHeight="1" spans="1:7">
      <c r="A13" s="6" t="s">
        <v>4192</v>
      </c>
      <c r="B13" s="6" t="s">
        <v>4570</v>
      </c>
      <c r="C13" s="7" t="s">
        <v>1163</v>
      </c>
      <c r="D13" s="7">
        <v>0</v>
      </c>
      <c r="E13" s="8">
        <v>0</v>
      </c>
      <c r="F13" s="7">
        <v>0</v>
      </c>
      <c r="G13" s="8">
        <v>0</v>
      </c>
    </row>
    <row r="14" ht="22.5" customHeight="1" spans="1:7">
      <c r="A14" s="6" t="s">
        <v>4113</v>
      </c>
      <c r="B14" s="6" t="s">
        <v>4570</v>
      </c>
      <c r="C14" s="7" t="s">
        <v>1163</v>
      </c>
      <c r="D14" s="7">
        <v>0</v>
      </c>
      <c r="E14" s="8">
        <v>0</v>
      </c>
      <c r="F14" s="7">
        <v>0</v>
      </c>
      <c r="G14" s="8">
        <v>0</v>
      </c>
    </row>
    <row r="15" ht="22.5" customHeight="1" spans="1:7">
      <c r="A15" s="6" t="s">
        <v>4122</v>
      </c>
      <c r="B15" s="6" t="s">
        <v>4569</v>
      </c>
      <c r="C15" s="7" t="s">
        <v>4084</v>
      </c>
      <c r="D15" s="7">
        <v>0</v>
      </c>
      <c r="E15" s="8">
        <v>0</v>
      </c>
      <c r="F15" s="7">
        <v>0</v>
      </c>
      <c r="G15" s="8">
        <v>0</v>
      </c>
    </row>
    <row r="16" ht="22.5" customHeight="1" spans="1:7">
      <c r="A16" s="6" t="s">
        <v>4188</v>
      </c>
      <c r="B16" s="6" t="s">
        <v>4570</v>
      </c>
      <c r="C16" s="7" t="s">
        <v>1984</v>
      </c>
      <c r="D16" s="7">
        <v>0</v>
      </c>
      <c r="E16" s="8">
        <v>0</v>
      </c>
      <c r="F16" s="7">
        <v>0</v>
      </c>
      <c r="G16" s="8">
        <v>0</v>
      </c>
    </row>
    <row r="17" ht="22.5" customHeight="1" spans="1:7">
      <c r="A17" s="6" t="s">
        <v>4093</v>
      </c>
      <c r="B17" s="6" t="s">
        <v>4569</v>
      </c>
      <c r="C17" s="7" t="s">
        <v>1913</v>
      </c>
      <c r="D17" s="7">
        <v>0</v>
      </c>
      <c r="E17" s="8">
        <v>0</v>
      </c>
      <c r="F17" s="7">
        <v>0</v>
      </c>
      <c r="G17" s="8">
        <v>0</v>
      </c>
    </row>
    <row r="18" ht="22.5" customHeight="1" spans="1:7">
      <c r="A18" s="6" t="s">
        <v>4093</v>
      </c>
      <c r="B18" s="6" t="s">
        <v>4569</v>
      </c>
      <c r="C18" s="7" t="s">
        <v>4084</v>
      </c>
      <c r="D18" s="7">
        <v>0</v>
      </c>
      <c r="E18" s="8">
        <v>0</v>
      </c>
      <c r="F18" s="7">
        <v>0</v>
      </c>
      <c r="G18" s="8">
        <v>0</v>
      </c>
    </row>
    <row r="19" ht="22.5" customHeight="1" spans="1:7">
      <c r="A19" s="6" t="s">
        <v>4093</v>
      </c>
      <c r="B19" s="6" t="s">
        <v>4569</v>
      </c>
      <c r="C19" s="7" t="s">
        <v>4130</v>
      </c>
      <c r="D19" s="7">
        <v>0</v>
      </c>
      <c r="E19" s="8">
        <v>0</v>
      </c>
      <c r="F19" s="7">
        <v>0</v>
      </c>
      <c r="G19" s="8">
        <v>0</v>
      </c>
    </row>
    <row r="20" ht="22.5" customHeight="1" spans="1:7">
      <c r="A20" s="6" t="s">
        <v>4128</v>
      </c>
      <c r="B20" s="6" t="s">
        <v>4570</v>
      </c>
      <c r="C20" s="7" t="s">
        <v>4084</v>
      </c>
      <c r="D20" s="7">
        <v>0</v>
      </c>
      <c r="E20" s="8">
        <v>0</v>
      </c>
      <c r="F20" s="7">
        <v>0</v>
      </c>
      <c r="G20" s="8">
        <v>0</v>
      </c>
    </row>
    <row r="21" ht="22.5" customHeight="1" spans="1:7">
      <c r="A21" s="6" t="s">
        <v>4090</v>
      </c>
      <c r="B21" s="6" t="s">
        <v>4090</v>
      </c>
      <c r="C21" s="7" t="s">
        <v>1913</v>
      </c>
      <c r="D21" s="7">
        <v>0</v>
      </c>
      <c r="E21" s="8">
        <v>0</v>
      </c>
      <c r="F21" s="7">
        <v>0</v>
      </c>
      <c r="G21" s="8">
        <v>0</v>
      </c>
    </row>
    <row r="22" ht="22.5" customHeight="1" spans="1:7">
      <c r="A22" s="6" t="s">
        <v>4090</v>
      </c>
      <c r="B22" s="6" t="s">
        <v>4090</v>
      </c>
      <c r="C22" s="7" t="s">
        <v>1984</v>
      </c>
      <c r="D22" s="7">
        <v>0</v>
      </c>
      <c r="E22" s="8">
        <v>0</v>
      </c>
      <c r="F22" s="7">
        <v>0</v>
      </c>
      <c r="G22" s="8">
        <v>0</v>
      </c>
    </row>
    <row r="23" ht="22.5" customHeight="1" spans="1:7">
      <c r="A23" s="6" t="s">
        <v>4090</v>
      </c>
      <c r="B23" s="6" t="s">
        <v>4090</v>
      </c>
      <c r="C23" s="7" t="s">
        <v>4431</v>
      </c>
      <c r="D23" s="7">
        <v>0</v>
      </c>
      <c r="E23" s="8">
        <v>0</v>
      </c>
      <c r="F23" s="7">
        <v>0</v>
      </c>
      <c r="G23" s="8">
        <v>0</v>
      </c>
    </row>
    <row r="24" ht="22.5" customHeight="1" spans="1:7">
      <c r="A24" s="6" t="s">
        <v>4090</v>
      </c>
      <c r="B24" s="6" t="s">
        <v>4090</v>
      </c>
      <c r="C24" s="7" t="s">
        <v>4084</v>
      </c>
      <c r="D24" s="7">
        <v>0</v>
      </c>
      <c r="E24" s="8">
        <v>0</v>
      </c>
      <c r="F24" s="7">
        <v>0</v>
      </c>
      <c r="G24" s="8">
        <v>0</v>
      </c>
    </row>
    <row r="25" ht="22.5" customHeight="1" spans="1:7">
      <c r="A25" s="6" t="s">
        <v>4090</v>
      </c>
      <c r="B25" s="6" t="s">
        <v>4090</v>
      </c>
      <c r="C25" s="7" t="s">
        <v>4130</v>
      </c>
      <c r="D25" s="7">
        <v>0</v>
      </c>
      <c r="E25" s="8">
        <v>0</v>
      </c>
      <c r="F25" s="7">
        <v>0</v>
      </c>
      <c r="G25" s="8">
        <v>0</v>
      </c>
    </row>
    <row r="26" ht="22.5" customHeight="1" spans="1:7">
      <c r="A26" s="6" t="s">
        <v>4207</v>
      </c>
      <c r="B26" s="6" t="s">
        <v>4570</v>
      </c>
      <c r="C26" s="7" t="s">
        <v>1984</v>
      </c>
      <c r="D26" s="7">
        <v>0</v>
      </c>
      <c r="E26" s="8">
        <v>0</v>
      </c>
      <c r="F26" s="7">
        <v>0</v>
      </c>
      <c r="G26" s="8">
        <v>0</v>
      </c>
    </row>
    <row r="27" ht="22.5" customHeight="1" spans="1:7">
      <c r="A27" s="6" t="s">
        <v>4207</v>
      </c>
      <c r="B27" s="6" t="s">
        <v>4570</v>
      </c>
      <c r="C27" s="7" t="s">
        <v>4084</v>
      </c>
      <c r="D27" s="7">
        <v>0</v>
      </c>
      <c r="E27" s="8">
        <v>0</v>
      </c>
      <c r="F27" s="7">
        <v>0</v>
      </c>
      <c r="G27" s="8">
        <v>0</v>
      </c>
    </row>
    <row r="28" ht="22.5" customHeight="1" spans="1:7">
      <c r="A28" s="6" t="s">
        <v>4207</v>
      </c>
      <c r="B28" s="6" t="s">
        <v>4570</v>
      </c>
      <c r="C28" s="7" t="s">
        <v>4130</v>
      </c>
      <c r="D28" s="7">
        <v>0</v>
      </c>
      <c r="E28" s="8">
        <v>0</v>
      </c>
      <c r="F28" s="7">
        <v>0</v>
      </c>
      <c r="G28" s="8">
        <v>0</v>
      </c>
    </row>
    <row r="29" ht="22.5" customHeight="1" spans="1:7">
      <c r="A29" s="6" t="s">
        <v>4256</v>
      </c>
      <c r="B29" s="6" t="s">
        <v>4570</v>
      </c>
      <c r="C29" s="7" t="s">
        <v>1913</v>
      </c>
      <c r="D29" s="7">
        <v>0</v>
      </c>
      <c r="E29" s="8">
        <v>0</v>
      </c>
      <c r="F29" s="7">
        <v>0</v>
      </c>
      <c r="G29" s="8">
        <v>0</v>
      </c>
    </row>
    <row r="30" ht="22.5" customHeight="1" spans="1:7">
      <c r="A30" s="6" t="s">
        <v>4256</v>
      </c>
      <c r="B30" s="6" t="s">
        <v>4570</v>
      </c>
      <c r="C30" s="7" t="s">
        <v>4084</v>
      </c>
      <c r="D30" s="7">
        <v>0</v>
      </c>
      <c r="E30" s="8">
        <v>0</v>
      </c>
      <c r="F30" s="7">
        <v>0</v>
      </c>
      <c r="G30" s="8">
        <v>0</v>
      </c>
    </row>
    <row r="31" ht="22.5" customHeight="1" spans="1:7">
      <c r="A31" s="6" t="s">
        <v>4256</v>
      </c>
      <c r="B31" s="6" t="s">
        <v>4570</v>
      </c>
      <c r="C31" s="7" t="s">
        <v>4460</v>
      </c>
      <c r="D31" s="7">
        <v>0</v>
      </c>
      <c r="E31" s="8">
        <v>0</v>
      </c>
      <c r="F31" s="7">
        <v>0</v>
      </c>
      <c r="G31" s="8">
        <v>0</v>
      </c>
    </row>
    <row r="32" ht="22.5" customHeight="1" spans="1:7">
      <c r="A32" s="6" t="s">
        <v>4256</v>
      </c>
      <c r="B32" s="6" t="s">
        <v>4570</v>
      </c>
      <c r="C32" s="7" t="s">
        <v>4130</v>
      </c>
      <c r="D32" s="7">
        <v>0</v>
      </c>
      <c r="E32" s="8">
        <v>0</v>
      </c>
      <c r="F32" s="7">
        <v>0</v>
      </c>
      <c r="G32" s="8">
        <v>0</v>
      </c>
    </row>
    <row r="33" ht="22.5" customHeight="1" spans="1:7">
      <c r="A33" s="6" t="s">
        <v>4081</v>
      </c>
      <c r="B33" s="6" t="s">
        <v>4570</v>
      </c>
      <c r="C33" s="7" t="s">
        <v>4084</v>
      </c>
      <c r="D33" s="7">
        <v>0</v>
      </c>
      <c r="E33" s="8">
        <v>0</v>
      </c>
      <c r="F33" s="7">
        <v>0</v>
      </c>
      <c r="G33" s="8">
        <v>0</v>
      </c>
    </row>
    <row r="34" ht="22.5" customHeight="1" spans="1:7">
      <c r="A34" s="6" t="s">
        <v>4081</v>
      </c>
      <c r="B34" s="6" t="s">
        <v>4570</v>
      </c>
      <c r="C34" s="7" t="s">
        <v>4130</v>
      </c>
      <c r="D34" s="7">
        <v>0</v>
      </c>
      <c r="E34" s="8">
        <v>0</v>
      </c>
      <c r="F34" s="7">
        <v>0</v>
      </c>
      <c r="G34" s="8">
        <v>0</v>
      </c>
    </row>
    <row r="35" ht="22.5" customHeight="1" spans="1:7">
      <c r="A35" s="6" t="s">
        <v>4081</v>
      </c>
      <c r="B35" s="6" t="s">
        <v>4570</v>
      </c>
      <c r="C35" s="7" t="s">
        <v>1092</v>
      </c>
      <c r="D35" s="7">
        <v>0</v>
      </c>
      <c r="E35" s="8">
        <v>0</v>
      </c>
      <c r="F35" s="7">
        <v>0</v>
      </c>
      <c r="G35" s="8">
        <v>0</v>
      </c>
    </row>
    <row r="36" ht="22.5" customHeight="1" spans="1:7">
      <c r="A36" s="6" t="s">
        <v>4139</v>
      </c>
      <c r="B36" s="6" t="s">
        <v>4569</v>
      </c>
      <c r="C36" s="7" t="s">
        <v>1913</v>
      </c>
      <c r="D36" s="7">
        <v>0</v>
      </c>
      <c r="E36" s="8">
        <v>0</v>
      </c>
      <c r="F36" s="7">
        <v>0</v>
      </c>
      <c r="G36" s="8">
        <v>0</v>
      </c>
    </row>
    <row r="37" ht="22.5" customHeight="1" spans="1:7">
      <c r="A37" s="6" t="s">
        <v>4139</v>
      </c>
      <c r="B37" s="6" t="s">
        <v>4569</v>
      </c>
      <c r="C37" s="7" t="s">
        <v>1984</v>
      </c>
      <c r="D37" s="7">
        <v>0</v>
      </c>
      <c r="E37" s="8">
        <v>0</v>
      </c>
      <c r="F37" s="7">
        <v>0</v>
      </c>
      <c r="G37" s="8">
        <v>0</v>
      </c>
    </row>
    <row r="38" ht="22.5" customHeight="1" spans="1:7">
      <c r="A38" s="6" t="s">
        <v>4139</v>
      </c>
      <c r="B38" s="6" t="s">
        <v>4569</v>
      </c>
      <c r="C38" s="7" t="s">
        <v>4084</v>
      </c>
      <c r="D38" s="7">
        <v>0</v>
      </c>
      <c r="E38" s="8">
        <v>0</v>
      </c>
      <c r="F38" s="7">
        <v>0</v>
      </c>
      <c r="G38" s="8">
        <v>0</v>
      </c>
    </row>
    <row r="39" ht="22.5" customHeight="1" spans="1:7">
      <c r="A39" s="6" t="s">
        <v>4139</v>
      </c>
      <c r="B39" s="6" t="s">
        <v>4569</v>
      </c>
      <c r="C39" s="7" t="s">
        <v>4130</v>
      </c>
      <c r="D39" s="7">
        <v>0</v>
      </c>
      <c r="E39" s="8">
        <v>0</v>
      </c>
      <c r="F39" s="7">
        <v>0</v>
      </c>
      <c r="G39" s="8">
        <v>0</v>
      </c>
    </row>
    <row r="40" ht="22.5" customHeight="1" spans="1:7">
      <c r="A40" s="6" t="s">
        <v>4095</v>
      </c>
      <c r="B40" s="6" t="s">
        <v>4569</v>
      </c>
      <c r="C40" s="7" t="s">
        <v>1913</v>
      </c>
      <c r="D40" s="7">
        <v>0</v>
      </c>
      <c r="E40" s="8">
        <v>0</v>
      </c>
      <c r="F40" s="7">
        <v>0</v>
      </c>
      <c r="G40" s="8">
        <v>0</v>
      </c>
    </row>
    <row r="41" ht="22.5" customHeight="1" spans="1:7">
      <c r="A41" s="6" t="s">
        <v>4095</v>
      </c>
      <c r="B41" s="6" t="s">
        <v>4569</v>
      </c>
      <c r="C41" s="7" t="s">
        <v>1984</v>
      </c>
      <c r="D41" s="7">
        <v>0</v>
      </c>
      <c r="E41" s="8">
        <v>0</v>
      </c>
      <c r="F41" s="7">
        <v>0</v>
      </c>
      <c r="G41" s="8">
        <v>0</v>
      </c>
    </row>
    <row r="42" ht="22.5" customHeight="1" spans="1:7">
      <c r="A42" s="6" t="s">
        <v>4095</v>
      </c>
      <c r="B42" s="6" t="s">
        <v>4569</v>
      </c>
      <c r="C42" s="7" t="s">
        <v>4084</v>
      </c>
      <c r="D42" s="7">
        <v>0</v>
      </c>
      <c r="E42" s="8">
        <v>0</v>
      </c>
      <c r="F42" s="7">
        <v>0</v>
      </c>
      <c r="G42" s="8">
        <v>0</v>
      </c>
    </row>
    <row r="43" ht="22.5" customHeight="1" spans="1:7">
      <c r="A43" s="6" t="s">
        <v>4095</v>
      </c>
      <c r="B43" s="6" t="s">
        <v>4569</v>
      </c>
      <c r="C43" s="7" t="s">
        <v>4130</v>
      </c>
      <c r="D43" s="7">
        <v>0</v>
      </c>
      <c r="E43" s="8">
        <v>0</v>
      </c>
      <c r="F43" s="7">
        <v>0</v>
      </c>
      <c r="G43" s="8">
        <v>0</v>
      </c>
    </row>
    <row r="44" ht="22.5" customHeight="1" spans="1:7">
      <c r="A44" s="6" t="s">
        <v>4087</v>
      </c>
      <c r="B44" s="6" t="s">
        <v>4569</v>
      </c>
      <c r="C44" s="7" t="s">
        <v>1913</v>
      </c>
      <c r="D44" s="7">
        <v>0</v>
      </c>
      <c r="E44" s="8">
        <v>0</v>
      </c>
      <c r="F44" s="7">
        <v>0</v>
      </c>
      <c r="G44" s="8">
        <v>0</v>
      </c>
    </row>
    <row r="45" ht="22.5" customHeight="1" spans="1:7">
      <c r="A45" s="6" t="s">
        <v>4087</v>
      </c>
      <c r="B45" s="6" t="s">
        <v>4569</v>
      </c>
      <c r="C45" s="7" t="s">
        <v>1984</v>
      </c>
      <c r="D45" s="7">
        <v>0</v>
      </c>
      <c r="E45" s="8">
        <v>0</v>
      </c>
      <c r="F45" s="7">
        <v>0</v>
      </c>
      <c r="G45" s="8">
        <v>0</v>
      </c>
    </row>
    <row r="46" ht="22.5" customHeight="1" spans="1:7">
      <c r="A46" s="6" t="s">
        <v>4087</v>
      </c>
      <c r="B46" s="6" t="s">
        <v>4569</v>
      </c>
      <c r="C46" s="7" t="s">
        <v>4084</v>
      </c>
      <c r="D46" s="7">
        <v>0</v>
      </c>
      <c r="E46" s="8">
        <v>0</v>
      </c>
      <c r="F46" s="7">
        <v>0</v>
      </c>
      <c r="G46" s="8">
        <v>0</v>
      </c>
    </row>
    <row r="47" ht="22.5" customHeight="1" spans="1:7">
      <c r="A47" s="6" t="s">
        <v>4087</v>
      </c>
      <c r="B47" s="6" t="s">
        <v>4569</v>
      </c>
      <c r="C47" s="7" t="s">
        <v>4130</v>
      </c>
      <c r="D47" s="7">
        <v>0</v>
      </c>
      <c r="E47" s="8">
        <v>0</v>
      </c>
      <c r="F47" s="7">
        <v>0</v>
      </c>
      <c r="G47" s="8">
        <v>0</v>
      </c>
    </row>
    <row r="48" ht="22.5" customHeight="1" spans="1:7">
      <c r="A48" s="6" t="s">
        <v>4192</v>
      </c>
      <c r="B48" s="6" t="s">
        <v>4570</v>
      </c>
      <c r="C48" s="7" t="s">
        <v>1984</v>
      </c>
      <c r="D48" s="7">
        <v>0</v>
      </c>
      <c r="E48" s="8">
        <v>0</v>
      </c>
      <c r="F48" s="7">
        <v>0</v>
      </c>
      <c r="G48" s="8">
        <v>0</v>
      </c>
    </row>
    <row r="49" ht="22.5" customHeight="1" spans="1:7">
      <c r="A49" s="6" t="s">
        <v>4192</v>
      </c>
      <c r="B49" s="6" t="s">
        <v>4570</v>
      </c>
      <c r="C49" s="7" t="s">
        <v>4130</v>
      </c>
      <c r="D49" s="7">
        <v>0</v>
      </c>
      <c r="E49" s="8">
        <v>0</v>
      </c>
      <c r="F49" s="7">
        <v>0</v>
      </c>
      <c r="G49" s="8">
        <v>0</v>
      </c>
    </row>
    <row r="50" ht="22.5" customHeight="1" spans="1:7">
      <c r="A50" s="6" t="s">
        <v>4113</v>
      </c>
      <c r="B50" s="6" t="s">
        <v>4570</v>
      </c>
      <c r="C50" s="7" t="s">
        <v>1913</v>
      </c>
      <c r="D50" s="7">
        <v>0</v>
      </c>
      <c r="E50" s="8">
        <v>0</v>
      </c>
      <c r="F50" s="7">
        <v>0</v>
      </c>
      <c r="G50" s="8">
        <v>0</v>
      </c>
    </row>
    <row r="51" ht="22.5" customHeight="1" spans="1:7">
      <c r="A51" s="6" t="s">
        <v>4113</v>
      </c>
      <c r="B51" s="6" t="s">
        <v>4570</v>
      </c>
      <c r="C51" s="7" t="s">
        <v>1984</v>
      </c>
      <c r="D51" s="7">
        <v>0</v>
      </c>
      <c r="E51" s="8">
        <v>0</v>
      </c>
      <c r="F51" s="7">
        <v>0</v>
      </c>
      <c r="G51" s="8">
        <v>0</v>
      </c>
    </row>
    <row r="52" ht="22.5" customHeight="1" spans="1:7">
      <c r="A52" s="6" t="s">
        <v>4113</v>
      </c>
      <c r="B52" s="6" t="s">
        <v>4570</v>
      </c>
      <c r="C52" s="7" t="s">
        <v>4084</v>
      </c>
      <c r="D52" s="7">
        <v>0</v>
      </c>
      <c r="E52" s="8">
        <v>0</v>
      </c>
      <c r="F52" s="7">
        <v>0</v>
      </c>
      <c r="G52" s="8">
        <v>0</v>
      </c>
    </row>
    <row r="53" ht="22.5" customHeight="1" spans="1:7">
      <c r="A53" s="6" t="s">
        <v>4113</v>
      </c>
      <c r="B53" s="6" t="s">
        <v>4570</v>
      </c>
      <c r="C53" s="7" t="s">
        <v>4130</v>
      </c>
      <c r="D53" s="7">
        <v>0</v>
      </c>
      <c r="E53" s="8">
        <v>0</v>
      </c>
      <c r="F53" s="7">
        <v>0</v>
      </c>
      <c r="G53" s="8">
        <v>0</v>
      </c>
    </row>
    <row r="54" ht="22.5" customHeight="1" spans="1:7">
      <c r="A54" s="6" t="s">
        <v>4122</v>
      </c>
      <c r="B54" s="6" t="s">
        <v>4569</v>
      </c>
      <c r="C54" s="7" t="s">
        <v>4571</v>
      </c>
      <c r="D54" s="7">
        <v>0</v>
      </c>
      <c r="E54" s="8">
        <v>0</v>
      </c>
      <c r="F54" s="7">
        <v>0</v>
      </c>
      <c r="G54" s="8">
        <v>0</v>
      </c>
    </row>
    <row r="55" ht="22.5" customHeight="1" spans="1:7">
      <c r="A55" s="6" t="s">
        <v>4122</v>
      </c>
      <c r="B55" s="6" t="s">
        <v>4569</v>
      </c>
      <c r="C55" s="7" t="s">
        <v>4572</v>
      </c>
      <c r="D55" s="7">
        <v>0</v>
      </c>
      <c r="E55" s="8">
        <v>0</v>
      </c>
      <c r="F55" s="7">
        <v>0</v>
      </c>
      <c r="G55" s="8">
        <v>0</v>
      </c>
    </row>
    <row r="56" ht="22.5" customHeight="1" spans="1:7">
      <c r="A56" s="6" t="s">
        <v>4188</v>
      </c>
      <c r="B56" s="6" t="s">
        <v>4570</v>
      </c>
      <c r="C56" s="7" t="s">
        <v>4573</v>
      </c>
      <c r="D56" s="7">
        <v>0</v>
      </c>
      <c r="E56" s="8">
        <v>0</v>
      </c>
      <c r="F56" s="7">
        <v>0</v>
      </c>
      <c r="G56" s="8">
        <v>0</v>
      </c>
    </row>
    <row r="57" ht="39" customHeight="1" spans="1:7">
      <c r="A57" s="6" t="s">
        <v>4188</v>
      </c>
      <c r="B57" s="6" t="s">
        <v>4570</v>
      </c>
      <c r="C57" s="7" t="s">
        <v>4574</v>
      </c>
      <c r="D57" s="7">
        <v>0</v>
      </c>
      <c r="E57" s="8">
        <v>0</v>
      </c>
      <c r="F57" s="7">
        <v>0</v>
      </c>
      <c r="G57" s="8">
        <v>0</v>
      </c>
    </row>
    <row r="58" ht="22.5" customHeight="1" spans="1:7">
      <c r="A58" s="6" t="s">
        <v>4093</v>
      </c>
      <c r="B58" s="6" t="s">
        <v>4569</v>
      </c>
      <c r="C58" s="7" t="s">
        <v>4575</v>
      </c>
      <c r="D58" s="7">
        <v>0</v>
      </c>
      <c r="E58" s="8">
        <v>0</v>
      </c>
      <c r="F58" s="7">
        <v>0</v>
      </c>
      <c r="G58" s="8">
        <v>0</v>
      </c>
    </row>
    <row r="59" ht="22.5" customHeight="1" spans="1:7">
      <c r="A59" s="6" t="s">
        <v>4093</v>
      </c>
      <c r="B59" s="6" t="s">
        <v>4569</v>
      </c>
      <c r="C59" s="7" t="s">
        <v>4576</v>
      </c>
      <c r="D59" s="7">
        <v>0</v>
      </c>
      <c r="E59" s="8">
        <v>0</v>
      </c>
      <c r="F59" s="7">
        <v>0</v>
      </c>
      <c r="G59" s="8">
        <v>0</v>
      </c>
    </row>
    <row r="60" ht="22.5" customHeight="1" spans="1:7">
      <c r="A60" s="6" t="s">
        <v>4093</v>
      </c>
      <c r="B60" s="6" t="s">
        <v>4569</v>
      </c>
      <c r="C60" s="7" t="s">
        <v>4577</v>
      </c>
      <c r="D60" s="7">
        <v>0</v>
      </c>
      <c r="E60" s="8">
        <v>0</v>
      </c>
      <c r="F60" s="7">
        <v>0</v>
      </c>
      <c r="G60" s="8">
        <v>0</v>
      </c>
    </row>
    <row r="61" ht="22.5" customHeight="1" spans="1:7">
      <c r="A61" s="6" t="s">
        <v>4093</v>
      </c>
      <c r="B61" s="6" t="s">
        <v>4569</v>
      </c>
      <c r="C61" s="7" t="s">
        <v>4571</v>
      </c>
      <c r="D61" s="7">
        <v>0</v>
      </c>
      <c r="E61" s="8">
        <v>0</v>
      </c>
      <c r="F61" s="7">
        <v>0</v>
      </c>
      <c r="G61" s="8">
        <v>0</v>
      </c>
    </row>
    <row r="62" ht="22.5" customHeight="1" spans="1:7">
      <c r="A62" s="6" t="s">
        <v>4093</v>
      </c>
      <c r="B62" s="6" t="s">
        <v>4569</v>
      </c>
      <c r="C62" s="7" t="s">
        <v>4578</v>
      </c>
      <c r="D62" s="7">
        <v>0</v>
      </c>
      <c r="E62" s="8">
        <v>0</v>
      </c>
      <c r="F62" s="7">
        <v>0</v>
      </c>
      <c r="G62" s="8">
        <v>0</v>
      </c>
    </row>
    <row r="63" ht="22.5" customHeight="1" spans="1:7">
      <c r="A63" s="6" t="s">
        <v>4093</v>
      </c>
      <c r="B63" s="6" t="s">
        <v>4569</v>
      </c>
      <c r="C63" s="7" t="s">
        <v>4572</v>
      </c>
      <c r="D63" s="7">
        <v>0</v>
      </c>
      <c r="E63" s="8">
        <v>0</v>
      </c>
      <c r="F63" s="7">
        <v>0</v>
      </c>
      <c r="G63" s="8">
        <v>0</v>
      </c>
    </row>
    <row r="64" ht="39" customHeight="1" spans="1:7">
      <c r="A64" s="6" t="s">
        <v>4093</v>
      </c>
      <c r="B64" s="6" t="s">
        <v>4569</v>
      </c>
      <c r="C64" s="7" t="s">
        <v>4579</v>
      </c>
      <c r="D64" s="7">
        <v>0</v>
      </c>
      <c r="E64" s="8">
        <v>0</v>
      </c>
      <c r="F64" s="7">
        <v>0</v>
      </c>
      <c r="G64" s="8">
        <v>0</v>
      </c>
    </row>
    <row r="65" ht="22.5" customHeight="1" spans="1:7">
      <c r="A65" s="6" t="s">
        <v>4090</v>
      </c>
      <c r="B65" s="6" t="s">
        <v>4090</v>
      </c>
      <c r="C65" s="7" t="s">
        <v>4580</v>
      </c>
      <c r="D65" s="7">
        <v>0</v>
      </c>
      <c r="E65" s="8">
        <v>0</v>
      </c>
      <c r="F65" s="7">
        <v>0</v>
      </c>
      <c r="G65" s="8">
        <v>0</v>
      </c>
    </row>
    <row r="66" ht="22.5" customHeight="1" spans="1:7">
      <c r="A66" s="6" t="s">
        <v>4090</v>
      </c>
      <c r="B66" s="6" t="s">
        <v>4090</v>
      </c>
      <c r="C66" s="7" t="s">
        <v>4581</v>
      </c>
      <c r="D66" s="7">
        <v>0</v>
      </c>
      <c r="E66" s="8">
        <v>0</v>
      </c>
      <c r="F66" s="7">
        <v>0</v>
      </c>
      <c r="G66" s="8">
        <v>0</v>
      </c>
    </row>
    <row r="67" ht="39" customHeight="1" spans="1:7">
      <c r="A67" s="6" t="s">
        <v>4090</v>
      </c>
      <c r="B67" s="6" t="s">
        <v>4090</v>
      </c>
      <c r="C67" s="7" t="s">
        <v>4582</v>
      </c>
      <c r="D67" s="7">
        <v>0</v>
      </c>
      <c r="E67" s="8">
        <v>0</v>
      </c>
      <c r="F67" s="7">
        <v>0</v>
      </c>
      <c r="G67" s="8">
        <v>0</v>
      </c>
    </row>
    <row r="68" ht="22.5" customHeight="1" spans="1:7">
      <c r="A68" s="6" t="s">
        <v>4090</v>
      </c>
      <c r="B68" s="6" t="s">
        <v>4090</v>
      </c>
      <c r="C68" s="7" t="s">
        <v>4575</v>
      </c>
      <c r="D68" s="7">
        <v>0</v>
      </c>
      <c r="E68" s="8">
        <v>0</v>
      </c>
      <c r="F68" s="7">
        <v>0</v>
      </c>
      <c r="G68" s="8">
        <v>0</v>
      </c>
    </row>
    <row r="69" ht="22.5" customHeight="1" spans="1:7">
      <c r="A69" s="6" t="s">
        <v>4090</v>
      </c>
      <c r="B69" s="6" t="s">
        <v>4090</v>
      </c>
      <c r="C69" s="7" t="s">
        <v>4576</v>
      </c>
      <c r="D69" s="7">
        <v>0</v>
      </c>
      <c r="E69" s="8">
        <v>0</v>
      </c>
      <c r="F69" s="7">
        <v>0</v>
      </c>
      <c r="G69" s="8">
        <v>0</v>
      </c>
    </row>
    <row r="70" ht="22.5" customHeight="1" spans="1:7">
      <c r="A70" s="6" t="s">
        <v>4090</v>
      </c>
      <c r="B70" s="6" t="s">
        <v>4090</v>
      </c>
      <c r="C70" s="7" t="s">
        <v>4583</v>
      </c>
      <c r="D70" s="7">
        <v>0</v>
      </c>
      <c r="E70" s="8">
        <v>0</v>
      </c>
      <c r="F70" s="7">
        <v>0</v>
      </c>
      <c r="G70" s="8">
        <v>0</v>
      </c>
    </row>
    <row r="71" ht="22.5" customHeight="1" spans="1:7">
      <c r="A71" s="6" t="s">
        <v>4090</v>
      </c>
      <c r="B71" s="6" t="s">
        <v>4090</v>
      </c>
      <c r="C71" s="7" t="s">
        <v>4573</v>
      </c>
      <c r="D71" s="7">
        <v>0</v>
      </c>
      <c r="E71" s="8">
        <v>0</v>
      </c>
      <c r="F71" s="7">
        <v>0</v>
      </c>
      <c r="G71" s="8">
        <v>0</v>
      </c>
    </row>
    <row r="72" ht="22.5" customHeight="1" spans="1:7">
      <c r="A72" s="6" t="s">
        <v>4090</v>
      </c>
      <c r="B72" s="6" t="s">
        <v>4090</v>
      </c>
      <c r="C72" s="7" t="s">
        <v>4584</v>
      </c>
      <c r="D72" s="7">
        <v>0</v>
      </c>
      <c r="E72" s="8">
        <v>0</v>
      </c>
      <c r="F72" s="7">
        <v>0</v>
      </c>
      <c r="G72" s="8">
        <v>0</v>
      </c>
    </row>
    <row r="73" ht="22.5" customHeight="1" spans="1:7">
      <c r="A73" s="6" t="s">
        <v>4090</v>
      </c>
      <c r="B73" s="6" t="s">
        <v>4090</v>
      </c>
      <c r="C73" s="7" t="s">
        <v>4574</v>
      </c>
      <c r="D73" s="7">
        <v>0</v>
      </c>
      <c r="E73" s="8">
        <v>0</v>
      </c>
      <c r="F73" s="7">
        <v>0</v>
      </c>
      <c r="G73" s="8">
        <v>0</v>
      </c>
    </row>
    <row r="74" ht="22.5" customHeight="1" spans="1:7">
      <c r="A74" s="6" t="s">
        <v>4090</v>
      </c>
      <c r="B74" s="6" t="s">
        <v>4090</v>
      </c>
      <c r="C74" s="7" t="s">
        <v>4585</v>
      </c>
      <c r="D74" s="7">
        <v>0</v>
      </c>
      <c r="E74" s="8">
        <v>0</v>
      </c>
      <c r="F74" s="7">
        <v>0</v>
      </c>
      <c r="G74" s="8">
        <v>0</v>
      </c>
    </row>
    <row r="75" ht="22.5" customHeight="1" spans="1:7">
      <c r="A75" s="6" t="s">
        <v>4090</v>
      </c>
      <c r="B75" s="6" t="s">
        <v>4090</v>
      </c>
      <c r="C75" s="7" t="s">
        <v>4586</v>
      </c>
      <c r="D75" s="7">
        <v>0</v>
      </c>
      <c r="E75" s="8">
        <v>0</v>
      </c>
      <c r="F75" s="7">
        <v>0</v>
      </c>
      <c r="G75" s="8">
        <v>0</v>
      </c>
    </row>
    <row r="76" ht="22.5" customHeight="1" spans="1:7">
      <c r="A76" s="6" t="s">
        <v>4090</v>
      </c>
      <c r="B76" s="6" t="s">
        <v>4090</v>
      </c>
      <c r="C76" s="7" t="s">
        <v>4587</v>
      </c>
      <c r="D76" s="7">
        <v>0</v>
      </c>
      <c r="E76" s="8">
        <v>0</v>
      </c>
      <c r="F76" s="7">
        <v>0</v>
      </c>
      <c r="G76" s="8">
        <v>0</v>
      </c>
    </row>
    <row r="77" ht="22.5" customHeight="1" spans="1:7">
      <c r="A77" s="6" t="s">
        <v>4090</v>
      </c>
      <c r="B77" s="6" t="s">
        <v>4090</v>
      </c>
      <c r="C77" s="7" t="s">
        <v>4571</v>
      </c>
      <c r="D77" s="7">
        <v>0</v>
      </c>
      <c r="E77" s="8">
        <v>0</v>
      </c>
      <c r="F77" s="7">
        <v>0</v>
      </c>
      <c r="G77" s="8">
        <v>0</v>
      </c>
    </row>
    <row r="78" ht="22.5" customHeight="1" spans="1:7">
      <c r="A78" s="6" t="s">
        <v>4090</v>
      </c>
      <c r="B78" s="6" t="s">
        <v>4090</v>
      </c>
      <c r="C78" s="7" t="s">
        <v>4578</v>
      </c>
      <c r="D78" s="7">
        <v>0</v>
      </c>
      <c r="E78" s="8">
        <v>0</v>
      </c>
      <c r="F78" s="7">
        <v>0</v>
      </c>
      <c r="G78" s="8">
        <v>0</v>
      </c>
    </row>
    <row r="79" ht="22.5" customHeight="1" spans="1:7">
      <c r="A79" s="6" t="s">
        <v>4090</v>
      </c>
      <c r="B79" s="6" t="s">
        <v>4090</v>
      </c>
      <c r="C79" s="7" t="s">
        <v>4588</v>
      </c>
      <c r="D79" s="7">
        <v>0</v>
      </c>
      <c r="E79" s="8">
        <v>0</v>
      </c>
      <c r="F79" s="7">
        <v>0</v>
      </c>
      <c r="G79" s="8">
        <v>0</v>
      </c>
    </row>
    <row r="80" ht="22.5" customHeight="1" spans="1:7">
      <c r="A80" s="6" t="s">
        <v>4207</v>
      </c>
      <c r="B80" s="6" t="s">
        <v>4570</v>
      </c>
      <c r="C80" s="7" t="s">
        <v>4577</v>
      </c>
      <c r="D80" s="7">
        <v>0</v>
      </c>
      <c r="E80" s="8">
        <v>0</v>
      </c>
      <c r="F80" s="7">
        <v>0</v>
      </c>
      <c r="G80" s="8">
        <v>0</v>
      </c>
    </row>
    <row r="81" ht="22.5" customHeight="1" spans="1:7">
      <c r="A81" s="6" t="s">
        <v>4256</v>
      </c>
      <c r="B81" s="6" t="s">
        <v>4570</v>
      </c>
      <c r="C81" s="7" t="s">
        <v>4589</v>
      </c>
      <c r="D81" s="7">
        <v>0</v>
      </c>
      <c r="E81" s="8">
        <v>0</v>
      </c>
      <c r="F81" s="7">
        <v>0</v>
      </c>
      <c r="G81" s="8">
        <v>0</v>
      </c>
    </row>
    <row r="82" ht="22.5" customHeight="1" spans="1:7">
      <c r="A82" s="6" t="s">
        <v>4256</v>
      </c>
      <c r="B82" s="6" t="s">
        <v>4570</v>
      </c>
      <c r="C82" s="7" t="s">
        <v>4579</v>
      </c>
      <c r="D82" s="7">
        <v>0</v>
      </c>
      <c r="E82" s="8">
        <v>0</v>
      </c>
      <c r="F82" s="7">
        <v>0</v>
      </c>
      <c r="G82" s="8">
        <v>0</v>
      </c>
    </row>
    <row r="83" ht="22.5" customHeight="1" spans="1:7">
      <c r="A83" s="6" t="s">
        <v>4081</v>
      </c>
      <c r="B83" s="6" t="s">
        <v>4570</v>
      </c>
      <c r="C83" s="7" t="s">
        <v>4577</v>
      </c>
      <c r="D83" s="7">
        <v>0</v>
      </c>
      <c r="E83" s="8">
        <v>0</v>
      </c>
      <c r="F83" s="7">
        <v>0</v>
      </c>
      <c r="G83" s="8">
        <v>0</v>
      </c>
    </row>
    <row r="84" ht="22.5" customHeight="1" spans="1:7">
      <c r="A84" s="6" t="s">
        <v>4081</v>
      </c>
      <c r="B84" s="6" t="s">
        <v>4570</v>
      </c>
      <c r="C84" s="7" t="s">
        <v>4571</v>
      </c>
      <c r="D84" s="7">
        <v>0</v>
      </c>
      <c r="E84" s="8">
        <v>0</v>
      </c>
      <c r="F84" s="7">
        <v>0</v>
      </c>
      <c r="G84" s="8">
        <v>0</v>
      </c>
    </row>
    <row r="85" ht="22.5" customHeight="1" spans="1:7">
      <c r="A85" s="6" t="s">
        <v>4081</v>
      </c>
      <c r="B85" s="6" t="s">
        <v>4570</v>
      </c>
      <c r="C85" s="7" t="s">
        <v>4578</v>
      </c>
      <c r="D85" s="7">
        <v>0</v>
      </c>
      <c r="E85" s="8">
        <v>0</v>
      </c>
      <c r="F85" s="7">
        <v>0</v>
      </c>
      <c r="G85" s="8">
        <v>0</v>
      </c>
    </row>
    <row r="86" ht="39" customHeight="1" spans="1:7">
      <c r="A86" s="6" t="s">
        <v>4081</v>
      </c>
      <c r="B86" s="6" t="s">
        <v>4570</v>
      </c>
      <c r="C86" s="7" t="s">
        <v>4588</v>
      </c>
      <c r="D86" s="7">
        <v>0</v>
      </c>
      <c r="E86" s="8">
        <v>0</v>
      </c>
      <c r="F86" s="7">
        <v>0</v>
      </c>
      <c r="G86" s="8">
        <v>0</v>
      </c>
    </row>
    <row r="87" ht="22.5" customHeight="1" spans="1:7">
      <c r="A87" s="6" t="s">
        <v>4081</v>
      </c>
      <c r="B87" s="6" t="s">
        <v>4570</v>
      </c>
      <c r="C87" s="7" t="s">
        <v>4590</v>
      </c>
      <c r="D87" s="7">
        <v>0</v>
      </c>
      <c r="E87" s="8">
        <v>0</v>
      </c>
      <c r="F87" s="7">
        <v>0</v>
      </c>
      <c r="G87" s="8">
        <v>0</v>
      </c>
    </row>
    <row r="88" ht="22.5" customHeight="1" spans="1:7">
      <c r="A88" s="6" t="s">
        <v>4081</v>
      </c>
      <c r="B88" s="6" t="s">
        <v>4570</v>
      </c>
      <c r="C88" s="7" t="s">
        <v>4591</v>
      </c>
      <c r="D88" s="7">
        <v>0</v>
      </c>
      <c r="E88" s="8">
        <v>0</v>
      </c>
      <c r="F88" s="7">
        <v>0</v>
      </c>
      <c r="G88" s="8">
        <v>0</v>
      </c>
    </row>
    <row r="89" ht="22.5" customHeight="1" spans="1:7">
      <c r="A89" s="6" t="s">
        <v>4139</v>
      </c>
      <c r="B89" s="6" t="s">
        <v>4569</v>
      </c>
      <c r="C89" s="7" t="s">
        <v>4580</v>
      </c>
      <c r="D89" s="7">
        <v>0</v>
      </c>
      <c r="E89" s="8">
        <v>0</v>
      </c>
      <c r="F89" s="7">
        <v>0</v>
      </c>
      <c r="G89" s="8">
        <v>0</v>
      </c>
    </row>
    <row r="90" ht="22.5" customHeight="1" spans="1:7">
      <c r="A90" s="6" t="s">
        <v>4139</v>
      </c>
      <c r="B90" s="6" t="s">
        <v>4569</v>
      </c>
      <c r="C90" s="7" t="s">
        <v>4581</v>
      </c>
      <c r="D90" s="7">
        <v>0</v>
      </c>
      <c r="E90" s="8">
        <v>0</v>
      </c>
      <c r="F90" s="7">
        <v>0</v>
      </c>
      <c r="G90" s="8">
        <v>0</v>
      </c>
    </row>
    <row r="91" ht="39" customHeight="1" spans="1:7">
      <c r="A91" s="6" t="s">
        <v>4139</v>
      </c>
      <c r="B91" s="6" t="s">
        <v>4569</v>
      </c>
      <c r="C91" s="7" t="s">
        <v>4582</v>
      </c>
      <c r="D91" s="7">
        <v>0</v>
      </c>
      <c r="E91" s="8">
        <v>0</v>
      </c>
      <c r="F91" s="7">
        <v>0</v>
      </c>
      <c r="G91" s="8">
        <v>0</v>
      </c>
    </row>
    <row r="92" ht="22.5" customHeight="1" spans="1:7">
      <c r="A92" s="6" t="s">
        <v>4139</v>
      </c>
      <c r="B92" s="6" t="s">
        <v>4569</v>
      </c>
      <c r="C92" s="7" t="s">
        <v>4583</v>
      </c>
      <c r="D92" s="7">
        <v>0</v>
      </c>
      <c r="E92" s="8">
        <v>0</v>
      </c>
      <c r="F92" s="7">
        <v>0</v>
      </c>
      <c r="G92" s="8">
        <v>0</v>
      </c>
    </row>
    <row r="93" ht="22.5" customHeight="1" spans="1:7">
      <c r="A93" s="6" t="s">
        <v>4139</v>
      </c>
      <c r="B93" s="6" t="s">
        <v>4569</v>
      </c>
      <c r="C93" s="7" t="s">
        <v>4572</v>
      </c>
      <c r="D93" s="7">
        <v>0</v>
      </c>
      <c r="E93" s="8">
        <v>0</v>
      </c>
      <c r="F93" s="7">
        <v>0</v>
      </c>
      <c r="G93" s="8">
        <v>0</v>
      </c>
    </row>
    <row r="94" ht="22.5" customHeight="1" spans="1:7">
      <c r="A94" s="6" t="s">
        <v>4139</v>
      </c>
      <c r="B94" s="6" t="s">
        <v>4569</v>
      </c>
      <c r="C94" s="7" t="s">
        <v>4588</v>
      </c>
      <c r="D94" s="7">
        <v>0</v>
      </c>
      <c r="E94" s="8">
        <v>0</v>
      </c>
      <c r="F94" s="7">
        <v>0</v>
      </c>
      <c r="G94" s="8">
        <v>0</v>
      </c>
    </row>
    <row r="95" ht="22.5" customHeight="1" spans="1:7">
      <c r="A95" s="6" t="s">
        <v>4095</v>
      </c>
      <c r="B95" s="6" t="s">
        <v>4569</v>
      </c>
      <c r="C95" s="7" t="s">
        <v>4580</v>
      </c>
      <c r="D95" s="7">
        <v>0</v>
      </c>
      <c r="E95" s="8">
        <v>0</v>
      </c>
      <c r="F95" s="7">
        <v>0</v>
      </c>
      <c r="G95" s="8">
        <v>0</v>
      </c>
    </row>
    <row r="96" ht="22.5" customHeight="1" spans="1:7">
      <c r="A96" s="6" t="s">
        <v>4095</v>
      </c>
      <c r="B96" s="6" t="s">
        <v>4569</v>
      </c>
      <c r="C96" s="7" t="s">
        <v>4582</v>
      </c>
      <c r="D96" s="7">
        <v>0</v>
      </c>
      <c r="E96" s="8">
        <v>0</v>
      </c>
      <c r="F96" s="7">
        <v>0</v>
      </c>
      <c r="G96" s="8">
        <v>0</v>
      </c>
    </row>
    <row r="97" ht="22.5" customHeight="1" spans="1:7">
      <c r="A97" s="6" t="s">
        <v>4095</v>
      </c>
      <c r="B97" s="6" t="s">
        <v>4569</v>
      </c>
      <c r="C97" s="7" t="s">
        <v>4575</v>
      </c>
      <c r="D97" s="7">
        <v>0</v>
      </c>
      <c r="E97" s="8">
        <v>0</v>
      </c>
      <c r="F97" s="7">
        <v>0</v>
      </c>
      <c r="G97" s="8">
        <v>0</v>
      </c>
    </row>
    <row r="98" ht="22.5" customHeight="1" spans="1:7">
      <c r="A98" s="6" t="s">
        <v>4095</v>
      </c>
      <c r="B98" s="6" t="s">
        <v>4569</v>
      </c>
      <c r="C98" s="7" t="s">
        <v>4583</v>
      </c>
      <c r="D98" s="7">
        <v>0</v>
      </c>
      <c r="E98" s="8">
        <v>0</v>
      </c>
      <c r="F98" s="7">
        <v>0</v>
      </c>
      <c r="G98" s="8">
        <v>0</v>
      </c>
    </row>
    <row r="99" ht="22.5" customHeight="1" spans="1:7">
      <c r="A99" s="6" t="s">
        <v>4095</v>
      </c>
      <c r="B99" s="6" t="s">
        <v>4569</v>
      </c>
      <c r="C99" s="7" t="s">
        <v>4573</v>
      </c>
      <c r="D99" s="7">
        <v>0</v>
      </c>
      <c r="E99" s="8">
        <v>0</v>
      </c>
      <c r="F99" s="7">
        <v>0</v>
      </c>
      <c r="G99" s="8">
        <v>0</v>
      </c>
    </row>
    <row r="100" ht="39" customHeight="1" spans="1:7">
      <c r="A100" s="6" t="s">
        <v>4095</v>
      </c>
      <c r="B100" s="6" t="s">
        <v>4569</v>
      </c>
      <c r="C100" s="7" t="s">
        <v>4571</v>
      </c>
      <c r="D100" s="7">
        <v>0</v>
      </c>
      <c r="E100" s="8">
        <v>0</v>
      </c>
      <c r="F100" s="7">
        <v>0</v>
      </c>
      <c r="G100" s="8">
        <v>0</v>
      </c>
    </row>
    <row r="101" ht="22.5" customHeight="1" spans="1:7">
      <c r="A101" s="6" t="s">
        <v>4095</v>
      </c>
      <c r="B101" s="6" t="s">
        <v>4569</v>
      </c>
      <c r="C101" s="7" t="s">
        <v>4578</v>
      </c>
      <c r="D101" s="7">
        <v>0</v>
      </c>
      <c r="E101" s="8">
        <v>0</v>
      </c>
      <c r="F101" s="7">
        <v>0</v>
      </c>
      <c r="G101" s="8">
        <v>0</v>
      </c>
    </row>
    <row r="102" ht="22.5" customHeight="1" spans="1:7">
      <c r="A102" s="6" t="s">
        <v>4095</v>
      </c>
      <c r="B102" s="6" t="s">
        <v>4569</v>
      </c>
      <c r="C102" s="7" t="s">
        <v>4572</v>
      </c>
      <c r="D102" s="7">
        <v>0</v>
      </c>
      <c r="E102" s="8">
        <v>0</v>
      </c>
      <c r="F102" s="7">
        <v>0</v>
      </c>
      <c r="G102" s="8">
        <v>0</v>
      </c>
    </row>
    <row r="103" ht="22.5" customHeight="1" spans="1:7">
      <c r="A103" s="6" t="s">
        <v>4095</v>
      </c>
      <c r="B103" s="6" t="s">
        <v>4569</v>
      </c>
      <c r="C103" s="7" t="s">
        <v>4588</v>
      </c>
      <c r="D103" s="7">
        <v>0</v>
      </c>
      <c r="E103" s="8">
        <v>0</v>
      </c>
      <c r="F103" s="7">
        <v>0</v>
      </c>
      <c r="G103" s="8">
        <v>0</v>
      </c>
    </row>
    <row r="104" ht="22.5" customHeight="1" spans="1:7">
      <c r="A104" s="6" t="s">
        <v>4087</v>
      </c>
      <c r="B104" s="6" t="s">
        <v>4569</v>
      </c>
      <c r="C104" s="7" t="s">
        <v>4582</v>
      </c>
      <c r="D104" s="7">
        <v>0</v>
      </c>
      <c r="E104" s="8">
        <v>0</v>
      </c>
      <c r="F104" s="7">
        <v>0</v>
      </c>
      <c r="G104" s="8">
        <v>0</v>
      </c>
    </row>
    <row r="105" ht="22.5" customHeight="1" spans="1:7">
      <c r="A105" s="6" t="s">
        <v>4087</v>
      </c>
      <c r="B105" s="6" t="s">
        <v>4569</v>
      </c>
      <c r="C105" s="7" t="s">
        <v>4575</v>
      </c>
      <c r="D105" s="7">
        <v>0</v>
      </c>
      <c r="E105" s="8">
        <v>0</v>
      </c>
      <c r="F105" s="7">
        <v>0</v>
      </c>
      <c r="G105" s="8">
        <v>0</v>
      </c>
    </row>
    <row r="106" ht="22.5" customHeight="1" spans="1:7">
      <c r="A106" s="6" t="s">
        <v>4087</v>
      </c>
      <c r="B106" s="6" t="s">
        <v>4569</v>
      </c>
      <c r="C106" s="7" t="s">
        <v>4584</v>
      </c>
      <c r="D106" s="7">
        <v>0</v>
      </c>
      <c r="E106" s="8">
        <v>0</v>
      </c>
      <c r="F106" s="7">
        <v>0</v>
      </c>
      <c r="G106" s="8">
        <v>0</v>
      </c>
    </row>
    <row r="107" ht="22.5" customHeight="1" spans="1:7">
      <c r="A107" s="6" t="s">
        <v>4087</v>
      </c>
      <c r="B107" s="6" t="s">
        <v>4569</v>
      </c>
      <c r="C107" s="7" t="s">
        <v>4578</v>
      </c>
      <c r="D107" s="7">
        <v>0</v>
      </c>
      <c r="E107" s="8">
        <v>0</v>
      </c>
      <c r="F107" s="7">
        <v>0</v>
      </c>
      <c r="G107" s="8">
        <v>0</v>
      </c>
    </row>
    <row r="108" ht="22.5" customHeight="1" spans="1:7">
      <c r="A108" s="6" t="s">
        <v>4087</v>
      </c>
      <c r="B108" s="6" t="s">
        <v>4569</v>
      </c>
      <c r="C108" s="7" t="s">
        <v>4572</v>
      </c>
      <c r="D108" s="7">
        <v>0</v>
      </c>
      <c r="E108" s="8">
        <v>0</v>
      </c>
      <c r="F108" s="7">
        <v>0</v>
      </c>
      <c r="G108" s="8">
        <v>0</v>
      </c>
    </row>
    <row r="109" ht="22.5" customHeight="1" spans="1:7">
      <c r="A109" s="6" t="s">
        <v>4087</v>
      </c>
      <c r="B109" s="6" t="s">
        <v>4569</v>
      </c>
      <c r="C109" s="7" t="s">
        <v>4579</v>
      </c>
      <c r="D109" s="7">
        <v>0</v>
      </c>
      <c r="E109" s="8">
        <v>0</v>
      </c>
      <c r="F109" s="7">
        <v>0</v>
      </c>
      <c r="G109" s="8">
        <v>0</v>
      </c>
    </row>
    <row r="110" ht="22.5" customHeight="1" spans="1:7">
      <c r="A110" s="6" t="s">
        <v>4192</v>
      </c>
      <c r="B110" s="6" t="s">
        <v>4570</v>
      </c>
      <c r="C110" s="7" t="s">
        <v>4583</v>
      </c>
      <c r="D110" s="7">
        <v>0</v>
      </c>
      <c r="E110" s="8">
        <v>0</v>
      </c>
      <c r="F110" s="7">
        <v>0</v>
      </c>
      <c r="G110" s="8">
        <v>0</v>
      </c>
    </row>
    <row r="111" ht="22.5" customHeight="1" spans="1:7">
      <c r="A111" s="6" t="s">
        <v>4192</v>
      </c>
      <c r="B111" s="6" t="s">
        <v>4570</v>
      </c>
      <c r="C111" s="7" t="s">
        <v>4574</v>
      </c>
      <c r="D111" s="7">
        <v>0</v>
      </c>
      <c r="E111" s="8">
        <v>0</v>
      </c>
      <c r="F111" s="7">
        <v>0</v>
      </c>
      <c r="G111" s="8">
        <v>0</v>
      </c>
    </row>
    <row r="112" ht="22.5" customHeight="1" spans="1:7">
      <c r="A112" s="6" t="s">
        <v>4113</v>
      </c>
      <c r="B112" s="6" t="s">
        <v>4570</v>
      </c>
      <c r="C112" s="7" t="s">
        <v>4581</v>
      </c>
      <c r="D112" s="7">
        <v>0</v>
      </c>
      <c r="E112" s="8">
        <v>0</v>
      </c>
      <c r="F112" s="7">
        <v>0</v>
      </c>
      <c r="G112" s="8">
        <v>0</v>
      </c>
    </row>
    <row r="113" spans="1:7">
      <c r="A113" t="s">
        <v>4113</v>
      </c>
      <c r="B113" t="s">
        <v>4570</v>
      </c>
      <c r="C113" t="s">
        <v>4574</v>
      </c>
      <c r="D113" s="3">
        <v>0</v>
      </c>
      <c r="E113" s="3">
        <v>0</v>
      </c>
      <c r="F113" s="3">
        <v>0</v>
      </c>
      <c r="G113" s="3">
        <v>0</v>
      </c>
    </row>
    <row r="114" spans="1:7">
      <c r="A114" t="s">
        <v>4113</v>
      </c>
      <c r="B114" t="s">
        <v>4570</v>
      </c>
      <c r="C114" t="s">
        <v>4578</v>
      </c>
      <c r="D114" s="3">
        <v>0</v>
      </c>
      <c r="E114" s="3">
        <v>0</v>
      </c>
      <c r="F114" s="3">
        <v>0</v>
      </c>
      <c r="G114" s="3">
        <v>0</v>
      </c>
    </row>
    <row r="115" spans="1:7">
      <c r="A115" t="s">
        <v>4113</v>
      </c>
      <c r="B115" t="s">
        <v>4570</v>
      </c>
      <c r="C115" t="s">
        <v>4572</v>
      </c>
      <c r="D115" s="3">
        <v>0</v>
      </c>
      <c r="E115" s="3">
        <v>0</v>
      </c>
      <c r="F115" s="3">
        <v>0</v>
      </c>
      <c r="G115" s="3">
        <v>0</v>
      </c>
    </row>
    <row r="116" spans="1:7">
      <c r="A116" t="s">
        <v>4113</v>
      </c>
      <c r="B116" t="s">
        <v>4570</v>
      </c>
      <c r="C116" t="s">
        <v>4579</v>
      </c>
      <c r="D116" s="3">
        <v>0</v>
      </c>
      <c r="E116" s="3">
        <v>0</v>
      </c>
      <c r="F116" s="3">
        <v>0</v>
      </c>
      <c r="G116" s="3">
        <v>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8"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5" master="" otherUserPermission="visible"/>
  <rangeList sheetStid="7" master="" otherUserPermission="visible"/>
  <rangeList sheetStid="9" master="" otherUserPermission="visible"/>
  <rangeList sheetStid="11" master="" otherUserPermission="visible"/>
  <rangeList sheetStid="14" master="" otherUserPermission="visible"/>
  <rangeList sheetStid="16" master="" otherUserPermission="visible"/>
  <rangeList sheetStid="17" master="" otherUserPermission="visible"/>
  <rangeList sheetStid="20" master="" otherUserPermission="visible"/>
  <rangeList sheetStid="21" master="" otherUserPermission="visible"/>
  <rangeList sheetStid="22" master="" otherUserPermission="visible"/>
  <rangeList sheetStid="24" master="" otherUserPermission="visible"/>
  <rangeList sheetStid="25" master="" otherUserPermission="visible"/>
  <rangeList sheetStid="26" master="" otherUserPermission="visible"/>
  <rangeList sheetStid="27" master="" otherUserPermission="visible"/>
  <rangeList sheetStid="28" master="" otherUserPermission="visible"/>
  <rangeList sheetStid="29" master="" otherUserPermission="visible"/>
  <rangeList sheetStid="30" master="" otherUserPermission="visible"/>
  <rangeList sheetStid="31" master="" otherUserPermission="visible"/>
  <rangeList sheetStid="33" master="" otherUserPermission="visible"/>
  <rangeList sheetStid="38" master="" otherUserPermission="visible"/>
  <rangeList sheetStid="39" master="" otherUserPermission="visible"/>
  <rangeList sheetStid="41" master="" otherUserPermission="visible"/>
  <rangeList sheetStid="44" master="" otherUserPermission="visible"/>
  <rangeList sheetStid="45" master="" otherUserPermission="visible"/>
  <rangeList sheetStid="46" master="" otherUserPermission="visible"/>
  <rangeList sheetStid="68" master="" otherUserPermission="visible"/>
  <rangeList sheetStid="54" master="" otherUserPermission="visible"/>
  <rangeList sheetStid="55" master="" otherUserPermission="visible"/>
  <rangeList sheetStid="56" master="" otherUserPermission="visible"/>
  <rangeList sheetStid="76" master="" otherUserPermission="visible"/>
  <rangeList sheetStid="57" master="" otherUserPermission="visible"/>
  <rangeList sheetStid="59" master="" otherUserPermission="visible"/>
  <rangeList sheetStid="61" master="" otherUserPermission="visible"/>
  <rangeList sheetStid="65" master="" otherUserPermission="visible"/>
  <rangeList sheetStid="66" master="" otherUserPermission="visible"/>
  <rangeList sheetStid="67" master="" otherUserPermission="visible"/>
  <rangeList sheetStid="70" master="" otherUserPermission="visible"/>
  <rangeList sheetStid="72" master="" otherUserPermission="visible">
    <arrUserId title="Range1" rangeCreator="1476144824" othersAccessPermission="visible">
      <userID accessPermission="edit">1476144824</userID>
    </arrUserId>
  </rangeList>
  <rangeList sheetStid="79" master="" otherUserPermission="visible"/>
  <rangeList sheetStid="81" master="" otherUserPermission="visible"/>
  <rangeList sheetStid="90" master="" otherUserPermission="edit"/>
  <rangeList sheetStid="91" master="" otherUserPermission="edit"/>
  <rangeList sheetStid="92" master="" otherUserPermission="edit"/>
  <rangeList sheetStid="98" master="" otherUserPermission="edit"/>
  <rangeList sheetStid="99" master="" otherUserPermission="edit"/>
  <rangeList sheetStid="95" master="" otherUserPermission="edit"/>
  <rangeList sheetStid="96" master="" otherUserPermission="edit"/>
</allowEditUser>
</file>

<file path=customXml/item2.xml><?xml version="1.0" encoding="utf-8"?>
<dvExts xmlns="http://www.wps.cn/et/2023/dataValidationExt" xmlns:s="http://schemas.openxmlformats.org/spreadsheetml/2006/main">
  <dvExt uuid="{e3cc978c-dad8-47be-a37a-77e1ed18047e}">
    <list multiSupport="0" colorSupport="1">
      <item index="0">
        <color s:rgb="FFE9552D"/>
      </item>
      <item index="1">
        <color s:rgb="FF1FBB6A"/>
      </item>
      <item index="2">
        <color s:rgb="FFF7C410"/>
      </item>
    </list>
  </dvExt>
</dvExts>
</file>

<file path=customXml/item3.xml><?xml version="1.0" encoding="utf-8"?>
<comments xmlns="https://web.wps.cn/et/2018/main" xmlns:s="http://schemas.openxmlformats.org/spreadsheetml/2006/main" xmlns:r="http://schemas.openxmlformats.org/officeDocument/2006/relationships">
  <commentList sheetStid="11">
    <commentChains s:ref="H19" rgbClr="FF0000">
      <unresolved>
        <commentChain chainId="7b840eec6fba5472177e372787ad78887a641568">
          <item id="{d1eccf38-fbf5-13a1-0759-3953939522f4}" userID="273625224" userName="Jacky.Wu" dateTime="2021-03-08T01:36:03" isNormal="0">
            <s:text>
              <s:r>
                <s:t xml:space="preserve">交期关注3-30</s:t>
              </s:r>
            </s:text>
          </item>
        </commentChain>
      </unresolved>
      <resolved/>
    </commentChains>
  </commentList>
  <commentList sheetStid="14">
    <commentChains s:ref="A16" rgbClr="FF0000">
      <unresolved>
        <commentChain chainId="a3cf02fbc26929f24efc51a011cdf8b0b8965824">
          <item id="{e98c4b2e-0478-9938-b4bc-c01c57714a81}" userID="273625224" userName="Jacky.Wu" dateTime="2021-04-19T01:34:42" isNormal="0">
            <s:text>
              <s:r>
                <s:t xml:space="preserve">4月部门目标：370万*1.1=407,3月遗落90万的船期</s:t>
              </s:r>
            </s:text>
          </item>
        </commentChain>
      </unresolved>
      <resolved/>
    </commentChains>
  </commentList>
  <commentList sheetStid="17">
    <commentChains s:ref="A18" rgbClr="FF0000">
      <unresolved>
        <commentChain chainId="9784d9abcdcf769c8d768563c42873639b228d4e">
          <item id="{4aad4bf4-4686-56e6-1f60-8fb62f94e15c}" userID="273625224" userName="Jacky.Wu" dateTime="2021-05-31T00:40:40" isNormal="0">
            <s:text>
              <s:r>
                <s:t xml:space="preserve">6月份的计划595万， 达标需要416万</s:t>
              </s:r>
            </s:text>
          </item>
        </commentChain>
      </unresolved>
      <resolved/>
    </commentChains>
  </commentList>
  <commentList sheetStid="54">
    <commentChains s:ref="M7" rgbClr="FF0000">
      <unresolved>
        <commentChain chainId="9db0e8fd22272934c11af3bae201c48d47f1e421">
          <item id="{40c416c8-1eb8-1581-00c4-02d00e142041}" userID="1170015202" userName="魏鑫" dateTime="2023-06-20T08:50:20" isNormal="0">
            <s:text>
              <s:r>
                <s:t xml:space="preserve">从青岛发货36台6700A，遗漏补录 20230620</s:t>
              </s:r>
            </s:text>
          </item>
        </commentChain>
      </unresolved>
      <resolved/>
    </commentChains>
    <commentChains s:ref="M10" rgbClr="FF0000">
      <unresolved>
        <commentChain chainId="edd752b2781bb9dd370dfaa8daacdaac3cd98b77">
          <item id="{32f13b64-26a7-03d7-20c4-27ae0f9d33b6}" userID="1170015202" userName="魏鑫" dateTime="2023-06-20T08:50:36" isNormal="0">
            <s:text>
              <s:r>
                <s:t xml:space="preserve">遗漏补录 20230620</s:t>
              </s:r>
            </s:text>
          </item>
        </commentChain>
      </unresolved>
      <resolved/>
    </commentChains>
    <commentChains s:ref="I44" rgbClr="FF0000">
      <unresolved>
        <commentChain chainId="8b88dcdb32626b989669ed97be2b11a0547e7e6f">
          <item id="{21061604-0a7e-0418-25a1-143931680ac0}" userID="290931110" userName="罗旭阳" dateTime="2023-06-20T06:09:34" isNormal="0">
            <s:text>
              <s:r>
                <s:t xml:space="preserve">未体现在1月船期金额</s:t>
              </s:r>
            </s:text>
          </item>
        </commentChain>
      </unresolved>
      <resolved/>
    </commentChains>
    <commentChains s:ref="I46" rgbClr="FF0000">
      <unresolved>
        <commentChain chainId="35da10006f66c50de263da74f959587f4a4fd296">
          <item id="{0f5c3851-228f-00c4-0147-18930dd23df3}" userID="290931110" userName="罗旭阳" dateTime="2023-06-20T06:13:55" isNormal="0">
            <s:text>
              <s:r>
                <s:t xml:space="preserve">未体现在1月船期金额</s:t>
              </s:r>
            </s:text>
          </item>
        </commentChain>
      </unresolved>
      <resolved/>
    </commentChains>
    <commentChains s:ref="I47" rgbClr="FF0000">
      <unresolved>
        <commentChain chainId="8ff681c7de4b224f754a4baf001399e3e947e8d4">
          <item id="{3fbe18d4-11a9-245a-38d4-3ba531260fdf}" userID="290931110" userName="罗旭阳" dateTime="2023-06-20T06:16:45" isNormal="0">
            <s:text>
              <s:r>
                <s:t xml:space="preserve">船期金额未体现在1月</s:t>
              </s:r>
            </s:text>
          </item>
        </commentChain>
      </unresolved>
      <resolved/>
    </commentChains>
    <commentChains s:ref="I48" rgbClr="FF0000">
      <unresolved>
        <commentChain chainId="573008da2e4b5c70b0d03293ae58e345cac8c61f">
          <item id="{076c01ca-25e3-1c28-2978-15c24106045a}" userID="290931110" userName="罗旭阳" dateTime="2023-06-20T06:12:18" isNormal="0">
            <s:text>
              <s:r>
                <s:t xml:space="preserve">未体现在1月船期金额</s:t>
              </s:r>
            </s:text>
          </item>
        </commentChain>
      </unresolved>
      <resolved/>
    </commentChains>
    <commentChains s:ref="I49" rgbClr="FF0000">
      <unresolved>
        <commentChain chainId="9e155934350ff825cc4c6bac6b200aaa4956a136">
          <item id="{11a90872-21ca-1f7c-06a7-08f516871439}" userID="290931110" userName="罗旭阳" dateTime="2023-06-20T06:12:31" isNormal="0">
            <s:text>
              <s:r>
                <s:t xml:space="preserve">未体现在1月船期金额</s:t>
              </s:r>
            </s:text>
          </item>
        </commentChain>
      </unresolved>
      <resolved/>
    </commentChains>
  </commentList>
  <commentList sheetStid="55">
    <commentChains s:ref="M6" rgbClr="FF0000">
      <unresolved>
        <commentChain chainId="f518b1107d88b72b8bcaf00bb3e4aaf3000b9a82">
          <item id="{11260c49-09fb-26e9-33b6-13333df33f3b}" userID="1170015202" userName="魏鑫" dateTime="2023-06-20T08:48:46" isNormal="0">
            <s:text>
              <s:r>
                <s:t xml:space="preserve">从3月开船移到2月开船 20230620</s:t>
              </s:r>
            </s:text>
          </item>
        </commentChain>
      </unresolved>
      <resolved/>
    </commentChains>
    <commentChains s:ref="M7" rgbClr="FF0000">
      <unresolved>
        <commentChain chainId="df222daa36c5ff4e5ecff5433b3899522a1cfec1">
          <item id="{1a5e08b4-4000-1b64-2831-0ccc251e1168}" userID="1170015202" userName="魏鑫" dateTime="2023-06-20T08:49:21" isNormal="0">
            <s:text>
              <s:r>
                <s:t xml:space="preserve">遗漏补录 20230620</s:t>
              </s:r>
            </s:text>
          </item>
        </commentChain>
      </unresolved>
      <resolved/>
    </commentChains>
    <commentChains s:ref="I33" rgbClr="FF0000">
      <unresolved>
        <commentChain chainId="757484c71ffa9b05756018939d7b23d7217affc3">
          <item id="{174b13b6-33b6-0560-1db2-36453e763ef9}" userID="290931110" userName="罗旭阳" dateTime="2023-06-20T05:51:10" isNormal="0">
            <s:text>
              <s:r>
                <s:t xml:space="preserve">未体现在2月船期数据</s:t>
              </s:r>
            </s:text>
          </item>
        </commentChain>
      </unresolved>
      <resolved/>
    </commentChains>
    <commentChains s:ref="I34" rgbClr="FF0000">
      <unresolved>
        <commentChain chainId="e64b70dd7f483e1454b5ad3857b3d5b42fe1e09a">
          <item id="{2f5c0b85-1ba5-2872-00c4-045a20412e56}" userID="290931110" userName="罗旭阳" dateTime="2023-06-20T05:53:35" isNormal="0">
            <s:text>
              <s:r>
                <s:t xml:space="preserve">未纳入2月船期金额</s:t>
              </s:r>
            </s:text>
          </item>
        </commentChain>
      </unresolved>
      <resolved/>
    </commentChains>
  </commentList>
  <commentList sheetStid="76">
    <commentChains s:ref="N11" rgbClr="FF0000">
      <unresolved>
        <commentChain chainId="66fad8e7b77fe577f0a195a51d63506200ab896f">
          <item id="b105c0d1640cbfc2bca31a7fa5eac18e6cbedba6" userID="1170015202" userName="魏鑫" dateTime="2024-01-02T02:14:13" isNormal="0">
            <s:text>
              <s:r>
                <s:t xml:space="preserve">原船期12/31</s:t>
              </s:r>
            </s:text>
          </item>
        </commentChain>
      </unresolved>
      <resolved/>
    </commentChains>
    <commentChains s:ref="N30" rgbClr="FF0000">
      <unresolved>
        <commentChain chainId="c118f49b0c31da70b9299049d68718b454a7cb96">
          <item id="52bbc3840d3e21af60150d533cf300dc9559ffa7" userID="290931110" userName="罗旭阳" dateTime="2024-01-02T06:36:37" isNormal="0">
            <s:text>
              <s:r>
                <s:t xml:space="preserve">原定28号</s:t>
              </s:r>
            </s:text>
          </item>
        </commentChain>
      </unresolved>
      <resolved/>
    </commentChains>
    <commentChains s:ref="N81" rgbClr="FF0000">
      <unresolved>
        <commentChain chainId="87dddfcfe133c8bfa34ef4f2c16634d9068c81ea">
          <item id="04beb0a7d12673b502151fc6718bac0c953b4292" userID="872780423" userName="高树海" dateTime="2024-01-02T03:35:27" isNormal="0">
            <s:text>
              <s:r>
                <s:t xml:space="preserve">原定船期12.30</s:t>
              </s:r>
            </s:text>
          </item>
        </commentChain>
      </unresolved>
      <resolved/>
    </commentChains>
    <commentChains s:ref="N89" rgbClr="FF0000">
      <unresolved>
        <commentChain chainId="eefa362848ecd86aaaab0a9afcc421c1a0fcc36d">
          <item id="49cfc5a18925ad6905bb99a35adb12fb18c7945c" userID="350067516" userName="吴燕华" dateTime="2024-01-02T03:09:55" isNormal="0">
            <s:text>
              <s:r>
                <s:t xml:space="preserve">原定船期12月22日</s:t>
              </s:r>
            </s:text>
          </item>
        </commentChain>
      </unresolved>
      <resolved/>
    </commentChains>
    <commentChains s:ref="N90" rgbClr="FF0000">
      <unresolved>
        <commentChain chainId="468698e17c47fbb27ef06688aa97be3bb93e8d08">
          <item id="4bf9ac8b2e8439591ca732e24c3dc0739af1f1f5" userID="350067516" userName="吴燕华" dateTime="2024-01-02T03:10:36" isNormal="0">
            <s:text>
              <s:r>
                <s:t xml:space="preserve">原定船期为12月31日</s:t>
              </s:r>
            </s:text>
          </item>
        </commentChain>
      </unresolved>
      <resolved/>
    </commentChains>
    <commentChains s:ref="N91" rgbClr="FF0000">
      <unresolved>
        <commentChain chainId="0291a2543b66a8b0a796df3dde03f6390b506e42">
          <item id="665080636435a80270bfccebbfcab6297b1b3e9f" userID="350067516" userName="吴燕华" dateTime="2024-01-02T03:38:05" isNormal="0">
            <s:text>
              <s:r>
                <s:t xml:space="preserve">原定船期为12月29日</s:t>
              </s:r>
            </s:text>
          </item>
        </commentChain>
      </unresolved>
      <resolved/>
    </commentChains>
    <commentChains s:ref="N98" rgbClr="FF0000">
      <unresolved>
        <commentChain chainId="638926f9e2d7a72ec634b679b524d5961f9202a8">
          <item id="d3eeaafb2f179a8887619fc7ed1ce9b1a27b1e5f" userID="350067516" userName="吴燕华" dateTime="2024-01-02T03:42:49" isNormal="0">
            <s:text>
              <s:r>
                <s:t xml:space="preserve">原定船期12月29日</s:t>
              </s:r>
            </s:text>
          </item>
        </commentChain>
      </unresolved>
      <resolved/>
    </commentChains>
    <commentChains s:ref="N100" rgbClr="FF0000">
      <unresolved/>
      <resolved>
        <commentChain chainId="a705667e1cc7ceef0902384e1c318315c2ab8938">
          <item id="52e5ecbe817b3383abaf7c350eee2f9b0bf34680" userID="350067516" userName="吴燕华" dateTime="2024-01-02T02:15:13" isNormal="0">
            <s:text>
              <s:r>
                <s:t xml:space="preserve">原定船期为12月28日</s:t>
              </s:r>
            </s:text>
          </item>
        </commentChain>
      </resolved>
    </commentChains>
    <commentChains s:ref="N103" rgbClr="FF0000">
      <unresolved>
        <commentChain chainId="9e7593eab371814a798ba2130dc26cd66938deb8">
          <item id="db0b626b71615dfd7dad8621e174fbc0d229041b" userID="350067516" userName="吴燕华" dateTime="2024-01-02T02:14:44" isNormal="0">
            <s:text>
              <s:r>
                <s:t xml:space="preserve">原定船期为12月30日</s:t>
              </s:r>
            </s:text>
          </item>
        </commentChain>
      </unresolved>
      <resolved/>
    </commentChains>
    <commentChains s:ref="N104" rgbClr="FF0000">
      <unresolved/>
      <resolved>
        <commentChain chainId="452445d21f090238cf022464a978200aa1e2eb64">
          <item id="3d159aad7bf224975f322ecd0b9e45c482aecb4e" userID="872780423" userName="高树海" dateTime="2024-01-02T03:38:37" isNormal="0">
            <s:text>
              <s:r>
                <s:t xml:space="preserve">原定船期12.26</s:t>
              </s:r>
            </s:text>
          </item>
        </commentChain>
      </resolved>
    </commentChains>
    <commentChains s:ref="N133" rgbClr="FF0000">
      <unresolved>
        <commentChain chainId="60032e04495a90e8bb14e763f3cfb6c206b271b9">
          <item id="bcc2a873071e0c84ce8489ed2a3c7a8fbe062f09" userID="290931110" userName="罗旭阳" dateTime="2024-01-02T06:35:21" isNormal="0">
            <s:text>
              <s:r>
                <s:t xml:space="preserve">原定12-31</s:t>
              </s:r>
            </s:text>
          </item>
        </commentChain>
      </unresolved>
      <resolved/>
    </commentChains>
    <commentChains s:ref="G142" rgbClr="FF0000">
      <unresolved/>
      <resolved>
        <commentChain chainId="aa87c3444ef1b9d6c9371449ee5df8eafcad48e6">
          <item id="d0811fc666fa749ac9e247a0df68c32c9414ec74" userID="290931110" userName="罗旭阳" dateTime="2023-12-19T04:02:24" isNormal="0">
            <s:text>
              <s:r>
                <s:t xml:space="preserve">举例开单100元，财务核算按87元</s:t>
              </s:r>
            </s:text>
          </item>
        </commentChain>
      </resolved>
    </commentChains>
    <commentChains s:ref="N151" rgbClr="FF0000">
      <unresolved>
        <commentChain chainId="dc7a17684837fc93854f2f09a5dfcd2034a28204">
          <item id="061bdf5dc8b618cc27864e006af4105c7b4957ea" userID="290931110" userName="罗旭阳" dateTime="2024-01-02T06:33:35" isNormal="0">
            <s:text>
              <s:r>
                <s:t xml:space="preserve">原定船期为12.29</s:t>
              </s:r>
            </s:text>
          </item>
        </commentChain>
      </unresolved>
      <resolved/>
    </commentChains>
    <commentChains s:ref="N152" rgbClr="FF0000">
      <unresolved>
        <commentChain chainId="3420abf170353ff02410c631565cf30eabf2bfd8">
          <item id="f34e1fe17919fe5d9d6135175c059f04b72c99ed" userID="290931110" userName="罗旭阳" dateTime="2024-01-02T06:33:50" isNormal="0">
            <s:text>
              <s:r>
                <s:t xml:space="preserve">原定船期12.29，</s:t>
              </s:r>
            </s:text>
          </item>
        </commentChain>
      </unresolved>
      <resolved/>
    </commentChains>
    <commentChains s:ref="N154" rgbClr="FF0000">
      <unresolved>
        <commentChain chainId="8a8bb68ee24709f95667f5f05d9f93473ea9f763">
          <item id="0ed7ce8fe47e318e488fb606df230b0d433d9a99" userID="290931110" userName="罗旭阳" dateTime="2024-01-02T06:34:07" isNormal="0">
            <s:text>
              <s:r>
                <s:t xml:space="preserve">原定船期12.31</s:t>
              </s:r>
            </s:text>
          </item>
        </commentChain>
      </unresolved>
      <resolved/>
    </commentChains>
    <commentChains s:ref="G197" rgbClr="FF0000">
      <unresolved>
        <commentChain chainId="7d5623ea76d7b0a2c3de6f5acfd1183d427f81a0">
          <item id="9bca7336e03b1e8961c041e438fd58afac2922d9" userID="290931110" userName="罗旭阳" dateTime="2023-12-19T05:21:48" isNormal="0">
            <s:text>
              <s:r>
                <s:t xml:space="preserve">含22年12月发货船期落1月577万元</s:t>
              </s:r>
            </s:text>
          </item>
        </commentChain>
      </unresolved>
      <resolved/>
    </commentChains>
    <commentChains s:ref="G198" rgbClr="FF0000">
      <unresolved/>
      <resolved>
        <commentChain chainId="806b3f4a1219b7bae53b348ebf37f58d017b4411">
          <item id="d19f828c1d34f0223b4db25228ea85beed2efd66" userID="290931110" userName="罗旭阳" dateTime="2023-10-12T09:37:34" isNormal="0">
            <s:text>
              <s:r>
                <s:t xml:space="preserve">含9月开单船期落10月527万</s:t>
              </s:r>
            </s:text>
          </item>
        </commentChain>
      </resolved>
    </commentChains>
    <commentChains s:ref="G201" rgbClr="FF0000">
      <unresolved/>
      <resolved>
        <commentChain chainId="352ab5455e879f87d49a70814f6ab21e832cc328">
          <item id="e27ee986f22c3fa1a546e84db879808496539bf5" userID="290931110" userName="罗旭阳" dateTime="2023-10-12T09:58:53" isNormal="0">
            <s:text>
              <s:r>
                <s:t xml:space="preserve">Q4船期月平均1670万</s:t>
              </s:r>
            </s:text>
          </item>
        </commentChain>
      </resolved>
    </commentChains>
    <commentChains s:ref="G202" rgbClr="FF0000">
      <unresolved/>
      <resolved>
        <commentChain chainId="70c0d47ecc37bf2c3b4cb2052e6580e48bcfe693">
          <item id="4310b8c4be4e18b4f098e49a4ec1366b457470c2" userID="290931110" userName="罗旭阳" dateTime="2023-10-12T09:59:29" isNormal="0">
            <s:text>
              <s:r>
                <s:t xml:space="preserve">Q4船期月平均2500万</s:t>
              </s:r>
            </s:text>
          </item>
        </commentChain>
      </resolved>
    </commentChains>
  </commentList>
  <commentList sheetStid="57">
    <commentChains s:ref="M4" rgbClr="FF0000">
      <unresolved>
        <commentChain chainId="b5b827403e8cf1e91dfb6bd51f8bba5ae660062c">
          <item id="{3c6a272b-1d70-0ccc-3df3-251e272b2ac0}" userID="1170015202" userName="魏鑫" dateTime="2023-06-20T08:47:45" isNormal="0">
            <s:text>
              <s:r>
                <s:t xml:space="preserve">4月17号装柜，运单签订日4月28号，赵经理表格船期在5月 20230620</s:t>
              </s:r>
            </s:text>
          </item>
        </commentChain>
      </unresolved>
      <resolved/>
    </commentChains>
    <commentChains s:ref="M6" rgbClr="FF0000">
      <unresolved>
        <commentChain chainId="ef36441c3f70cd1480add45e2755be5eed9b664c">
          <item id="{33741cac-024d-3374-0312-056032f134bc}" userID="1170015202" userName="魏鑫" dateTime="2023-06-20T08:48:01" isNormal="0">
            <s:text>
              <s:r>
                <s:t xml:space="preserve">提单日4月29号，赵经理表格船期在5月 20230620</s:t>
              </s:r>
            </s:text>
          </item>
        </commentChain>
      </unresolved>
      <resolved/>
    </commentChains>
    <commentChains s:ref="I24" rgbClr="FF0000">
      <unresolved>
        <commentChain chainId="22b359bbd9ea32efb5220af507b291d32b35e6e8">
          <item id="{19990e56-1eb8-3e76-2395-385119990937}" userID="290931110" userName="罗旭阳" dateTime="2023-06-20T07:21:37" isNormal="0">
            <s:text>
              <s:r>
                <s:t xml:space="preserve">未体现船期金额</s:t>
              </s:r>
            </s:text>
          </item>
        </commentChain>
      </unresolved>
      <resolved/>
    </commentChains>
    <commentChains s:ref="I28" rgbClr="FF0000">
      <unresolved>
        <commentChain chainId="91906da6956f5905dd65c2125cbcf92c4e94d3f5">
          <item id="{36450147-3439-2dd2-18d4-378d05a13062}" userID="290931110" userName="罗旭阳" dateTime="2023-06-20T07:08:48" isNormal="0">
            <s:text>
              <s:r>
                <s:t xml:space="preserve">未体现在4月船期金额</s:t>
              </s:r>
            </s:text>
          </item>
        </commentChain>
      </unresolved>
      <resolved/>
    </commentChains>
    <commentChains s:ref="I37" rgbClr="FF0000">
      <unresolved>
        <commentChain chainId="7278e1cc779cac5d357a780940d30908be1dfc98">
          <item id="{125AA841-E515-7F5F-6F55-9164B86CD4F6}" userID="290931110" userName="罗旭阳" dateTime="2023-06-20T07:02:21" isNormal="0">
            <s:text>
              <s:r>
                <s:t xml:space="preserve">4月船期金额未体现</s:t>
              </s:r>
            </s:text>
          </item>
        </commentChain>
      </unresolved>
      <resolved/>
    </commentChains>
    <commentChains s:ref="I41" rgbClr="FF0000">
      <unresolved>
        <commentChain chainId="26f5fe48769f61f5151c97a1e643388b0e63450f">
          <item id="{153f1958-2c8b-0c08-1e76-370a3cac2000}" userID="290931110" userName="罗旭阳" dateTime="2023-06-20T07:27:03" isNormal="0">
            <s:text>
              <s:r>
                <s:t xml:space="preserve">4月船期金额未体现</s:t>
              </s:r>
            </s:text>
          </item>
        </commentChain>
      </unresolved>
      <resolved/>
    </commentChains>
  </commentList>
  <commentList sheetStid="59">
    <commentChains s:ref="M4" rgbClr="FF0000">
      <unresolved>
        <commentChain chainId="dab4b492d5b6eb0878e0ba4c1cc7628d2c8f2f43">
          <item id="{249b07ef-3916-3e35-1d70-2d0e2bc631eb}" userID="1170015202" userName="魏鑫" dateTime="2023-06-20T08:45:40" isNormal="0">
            <s:text>
              <s:r>
                <s:t xml:space="preserve">提单日5月31号，赵经理表格没有放在5月，而是放在6月 20230620</s:t>
              </s:r>
            </s:text>
          </item>
        </commentChain>
      </unresolved>
      <resolved/>
    </commentChains>
    <commentChains s:ref="M11" rgbClr="FF0000">
      <unresolved>
        <commentChain chainId="286d51c3934beee4441d0293c4e0717766bceca3">
          <item id="{3e7626a7-1db2-2041-3126-0f5c385103d7}" userID="1170015202" userName="魏鑫" dateTime="2023-06-20T08:46:36" isNormal="0">
            <s:text>
              <s:r>
                <s:t xml:space="preserve">提单日5月31号， 赵经理船期表格没有放在5月，而是放在6月。 20230620</s:t>
              </s:r>
            </s:text>
          </item>
        </commentChain>
      </unresolved>
      <resolved/>
    </commentChains>
    <commentChains s:ref="I41" rgbClr="FF0000">
      <unresolved>
        <commentChain chainId="5d91d9595c1979066b09d6781089a7356a415358">
          <item id="{01470e97-3645-378d-051e-10622ccc06e9}" userID="290931110" userName="罗旭阳" dateTime="2023-06-20T06:42:18" isNormal="0">
            <s:text>
              <s:r>
                <s:t xml:space="preserve">5月船期金额未体现</s:t>
              </s:r>
            </s:text>
          </item>
        </commentChain>
      </unresolved>
      <resolved/>
    </commentChains>
    <commentChains s:ref="I42" rgbClr="FF0000">
      <unresolved>
        <commentChain chainId="42ee310cac3a92145a8b0c260d0e1574ac8ad010">
          <item id="{2a7e3ae1-25e3-16c8-27ae-245a08b42ccc}" userID="290931110" userName="罗旭阳" dateTime="2023-06-20T06:45:10" isNormal="0">
            <s:text>
              <s:r>
                <s:t xml:space="preserve">5月船期金额未体现</s:t>
              </s:r>
            </s:text>
          </item>
        </commentChain>
      </unresolved>
      <resolved/>
    </commentChains>
    <commentChains s:ref="I57" rgbClr="FF0000">
      <unresolved>
        <commentChain chainId="883c82176dc5adbb70a3b7e16707fd762b584422">
          <item id="{0f9d347a-2872-13f7-072b-1f3b0f5c31a9}" userID="290931110" userName="罗旭阳" dateTime="2023-06-20T03:54:20" isNormal="0">
            <s:text>
              <s:r>
                <s:t xml:space="preserve">未填写船期金额</s:t>
              </s:r>
            </s:text>
          </item>
        </commentChain>
      </unresolved>
      <resolved/>
    </commentChains>
    <commentChains s:ref="M62" rgbClr="FF0000">
      <unresolved>
        <commentChain chainId="600e509b49ee7bf8c5813eab9acba19a03594a5d">
          <item id="{3a5e2083-08b4-326e-2666-33f71958378d}" userID="290931110" userName="罗旭阳" dateTime="2023-06-20T03:32:02" isNormal="0">
            <s:text>
              <s:r>
                <s:t xml:space="preserve">提单显示5月16，赵经理表格里5月及其他月都未体现此票</s:t>
              </s:r>
            </s:text>
          </item>
        </commentChain>
      </unresolved>
      <resolved/>
    </commentChains>
    <commentChains s:ref="M68" rgbClr="FF0000">
      <unresolved>
        <commentChain chainId="55bf558fbec5854d91bab3113134afdc28a1335f">
          <item id="{1ae131a9-2937-0831-26e9-33744083147a}" userID="290931110" userName="罗旭阳" dateTime="2023-06-20T03:01:42" isNormal="0">
            <s:text>
              <s:r>
                <s:t xml:space="preserve">未填开船日期，实际6月</s:t>
              </s:r>
            </s:text>
          </item>
        </commentChain>
      </unresolved>
      <resolved/>
    </commentChains>
    <commentChains s:ref="I69" rgbClr="FF0000">
      <unresolved>
        <commentChain chainId="a0bd41cebeb187f4ceaaff6d95b6cf43c0439d3b">
          <item id="{20411df3-33b6-07ae-1604-174b1a9f2624}" userID="290931110" userName="罗旭阳" dateTime="2023-06-20T02:53:29" isNormal="0">
            <s:text>
              <s:r>
                <s:t xml:space="preserve">未填写船期金额</s:t>
              </s:r>
            </s:text>
          </item>
        </commentChain>
      </unresolved>
      <resolved/>
    </commentChains>
    <commentChains s:ref="I70" rgbClr="FF0000">
      <unresolved>
        <commentChain chainId="5c10fd41557d327d91306660d4dd10fa26af27a8">
          <item id="{353f07ae-049b-3810-4106-1374391617ce}" userID="290931110" userName="罗旭阳" dateTime="2023-06-20T02:53:42" isNormal="0">
            <s:text>
              <s:r>
                <s:t xml:space="preserve">未填写船期金额</s:t>
              </s:r>
            </s:text>
          </item>
        </commentChain>
      </unresolved>
      <resolved/>
    </commentChains>
    <commentChains s:ref="I72" rgbClr="FF0000">
      <unresolved>
        <commentChain chainId="5bf01a818deedc2e88d8150d62d07983b91ea4c4">
          <item id="{25e313f7-3e35-1b22-16c8-16c80b85251e}" userID="290931110" userName="罗旭阳" dateTime="2023-06-20T03:11:44" isNormal="0">
            <s:text>
              <s:r>
                <s:t xml:space="preserve">未填写船期金额</s:t>
              </s:r>
            </s:text>
          </item>
        </commentChain>
      </unresolved>
      <resolved/>
    </commentChains>
    <commentChains s:ref="I73" rgbClr="FF0000">
      <unresolved>
        <commentChain chainId="073cec6e7cc5f1baaba9a85adad649f7da9388c6">
          <item id="{1f7c3a5e-122d-1958-0fdf-287240410937}" userID="290931110" userName="罗旭阳" dateTime="2023-06-20T03:09:17" isNormal="0">
            <s:text>
              <s:r>
                <s:t xml:space="preserve">未填写船期金额</s:t>
              </s:r>
            </s:text>
          </item>
        </commentChain>
      </unresolved>
      <resolved/>
    </commentChains>
  </commentList>
  <commentList sheetStid="61">
    <commentChains s:ref="M8" rgbClr="FF0000">
      <unresolved>
        <commentChain chainId="e9a51d16ac35e351d0df1109fff138c8b2caf6a0">
          <item id="{19327EBC-374A-0629-E68F-A364E679A5C7}" userID="1170015202" userName="魏鑫" dateTime="2023-06-20T08:45:40" isNormal="0">
            <s:text>
              <s:r>
                <s:t xml:space="preserve">提单日5月31号，赵经理表格没有放在5月，而是放在6月 20230620</s:t>
              </s:r>
            </s:text>
          </item>
          <item id="{326e2d0e-224d-228f-2a3d-1fbe3f3b153f}" userID="1170015202" userName="魏鑫" dateTime="2023-07-04T03:20:55" isNormal="0">
            <s:text>
              <s:r>
                <s:t xml:space="preserve">海关记录显示最终船期在6月</s:t>
              </s:r>
            </s:text>
          </item>
        </commentChain>
      </unresolved>
      <resolved/>
    </commentChains>
    <commentChains s:ref="M9" rgbClr="FF0000">
      <unresolved>
        <commentChain chainId="ad08e6e6396dbe8cabb21bb2131ecde5a837d968">
          <item id="{AB480D36-1AEF-F3DA-4D90-A3641312CE2F}" userID="1170015202" userName="魏鑫" dateTime="2023-06-20T08:46:02" isNormal="0">
            <s:text>
              <s:r>
                <s:t xml:space="preserve">一台产品4月发到成都拼柜，5月开船，没有在赵经理表格里显示 20230620</s:t>
              </s:r>
            </s:text>
          </item>
          <item id="{21470666-34bc-2c8b-2147-2f1a16c82d0e}" userID="1170015202" userName="魏鑫" dateTime="2023-07-04T03:22:46" isNormal="0">
            <s:text>
              <s:r>
                <s:t xml:space="preserve">海关数据最终显示船期在6月</s:t>
              </s:r>
            </s:text>
          </item>
        </commentChain>
      </unresolved>
      <resolved/>
    </commentChains>
    <commentChains s:ref="M10" rgbClr="FF0000">
      <unresolved>
        <commentChain chainId="6ce19601c2a37a73271c0587ba89aa7c6964cee9">
          <item id="{E4D1ADBE-6280-0AA0-4A8F-A364743F6BA3}" userID="1170015202" userName="魏鑫" dateTime="2023-06-20T08:46:20" isNormal="0">
            <s:text>
              <s:r>
                <s:t xml:space="preserve">提单日5月25号，赵经理表格5月船期没有此票 20230620</s:t>
              </s:r>
            </s:text>
          </item>
          <item id="{31a906e9-37ce-147a-2106-2c49218930a3}" userID="1170015202" userName="魏鑫" dateTime="2023-07-04T03:18:34" isNormal="0">
            <s:text>
              <s:r>
                <s:t xml:space="preserve">海关记录显示船期在6月</s:t>
              </s:r>
            </s:text>
          </item>
        </commentChain>
      </unresolved>
      <resolved/>
    </commentChains>
    <commentChains s:ref="N18" rgbClr="FF0000">
      <unresolved>
        <commentChain chainId="899867c73637d957cc44b02e54e68c3adba0d4e1">
          <item id="{2e971e35-2395-2189-24dd-378d3db20000}" userID="1170015202" userName="魏鑫" dateTime="2023-06-20T03:29:42" isNormal="0">
            <s:text>
              <s:r>
                <s:t xml:space="preserve">从5月开船移至6月开船，后续再确认准确开船日 20230620</s:t>
              </s:r>
            </s:text>
          </item>
        </commentChain>
      </unresolved>
      <resolved/>
    </commentChains>
    <commentChains s:ref="I45" rgbClr="FF0000">
      <unresolved>
        <commentChain chainId="0df2741201fd2f876089a78ff09c2c3165756cd4">
          <item id="{2d912395-39db-374b-2937-04dd16451b22}" userID="290931110" userName="罗旭阳" dateTime="2023-06-20T06:38:56" isNormal="0">
            <s:text>
              <s:r>
                <s:t xml:space="preserve">船期金额未体现在6月</s:t>
              </s:r>
            </s:text>
          </item>
        </commentChain>
      </unresolved>
      <resolved/>
    </commentChains>
    <commentChains s:ref="M70" rgbClr="FF0000">
      <unresolved>
        <commentChain chainId="89e5cd30afb3dd99eeac2b02aa602cce1385dcfe">
          <item id="{35810189-378d-2c08-15c2-05e30a3d0b85}" userID="290931110" userName="罗旭阳" dateTime="2023-06-20T03:02:56" isNormal="0">
            <s:text>
              <s:r>
                <s:t xml:space="preserve">船期金额未体现到6月</s:t>
              </s:r>
            </s:text>
          </item>
        </commentChain>
      </unresolved>
      <resolved/>
    </commentChains>
    <commentChains s:ref="I76" rgbClr="FF0000">
      <unresolved>
        <commentChain chainId="92ccd270c8fae0202a798b0b2eac1e39bccbca78">
          <item id="{38511a5e-224d-228f-25e3-20c4224d03d7}" userID="290931110" userName="罗旭阳" dateTime="2023-07-05T07:10:13" isNormal="0">
            <s:text>
              <s:r>
                <s:t xml:space="preserve">以色列OS-06X11万船期6月30，财务未统计</s:t>
              </s:r>
            </s:text>
          </item>
        </commentChain>
      </unresolved>
      <resolved/>
    </commentChains>
  </commentList>
  <commentList sheetStid="67">
    <commentChains s:ref="N53" rgbClr="FF0000">
      <unresolved>
        <commentChain chainId="a3f0913eb8f545a8230dca7ca8d23028be79fce3">
          <item id="8bce7c489c12cc8acdd765a9f14c17e0f00bc325" userID="1070062399" userName="洪丹瑜" dateTime="2023-10-07T02:22:04" isNormal="0">
            <s:text>
              <s:r>
                <s:t xml:space="preserve">已跟货代确认9.30开船</s:t>
              </s:r>
            </s:text>
          </item>
        </commentChain>
      </unresolved>
      <resolved/>
    </commentChains>
  </commentList>
  <commentList sheetStid="70">
    <commentChains s:ref="H119" rgbClr="FF0000">
      <unresolved>
        <commentChain chainId="10493d798b9e5474cc9852090add7dc0cf35ce2a">
          <item id="0bbe2d8a56d78887af5771c601e05135f1dfd377" userID="290931110" userName="罗旭阳" dateTime="2023-10-31T02:33:23" isNormal="0">
            <s:text>
              <s:r>
                <s:t xml:space="preserve">赵确认此金额是没通过K3开单的市场赞助费金额，财务手动算给南非客户。</s:t>
              </s:r>
            </s:text>
          </item>
        </commentChain>
      </unresolved>
      <resolved/>
    </commentChains>
    <commentChains s:ref="G171" rgbClr="FF0000">
      <unresolved>
        <commentChain chainId="a6a8a4bd5a59305467d688dc31e94dc6f757bac1">
          <item id="5e19e8fddb3d1982617edc888f5699173fcb2858" userID="290931110" userName="罗旭阳" dateTime="2023-10-27T07:42:42" isNormal="0">
            <s:text>
              <s:r>
                <s:t xml:space="preserve">不在本月发货订单，但在2023年发</s:t>
              </s:r>
            </s:text>
          </item>
        </commentChain>
      </unresolved>
      <resolved/>
    </commentChains>
    <commentChains s:ref="G173" rgbClr="FF0000">
      <unresolved>
        <commentChain chainId="122ef83077155ea3bd9031720be746164d4464e7">
          <item id="f8450b0770d84f937a845ea91536c76e94f4ed14" userID="290931110" userName="罗旭阳" dateTime="2023-10-12T09:37:34" isNormal="0">
            <s:text>
              <s:r>
                <s:t xml:space="preserve">含9月开单船期落10月527万</s:t>
              </s:r>
            </s:text>
          </item>
        </commentChain>
      </unresolved>
      <resolved/>
    </commentChains>
    <commentChains s:ref="G175" rgbClr="FF0000">
      <unresolved>
        <commentChain chainId="8f614e2c5755c7aee31efda5d666f195d4ed5fa3">
          <item id="667cda2262838e7f92fe34d8ab3e82a9991a9b66" userID="290931110" userName="罗旭阳" dateTime="2023-10-12T09:58:53" isNormal="0">
            <s:text>
              <s:r>
                <s:t xml:space="preserve">Q4船期月平均1670万</s:t>
              </s:r>
            </s:text>
          </item>
        </commentChain>
      </unresolved>
      <resolved/>
    </commentChains>
    <commentChains s:ref="G176" rgbClr="FF0000">
      <unresolved>
        <commentChain chainId="9096507fece87943d36075440cc41dceac58587f">
          <item id="41b33778bd395bfbf6a7c82d09ca50fd81ad828f" userID="290931110" userName="罗旭阳" dateTime="2023-10-12T09:59:29" isNormal="0">
            <s:text>
              <s:r>
                <s:t xml:space="preserve">Q4船期月平均2500万</s:t>
              </s:r>
            </s:text>
          </item>
        </commentChain>
      </unresolved>
      <resolved/>
    </commentChains>
  </commentList>
  <commentList sheetStid="72">
    <commentChains s:ref="G194" rgbClr="FF0000">
      <unresolved>
        <commentChain chainId="356d54ef1fe0da27fbdf7963a4b54d7a5c6a9286">
          <item id="8a868c325c4fc54cd6dbfdd57bc588034b961253" userID="290931110" userName="罗旭阳" dateTime="2023-11-13T02:43:40" isNormal="0">
            <s:text>
              <s:r>
                <s:t xml:space="preserve">截止11月13日，有一定把握的洽谈中订单（标绿）金额123万美元，合873万人民币</s:t>
              </s:r>
            </s:text>
          </item>
        </commentChain>
      </unresolved>
      <resolved/>
    </commentChains>
    <commentChains s:ref="G195" rgbClr="FF0000">
      <unresolved/>
      <resolved>
        <commentChain chainId="71590302f46ba25e68cd1485822af87da1bdc68e">
          <item id="e4ae19285dd1569407aa965b06618a62fda0707a" userID="290931110" userName="罗旭阳" dateTime="2023-10-12T09:37:34" isNormal="0">
            <s:text>
              <s:r>
                <s:t xml:space="preserve">含9月开单船期落10月527万</s:t>
              </s:r>
            </s:text>
          </item>
        </commentChain>
      </resolved>
    </commentChains>
    <commentChains s:ref="G199" rgbClr="FF0000">
      <unresolved/>
      <resolved>
        <commentChain chainId="b94a4460f4fd2f9d54473e1dd411cff218c5be7b">
          <item id="62eb09d10cf1c39b850338d5a482305b37806e77" userID="290931110" userName="罗旭阳" dateTime="2023-10-12T09:58:53" isNormal="0">
            <s:text>
              <s:r>
                <s:t xml:space="preserve">Q4船期月平均1670万</s:t>
              </s:r>
            </s:text>
          </item>
        </commentChain>
      </resolved>
    </commentChains>
    <commentChains s:ref="G200" rgbClr="FF0000">
      <unresolved/>
      <resolved>
        <commentChain chainId="51c6d255242a8dedc3352e085e71650222a07fc1">
          <item id="366f0f95ae3280f40342abdc5461d4eddb3e9f09" userID="290931110" userName="罗旭阳" dateTime="2023-10-12T09:59:29" isNormal="0">
            <s:text>
              <s:r>
                <s:t xml:space="preserve">Q4船期月平均2500万</s:t>
              </s:r>
            </s:text>
          </item>
        </commentChain>
      </resolved>
    </commentChains>
  </commentList>
  <commentList sheetStid="79">
    <commentChains s:ref="C19" rgbClr="FF0000">
      <unresolved/>
      <resolved>
        <commentChain chainId="d0dc07b4adf79bd5ace79bb3cc5f88f1af9405f6">
          <item id="3addce7018959e7cad98d02a3c89809dde3922eb" userID="290931110" userName="罗旭阳" dateTime="2024-02-04T08:05:51" isNormal="0">
            <s:text>
              <s:r>
                <s:t xml:space="preserve">前期累计未完成目标+当期目标</s:t>
              </s:r>
            </s:text>
          </item>
        </commentChain>
      </resolved>
    </commentChains>
    <commentChains s:ref="F135" rgbClr="FF0000">
      <unresolved/>
      <resolved>
        <commentChain chainId="05005eeccf5e88539f0475f3f7425cb7c4cd1bae">
          <item id="2c8d91b3df64ca8282400207e940f9cb82da65d2" userID="290931110" userName="罗旭阳" dateTime="2024-02-27T10:46:29" isNormal="0">
            <s:text>
              <s:r>
                <s:t xml:space="preserve">桑给巴尔，拼柜</s:t>
              </s:r>
            </s:text>
          </item>
        </commentChain>
      </resolved>
    </commentChains>
    <commentChains s:ref="F136" rgbClr="FF0000">
      <unresolved>
        <commentChain chainId="0fe227306a5f4da1b134b2548ebc2d7db3df8813">
          <item id="6c462fb240606483639fe7e55af71fca0365522f" userID="290931110" userName="罗旭阳" dateTime="2024-03-22T01:29:59" isNormal="0">
            <s:text>
              <s:r>
                <s:t xml:space="preserve">发桑给巴尔，拼柜</s:t>
              </s:r>
            </s:text>
          </item>
        </commentChain>
      </unresolved>
      <resolved/>
    </commentChains>
    <commentChains s:ref="G186" rgbClr="FF0000">
      <unresolved/>
      <resolved>
        <commentChain chainId="4f9ef3ab7b477f4f21aefab2e445a1bf39e361a4">
          <item id="9f899daaa92b5babd5d442b249adbfd958459062" userID="290931110" userName="罗旭阳" dateTime="2023-12-19T05:21:48" isNormal="0">
            <s:text>
              <s:r>
                <s:t xml:space="preserve">含22年12月发货船期落1月577万元</s:t>
              </s:r>
            </s:text>
          </item>
        </commentChain>
      </resolved>
    </commentChains>
    <commentChains s:ref="G187" rgbClr="FF0000">
      <unresolved/>
      <resolved>
        <commentChain chainId="4bf5bff7b5e801c1e93b6b821010f9ae9fc90a87">
          <item id="bb7665867fd810970213c98907ad420cd56741d4" userID="290931110" userName="罗旭阳" dateTime="2023-10-12T09:37:34" isNormal="0">
            <s:text>
              <s:r>
                <s:t xml:space="preserve">含9月开单船期落10月527万</s:t>
              </s:r>
            </s:text>
          </item>
        </commentChain>
      </resolved>
    </commentChains>
    <commentChains s:ref="G190" rgbClr="FF0000">
      <unresolved/>
      <resolved>
        <commentChain chainId="d5bf601a7e25a2b575d1700c49f97a2f6a548128">
          <item id="b19dd802f349adef4e11d0a2ca42f28cc6f83447" userID="290931110" userName="罗旭阳" dateTime="2023-10-12T09:58:53" isNormal="0">
            <s:text>
              <s:r>
                <s:t xml:space="preserve">Q4船期月平均1670万</s:t>
              </s:r>
            </s:text>
          </item>
        </commentChain>
      </resolved>
    </commentChains>
    <commentChains s:ref="G191" rgbClr="FF0000">
      <unresolved/>
      <resolved>
        <commentChain chainId="68774cb776fd80313488dad91dcfa5739edcd43b">
          <item id="1d3df8bafa93e3764a9e06562d662b62e3aba57a" userID="290931110" userName="罗旭阳" dateTime="2023-10-12T09:59:29" isNormal="0">
            <s:text>
              <s:r>
                <s:t xml:space="preserve">Q4船期月平均2500万</s:t>
              </s:r>
            </s:text>
          </item>
        </commentChain>
      </resolved>
    </commentChains>
  </commentList>
  <commentList sheetStid="81">
    <commentChains s:ref="C28" rgbClr="FF0000">
      <unresolved/>
      <resolved>
        <commentChain chainId="5d887873f42e0b2177044f602f8cf27c034f9a94">
          <item id="74bbcc3774936559d12e03614ee0695890baec35" userID="290931110" userName="罗旭阳" dateTime="2024-02-04T08:05:51" isNormal="0">
            <s:text>
              <s:r>
                <s:t xml:space="preserve">前期累计未完成目标+当期目标</s:t>
              </s:r>
            </s:text>
          </item>
        </commentChain>
      </resolved>
    </commentChains>
    <commentChains s:ref="F170" rgbClr="FF0000">
      <unresolved>
        <commentChain chainId="8b0027b84233eebde9f345046ca5051d74da975c">
          <item id="c2af69c5d8159db8e82b3c7085e9b96ddb495776" userID="290931110" userName="罗旭阳" dateTime="2024-03-22T01:29:59" isNormal="0">
            <s:text>
              <s:r>
                <s:t xml:space="preserve">发桑给巴尔，拼柜</s:t>
              </s:r>
            </s:text>
          </item>
        </commentChain>
      </unresolved>
      <resolved/>
    </commentChains>
    <commentChains s:ref="G228" rgbClr="FF0000">
      <unresolved/>
      <resolved>
        <commentChain chainId="f447d89b7b362d64494b19c79d5c6614ff292dea">
          <item id="5472734088968d47a74d881e623e9a059a78c460" userID="290931110" userName="罗旭阳" dateTime="2023-12-19T05:21:48" isNormal="0">
            <s:text>
              <s:r>
                <s:t xml:space="preserve">含22年12月发货船期落1月577万元</s:t>
              </s:r>
            </s:text>
          </item>
        </commentChain>
      </resolved>
    </commentChains>
    <commentChains s:ref="G229" rgbClr="FF0000">
      <unresolved/>
      <resolved>
        <commentChain chainId="87f267756d87e5a3f70bb62be059f8dca57c82ba">
          <item id="cd3f2bfa99876891e7148de287b422744032a4e9" userID="290931110" userName="罗旭阳" dateTime="2023-10-12T09:37:34" isNormal="0">
            <s:text>
              <s:r>
                <s:t xml:space="preserve">含9月开单船期落10月527万</s:t>
              </s:r>
            </s:text>
          </item>
        </commentChain>
      </resolved>
    </commentChains>
    <commentChains s:ref="G232" rgbClr="FF0000">
      <unresolved/>
      <resolved>
        <commentChain chainId="d8ce929d58bb2b10349fb5e76aa6f4a4d961a15d">
          <item id="7f5c6d4b6f035dab4ad3a58b2b2d524610d0ece8" userID="290931110" userName="罗旭阳" dateTime="2023-10-12T09:58:53" isNormal="0">
            <s:text>
              <s:r>
                <s:t xml:space="preserve">Q4船期月平均1670万</s:t>
              </s:r>
            </s:text>
          </item>
        </commentChain>
      </resolved>
    </commentChains>
    <commentChains s:ref="G233" rgbClr="FF0000">
      <unresolved/>
      <resolved>
        <commentChain chainId="c405cd8dd50eb2ef3601b2d97bbafc64f05d94b6">
          <item id="61c6f933396d725a53d8432d3de11991be404c49" userID="290931110" userName="罗旭阳" dateTime="2023-10-12T09:59:29" isNormal="0">
            <s:text>
              <s:r>
                <s:t xml:space="preserve">Q4船期月平均2500万</s:t>
              </s:r>
            </s:text>
          </item>
        </commentChain>
      </resolved>
    </commentChains>
  </commentList>
  <commentList sheetStid="90">
    <commentChains s:ref="I4" rgbClr="FF0000">
      <unresolved/>
      <resolved>
        <commentChain chainId="0a37eeaadecbf1090a24af530c867cda4b509f73">
          <item id="3c458ff055b8cb86c3d20217a7100d67c23d6813" userID="290931110" userName="罗旭阳" dateTime="2024-11-28T09:08:23" isNormal="0">
            <s:text>
              <s:r>
                <s:t xml:space="preserve">T9100线上改制</s:t>
              </s:r>
            </s:text>
          </item>
        </commentChain>
        <commentChain chainId="bf2d47b606751806a4fc85bbba778a8734581399">
          <item id="f59dfa95d15e1233a502a4d19e683c96f6be16f7" userID="1658026544" userName="李润奎" dateTime="2024-12-07T01:35:19" isNormal="0">
            <s:text>
              <s:r>
                <s:t xml:space="preserve">西班牙Wifit，下周访厂，预计现场签单</s:t>
              </s:r>
            </s:text>
          </item>
        </commentChain>
      </resolved>
    </commentChains>
    <commentChains s:ref="O4" rgbClr="FF0000">
      <unresolved/>
      <resolved>
        <commentChain chainId="201c60ff121bb840459e68be8e970c1a3b9c1af8">
          <item id="e092aeab28b6f8be963424c7914216fc400c661c" userID="1658026544" userName="李润奎" dateTime="2024-12-12T00:04:06" isNormal="0">
            <s:text>
              <s:r>
                <s:t xml:space="preserve">正在与货代确认中</s:t>
              </s:r>
            </s:text>
          </item>
        </commentChain>
      </resolved>
    </commentChains>
    <commentChains s:ref="O7" rgbClr="FF0000">
      <unresolved/>
      <resolved>
        <commentChain chainId="39659178ef7a007c361754038709085e6e974a3d">
          <item id="933eccffac3ef043062a8704cacf914086b6b876" userID="290931110" userName="罗旭阳" dateTime="2024-12-06T09:04:48" isNormal="0">
            <s:text>
              <s:r>
                <s:t xml:space="preserve">正在定3柜，船期21-23， 备选3+1柜，船期25</s:t>
              </s:r>
            </s:text>
          </item>
        </commentChain>
      </resolved>
    </commentChains>
    <commentChains s:ref="H24" rgbClr="FF0000">
      <unresolved/>
      <resolved>
        <commentChain chainId="8f3f0736d3ddd34b11b446da9f70fad27a815062">
          <item id="c5fc07d5080422134255719c3c7eefe3ff35a1c6" userID="290931110" userName="罗旭阳" dateTime="2024-12-09T01:52:04" isNormal="0">
            <s:text>
              <s:r>
                <s:t xml:space="preserve">本月争取开单，但船期不在本月</s:t>
              </s:r>
            </s:text>
          </item>
        </commentChain>
      </resolved>
    </commentChains>
    <commentChains s:ref="I38" rgbClr="FF0000">
      <unresolved/>
      <resolved>
        <commentChain chainId="5dd114fac434f1fd8f1e53f1a7fa65bcb7f6646f">
          <item id="ac70766db605b5ea186d82155c15b1cd232b32c0" userID="290931110" userName="罗旭阳" dateTime="2024-11-28T09:04:07" isNormal="0">
            <s:text>
              <s:r>
                <s:t xml:space="preserve">12月10日来访，4个俱乐部可争取,3月开业一家</s:t>
              </s:r>
            </s:text>
          </item>
        </commentChain>
      </resolved>
    </commentChains>
    <commentChains s:ref="O133" rgbClr="FF0000">
      <unresolved/>
      <resolved>
        <commentChain chainId="f0127816dd78fcd8196174c658c578093bf155f7">
          <item id="84fd342b59aaa15963fa31280effe12995aa6af2" userID="1651263660" userName="罗旭阳" dateTime="2024-12-13T12:28:16" isNormal="0">
            <s:text>
              <s:r>
                <s:t xml:space="preserve">世楷安排中，27或28。受清关费，验货申请等影响，需20号C单装完才能申请IDF和验货，装柜。</s:t>
              </s:r>
            </s:text>
          </item>
        </commentChain>
      </resolved>
    </commentChains>
    <commentChains s:ref="K158" rgbClr="FF0000">
      <unresolved/>
      <resolved>
        <commentChain chainId="a4a4c19fed936323dd4260b8bab2a400c3247e0f">
          <item id="a6973c2da6381a9bea3bf66dec0e6194ef5e27c3" userID="1651263660" userName="罗旭阳" dateTime="2024-12-21T07:36:02" isNormal="0">
            <s:text>
              <s:r>
                <s:t xml:space="preserve">赵确认11落12船期金额1447万-可统计到的船期11落12的金额1286万=161万</s:t>
              </s:r>
            </s:text>
          </item>
        </commentChain>
      </resolved>
    </commentChains>
  </commentList>
  <commentList sheetStid="91">
    <commentChains s:ref="I4" rgbClr="FF0000">
      <unresolved/>
      <resolved>
        <commentChain chainId="599ecb2880cb2f67936290aa5b311f691995c027">
          <item id="d161b4b20c2ac64125d045b37bbbe5c37693eef1" userID="290931110" userName="罗旭阳" dateTime="2024-11-28T09:08:23" isNormal="0">
            <s:text>
              <s:r>
                <s:t xml:space="preserve">T9100线上改制</s:t>
              </s:r>
            </s:text>
          </item>
        </commentChain>
        <commentChain chainId="01e00d9e81accac1173e0045a9c426858193282d">
          <item id="12b623a1cfab1869f5c7882a7376d7f73b59acfd" userID="1658026544" userName="李润奎" dateTime="2024-12-07T01:35:19" isNormal="0">
            <s:text>
              <s:r>
                <s:t xml:space="preserve">西班牙Wifit，下周访厂，预计现场签单</s:t>
              </s:r>
            </s:text>
          </item>
        </commentChain>
      </resolved>
    </commentChains>
    <commentChains s:ref="O4" rgbClr="FF0000">
      <unresolved/>
      <resolved>
        <commentChain chainId="656558fc422f4cad7c354902931347853304e90f">
          <item id="89fa42975232a33e9fa657be58dddfa92adbdaa2" userID="1658026544" userName="李润奎" dateTime="2024-12-12T00:04:06" isNormal="0">
            <s:text>
              <s:r>
                <s:t xml:space="preserve">正在与货代确认中</s:t>
              </s:r>
            </s:text>
          </item>
        </commentChain>
      </resolved>
    </commentChains>
    <commentChains s:ref="O8" rgbClr="FF0000">
      <unresolved/>
      <resolved>
        <commentChain chainId="31c31d8a02c3c6198ae69d6567490d0c216897ae">
          <item id="3aec06b6a2b5ecf93e109561120fa81ee3210cd7" userID="290931110" userName="罗旭阳" dateTime="2024-12-06T09:04:48" isNormal="0">
            <s:text>
              <s:r>
                <s:t xml:space="preserve">正在定3柜，船期21-23， 备选3+1柜，船期25</s:t>
              </s:r>
            </s:text>
          </item>
        </commentChain>
      </resolved>
    </commentChains>
    <commentChains s:ref="I19" rgbClr="FF0000">
      <unresolved/>
      <resolved>
        <commentChain chainId="9bd7aa658aa1d4fabd65009d56db8bef1ff211af">
          <item id="0732f870d75b0a186849019c29709357f00925d7" userID="290931110" userName="罗旭阳" dateTime="2024-11-28T09:04:07" isNormal="0">
            <s:text>
              <s:r>
                <s:t xml:space="preserve">12月10日来访，4个俱乐部可争取,3月开业一家</s:t>
              </s:r>
            </s:text>
          </item>
        </commentChain>
      </resolved>
    </commentChains>
    <commentChains s:ref="H24" rgbClr="FF0000">
      <unresolved/>
      <resolved>
        <commentChain chainId="a8db497d8ca6ca4913d4e43603fccc2e6cfc7c32">
          <item id="a87d0e51e950c33ff7535b12fb75436c63da4be5" userID="290931110" userName="罗旭阳" dateTime="2024-12-09T01:52:04" isNormal="0">
            <s:text>
              <s:r>
                <s:t xml:space="preserve">本月争取开单，但船期不在本月</s:t>
              </s:r>
            </s:text>
          </item>
        </commentChain>
      </resolved>
    </commentChains>
    <commentChains s:ref="I44" rgbClr="FF0000">
      <unresolved/>
      <resolved>
        <commentChain chainId="73326b965c162c4cd998da898bd2a9e34fb02c83">
          <item id="80d29f01ff94aa9fd28b7b033d61b7dcda57189a" userID="290931110" userName="罗旭阳" dateTime="2024-11-28T09:04:07" isNormal="0">
            <s:text>
              <s:r>
                <s:t xml:space="preserve">12月10日来访，4个俱乐部可争取,3月开业一家</s:t>
              </s:r>
            </s:text>
          </item>
        </commentChain>
      </resolved>
    </commentChains>
    <commentChains s:ref="O46" rgbClr="FF0000">
      <unresolved/>
      <resolved>
        <commentChain chainId="3fd3664d233b09a3a105910616f88311f404333f">
          <item id="14ad172490bfe9b2d64785a2d03070af12e074d7" userID="290931110" userName="罗旭阳" dateTime="2024-12-06T09:04:48" isNormal="0">
            <s:text>
              <s:r>
                <s:t xml:space="preserve">正在定3柜，船期21-23， 备选3+1柜，船期25</s:t>
              </s:r>
            </s:text>
          </item>
        </commentChain>
      </resolved>
    </commentChains>
    <commentChains s:ref="E119" rgbClr="FF0000">
      <unresolved/>
      <resolved>
        <commentChain chainId="b0b2d09488e8521c205e8bd12d3a55cf23f9e2f2">
          <item id="e7098d3c8b553e73d1b42822450c6dfe87d7b60e" userID="1498426600" userName="高树海" dateTime="2025-02-16T02:52:41" isNormal="0">
            <s:text>
              <s:r>
                <s:t xml:space="preserve">人民币交易，因此不体现汇率</s:t>
              </s:r>
            </s:text>
          </item>
        </commentChain>
      </resolved>
    </commentChains>
    <commentChains s:ref="G120" rgbClr="FF0000">
      <unresolved/>
      <resolved>
        <commentChain chainId="44ec82108e93a463ceaad33d6dd73ec5fa47bc7c">
          <item id="abb41dde758cf113a81a62b68a5466653fddef70" userID="1498426600" userName="高树海" dateTime="2025-02-18T02:23:39" isNormal="0">
            <s:text>
              <s:r>
                <s:t xml:space="preserve">G599哑铃凳订单</s:t>
              </s:r>
            </s:text>
          </item>
        </commentChain>
      </resolved>
    </commentChains>
    <commentChains s:ref="E130" rgbClr="FF0000">
      <unresolved/>
      <resolved>
        <commentChain chainId="d9b004720ecaaeee229233b7e56b9db4d980bf94">
          <item id="519ca04fabf9e29b457b914a164d779576142698" userID="1651263660" userName="罗旭阳" dateTime="2025-01-24T10:03:16" isNormal="0">
            <s:text>
              <s:r>
                <s:t xml:space="preserve">如何帮助客户快速在东南亚扩张</s:t>
              </s:r>
            </s:text>
          </item>
        </commentChain>
      </resolved>
    </commentChains>
    <commentChains s:ref="K182" rgbClr="FF0000">
      <unresolved/>
      <resolved>
        <commentChain chainId="6d437bd0560b0c80ee2743ca4d3ba5dc625d4427">
          <item id="8d5c27ab36376d6668f110df7d0c8aa2434bf3b7" userID="1651263660" userName="罗旭阳" dateTime="2024-12-21T07:36:02" isNormal="0">
            <s:text>
              <s:r>
                <s:t xml:space="preserve">赵确认11落12船期金额1447万-可统计到的船期11落12的金额1286万=161万</s:t>
              </s:r>
            </s:text>
          </item>
        </commentChain>
      </resolved>
    </commentChains>
  </commentList>
  <commentList sheetStid="92">
    <commentChains s:ref="H13" rgbClr="FF0000">
      <unresolved/>
      <resolved>
        <commentChain chainId="fa8705da6b8a46204d246735de927cca9613f050">
          <item id="470fa755e9111fcf3af9db402a9ad65cefeab4fe" userID="290931110" userName="罗旭阳" dateTime="2024-12-09T01:52:04" isNormal="0">
            <s:text>
              <s:r>
                <s:t xml:space="preserve">本月争取开单，但船期不在本月</s:t>
              </s:r>
            </s:text>
          </item>
        </commentChain>
      </resolved>
    </commentChains>
    <commentChains s:ref="H19" rgbClr="FF0000">
      <unresolved/>
      <resolved>
        <commentChain chainId="bf73084391cb20c05f79d46585ad92a32c3fc11d">
          <item id="5565e5e346227f8b44f2e4bfdfbd192085ca0083" userID="290931110" userName="罗旭阳" dateTime="2024-12-09T01:52:04" isNormal="0">
            <s:text>
              <s:r>
                <s:t xml:space="preserve">本月争取开单，但船期不在本月</s:t>
              </s:r>
            </s:text>
          </item>
        </commentChain>
      </resolved>
    </commentChains>
    <commentChains s:ref="H20" rgbClr="FF0000">
      <unresolved/>
      <resolved>
        <commentChain chainId="a68e1b19a9d7bee8c9f08dce584e6b63b746b3c4">
          <item id="f5df4b2572fdbef7980559757e3013fddc8185f1" userID="290931110" userName="罗旭阳" dateTime="2024-12-09T01:52:04" isNormal="0">
            <s:text>
              <s:r>
                <s:t xml:space="preserve">本月争取开单，但船期不在本月</s:t>
              </s:r>
            </s:text>
          </item>
        </commentChain>
      </resolved>
    </commentChains>
    <commentChains s:ref="E125" rgbClr="FF0000">
      <unresolved/>
      <resolved>
        <commentChain chainId="3c7cdc961fa626e96f4a900497cedd8c08f0e45c">
          <item id="0f2ac701ca7fe40e19e28d708476406cd91af28a" userID="1651263660" userName="罗旭阳" dateTime="2025-01-24T10:03:16" isNormal="0">
            <s:text>
              <s:r>
                <s:t xml:space="preserve">如何帮助客户快速在东南亚扩张</s:t>
              </s:r>
            </s:text>
          </item>
        </commentChain>
      </resolved>
    </commentChains>
    <commentChains s:ref="E127" rgbClr="FF0000">
      <unresolved/>
      <resolved>
        <commentChain chainId="b193d391595a582ea5d4a679f64fd0870211529d">
          <item id="3e6f11de6fdfa06cb928bee497fabcfdab548f62" userID="1651263660" userName="罗旭阳" dateTime="2025-01-24T10:03:16" isNormal="0">
            <s:text>
              <s:r>
                <s:t xml:space="preserve">如何帮助客户快速在东南亚扩张</s:t>
              </s:r>
            </s:text>
          </item>
        </commentChain>
      </resolved>
    </commentChains>
    <commentChains s:ref="K163" rgbClr="FF0000">
      <unresolved/>
      <resolved>
        <commentChain chainId="0f73f62d960c4009de13edddcea678a7b7fd2256">
          <item id="caa1fc0da6fd9c398bfd273d783c93563763199d" userID="1651263660" userName="罗旭阳" dateTime="2024-12-21T07:36:02" isNormal="0">
            <s:text>
              <s:r>
                <s:t xml:space="preserve">赵确认11落12船期金额1447万-可统计到的船期11落12的金额1286万=161万</s:t>
              </s:r>
            </s:text>
          </item>
        </commentChain>
      </resolved>
    </commentChains>
    <commentChains s:ref="K175" rgbClr="FF0000">
      <unresolved/>
      <resolved>
        <commentChain chainId="c2e6b8894709976817605dd316b870a95354ce6c">
          <item id="19d3ee46446794f21e6a95fc73cfd04bb80ac80e" userID="1651263660" userName="罗旭阳" dateTime="2024-12-21T07:36:02" isNormal="0">
            <s:text>
              <s:r>
                <s:t xml:space="preserve">赵确认11落12船期金额1447万-可统计到的船期11落12的金额1286万=161万</s:t>
              </s:r>
            </s:text>
          </item>
        </commentChain>
      </resolved>
    </commentChains>
    <commentChains s:ref="K184" rgbClr="FF0000">
      <unresolved/>
      <resolved>
        <commentChain chainId="4f05e2f8609428b1d1df91bed140498d11f4b94d">
          <item id="d86e6cd2b954aafe1c2fed3e860fcd1d9d243fcd" userID="1651263660" userName="罗旭阳" dateTime="2024-12-21T07:36:02" isNormal="0">
            <s:text>
              <s:r>
                <s:t xml:space="preserve">赵确认11落12船期金额1447万-可统计到的船期11落12的金额1286万=161万</s:t>
              </s:r>
            </s:text>
          </item>
        </commentChain>
      </resolved>
    </commentChains>
  </commentList>
</comments>
</file>

<file path=customXml/item4.xml><?xml version="1.0" encoding="utf-8"?>
<NetdiskSupbooks xmlns="http://www.wps.cn/et/2019/netdiskSupbooks">
  <NetdiskSupbook Target="发货计划表（每天下班前更新）.xlsx" FileId="175962255264" NetdiskName="yunwps"/>
</NetdiskSupbooks>
</file>

<file path=customXml/item5.xml><?xml version="1.0" encoding="utf-8"?>
<autofilters xmlns="https://web.wps.cn/et/2018/main"/>
</file>

<file path=customXml/item6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1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20" interlineOnOff="0" interlineColor="0" isDbSheet="0" isDashBoardSheet="0" isDbDashBoardSheet="0" isFlexPaperSheet="0">
      <cellprotection/>
      <appEtDbRelations/>
    </woSheetProps>
    <woSheetProps sheetStid="21" interlineOnOff="0" interlineColor="0" isDbSheet="0" isDashBoardSheet="0" isDbDashBoardSheet="0" isFlexPaperSheet="0">
      <cellprotection/>
      <appEtDbRelations/>
    </woSheetProps>
    <woSheetProps sheetStid="22" interlineOnOff="0" interlineColor="0" isDbSheet="0" isDashBoardSheet="0" isDbDashBoardSheet="0" isFlexPaperSheet="0">
      <cellprotection/>
      <appEtDbRelations/>
    </woSheetProps>
    <woSheetProps sheetStid="24" interlineOnOff="0" interlineColor="0" isDbSheet="0" isDashBoardSheet="0" isDbDashBoardSheet="0" isFlexPaperSheet="0">
      <cellprotection/>
      <appEtDbRelations/>
    </woSheetProps>
    <woSheetProps sheetStid="25" interlineOnOff="0" interlineColor="0" isDbSheet="0" isDashBoardSheet="0" isDbDashBoardSheet="0" isFlexPaperSheet="0">
      <cellprotection/>
      <appEtDbRelations/>
    </woSheetProps>
    <woSheetProps sheetStid="26" interlineOnOff="0" interlineColor="0" isDbSheet="0" isDashBoardSheet="0" isDbDashBoardSheet="0" isFlexPaperSheet="0">
      <cellprotection/>
      <appEtDbRelations/>
    </woSheetProps>
    <woSheetProps sheetStid="27" interlineOnOff="0" interlineColor="0" isDbSheet="0" isDashBoardSheet="0" isDbDashBoardSheet="0" isFlexPaperSheet="0">
      <cellprotection/>
      <appEtDbRelations/>
    </woSheetProps>
    <woSheetProps sheetStid="28" interlineOnOff="0" interlineColor="0" isDbSheet="0" isDashBoardSheet="0" isDbDashBoardSheet="0" isFlexPaperSheet="0">
      <cellprotection/>
      <appEtDbRelations/>
    </woSheetProps>
    <woSheetProps sheetStid="29" interlineOnOff="0" interlineColor="0" isDbSheet="0" isDashBoardSheet="0" isDbDashBoardSheet="0" isFlexPaperSheet="0">
      <cellprotection/>
      <appEtDbRelations/>
    </woSheetProps>
    <woSheetProps sheetStid="30" interlineOnOff="0" interlineColor="0" isDbSheet="0" isDashBoardSheet="0" isDbDashBoardSheet="0" isFlexPaperSheet="0">
      <cellprotection/>
      <appEtDbRelations/>
    </woSheetProps>
    <woSheetProps sheetStid="31" interlineOnOff="0" interlineColor="0" isDbSheet="0" isDashBoardSheet="0" isDbDashBoardSheet="0" isFlexPaperSheet="0">
      <cellprotection/>
      <appEtDbRelations/>
    </woSheetProps>
    <woSheetProps sheetStid="33" interlineOnOff="0" interlineColor="0" isDbSheet="0" isDashBoardSheet="0" isDbDashBoardSheet="0" isFlexPaperSheet="0">
      <cellprotection/>
      <appEtDbRelations/>
    </woSheetProps>
    <woSheetProps sheetStid="38" interlineOnOff="0" interlineColor="0" isDbSheet="0" isDashBoardSheet="0" isDbDashBoardSheet="0" isFlexPaperSheet="0">
      <cellprotection/>
      <appEtDbRelations/>
    </woSheetProps>
    <woSheetProps sheetStid="39" interlineOnOff="0" interlineColor="0" isDbSheet="0" isDashBoardSheet="0" isDbDashBoardSheet="0" isFlexPaperSheet="0">
      <cellprotection/>
      <appEtDbRelations/>
    </woSheetProps>
    <woSheetProps sheetStid="41" interlineOnOff="0" interlineColor="0" isDbSheet="0" isDashBoardSheet="0" isDbDashBoardSheet="0" isFlexPaperSheet="0">
      <cellprotection/>
      <appEtDbRelations/>
    </woSheetProps>
    <woSheetProps sheetStid="44" interlineOnOff="0" interlineColor="0" isDbSheet="0" isDashBoardSheet="0" isDbDashBoardSheet="0" isFlexPaperSheet="0">
      <cellprotection/>
      <appEtDbRelations/>
    </woSheetProps>
    <woSheetProps sheetStid="45" interlineOnOff="0" interlineColor="0" isDbSheet="0" isDashBoardSheet="0" isDbDashBoardSheet="0" isFlexPaperSheet="0">
      <cellprotection/>
      <appEtDbRelations/>
    </woSheetProps>
    <woSheetProps sheetStid="46" interlineOnOff="0" interlineColor="0" isDbSheet="0" isDashBoardSheet="0" isDbDashBoardSheet="0" isFlexPaperSheet="0">
      <cellprotection/>
      <appEtDbRelations/>
    </woSheetProps>
    <woSheetProps sheetStid="68" interlineOnOff="0" interlineColor="0" isDbSheet="0" isDashBoardSheet="0" isDbDashBoardSheet="0" isFlexPaperSheet="0">
      <cellprotection/>
      <appEtDbRelations/>
    </woSheetProps>
    <woSheetProps sheetStid="54" interlineOnOff="0" interlineColor="0" isDbSheet="0" isDashBoardSheet="0" isDbDashBoardSheet="0" isFlexPaperSheet="0">
      <cellprotection/>
      <appEtDbRelations/>
    </woSheetProps>
    <woSheetProps sheetStid="55" interlineOnOff="0" interlineColor="0" isDbSheet="0" isDashBoardSheet="0" isDbDashBoardSheet="0" isFlexPaperSheet="0">
      <cellprotection/>
      <appEtDbRelations/>
    </woSheetProps>
    <woSheetProps sheetStid="56" interlineOnOff="0" interlineColor="0" isDbSheet="0" isDashBoardSheet="0" isDbDashBoardSheet="0" isFlexPaperSheet="0">
      <cellprotection/>
      <appEtDbRelations/>
    </woSheetProps>
    <woSheetProps sheetStid="76" interlineOnOff="0" interlineColor="0" isDbSheet="0" isDashBoardSheet="0" isDbDashBoardSheet="0" isFlexPaperSheet="0">
      <cellprotection/>
      <appEtDbRelations/>
    </woSheetProps>
    <woSheetProps sheetStid="57" interlineOnOff="0" interlineColor="0" isDbSheet="0" isDashBoardSheet="0" isDbDashBoardSheet="0" isFlexPaperSheet="0">
      <cellprotection/>
      <appEtDbRelations/>
    </woSheetProps>
    <woSheetProps sheetStid="59" interlineOnOff="0" interlineColor="0" isDbSheet="0" isDashBoardSheet="0" isDbDashBoardSheet="0" isFlexPaperSheet="0">
      <cellprotection/>
      <appEtDbRelations/>
    </woSheetProps>
    <woSheetProps sheetStid="61" interlineOnOff="0" interlineColor="0" isDbSheet="0" isDashBoardSheet="0" isDbDashBoardSheet="0" isFlexPaperSheet="0">
      <cellprotection/>
      <appEtDbRelations/>
    </woSheetProps>
    <woSheetProps sheetStid="65" interlineOnOff="0" interlineColor="0" isDbSheet="0" isDashBoardSheet="0" isDbDashBoardSheet="0" isFlexPaperSheet="0">
      <cellprotection/>
      <appEtDbRelations/>
    </woSheetProps>
    <woSheetProps sheetStid="66" interlineOnOff="0" interlineColor="0" isDbSheet="0" isDashBoardSheet="0" isDbDashBoardSheet="0" isFlexPaperSheet="0">
      <cellprotection/>
      <appEtDbRelations/>
    </woSheetProps>
    <woSheetProps sheetStid="67" interlineOnOff="0" interlineColor="0" isDbSheet="0" isDashBoardSheet="0" isDbDashBoardSheet="0" isFlexPaperSheet="0">
      <cellprotection/>
      <appEtDbRelations/>
    </woSheetProps>
    <woSheetProps sheetStid="70" interlineOnOff="0" interlineColor="0" isDbSheet="0" isDashBoardSheet="0" isDbDashBoardSheet="0" isFlexPaperSheet="0">
      <cellprotection/>
      <appEtDbRelations/>
    </woSheetProps>
    <woSheetProps sheetStid="72" interlineOnOff="0" interlineColor="0" isDbSheet="0" isDashBoardSheet="0" isDbDashBoardSheet="0" isFlexPaperSheet="0">
      <cellprotection/>
      <appEtDbRelations/>
    </woSheetProps>
    <woSheetProps sheetStid="79" interlineOnOff="0" interlineColor="0" isDbSheet="0" isDashBoardSheet="0" isDbDashBoardSheet="0" isFlexPaperSheet="0">
      <hyperlinks>
        <hyperlink ref="E66">
          <hypersublink pos="3" length="10" display="Fitness.Hr" address="https://Fitness.Hr" subaddress="" screenTip="" linkrunstype="LRTURL"/>
        </hyperlink>
      </hyperlinks>
      <cellprotection/>
      <appEtDbRelations/>
    </woSheetProps>
    <woSheetProps sheetStid="81" interlineOnOff="0" interlineColor="0" isDbSheet="0" isDashBoardSheet="0" isDbDashBoardSheet="0" isFlexPaperSheet="0">
      <hyperlinks>
        <hyperlink ref="E84">
          <hypersublink pos="3" length="10" display="Fitness.Hr" address="https://Fitness.Hr" subaddress="" screenTip="" linkrunstype="LRTURL"/>
        </hyperlink>
      </hyperlinks>
      <cellprotection/>
      <appEtDbRelations/>
    </woSheetProps>
    <woSheetProps sheetStid="90" interlineOnOff="0" interlineColor="0" isDbSheet="0" isDashBoardSheet="0" isDbDashBoardSheet="0" isFlexPaperSheet="0">
      <cellprotection/>
      <appEtDbRelations/>
    </woSheetProps>
    <woSheetProps sheetStid="91" interlineOnOff="0" interlineColor="0" isDbSheet="0" isDashBoardSheet="0" isDbDashBoardSheet="0" isFlexPaperSheet="0">
      <cellprotection/>
      <appEtDbRelations/>
    </woSheetProps>
    <woSheetProps sheetStid="92" interlineOnOff="0" interlineColor="0" isDbSheet="0" isDashBoardSheet="0" isDbDashBoardSheet="0" isFlexPaperSheet="0">
      <cellprotection/>
      <appEtDbRelations/>
    </woSheetProps>
    <woSheetProps sheetStid="98" interlineOnOff="0" interlineColor="0" isDbSheet="0" isDashBoardSheet="0" isDbDashBoardSheet="0" isFlexPaperSheet="0">
      <cellprotection/>
      <appEtDbRelations/>
    </woSheetProps>
    <woSheetProps sheetStid="99" interlineOnOff="0" interlineColor="0" isDbSheet="0" isDashBoardSheet="0" isDbDashBoardSheet="0" isFlexPaperSheet="0">
      <cellprotection/>
      <appEtDbRelations/>
    </woSheetProps>
    <woSheetProps sheetStid="95" interlineOnOff="0" interlineColor="0" isDbSheet="0" isDashBoardSheet="0" isDbDashBoardSheet="0" isFlexPaperSheet="0">
      <cellprotection/>
      <appEtDbRelations/>
    </woSheetProps>
    <woSheetProps sheetStid="96" interlineOnOff="0" interlineColor="0" isDbSheet="0" isDashBoardSheet="0" isDbDashBoardSheet="0" isFlexPaperSheet="0">
      <cellprotection/>
      <appEtDbRelations/>
    </woSheetProps>
  </woSheetsProps>
  <woBookProps>
    <bookSettings fileId="399230882397" isFilterShared="0" coreConquerUserId="1682556866" isAutoUpdatePaused="0" filterType="user" isMergeTasksAutoUpdate="0" isInserPicAsAttachment="0"/>
  </woBookProps>
</woProps>
</file>

<file path=customXml/item7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7"/>
  <pixelatorList sheetStid="9"/>
  <pixelatorList sheetStid="11"/>
  <pixelatorList sheetStid="14"/>
  <pixelatorList sheetStid="16"/>
  <pixelatorList sheetStid="17"/>
  <pixelatorList sheetStid="20"/>
  <pixelatorList sheetStid="21"/>
  <pixelatorList sheetStid="22"/>
  <pixelatorList sheetStid="24"/>
  <pixelatorList sheetStid="25"/>
  <pixelatorList sheetStid="26"/>
  <pixelatorList sheetStid="27"/>
  <pixelatorList sheetStid="28"/>
  <pixelatorList sheetStid="29"/>
  <pixelatorList sheetStid="30"/>
  <pixelatorList sheetStid="31"/>
  <pixelatorList sheetStid="33"/>
  <pixelatorList sheetStid="38"/>
  <pixelatorList sheetStid="39"/>
  <pixelatorList sheetStid="41"/>
  <pixelatorList sheetStid="44"/>
  <pixelatorList sheetStid="45"/>
  <pixelatorList sheetStid="46"/>
  <pixelatorList sheetStid="68"/>
  <pixelatorList sheetStid="54"/>
  <pixelatorList sheetStid="55"/>
  <pixelatorList sheetStid="56"/>
  <pixelatorList sheetStid="76"/>
  <pixelatorList sheetStid="57"/>
  <pixelatorList sheetStid="59"/>
  <pixelatorList sheetStid="61"/>
  <pixelatorList sheetStid="65"/>
  <pixelatorList sheetStid="66"/>
  <pixelatorList sheetStid="67"/>
  <pixelatorList sheetStid="70"/>
  <pixelatorList sheetStid="72"/>
  <pixelatorList sheetStid="79"/>
  <pixelatorList sheetStid="81"/>
  <pixelatorList sheetStid="90"/>
  <pixelatorList sheetStid="91"/>
  <pixelatorList sheetStid="92"/>
  <pixelatorList sheetStid="98"/>
  <pixelatorList sheetStid="99"/>
  <pixelatorList sheetStid="95"/>
  <pixelatorList sheetStid="96"/>
  <pixelatorList sheetStid="80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76a6740-a502-43ae-9f28-c9e454320052}">
  <ds:schemaRefs>
    <ds:schemaRef ds:uri="http://www.wps.cn/et/2023/dataValidationExt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8CA11897-456E-43AF-AC28-93E1BBEC0A59}">
  <ds:schemaRefs>
    <ds:schemaRef ds:uri="http://www.wps.cn/et/2019/netdiskSupbooks"/>
  </ds:schemaRefs>
</ds:datastoreItem>
</file>

<file path=customXml/itemProps5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7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WWO_wpscloud_20250428221442-c80122c8ee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10月份</vt:lpstr>
      <vt:lpstr>11月份</vt:lpstr>
      <vt:lpstr>12月份</vt:lpstr>
      <vt:lpstr>2021.01</vt:lpstr>
      <vt:lpstr>2021.02</vt:lpstr>
      <vt:lpstr>2021.03</vt:lpstr>
      <vt:lpstr>2021.04</vt:lpstr>
      <vt:lpstr>2021.05</vt:lpstr>
      <vt:lpstr>2021.06</vt:lpstr>
      <vt:lpstr>2021.07</vt:lpstr>
      <vt:lpstr>2021.08</vt:lpstr>
      <vt:lpstr>2021.09</vt:lpstr>
      <vt:lpstr>2021.10</vt:lpstr>
      <vt:lpstr>2021.11</vt:lpstr>
      <vt:lpstr>2021.12</vt:lpstr>
      <vt:lpstr>2022.01</vt:lpstr>
      <vt:lpstr>2022.02</vt:lpstr>
      <vt:lpstr>2022.03</vt:lpstr>
      <vt:lpstr>2022.04</vt:lpstr>
      <vt:lpstr>2022.05</vt:lpstr>
      <vt:lpstr>2022.06</vt:lpstr>
      <vt:lpstr>2022.07</vt:lpstr>
      <vt:lpstr>2022.08</vt:lpstr>
      <vt:lpstr>2022.09</vt:lpstr>
      <vt:lpstr>2022.10</vt:lpstr>
      <vt:lpstr>2022.11</vt:lpstr>
      <vt:lpstr>2022.12</vt:lpstr>
      <vt:lpstr>2023.09 (2)</vt:lpstr>
      <vt:lpstr>2023.01</vt:lpstr>
      <vt:lpstr>2023.02</vt:lpstr>
      <vt:lpstr>2023.03</vt:lpstr>
      <vt:lpstr>2023.12 (3)</vt:lpstr>
      <vt:lpstr>2023.04</vt:lpstr>
      <vt:lpstr>2023.05</vt:lpstr>
      <vt:lpstr>2023.06</vt:lpstr>
      <vt:lpstr>2023.07（新）</vt:lpstr>
      <vt:lpstr>2023.08</vt:lpstr>
      <vt:lpstr>2023.09</vt:lpstr>
      <vt:lpstr>2023.10</vt:lpstr>
      <vt:lpstr>2023.11</vt:lpstr>
      <vt:lpstr>2024.03</vt:lpstr>
      <vt:lpstr>2024.04</vt:lpstr>
      <vt:lpstr>2025.01</vt:lpstr>
      <vt:lpstr>2025.02</vt:lpstr>
      <vt:lpstr>2025.03</vt:lpstr>
      <vt:lpstr>2025.04</vt:lpstr>
      <vt:lpstr>2025.05</vt:lpstr>
      <vt:lpstr>开单+船期</vt:lpstr>
      <vt:lpstr>二级指标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王正轩</cp:lastModifiedBy>
  <dcterms:created xsi:type="dcterms:W3CDTF">2020-12-13T00:28:00Z</dcterms:created>
  <dcterms:modified xsi:type="dcterms:W3CDTF">2025-04-17T09:59:00Z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2052-12.9.0.21190</vt:lpwstr>
  </property>
  <property fmtid="{D5CDD505-2E9C-101B-9397-08002B2CF9AE}" pid="3" name="ICV">
    <vt:lpwstr>19EB034665304A2E80B97892DCC26CC8_13</vt:lpwstr>
  </property>
</Properties>
</file>