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c2007454_newcastle_ac_uk/Documents/CEG3004 SESD Team 1/04 Water/For Appendix Link/"/>
    </mc:Choice>
  </mc:AlternateContent>
  <xr:revisionPtr revIDLastSave="1313" documentId="8_{DAAF5DF2-43AA-4FB0-82F3-C22BAAE055F4}" xr6:coauthVersionLast="47" xr6:coauthVersionMax="47" xr10:uidLastSave="{40518603-DCBF-4DDC-96B2-A7E513EF9D73}"/>
  <bookViews>
    <workbookView xWindow="-120" yWindow="-120" windowWidth="38640" windowHeight="21240" activeTab="7" xr2:uid="{2B499B32-A76A-494D-B79E-3851B14079E8}"/>
  </bookViews>
  <sheets>
    <sheet name="Roof Drainage" sheetId="1" r:id="rId1"/>
    <sheet name="Tier 1- Blue Roof " sheetId="4" r:id="rId2"/>
    <sheet name=" Tier 2- Siphonic" sheetId="7" r:id="rId3"/>
    <sheet name="Tier 3- GW + Traditional " sheetId="8" r:id="rId4"/>
    <sheet name=" Tier 4 + 5- Siphonic" sheetId="9" r:id="rId5"/>
    <sheet name="Pond " sheetId="3" r:id="rId6"/>
    <sheet name="Swale Conyenance " sheetId="6" r:id="rId7"/>
    <sheet name="Infiltration Channels " sheetId="12" r:id="rId8"/>
    <sheet name="Upstream Area " sheetId="10" r:id="rId9"/>
    <sheet name="ACO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3" l="1"/>
  <c r="C20" i="3"/>
  <c r="C19" i="3" s="1"/>
  <c r="C22" i="3" s="1"/>
  <c r="C24" i="3" s="1"/>
  <c r="L36" i="1"/>
  <c r="B11" i="10"/>
  <c r="C52" i="9"/>
  <c r="C53" i="9"/>
  <c r="C54" i="9"/>
  <c r="C55" i="9"/>
  <c r="C51" i="9"/>
  <c r="A52" i="9"/>
  <c r="A53" i="9" s="1"/>
  <c r="A54" i="9" s="1"/>
  <c r="A55" i="9" s="1"/>
  <c r="H32" i="9"/>
  <c r="C32" i="9"/>
  <c r="G33" i="7"/>
  <c r="J11" i="7"/>
  <c r="E10" i="7"/>
  <c r="I13" i="7" s="1"/>
  <c r="C10" i="7"/>
  <c r="E11" i="7"/>
  <c r="E12" i="7"/>
  <c r="E13" i="7"/>
  <c r="D16" i="4"/>
  <c r="E17" i="4" s="1"/>
  <c r="E18" i="4" s="1"/>
  <c r="D14" i="4"/>
  <c r="H8" i="4"/>
  <c r="H9" i="4" s="1"/>
  <c r="D10" i="4" s="1"/>
  <c r="M28" i="1"/>
  <c r="M29" i="1"/>
  <c r="M30" i="1"/>
  <c r="M31" i="1"/>
  <c r="F32" i="1"/>
  <c r="Q30" i="8"/>
  <c r="E55" i="6"/>
  <c r="D58" i="6"/>
  <c r="D59" i="6"/>
  <c r="G59" i="6" s="1"/>
  <c r="G41" i="6"/>
  <c r="I40" i="6"/>
  <c r="D43" i="6" s="1"/>
  <c r="G43" i="6" s="1"/>
  <c r="D46" i="6" s="1"/>
  <c r="E34" i="6"/>
  <c r="H45" i="6"/>
  <c r="T50" i="12"/>
  <c r="O41" i="12"/>
  <c r="O63" i="12"/>
  <c r="O58" i="12"/>
  <c r="O53" i="12"/>
  <c r="O48" i="12"/>
  <c r="S35" i="12"/>
  <c r="O33" i="12"/>
  <c r="R33" i="12" s="1"/>
  <c r="O36" i="12" s="1"/>
  <c r="L34" i="8"/>
  <c r="L33" i="8"/>
  <c r="C6" i="11"/>
  <c r="C7" i="11"/>
  <c r="C8" i="11"/>
  <c r="C9" i="11"/>
  <c r="C10" i="11"/>
  <c r="C11" i="11"/>
  <c r="C12" i="11"/>
  <c r="C5" i="11"/>
  <c r="C13" i="11" s="1"/>
  <c r="C4" i="10"/>
  <c r="C5" i="10"/>
  <c r="C6" i="10"/>
  <c r="C7" i="10"/>
  <c r="C8" i="10"/>
  <c r="C9" i="10"/>
  <c r="C10" i="10"/>
  <c r="C3" i="10"/>
  <c r="C11" i="10" s="1"/>
  <c r="Q28" i="8"/>
  <c r="B19" i="9"/>
  <c r="B16" i="9"/>
  <c r="C16" i="9" s="1"/>
  <c r="D16" i="9" s="1"/>
  <c r="E16" i="9" s="1"/>
  <c r="A16" i="9"/>
  <c r="A17" i="9" s="1"/>
  <c r="A18" i="9" s="1"/>
  <c r="A19" i="9" s="1"/>
  <c r="B15" i="9"/>
  <c r="A21" i="9" s="1"/>
  <c r="B8" i="9"/>
  <c r="O23" i="8"/>
  <c r="O24" i="8" s="1"/>
  <c r="Q5" i="1"/>
  <c r="Q6" i="1" s="1"/>
  <c r="L11" i="1"/>
  <c r="K10" i="1"/>
  <c r="K21" i="1"/>
  <c r="N21" i="1" s="1"/>
  <c r="N22" i="1" s="1"/>
  <c r="J31" i="1"/>
  <c r="L29" i="1"/>
  <c r="L30" i="1"/>
  <c r="L31" i="1"/>
  <c r="L28" i="1"/>
  <c r="M27" i="1"/>
  <c r="L27" i="1"/>
  <c r="F36" i="1"/>
  <c r="E36" i="1"/>
  <c r="D36" i="1"/>
  <c r="K28" i="1"/>
  <c r="K29" i="1"/>
  <c r="J29" i="1"/>
  <c r="J30" i="1"/>
  <c r="J28" i="1"/>
  <c r="J27" i="1"/>
  <c r="K18" i="1"/>
  <c r="L18" i="1" s="1"/>
  <c r="K27" i="1" s="1"/>
  <c r="K7" i="1"/>
  <c r="L7" i="1" s="1"/>
  <c r="L12" i="1" s="1"/>
  <c r="L6" i="1"/>
  <c r="L17" i="1"/>
  <c r="L19" i="1"/>
  <c r="L20" i="1"/>
  <c r="K31" i="1"/>
  <c r="J19" i="1"/>
  <c r="J20" i="1" s="1"/>
  <c r="L8" i="1"/>
  <c r="L9" i="1"/>
  <c r="L10" i="1"/>
  <c r="J8" i="1"/>
  <c r="J9" i="1" s="1"/>
  <c r="J10" i="1" s="1"/>
  <c r="J11" i="1" s="1"/>
  <c r="T47" i="12" l="1"/>
  <c r="D62" i="6"/>
  <c r="C19" i="9"/>
  <c r="D19" i="9" s="1"/>
  <c r="E19" i="9" s="1"/>
  <c r="G17" i="10"/>
  <c r="C23" i="10" s="1"/>
  <c r="C25" i="10" s="1"/>
  <c r="A22" i="9"/>
  <c r="C15" i="9"/>
  <c r="Q29" i="8"/>
  <c r="Q31" i="8" s="1"/>
  <c r="N23" i="1"/>
  <c r="L13" i="1"/>
  <c r="L21" i="1"/>
  <c r="K30" i="1" s="1"/>
  <c r="L23" i="1"/>
  <c r="D15" i="9" l="1"/>
  <c r="E15" i="9" s="1"/>
  <c r="A23" i="9"/>
  <c r="B18" i="9"/>
  <c r="C18" i="9" s="1"/>
  <c r="D18" i="9" s="1"/>
  <c r="E18" i="9" s="1"/>
  <c r="B17" i="9"/>
  <c r="C17" i="9" l="1"/>
  <c r="B20" i="9"/>
  <c r="D17" i="9" l="1"/>
  <c r="C20" i="9"/>
  <c r="D20" i="9" l="1"/>
  <c r="E17" i="9"/>
</calcChain>
</file>

<file path=xl/sharedStrings.xml><?xml version="1.0" encoding="utf-8"?>
<sst xmlns="http://schemas.openxmlformats.org/spreadsheetml/2006/main" count="371" uniqueCount="223">
  <si>
    <t>Brief:</t>
  </si>
  <si>
    <t xml:space="preserve">Section </t>
  </si>
  <si>
    <t>Area/ m^2</t>
  </si>
  <si>
    <t>Total m^3/hr</t>
  </si>
  <si>
    <t xml:space="preserve">Area of Tier 1 without the Blue Roof </t>
  </si>
  <si>
    <t xml:space="preserve">Volume of Tier 1 without the Blue Roof </t>
  </si>
  <si>
    <t>1 wo/ roof</t>
  </si>
  <si>
    <t xml:space="preserve">Total Rainwater Runoff </t>
  </si>
  <si>
    <t>Qtot</t>
  </si>
  <si>
    <t>m^3/hr</t>
  </si>
  <si>
    <t xml:space="preserve">Rainfall Intensity </t>
  </si>
  <si>
    <t>I</t>
  </si>
  <si>
    <t>mm/hr</t>
  </si>
  <si>
    <t>Effective Roof Area</t>
  </si>
  <si>
    <t>A</t>
  </si>
  <si>
    <t>m^2</t>
  </si>
  <si>
    <t>Runoff Coefficient</t>
  </si>
  <si>
    <t>C</t>
  </si>
  <si>
    <t>(usually 1.0 for roofs)</t>
  </si>
  <si>
    <t>Sum</t>
  </si>
  <si>
    <t>30% Uplift</t>
  </si>
  <si>
    <t>Qtot = I*A*C</t>
  </si>
  <si>
    <t xml:space="preserve">Number of drains </t>
  </si>
  <si>
    <t>N</t>
  </si>
  <si>
    <t>Total Rainwater Runoff</t>
  </si>
  <si>
    <t>Capacity of a single drain</t>
  </si>
  <si>
    <t>Qdrain</t>
  </si>
  <si>
    <t>N=Qtot/Qdrain</t>
  </si>
  <si>
    <t xml:space="preserve">Sum w/ 30% </t>
  </si>
  <si>
    <t xml:space="preserve">Rainfall mm/hr </t>
  </si>
  <si>
    <t>Brief</t>
  </si>
  <si>
    <t>Calculated (w/30%)</t>
  </si>
  <si>
    <t>Qtot/ m^3/hr</t>
  </si>
  <si>
    <t>Qsd/ m^3/hr</t>
  </si>
  <si>
    <t>Qgd/m^3/hr</t>
  </si>
  <si>
    <t>Nsd</t>
  </si>
  <si>
    <t>Ngd</t>
  </si>
  <si>
    <t>Area of Blue Roof=</t>
  </si>
  <si>
    <t>(On Tier 1)</t>
  </si>
  <si>
    <t xml:space="preserve">Volume of Water on the Blue Roof </t>
  </si>
  <si>
    <t>m^3</t>
  </si>
  <si>
    <t>In a 1 hour storm</t>
  </si>
  <si>
    <t>Vsd/ m/s</t>
  </si>
  <si>
    <t xml:space="preserve">dsd/m </t>
  </si>
  <si>
    <t>Asd/m^2</t>
  </si>
  <si>
    <t>Qsd/ m^3/s</t>
  </si>
  <si>
    <t>Vgd/ m/s</t>
  </si>
  <si>
    <t xml:space="preserve">dgd/m </t>
  </si>
  <si>
    <t>Agd/m^2</t>
  </si>
  <si>
    <t>Qgd/ m^3/s</t>
  </si>
  <si>
    <t>Qgd/ m^3/hr</t>
  </si>
  <si>
    <t>Design criteria for siphonic roof drainage systems</t>
  </si>
  <si>
    <t>BR_PDF_AD_H_2015.pdf</t>
  </si>
  <si>
    <t>mm</t>
  </si>
  <si>
    <t>Found at: file:///H:/Downloads/ACO%20Blue%20Roof%20Brochure%20December%202022%20with%20patented%20system.pdf</t>
  </si>
  <si>
    <t>ACO RoofBloxx</t>
  </si>
  <si>
    <t xml:space="preserve">Pond </t>
  </si>
  <si>
    <t>Required Depth of the Pond (m)</t>
  </si>
  <si>
    <t>m</t>
  </si>
  <si>
    <t>(Seen in the SudS Manual Chapter 23.2 Pg 489)</t>
  </si>
  <si>
    <t xml:space="preserve">Recommended slope of 1:3-1:4 </t>
  </si>
  <si>
    <t xml:space="preserve">(Seen in the Suds Manual) </t>
  </si>
  <si>
    <t xml:space="preserve">System we are having: </t>
  </si>
  <si>
    <t xml:space="preserve">All water is stored in the pond then what is required by environmental to pump into the greywater tank </t>
  </si>
  <si>
    <t xml:space="preserve">Max Depth of the pond: </t>
  </si>
  <si>
    <t>Manning's Equation</t>
  </si>
  <si>
    <t>c</t>
  </si>
  <si>
    <t>n</t>
  </si>
  <si>
    <t>P</t>
  </si>
  <si>
    <t>S</t>
  </si>
  <si>
    <t>4+5</t>
  </si>
  <si>
    <t>33.0835m</t>
  </si>
  <si>
    <t>30.9512m</t>
  </si>
  <si>
    <t>Towards green wall:</t>
  </si>
  <si>
    <t>8.1m</t>
  </si>
  <si>
    <t xml:space="preserve">Approximate area of roof directed towards green walls = </t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</si>
  <si>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</si>
  <si>
    <t xml:space="preserve">Volume of rainfall in max storm flowing to green walls = </t>
  </si>
  <si>
    <t xml:space="preserve">Max rainfall event = </t>
  </si>
  <si>
    <t>mm (in an hour)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</si>
  <si>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</si>
  <si>
    <t xml:space="preserve">Approximate area of roof directed away from green walls (towards drains) = </t>
  </si>
  <si>
    <t xml:space="preserve">Total (tier 3) roof area = 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</si>
  <si>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/hour</t>
    </r>
  </si>
  <si>
    <t xml:space="preserve">The Manning Equation: </t>
  </si>
  <si>
    <r>
      <t>V = 1/n * R</t>
    </r>
    <r>
      <rPr>
        <vertAlign val="subscript"/>
        <sz val="11"/>
        <color theme="1"/>
        <rFont val="Aptos Narrow"/>
        <family val="2"/>
        <scheme val="minor"/>
      </rPr>
      <t>h</t>
    </r>
    <r>
      <rPr>
        <vertAlign val="superscript"/>
        <sz val="11"/>
        <color theme="1"/>
        <rFont val="Aptos Narrow"/>
        <family val="2"/>
        <scheme val="minor"/>
      </rPr>
      <t xml:space="preserve">2/3 </t>
    </r>
    <r>
      <rPr>
        <sz val="11"/>
        <color theme="1"/>
        <rFont val="Aptos Narrow"/>
        <family val="2"/>
        <scheme val="minor"/>
      </rPr>
      <t>* S</t>
    </r>
    <r>
      <rPr>
        <vertAlign val="superscript"/>
        <sz val="11"/>
        <color theme="1"/>
        <rFont val="Aptos Narrow"/>
        <family val="2"/>
        <scheme val="minor"/>
      </rPr>
      <t>1/2</t>
    </r>
  </si>
  <si>
    <t>Therefore</t>
  </si>
  <si>
    <t xml:space="preserve">Required Pipe Diameter: </t>
  </si>
  <si>
    <r>
      <t>D = ((Q * n)/0.312 * S</t>
    </r>
    <r>
      <rPr>
        <vertAlign val="superscript"/>
        <sz val="11"/>
        <color theme="1"/>
        <rFont val="Aptos Narrow"/>
        <family val="2"/>
        <scheme val="minor"/>
      </rPr>
      <t>1/2</t>
    </r>
    <r>
      <rPr>
        <sz val="11"/>
        <color theme="1"/>
        <rFont val="Aptos Narrow"/>
        <family val="2"/>
        <scheme val="minor"/>
      </rPr>
      <t>)</t>
    </r>
    <r>
      <rPr>
        <vertAlign val="superscript"/>
        <sz val="11"/>
        <color theme="1"/>
        <rFont val="Aptos Narrow"/>
        <family val="2"/>
        <scheme val="minor"/>
      </rPr>
      <t>3/8</t>
    </r>
  </si>
  <si>
    <t>(for a pipe running full)</t>
  </si>
  <si>
    <t xml:space="preserve">where, </t>
  </si>
  <si>
    <t>n = Manning's Roughness Coeffiecient</t>
  </si>
  <si>
    <t xml:space="preserve"> 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</si>
  <si>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/second</t>
    </r>
  </si>
  <si>
    <t>=</t>
  </si>
  <si>
    <t xml:space="preserve">Discharge to each drain (assuming 4 conventional drains on tier 3) </t>
  </si>
  <si>
    <t xml:space="preserve">Volume of rainfall in max storm flowing away from green walls </t>
  </si>
  <si>
    <t>S = Pipe Gradient (Slope)</t>
  </si>
  <si>
    <t>Friction of PVC/Plastic pipe (n)</t>
  </si>
  <si>
    <t>0.009-0.011</t>
  </si>
  <si>
    <t>Pipe Diameters</t>
  </si>
  <si>
    <t>Area</t>
  </si>
  <si>
    <t>in m2</t>
  </si>
  <si>
    <t>Section 4</t>
  </si>
  <si>
    <t>m2</t>
  </si>
  <si>
    <t>Section 5</t>
  </si>
  <si>
    <t xml:space="preserve">Total Area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</si>
  <si>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</si>
  <si>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Tributary Area </t>
  </si>
  <si>
    <t xml:space="preserve">Outlet </t>
  </si>
  <si>
    <t>TA (m2)</t>
  </si>
  <si>
    <t xml:space="preserve">% of Total Area  </t>
  </si>
  <si>
    <t>Outflow (m3)</t>
  </si>
  <si>
    <t xml:space="preserve">Total </t>
  </si>
  <si>
    <t>3+4</t>
  </si>
  <si>
    <t>https://hydrosiphonic.com/wp-content/uploads/2024/12/2.-BS8490_2007.pdf</t>
  </si>
  <si>
    <t>m3/s</t>
  </si>
  <si>
    <t>Area (mm2)</t>
  </si>
  <si>
    <t>Area (m2)</t>
  </si>
  <si>
    <t>Total upstream hardstanding area</t>
  </si>
  <si>
    <t>TOTAL</t>
  </si>
  <si>
    <t>Pipe Diameter =</t>
  </si>
  <si>
    <t>For our Pipes:</t>
  </si>
  <si>
    <t>Assume</t>
  </si>
  <si>
    <t>S =</t>
  </si>
  <si>
    <t>n =</t>
  </si>
  <si>
    <t>z</t>
  </si>
  <si>
    <t xml:space="preserve">1m </t>
  </si>
  <si>
    <t>x</t>
  </si>
  <si>
    <t>width</t>
  </si>
  <si>
    <t>3m</t>
  </si>
  <si>
    <t xml:space="preserve">Area </t>
  </si>
  <si>
    <t>Q</t>
  </si>
  <si>
    <t>R</t>
  </si>
  <si>
    <t>m3</t>
  </si>
  <si>
    <t>Volume</t>
  </si>
  <si>
    <t>volume</t>
  </si>
  <si>
    <t>D</t>
  </si>
  <si>
    <t>length</t>
  </si>
  <si>
    <t>E</t>
  </si>
  <si>
    <t>F</t>
  </si>
  <si>
    <t>G</t>
  </si>
  <si>
    <t>B</t>
  </si>
  <si>
    <t xml:space="preserve">Total Volume of storage </t>
  </si>
  <si>
    <t xml:space="preserve">Total length </t>
  </si>
  <si>
    <t xml:space="preserve">Volume </t>
  </si>
  <si>
    <t>Flow</t>
  </si>
  <si>
    <t xml:space="preserve">Length </t>
  </si>
  <si>
    <t>Channel</t>
  </si>
  <si>
    <t>Diameter</t>
  </si>
  <si>
    <t>less than 0.002 so in standard</t>
  </si>
  <si>
    <t xml:space="preserve">Blue-green Roof </t>
  </si>
  <si>
    <t>Area:</t>
  </si>
  <si>
    <t>Design Storm:</t>
  </si>
  <si>
    <t>m/h</t>
  </si>
  <si>
    <t>1 hour design storm</t>
  </si>
  <si>
    <t xml:space="preserve">Water coming to blue-green roof in design storm </t>
  </si>
  <si>
    <t xml:space="preserve">Max volume of blue-green roof </t>
  </si>
  <si>
    <t xml:space="preserve">Net Water Volume </t>
  </si>
  <si>
    <t>Area of Block</t>
  </si>
  <si>
    <t>Number of Blocks</t>
  </si>
  <si>
    <t>Total Blue Roof Volume</t>
  </si>
  <si>
    <t>RoofBloxx Cell</t>
  </si>
  <si>
    <t>Q=0.000278xCxixA</t>
  </si>
  <si>
    <t>i</t>
  </si>
  <si>
    <t>Area/m^2</t>
  </si>
  <si>
    <t>Flow mm/hr</t>
  </si>
  <si>
    <t>Flow m^3/hr</t>
  </si>
  <si>
    <t>Outlet 5</t>
  </si>
  <si>
    <t>Total outflow</t>
  </si>
  <si>
    <t xml:space="preserve">Diameter </t>
  </si>
  <si>
    <t>Outflow going to Green Wall</t>
  </si>
  <si>
    <t>Outlet 9</t>
  </si>
  <si>
    <t xml:space="preserve">Total Outflow </t>
  </si>
  <si>
    <t>(Value from Markov Model)</t>
  </si>
  <si>
    <t>mm/hour</t>
  </si>
  <si>
    <t xml:space="preserve">Number of Outlets for Siphonic Systems </t>
  </si>
  <si>
    <t>Standards Links:</t>
  </si>
  <si>
    <t>Outflow (m3/s)</t>
  </si>
  <si>
    <t xml:space="preserve">Area going to Green Walls </t>
  </si>
  <si>
    <t xml:space="preserve">Area Outlet 1 </t>
  </si>
  <si>
    <t>Tier 2- Siphonic Drainage Pipe Diameters:</t>
  </si>
  <si>
    <r>
      <rPr>
        <sz val="20"/>
        <color theme="1"/>
        <rFont val="Aptos Narrow"/>
        <family val="2"/>
        <scheme val="minor"/>
      </rPr>
      <t>Tier 1- Blue-Green Roof Volume Calculations</t>
    </r>
    <r>
      <rPr>
        <sz val="11"/>
        <color theme="1"/>
        <rFont val="Aptos Narrow"/>
        <family val="2"/>
        <scheme val="minor"/>
      </rPr>
      <t xml:space="preserve"> </t>
    </r>
  </si>
  <si>
    <t>Green Walls &amp; Traditional Drainage System:</t>
  </si>
  <si>
    <t>V = 1/n * Rh2/3 * S1/2</t>
  </si>
  <si>
    <t>D = ((Q * n)/0.312 * S1/2)3/8</t>
  </si>
  <si>
    <t>Tier 3 -Siphonic Pipe Diameters Calculations:</t>
  </si>
  <si>
    <t>Volume going to Green Wall from Tier 3</t>
  </si>
  <si>
    <t>Volume going to Green Wall from Tier 2</t>
  </si>
  <si>
    <t xml:space="preserve">Outlets Collecting Green Walls Volume </t>
  </si>
  <si>
    <t>(Worst Case Scenario- Outlets required to capture entire green wall dedicated volume)</t>
  </si>
  <si>
    <t>Pipe Diameter (m)</t>
  </si>
  <si>
    <t>Pipe Diameter (mm)</t>
  </si>
  <si>
    <t>Retrieved From:</t>
  </si>
  <si>
    <t>Swale Dimensions:</t>
  </si>
  <si>
    <t>Swale Dimensions, Volume &amp; Outflow Calculations:</t>
  </si>
  <si>
    <t>Channel:</t>
  </si>
  <si>
    <t xml:space="preserve">Perforated Pipe: </t>
  </si>
  <si>
    <t>Standard Q</t>
  </si>
  <si>
    <t xml:space="preserve">Manning's Equation </t>
  </si>
  <si>
    <t>Infiltration Channels:</t>
  </si>
  <si>
    <t>C- Swale</t>
  </si>
  <si>
    <t>(1 On Table In Appendicies)</t>
  </si>
  <si>
    <t>(2 On Table In Appendicies)</t>
  </si>
  <si>
    <t>(4 On Table In Appendicies)</t>
  </si>
  <si>
    <t>(5 On Table In Appendicies)</t>
  </si>
  <si>
    <t>(6 On Table In Appendicies)</t>
  </si>
  <si>
    <t>(3 On Table In Appendicies)</t>
  </si>
  <si>
    <t xml:space="preserve">Upstream Contributing Area: </t>
  </si>
  <si>
    <t xml:space="preserve">ACO Drains: </t>
  </si>
  <si>
    <t>ACO LENGTH (mm)</t>
  </si>
  <si>
    <t>LENGTH (m)</t>
  </si>
  <si>
    <t>Measured &amp; Designed in CAD</t>
  </si>
  <si>
    <t xml:space="preserve">Total Roof Area </t>
  </si>
  <si>
    <t xml:space="preserve">Total Volume Pond Needs to Hold </t>
  </si>
  <si>
    <t xml:space="preserve">Cross-Sectional Area </t>
  </si>
  <si>
    <t>a= 1/2 x (x + y) * 1.7m</t>
  </si>
  <si>
    <t>y</t>
  </si>
  <si>
    <t xml:space="preserve">Length of slope </t>
  </si>
  <si>
    <t>As  Pond is modelled to be a square</t>
  </si>
  <si>
    <t xml:space="preserve">Plan View Area </t>
  </si>
  <si>
    <t xml:space="preserve">Overall Roof Volume Distribution: </t>
  </si>
  <si>
    <t xml:space="preserve">Marked in 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</si>
</sst>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FFC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1" applyFon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20607</xdr:colOff>
      <xdr:row>4</xdr:row>
      <xdr:rowOff>67379</xdr:rowOff>
    </xdr:from>
    <xdr:to>
      <xdr:col>8</xdr:col>
      <xdr:colOff>331511</xdr:colOff>
      <xdr:row>22</xdr:row>
      <xdr:rowOff>78495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D44D66-C022-203B-5D9F-9E52CCED0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263" y="835332"/>
          <a:ext cx="5061498" cy="3225804"/>
        </a:xfrm>
        <a:prstGeom prst="rect">
          <a:avLst/>
        </a:prstGeom>
      </xdr:spPr>
    </xdr:pic>
    <xdr:clientData/>
  </xdr:twoCellAnchor>
  <xdr:twoCellAnchor>
    <xdr:from>
      <xdr:col>2</xdr:col>
      <xdr:colOff>388327</xdr:colOff>
      <xdr:row>8</xdr:row>
      <xdr:rowOff>146539</xdr:rowOff>
    </xdr:from>
    <xdr:to>
      <xdr:col>3</xdr:col>
      <xdr:colOff>168519</xdr:colOff>
      <xdr:row>9</xdr:row>
      <xdr:rowOff>161192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DE5B68-66A9-7A09-C9BD-84D97BCE38CC}"/>
            </a:ext>
          </a:extLst>
        </xdr:cNvPr>
        <xdr:cNvSpPr txBox="1"/>
      </xdr:nvSpPr>
      <xdr:spPr>
        <a:xfrm>
          <a:off x="1604596" y="1670539"/>
          <a:ext cx="388327" cy="2051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</a:t>
          </a:r>
        </a:p>
      </xdr:txBody>
    </xdr:sp>
    <xdr:clientData/>
  </xdr:twoCellAnchor>
  <xdr:twoCellAnchor>
    <xdr:from>
      <xdr:col>2</xdr:col>
      <xdr:colOff>154598</xdr:colOff>
      <xdr:row>15</xdr:row>
      <xdr:rowOff>121626</xdr:rowOff>
    </xdr:from>
    <xdr:to>
      <xdr:col>3</xdr:col>
      <xdr:colOff>0</xdr:colOff>
      <xdr:row>17</xdr:row>
      <xdr:rowOff>43962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96DF0C1-3A1C-C42D-F25E-0A0F514E2E1A}"/>
            </a:ext>
          </a:extLst>
        </xdr:cNvPr>
        <xdr:cNvSpPr txBox="1"/>
      </xdr:nvSpPr>
      <xdr:spPr>
        <a:xfrm>
          <a:off x="1370867" y="2979126"/>
          <a:ext cx="453537" cy="3033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2</a:t>
          </a:r>
        </a:p>
      </xdr:txBody>
    </xdr:sp>
    <xdr:clientData/>
  </xdr:twoCellAnchor>
  <xdr:twoCellAnchor>
    <xdr:from>
      <xdr:col>5</xdr:col>
      <xdr:colOff>350226</xdr:colOff>
      <xdr:row>8</xdr:row>
      <xdr:rowOff>5862</xdr:rowOff>
    </xdr:from>
    <xdr:to>
      <xdr:col>6</xdr:col>
      <xdr:colOff>130418</xdr:colOff>
      <xdr:row>9</xdr:row>
      <xdr:rowOff>20515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AB9663F-11F7-4D85-B503-EF8E7BD3CF42}"/>
            </a:ext>
          </a:extLst>
        </xdr:cNvPr>
        <xdr:cNvSpPr txBox="1"/>
      </xdr:nvSpPr>
      <xdr:spPr>
        <a:xfrm>
          <a:off x="3390899" y="1529862"/>
          <a:ext cx="388327" cy="2051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3</a:t>
          </a:r>
        </a:p>
      </xdr:txBody>
    </xdr:sp>
    <xdr:clientData/>
  </xdr:twoCellAnchor>
  <xdr:twoCellAnchor>
    <xdr:from>
      <xdr:col>4</xdr:col>
      <xdr:colOff>542193</xdr:colOff>
      <xdr:row>13</xdr:row>
      <xdr:rowOff>86153</xdr:rowOff>
    </xdr:from>
    <xdr:to>
      <xdr:col>5</xdr:col>
      <xdr:colOff>322385</xdr:colOff>
      <xdr:row>14</xdr:row>
      <xdr:rowOff>100806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4F19F10-B423-4443-BE67-F01432CE9E31}"/>
            </a:ext>
          </a:extLst>
        </xdr:cNvPr>
        <xdr:cNvSpPr txBox="1"/>
      </xdr:nvSpPr>
      <xdr:spPr>
        <a:xfrm>
          <a:off x="2974731" y="2562653"/>
          <a:ext cx="388327" cy="2051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4</a:t>
          </a:r>
        </a:p>
      </xdr:txBody>
    </xdr:sp>
    <xdr:clientData/>
  </xdr:twoCellAnchor>
  <xdr:twoCellAnchor>
    <xdr:from>
      <xdr:col>5</xdr:col>
      <xdr:colOff>439616</xdr:colOff>
      <xdr:row>18</xdr:row>
      <xdr:rowOff>12885</xdr:rowOff>
    </xdr:from>
    <xdr:to>
      <xdr:col>6</xdr:col>
      <xdr:colOff>219808</xdr:colOff>
      <xdr:row>19</xdr:row>
      <xdr:rowOff>27538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F404B3F-1169-420A-B26B-B638CB4F684C}"/>
            </a:ext>
          </a:extLst>
        </xdr:cNvPr>
        <xdr:cNvSpPr txBox="1"/>
      </xdr:nvSpPr>
      <xdr:spPr>
        <a:xfrm>
          <a:off x="3480289" y="3441885"/>
          <a:ext cx="388327" cy="2051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876301</xdr:colOff>
      <xdr:row>1</xdr:row>
      <xdr:rowOff>85725</xdr:rowOff>
    </xdr:from>
    <xdr:to>
      <xdr:col>17</xdr:col>
      <xdr:colOff>416435</xdr:colOff>
      <xdr:row>30</xdr:row>
      <xdr:rowOff>83563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563F34-EBA2-C052-910A-C15BCA0AC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1" y="276225"/>
          <a:ext cx="5312284" cy="5522338"/>
        </a:xfrm>
        <a:prstGeom prst="rect">
          <a:avLst/>
        </a:prstGeom>
      </xdr:spPr>
    </xdr:pic>
    <xdr:clientData/>
  </xdr:twoCellAnchor>
  <xdr:twoCellAnchor>
    <xdr:from>
      <xdr:col>14</xdr:col>
      <xdr:colOff>123825</xdr:colOff>
      <xdr:row>15</xdr:row>
      <xdr:rowOff>47625</xdr:rowOff>
    </xdr:from>
    <xdr:to>
      <xdr:col>15</xdr:col>
      <xdr:colOff>466725</xdr:colOff>
      <xdr:row>27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326929F-5DB9-62D6-3058-44B7151E0141}"/>
            </a:ext>
          </a:extLst>
        </xdr:cNvPr>
        <xdr:cNvSpPr/>
      </xdr:nvSpPr>
      <xdr:spPr>
        <a:xfrm>
          <a:off x="9763125" y="2905125"/>
          <a:ext cx="952500" cy="2343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247650</xdr:colOff>
      <xdr:row>0</xdr:row>
      <xdr:rowOff>323850</xdr:rowOff>
    </xdr:from>
    <xdr:to>
      <xdr:col>19</xdr:col>
      <xdr:colOff>410278</xdr:colOff>
      <xdr:row>27</xdr:row>
      <xdr:rowOff>134061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14531D-B046-8E1C-7717-130911563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4775" y="323850"/>
          <a:ext cx="5039428" cy="50965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8</xdr:col>
      <xdr:colOff>41606</xdr:colOff>
      <xdr:row>20</xdr:row>
      <xdr:rowOff>182566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1F6D7D-9F82-4522-9BDB-E05CD8E41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4432631" cy="3440116"/>
        </a:xfrm>
        <a:prstGeom prst="rect">
          <a:avLst/>
        </a:prstGeom>
      </xdr:spPr>
    </xdr:pic>
    <xdr:clientData/>
  </xdr:twoCellAnchor>
  <xdr:twoCellAnchor>
    <xdr:from>
      <xdr:col>9</xdr:col>
      <xdr:colOff>14288</xdr:colOff>
      <xdr:row>9</xdr:row>
      <xdr:rowOff>14286</xdr:rowOff>
    </xdr:from>
    <xdr:to>
      <xdr:col>16</xdr:col>
      <xdr:colOff>9525</xdr:colOff>
      <xdr:row>20</xdr:row>
      <xdr:rowOff>9524</xdr:rowOff>
    </xdr:to>
    <xdr:sp macro="" textlink="">
      <xdr:nvSpPr>
        <xdr:cNvPr id="7" name="Flowchart: Manual Input 6">
          <a:extLst>
            <a:ext uri="{FF2B5EF4-FFF2-40B4-BE49-F238E27FC236}">
              <a16:creationId xmlns:a16="http://schemas.microsoft.com/office/drawing/2014/main" id="{32DDA41A-E8F6-B2A0-CCA3-A628E486B1FD}"/>
            </a:ext>
          </a:extLst>
        </xdr:cNvPr>
        <xdr:cNvSpPr/>
      </xdr:nvSpPr>
      <xdr:spPr>
        <a:xfrm rot="16200000">
          <a:off x="6891338" y="338136"/>
          <a:ext cx="2090738" cy="4872037"/>
        </a:xfrm>
        <a:prstGeom prst="flowChartManualIn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447674</xdr:colOff>
      <xdr:row>11</xdr:row>
      <xdr:rowOff>28576</xdr:rowOff>
    </xdr:from>
    <xdr:to>
      <xdr:col>13</xdr:col>
      <xdr:colOff>304799</xdr:colOff>
      <xdr:row>16</xdr:row>
      <xdr:rowOff>123826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AB081BE9-CFAA-B798-790A-9CB8788E31DD}"/>
            </a:ext>
          </a:extLst>
        </xdr:cNvPr>
        <xdr:cNvSpPr/>
      </xdr:nvSpPr>
      <xdr:spPr>
        <a:xfrm rot="5400000">
          <a:off x="7472362" y="2414588"/>
          <a:ext cx="1047750" cy="4667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304800</xdr:colOff>
      <xdr:row>12</xdr:row>
      <xdr:rowOff>42862</xdr:rowOff>
    </xdr:from>
    <xdr:to>
      <xdr:col>12</xdr:col>
      <xdr:colOff>504825</xdr:colOff>
      <xdr:row>14</xdr:row>
      <xdr:rowOff>114300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40AD989-B363-E095-A0D4-F765A5E4E9A7}"/>
            </a:ext>
          </a:extLst>
        </xdr:cNvPr>
        <xdr:cNvSpPr txBox="1"/>
      </xdr:nvSpPr>
      <xdr:spPr>
        <a:xfrm>
          <a:off x="7010400" y="2328862"/>
          <a:ext cx="809625" cy="4524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Direction of Camber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552450</xdr:colOff>
      <xdr:row>2</xdr:row>
      <xdr:rowOff>95250</xdr:rowOff>
    </xdr:from>
    <xdr:to>
      <xdr:col>18</xdr:col>
      <xdr:colOff>155195</xdr:colOff>
      <xdr:row>21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01B652-C850-4681-8246-8954A3D7E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6100" y="619125"/>
          <a:ext cx="5698745" cy="3667125"/>
        </a:xfrm>
        <a:prstGeom prst="rect">
          <a:avLst/>
        </a:prstGeom>
      </xdr:spPr>
    </xdr:pic>
    <xdr:clientData/>
  </xdr:twoCellAnchor>
  <xdr:twoCellAnchor editAs="oneCell">
    <xdr:from>
      <xdr:col>19</xdr:col>
      <xdr:colOff>209550</xdr:colOff>
      <xdr:row>2</xdr:row>
      <xdr:rowOff>133351</xdr:rowOff>
    </xdr:from>
    <xdr:to>
      <xdr:col>29</xdr:col>
      <xdr:colOff>321550</xdr:colOff>
      <xdr:row>7</xdr:row>
      <xdr:rowOff>34579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A3B1E4-7F2E-405F-BAE4-61B4D4E89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58800" y="657226"/>
          <a:ext cx="6208000" cy="8537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4</xdr:row>
      <xdr:rowOff>76200</xdr:rowOff>
    </xdr:from>
    <xdr:to>
      <xdr:col>19</xdr:col>
      <xdr:colOff>241242</xdr:colOff>
      <xdr:row>32</xdr:row>
      <xdr:rowOff>19787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01C634-74AA-6DD1-FE0D-79C4721DE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7575" y="838200"/>
          <a:ext cx="6584892" cy="52775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4</xdr:row>
      <xdr:rowOff>9525</xdr:rowOff>
    </xdr:from>
    <xdr:to>
      <xdr:col>24</xdr:col>
      <xdr:colOff>172491</xdr:colOff>
      <xdr:row>26</xdr:row>
      <xdr:rowOff>584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907AA339-21E8-62D4-EFFF-850D79344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3775" y="771525"/>
          <a:ext cx="7459116" cy="4182059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466724</xdr:colOff>
      <xdr:row>4</xdr:row>
      <xdr:rowOff>28575</xdr:rowOff>
    </xdr:from>
    <xdr:to>
      <xdr:col>11</xdr:col>
      <xdr:colOff>67786</xdr:colOff>
      <xdr:row>25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70A165-19A2-23B3-0ABE-F0E67314E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4" y="790575"/>
          <a:ext cx="6506687" cy="40862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278796</xdr:colOff>
      <xdr:row>3</xdr:row>
      <xdr:rowOff>85724</xdr:rowOff>
    </xdr:from>
    <xdr:to>
      <xdr:col>11</xdr:col>
      <xdr:colOff>334272</xdr:colOff>
      <xdr:row>57</xdr:row>
      <xdr:rowOff>96751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8E595B-CC30-4848-A09E-C809B7116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396" y="657224"/>
          <a:ext cx="6151476" cy="102980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24</xdr:col>
      <xdr:colOff>143916</xdr:colOff>
      <xdr:row>24</xdr:row>
      <xdr:rowOff>181559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C2BFDB-84C2-4D63-8091-D0352DC92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571500"/>
          <a:ext cx="7459116" cy="418205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523875</xdr:colOff>
      <xdr:row>0</xdr:row>
      <xdr:rowOff>285750</xdr:rowOff>
    </xdr:from>
    <xdr:to>
      <xdr:col>15</xdr:col>
      <xdr:colOff>19575</xdr:colOff>
      <xdr:row>39</xdr:row>
      <xdr:rowOff>67701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F7C878-17AC-9AF5-FB3F-47412A563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6475" y="285750"/>
          <a:ext cx="3762900" cy="7354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ssets.publishing.service.gov.uk/media/5a80cf9ded915d74e33fc8ae/BR_PDF_AD_H_2015.pdf" TargetMode="External"/><Relationship Id="rId1" Type="http://schemas.openxmlformats.org/officeDocument/2006/relationships/hyperlink" Target="https://eprints.hrwallingford.com/535/1/SR654-Designing-criteria-siphonic-roof-drainage-system.pdf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aco.co.uk/products/roofbloxx" TargetMode="External"/><Relationship Id="rId1" Type="http://schemas.openxmlformats.org/officeDocument/2006/relationships/hyperlink" Target="https://www.aco.co.uk/products/roofblox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hydrosiphonic.com/wp-content/uploads/2024/12/2.-BS8490_2007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AD01-A8BD-49E2-94CA-2406499CAF5E}">
  <dimension ref="A1:R45"/>
  <sheetViews>
    <sheetView zoomScale="115" zoomScaleNormal="115" workbookViewId="0">
      <selection activeCell="E3" sqref="E3"/>
    </sheetView>
  </sheetViews>
  <sheetFormatPr defaultColWidth="8.85546875" defaultRowHeight="15" x14ac:dyDescent="0.25"/>
  <cols>
    <col min="11" max="11" width="10.7109375" bestFit="1" customWidth="1"/>
    <col min="12" max="12" width="15.140625" customWidth="1"/>
    <col min="13" max="13" width="14.140625" bestFit="1" customWidth="1"/>
    <col min="14" max="14" width="25.140625" customWidth="1"/>
    <col min="16" max="16" width="15.28515625" customWidth="1"/>
  </cols>
  <sheetData>
    <row r="1" spans="1:18" ht="26.25" x14ac:dyDescent="0.4">
      <c r="A1" s="11" t="s">
        <v>221</v>
      </c>
    </row>
    <row r="4" spans="1:18" x14ac:dyDescent="0.25">
      <c r="J4" t="s">
        <v>0</v>
      </c>
    </row>
    <row r="5" spans="1:18" x14ac:dyDescent="0.25">
      <c r="J5" t="s">
        <v>1</v>
      </c>
      <c r="K5" t="s">
        <v>2</v>
      </c>
      <c r="L5" t="s">
        <v>3</v>
      </c>
      <c r="N5" t="s">
        <v>4</v>
      </c>
      <c r="Q5">
        <f>K17-F29</f>
        <v>63.197999999999979</v>
      </c>
      <c r="R5" t="s">
        <v>104</v>
      </c>
    </row>
    <row r="6" spans="1:18" x14ac:dyDescent="0.25">
      <c r="J6">
        <v>1</v>
      </c>
      <c r="K6">
        <v>907.93299999999999</v>
      </c>
      <c r="L6">
        <f t="shared" ref="L6:L11" si="0">K6*($B$26/1000)</f>
        <v>68.094974999999991</v>
      </c>
      <c r="N6" t="s">
        <v>5</v>
      </c>
      <c r="Q6">
        <f>Q5*(D26/1000)</f>
        <v>5.7428022599999986</v>
      </c>
      <c r="R6" t="s">
        <v>104</v>
      </c>
    </row>
    <row r="7" spans="1:18" x14ac:dyDescent="0.25">
      <c r="J7" t="s">
        <v>6</v>
      </c>
      <c r="K7">
        <f>K6-F29</f>
        <v>63.197999999999979</v>
      </c>
      <c r="L7">
        <f t="shared" si="0"/>
        <v>4.7398499999999979</v>
      </c>
    </row>
    <row r="8" spans="1:18" x14ac:dyDescent="0.25">
      <c r="J8">
        <f>J6+1</f>
        <v>2</v>
      </c>
      <c r="K8">
        <v>693.21100000000001</v>
      </c>
      <c r="L8">
        <f t="shared" si="0"/>
        <v>51.990825000000001</v>
      </c>
      <c r="N8" t="s">
        <v>7</v>
      </c>
      <c r="O8" t="s">
        <v>8</v>
      </c>
      <c r="P8" t="s">
        <v>9</v>
      </c>
    </row>
    <row r="9" spans="1:18" x14ac:dyDescent="0.25">
      <c r="J9">
        <f t="shared" ref="J9:J11" si="1">J8+1</f>
        <v>3</v>
      </c>
      <c r="K9">
        <v>575.28899999999999</v>
      </c>
      <c r="L9">
        <f t="shared" si="0"/>
        <v>43.146674999999995</v>
      </c>
      <c r="N9" t="s">
        <v>10</v>
      </c>
      <c r="O9" t="s">
        <v>11</v>
      </c>
      <c r="P9" t="s">
        <v>12</v>
      </c>
    </row>
    <row r="10" spans="1:18" x14ac:dyDescent="0.25">
      <c r="J10">
        <f t="shared" si="1"/>
        <v>4</v>
      </c>
      <c r="K10">
        <f>264.265+K11</f>
        <v>1026.5639999999999</v>
      </c>
      <c r="L10">
        <f t="shared" si="0"/>
        <v>76.992299999999986</v>
      </c>
      <c r="N10" t="s">
        <v>13</v>
      </c>
      <c r="O10" t="s">
        <v>14</v>
      </c>
      <c r="P10" t="s">
        <v>15</v>
      </c>
    </row>
    <row r="11" spans="1:18" x14ac:dyDescent="0.25">
      <c r="J11">
        <f t="shared" si="1"/>
        <v>5</v>
      </c>
      <c r="K11">
        <v>762.29899999999998</v>
      </c>
      <c r="L11">
        <f t="shared" si="0"/>
        <v>57.172424999999997</v>
      </c>
      <c r="N11" t="s">
        <v>16</v>
      </c>
      <c r="O11" t="s">
        <v>17</v>
      </c>
      <c r="P11" t="s">
        <v>18</v>
      </c>
    </row>
    <row r="12" spans="1:18" x14ac:dyDescent="0.25">
      <c r="L12">
        <f>SUM(L7:L11)</f>
        <v>234.04207499999998</v>
      </c>
      <c r="M12" t="s">
        <v>19</v>
      </c>
    </row>
    <row r="13" spans="1:18" x14ac:dyDescent="0.25">
      <c r="L13">
        <f>L12*1.3</f>
        <v>304.25469749999996</v>
      </c>
      <c r="M13" t="s">
        <v>20</v>
      </c>
      <c r="N13" t="s">
        <v>21</v>
      </c>
    </row>
    <row r="15" spans="1:18" x14ac:dyDescent="0.25">
      <c r="N15" t="s">
        <v>22</v>
      </c>
      <c r="O15" t="s">
        <v>23</v>
      </c>
    </row>
    <row r="16" spans="1:18" x14ac:dyDescent="0.25">
      <c r="J16" t="s">
        <v>1</v>
      </c>
      <c r="K16" t="s">
        <v>2</v>
      </c>
      <c r="L16" t="s">
        <v>3</v>
      </c>
      <c r="N16" t="s">
        <v>24</v>
      </c>
      <c r="O16" t="s">
        <v>8</v>
      </c>
    </row>
    <row r="17" spans="2:15" x14ac:dyDescent="0.25">
      <c r="J17">
        <v>1</v>
      </c>
      <c r="K17">
        <v>907.93299999999999</v>
      </c>
      <c r="L17">
        <f t="shared" ref="L17:L21" si="2">K17*($D$26/1000)</f>
        <v>82.503871709999999</v>
      </c>
      <c r="N17" t="s">
        <v>25</v>
      </c>
      <c r="O17" t="s">
        <v>26</v>
      </c>
    </row>
    <row r="18" spans="2:15" x14ac:dyDescent="0.25">
      <c r="J18" t="s">
        <v>6</v>
      </c>
      <c r="K18">
        <f>K17-F29</f>
        <v>63.197999999999979</v>
      </c>
      <c r="L18">
        <f t="shared" si="2"/>
        <v>5.7428022599999986</v>
      </c>
    </row>
    <row r="19" spans="2:15" x14ac:dyDescent="0.25">
      <c r="J19">
        <f>J17+1</f>
        <v>2</v>
      </c>
      <c r="K19">
        <v>693.21100000000001</v>
      </c>
      <c r="L19">
        <f t="shared" si="2"/>
        <v>62.992083570000005</v>
      </c>
      <c r="N19" t="s">
        <v>27</v>
      </c>
    </row>
    <row r="20" spans="2:15" x14ac:dyDescent="0.25">
      <c r="J20">
        <f t="shared" ref="J20" si="3">J19+1</f>
        <v>3</v>
      </c>
      <c r="K20">
        <v>575.28899999999999</v>
      </c>
      <c r="L20">
        <f t="shared" si="2"/>
        <v>52.276511429999999</v>
      </c>
    </row>
    <row r="21" spans="2:15" x14ac:dyDescent="0.25">
      <c r="J21" t="s">
        <v>70</v>
      </c>
      <c r="K21">
        <f>264.265+K22</f>
        <v>264.26499999999999</v>
      </c>
      <c r="L21">
        <f t="shared" si="2"/>
        <v>24.013760550000001</v>
      </c>
      <c r="N21">
        <f>K21+K22</f>
        <v>264.26499999999999</v>
      </c>
    </row>
    <row r="22" spans="2:15" x14ac:dyDescent="0.25">
      <c r="N22">
        <f>N21*(D26/1000)</f>
        <v>24.013760550000001</v>
      </c>
    </row>
    <row r="23" spans="2:15" x14ac:dyDescent="0.25">
      <c r="L23" s="2">
        <f>SUM(L18:L22)</f>
        <v>145.02515781</v>
      </c>
      <c r="M23" t="s">
        <v>28</v>
      </c>
      <c r="N23">
        <f>L18+L19+L20+N22</f>
        <v>145.02515781</v>
      </c>
    </row>
    <row r="24" spans="2:15" x14ac:dyDescent="0.25">
      <c r="B24" t="s">
        <v>29</v>
      </c>
    </row>
    <row r="25" spans="2:15" x14ac:dyDescent="0.25">
      <c r="B25" t="s">
        <v>30</v>
      </c>
      <c r="D25" t="s">
        <v>31</v>
      </c>
      <c r="J25" t="s">
        <v>176</v>
      </c>
    </row>
    <row r="26" spans="2:15" x14ac:dyDescent="0.25">
      <c r="B26">
        <v>75</v>
      </c>
      <c r="D26">
        <v>90.87</v>
      </c>
      <c r="E26" t="s">
        <v>175</v>
      </c>
      <c r="J26" t="s">
        <v>1</v>
      </c>
      <c r="K26" t="s">
        <v>32</v>
      </c>
      <c r="L26" t="s">
        <v>33</v>
      </c>
      <c r="M26" t="s">
        <v>34</v>
      </c>
      <c r="N26" t="s">
        <v>35</v>
      </c>
      <c r="O26" t="s">
        <v>36</v>
      </c>
    </row>
    <row r="27" spans="2:15" x14ac:dyDescent="0.25">
      <c r="E27" t="s">
        <v>174</v>
      </c>
      <c r="J27" t="str">
        <f>J18</f>
        <v>1 wo/ roof</v>
      </c>
      <c r="K27">
        <f>L18</f>
        <v>5.7428022599999986</v>
      </c>
      <c r="L27">
        <f>F36</f>
        <v>42.411500823462212</v>
      </c>
      <c r="M27">
        <f>F39</f>
        <v>0</v>
      </c>
    </row>
    <row r="28" spans="2:15" x14ac:dyDescent="0.25">
      <c r="J28">
        <f>J19</f>
        <v>2</v>
      </c>
      <c r="K28">
        <f t="shared" ref="K28:K31" si="4">L19</f>
        <v>62.992083570000005</v>
      </c>
      <c r="L28">
        <f>L27</f>
        <v>42.411500823462212</v>
      </c>
      <c r="M28">
        <f t="shared" ref="M28:M31" si="5">F40</f>
        <v>0</v>
      </c>
    </row>
    <row r="29" spans="2:15" x14ac:dyDescent="0.25">
      <c r="B29" t="s">
        <v>37</v>
      </c>
      <c r="F29">
        <v>844.73500000000001</v>
      </c>
      <c r="G29" t="s">
        <v>15</v>
      </c>
      <c r="J29">
        <f t="shared" ref="J29:J30" si="6">J20</f>
        <v>3</v>
      </c>
      <c r="K29">
        <f t="shared" si="4"/>
        <v>52.276511429999999</v>
      </c>
      <c r="L29">
        <f t="shared" ref="L29:L31" si="7">L28</f>
        <v>42.411500823462212</v>
      </c>
      <c r="M29">
        <f t="shared" si="5"/>
        <v>0</v>
      </c>
    </row>
    <row r="30" spans="2:15" x14ac:dyDescent="0.25">
      <c r="B30" t="s">
        <v>38</v>
      </c>
      <c r="J30" t="str">
        <f t="shared" si="6"/>
        <v>4+5</v>
      </c>
      <c r="K30">
        <f>L21</f>
        <v>24.013760550000001</v>
      </c>
      <c r="L30">
        <f t="shared" si="7"/>
        <v>42.411500823462212</v>
      </c>
      <c r="M30">
        <f t="shared" si="5"/>
        <v>0</v>
      </c>
    </row>
    <row r="31" spans="2:15" x14ac:dyDescent="0.25">
      <c r="J31">
        <f>J22</f>
        <v>0</v>
      </c>
      <c r="K31">
        <f t="shared" si="4"/>
        <v>0</v>
      </c>
      <c r="L31">
        <f t="shared" si="7"/>
        <v>42.411500823462212</v>
      </c>
      <c r="M31">
        <f t="shared" si="5"/>
        <v>0</v>
      </c>
    </row>
    <row r="32" spans="2:15" x14ac:dyDescent="0.25">
      <c r="B32" t="s">
        <v>39</v>
      </c>
      <c r="F32">
        <f>(D26/1000)*F29</f>
        <v>76.761069450000008</v>
      </c>
      <c r="G32" t="s">
        <v>40</v>
      </c>
    </row>
    <row r="33" spans="2:12" x14ac:dyDescent="0.25">
      <c r="B33" t="s">
        <v>41</v>
      </c>
    </row>
    <row r="35" spans="2:12" x14ac:dyDescent="0.25">
      <c r="B35" t="s">
        <v>42</v>
      </c>
      <c r="C35" t="s">
        <v>43</v>
      </c>
      <c r="D35" t="s">
        <v>44</v>
      </c>
      <c r="E35" t="s">
        <v>45</v>
      </c>
      <c r="F35" t="s">
        <v>33</v>
      </c>
      <c r="J35" t="s">
        <v>213</v>
      </c>
      <c r="L35">
        <v>3222.9969999999998</v>
      </c>
    </row>
    <row r="36" spans="2:12" x14ac:dyDescent="0.25">
      <c r="B36">
        <v>6</v>
      </c>
      <c r="C36">
        <v>0.05</v>
      </c>
      <c r="D36">
        <f>((C36/2)^2)*PI()</f>
        <v>1.9634954084936209E-3</v>
      </c>
      <c r="E36">
        <f>B36*D36</f>
        <v>1.1780972450961725E-2</v>
      </c>
      <c r="F36">
        <f>E36*60*60</f>
        <v>42.411500823462212</v>
      </c>
      <c r="L36">
        <f>L35*(D26/1000)</f>
        <v>292.87373739000003</v>
      </c>
    </row>
    <row r="38" spans="2:12" x14ac:dyDescent="0.25">
      <c r="B38" t="s">
        <v>46</v>
      </c>
      <c r="C38" t="s">
        <v>47</v>
      </c>
      <c r="D38" t="s">
        <v>48</v>
      </c>
      <c r="E38" t="s">
        <v>49</v>
      </c>
      <c r="F38" t="s">
        <v>50</v>
      </c>
    </row>
    <row r="42" spans="2:12" x14ac:dyDescent="0.25">
      <c r="B42" t="s">
        <v>177</v>
      </c>
    </row>
    <row r="43" spans="2:12" x14ac:dyDescent="0.25">
      <c r="B43" s="3" t="s">
        <v>51</v>
      </c>
    </row>
    <row r="45" spans="2:12" x14ac:dyDescent="0.25">
      <c r="B45" s="1" t="s">
        <v>52</v>
      </c>
    </row>
  </sheetData>
  <hyperlinks>
    <hyperlink ref="B43" r:id="rId1" display="https://eprints.hrwallingford.com/535/1/SR654-Designing-criteria-siphonic-roof-drainage-system.pdf" xr:uid="{5B67E6F8-F09B-45D3-A903-9255A696414C}"/>
    <hyperlink ref="B45" r:id="rId2" xr:uid="{FAEC5C1F-693E-4BFD-9127-422C71E634FB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39EB-B3AB-4770-90E8-8E4A5D0F370C}">
  <dimension ref="A1:T78"/>
  <sheetViews>
    <sheetView zoomScaleNormal="100" workbookViewId="0">
      <selection activeCell="H5" sqref="H5"/>
    </sheetView>
  </sheetViews>
  <sheetFormatPr defaultRowHeight="15" x14ac:dyDescent="0.25"/>
  <cols>
    <col min="2" max="2" width="12.140625" customWidth="1"/>
    <col min="3" max="3" width="10.7109375" customWidth="1"/>
    <col min="4" max="4" width="17" customWidth="1"/>
    <col min="9" max="9" width="13.42578125" customWidth="1"/>
  </cols>
  <sheetData>
    <row r="1" spans="1:20" ht="26.25" x14ac:dyDescent="0.4">
      <c r="A1" t="s">
        <v>182</v>
      </c>
      <c r="D1" s="11"/>
    </row>
    <row r="3" spans="1:20" x14ac:dyDescent="0.25">
      <c r="S3" t="s">
        <v>54</v>
      </c>
    </row>
    <row r="4" spans="1:20" x14ac:dyDescent="0.25">
      <c r="T4" s="1" t="s">
        <v>55</v>
      </c>
    </row>
    <row r="7" spans="1:20" x14ac:dyDescent="0.25">
      <c r="B7" t="s">
        <v>156</v>
      </c>
    </row>
    <row r="8" spans="1:20" x14ac:dyDescent="0.25">
      <c r="C8" t="s">
        <v>151</v>
      </c>
      <c r="F8" t="s">
        <v>153</v>
      </c>
      <c r="H8">
        <f>91/1000</f>
        <v>9.0999999999999998E-2</v>
      </c>
      <c r="I8" t="s">
        <v>154</v>
      </c>
    </row>
    <row r="9" spans="1:20" x14ac:dyDescent="0.25">
      <c r="C9" t="s">
        <v>152</v>
      </c>
      <c r="D9">
        <v>844.73500000000001</v>
      </c>
      <c r="E9" t="s">
        <v>104</v>
      </c>
      <c r="F9" t="s">
        <v>155</v>
      </c>
      <c r="H9">
        <f>H8*1</f>
        <v>9.0999999999999998E-2</v>
      </c>
      <c r="I9" t="s">
        <v>58</v>
      </c>
    </row>
    <row r="10" spans="1:20" x14ac:dyDescent="0.25">
      <c r="C10" t="s">
        <v>135</v>
      </c>
      <c r="D10">
        <f>D9*H9</f>
        <v>76.870885000000001</v>
      </c>
      <c r="E10" t="s">
        <v>134</v>
      </c>
    </row>
    <row r="12" spans="1:20" x14ac:dyDescent="0.25">
      <c r="B12" t="s">
        <v>157</v>
      </c>
    </row>
    <row r="13" spans="1:20" x14ac:dyDescent="0.25">
      <c r="C13" t="s">
        <v>162</v>
      </c>
    </row>
    <row r="14" spans="1:20" x14ac:dyDescent="0.25">
      <c r="C14" t="s">
        <v>135</v>
      </c>
      <c r="D14">
        <f>D9*(D13/1000)</f>
        <v>0</v>
      </c>
      <c r="E14" t="s">
        <v>134</v>
      </c>
    </row>
    <row r="15" spans="1:20" x14ac:dyDescent="0.25">
      <c r="C15" t="s">
        <v>158</v>
      </c>
      <c r="E15">
        <v>7.1000000000000004E-3</v>
      </c>
      <c r="F15" t="s">
        <v>134</v>
      </c>
    </row>
    <row r="16" spans="1:20" x14ac:dyDescent="0.25">
      <c r="C16" t="s">
        <v>159</v>
      </c>
      <c r="D16">
        <f>0.5*0.5</f>
        <v>0.25</v>
      </c>
      <c r="E16" t="s">
        <v>104</v>
      </c>
    </row>
    <row r="17" spans="3:6" x14ac:dyDescent="0.25">
      <c r="C17" t="s">
        <v>160</v>
      </c>
      <c r="E17">
        <f>D9/D16</f>
        <v>3378.94</v>
      </c>
    </row>
    <row r="18" spans="3:6" x14ac:dyDescent="0.25">
      <c r="C18" t="s">
        <v>161</v>
      </c>
      <c r="E18">
        <f>E17*E15</f>
        <v>23.990474000000003</v>
      </c>
      <c r="F18" t="s">
        <v>134</v>
      </c>
    </row>
    <row r="77" spans="3:4" x14ac:dyDescent="0.25">
      <c r="C77" t="s">
        <v>54</v>
      </c>
    </row>
    <row r="78" spans="3:4" x14ac:dyDescent="0.25">
      <c r="D78" s="1" t="s">
        <v>55</v>
      </c>
    </row>
  </sheetData>
  <hyperlinks>
    <hyperlink ref="D78" r:id="rId1" display="https://www.aco.co.uk/products/roofbloxx" xr:uid="{DF34F06A-3A93-434E-B5C2-8FA3404A8752}"/>
    <hyperlink ref="T4" r:id="rId2" display="https://www.aco.co.uk/products/roofbloxx" xr:uid="{95135364-520B-48CC-8E48-D2B5E304ECE5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EF95-1862-4979-8B5C-669271D1E121}">
  <dimension ref="A1:K34"/>
  <sheetViews>
    <sheetView zoomScaleNormal="100" workbookViewId="0">
      <selection activeCell="M33" sqref="M33"/>
    </sheetView>
  </sheetViews>
  <sheetFormatPr defaultRowHeight="15" x14ac:dyDescent="0.25"/>
  <cols>
    <col min="5" max="5" width="14.85546875" customWidth="1"/>
    <col min="6" max="6" width="15" customWidth="1"/>
  </cols>
  <sheetData>
    <row r="1" spans="1:11" ht="26.25" x14ac:dyDescent="0.4">
      <c r="A1" s="10" t="s">
        <v>181</v>
      </c>
      <c r="B1" s="9"/>
      <c r="C1" s="9"/>
      <c r="D1" s="9"/>
      <c r="E1" s="9"/>
      <c r="F1" s="9"/>
    </row>
    <row r="2" spans="1:11" x14ac:dyDescent="0.25">
      <c r="A2" s="9"/>
    </row>
    <row r="3" spans="1:11" x14ac:dyDescent="0.25">
      <c r="A3" s="9"/>
    </row>
    <row r="4" spans="1:11" x14ac:dyDescent="0.25">
      <c r="A4" s="9"/>
    </row>
    <row r="5" spans="1:11" x14ac:dyDescent="0.25">
      <c r="A5" s="9"/>
      <c r="B5" s="9" t="s">
        <v>165</v>
      </c>
      <c r="C5" s="9" t="s">
        <v>166</v>
      </c>
      <c r="D5" s="9" t="s">
        <v>167</v>
      </c>
      <c r="E5" s="9"/>
      <c r="F5" s="9"/>
    </row>
    <row r="6" spans="1:11" x14ac:dyDescent="0.25">
      <c r="A6" s="9"/>
      <c r="B6" s="9">
        <v>693.21100000000001</v>
      </c>
      <c r="C6" s="9">
        <v>90.87</v>
      </c>
      <c r="D6" s="9">
        <v>62.992083569999998</v>
      </c>
      <c r="E6" s="9"/>
      <c r="F6" s="9"/>
    </row>
    <row r="7" spans="1:11" x14ac:dyDescent="0.25">
      <c r="B7" s="9"/>
      <c r="C7" s="9"/>
      <c r="D7" s="9"/>
      <c r="E7" s="9"/>
      <c r="F7" s="9"/>
    </row>
    <row r="8" spans="1:11" x14ac:dyDescent="0.25">
      <c r="B8" s="9" t="s">
        <v>108</v>
      </c>
      <c r="C8" s="9"/>
      <c r="D8" s="9"/>
      <c r="E8" s="9"/>
      <c r="F8" s="9"/>
    </row>
    <row r="9" spans="1:11" x14ac:dyDescent="0.25">
      <c r="B9" s="9" t="s">
        <v>109</v>
      </c>
      <c r="C9" s="9" t="s">
        <v>110</v>
      </c>
      <c r="D9" s="9" t="s">
        <v>111</v>
      </c>
      <c r="E9" s="9" t="s">
        <v>178</v>
      </c>
      <c r="H9" s="9"/>
      <c r="I9" s="9"/>
      <c r="J9" s="9"/>
      <c r="K9" s="9"/>
    </row>
    <row r="10" spans="1:11" x14ac:dyDescent="0.25">
      <c r="B10" s="9">
        <v>1</v>
      </c>
      <c r="C10" s="9">
        <f>138.6422*2</f>
        <v>277.28440000000001</v>
      </c>
      <c r="D10" s="9">
        <v>0.2</v>
      </c>
      <c r="E10" s="9">
        <f>(12.59841671/3600)*2</f>
        <v>6.9991203944444443E-3</v>
      </c>
      <c r="H10" s="9" t="s">
        <v>179</v>
      </c>
      <c r="I10" s="9"/>
      <c r="J10" s="9"/>
      <c r="K10" s="9"/>
    </row>
    <row r="11" spans="1:11" x14ac:dyDescent="0.25">
      <c r="B11" s="9">
        <v>2</v>
      </c>
      <c r="C11" s="9">
        <v>138.6422</v>
      </c>
      <c r="D11" s="9">
        <v>0.2</v>
      </c>
      <c r="E11" s="9">
        <f t="shared" ref="E11:E13" si="0">12.59841671/3600</f>
        <v>3.4995601972222221E-3</v>
      </c>
      <c r="H11" s="9" t="s">
        <v>180</v>
      </c>
      <c r="I11" s="9"/>
      <c r="J11" s="9">
        <f>138.6422*2</f>
        <v>277.28440000000001</v>
      </c>
      <c r="K11" s="9" t="s">
        <v>104</v>
      </c>
    </row>
    <row r="12" spans="1:11" x14ac:dyDescent="0.25">
      <c r="B12" s="9">
        <v>3</v>
      </c>
      <c r="C12" s="9">
        <v>138.6422</v>
      </c>
      <c r="D12" s="9">
        <v>0.2</v>
      </c>
      <c r="E12" s="9">
        <f t="shared" si="0"/>
        <v>3.4995601972222221E-3</v>
      </c>
      <c r="H12" t="s">
        <v>171</v>
      </c>
      <c r="K12" s="9"/>
    </row>
    <row r="13" spans="1:11" x14ac:dyDescent="0.25">
      <c r="B13" s="9">
        <v>4</v>
      </c>
      <c r="C13" s="9">
        <v>138.6422</v>
      </c>
      <c r="D13" s="9">
        <v>0.2</v>
      </c>
      <c r="E13" s="9">
        <f t="shared" si="0"/>
        <v>3.4995601972222221E-3</v>
      </c>
      <c r="I13">
        <f>E10</f>
        <v>6.9991203944444443E-3</v>
      </c>
      <c r="J13" t="s">
        <v>116</v>
      </c>
      <c r="K13" s="9"/>
    </row>
    <row r="14" spans="1:11" x14ac:dyDescent="0.25">
      <c r="F14" s="9"/>
    </row>
    <row r="15" spans="1:11" x14ac:dyDescent="0.25">
      <c r="F15" s="9"/>
    </row>
    <row r="17" spans="2:8" x14ac:dyDescent="0.25">
      <c r="C17" t="s">
        <v>84</v>
      </c>
      <c r="F17" t="s">
        <v>184</v>
      </c>
    </row>
    <row r="18" spans="2:8" x14ac:dyDescent="0.25">
      <c r="B18" t="s">
        <v>86</v>
      </c>
    </row>
    <row r="19" spans="2:8" x14ac:dyDescent="0.25">
      <c r="B19" s="9"/>
      <c r="C19" t="s">
        <v>87</v>
      </c>
      <c r="F19" t="s">
        <v>185</v>
      </c>
    </row>
    <row r="20" spans="2:8" x14ac:dyDescent="0.25">
      <c r="F20" t="s">
        <v>89</v>
      </c>
    </row>
    <row r="21" spans="2:8" x14ac:dyDescent="0.25">
      <c r="E21" t="s">
        <v>90</v>
      </c>
      <c r="F21" t="s">
        <v>91</v>
      </c>
    </row>
    <row r="22" spans="2:8" x14ac:dyDescent="0.25">
      <c r="F22" t="s">
        <v>97</v>
      </c>
    </row>
    <row r="24" spans="2:8" x14ac:dyDescent="0.25">
      <c r="C24" t="s">
        <v>98</v>
      </c>
      <c r="F24" t="s">
        <v>99</v>
      </c>
    </row>
    <row r="26" spans="2:8" x14ac:dyDescent="0.25">
      <c r="C26" t="s">
        <v>122</v>
      </c>
    </row>
    <row r="27" spans="2:8" x14ac:dyDescent="0.25">
      <c r="D27" t="s">
        <v>123</v>
      </c>
      <c r="E27" t="s">
        <v>125</v>
      </c>
      <c r="F27">
        <v>0.01</v>
      </c>
    </row>
    <row r="28" spans="2:8" x14ac:dyDescent="0.25">
      <c r="E28" t="s">
        <v>124</v>
      </c>
      <c r="F28">
        <v>0.01</v>
      </c>
    </row>
    <row r="32" spans="2:8" x14ac:dyDescent="0.25">
      <c r="D32" t="s">
        <v>86</v>
      </c>
      <c r="E32" t="s">
        <v>121</v>
      </c>
      <c r="G32">
        <v>1.39225101723302E-2</v>
      </c>
      <c r="H32" t="s">
        <v>58</v>
      </c>
    </row>
    <row r="33" spans="4:8" x14ac:dyDescent="0.25">
      <c r="G33">
        <f>G32*1000</f>
        <v>13.922510172330199</v>
      </c>
      <c r="H33" t="s">
        <v>53</v>
      </c>
    </row>
    <row r="34" spans="4:8" x14ac:dyDescent="0.25">
      <c r="D34" s="9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47B5-4AEC-43E5-BA12-5DF657A739C7}">
  <dimension ref="A1:S37"/>
  <sheetViews>
    <sheetView zoomScale="85" zoomScaleNormal="85" workbookViewId="0">
      <selection activeCell="A25" sqref="A25:H39"/>
    </sheetView>
  </sheetViews>
  <sheetFormatPr defaultRowHeight="15" x14ac:dyDescent="0.25"/>
  <cols>
    <col min="5" max="5" width="11" customWidth="1"/>
    <col min="9" max="9" width="11" bestFit="1" customWidth="1"/>
    <col min="11" max="11" width="12.28515625" customWidth="1"/>
    <col min="14" max="14" width="10.85546875" customWidth="1"/>
    <col min="17" max="17" width="15.140625" customWidth="1"/>
    <col min="18" max="18" width="10.5703125" bestFit="1" customWidth="1"/>
  </cols>
  <sheetData>
    <row r="1" spans="1:17" ht="26.25" x14ac:dyDescent="0.4">
      <c r="A1" s="11" t="s">
        <v>183</v>
      </c>
    </row>
    <row r="3" spans="1:17" x14ac:dyDescent="0.25">
      <c r="J3" t="s">
        <v>78</v>
      </c>
      <c r="L3">
        <v>90.87</v>
      </c>
      <c r="M3" t="s">
        <v>79</v>
      </c>
    </row>
    <row r="4" spans="1:17" ht="16.5" x14ac:dyDescent="0.25">
      <c r="J4" t="s">
        <v>82</v>
      </c>
      <c r="L4">
        <v>575.28899999999999</v>
      </c>
      <c r="M4" t="s">
        <v>76</v>
      </c>
    </row>
    <row r="8" spans="1:17" x14ac:dyDescent="0.25">
      <c r="J8" t="s">
        <v>73</v>
      </c>
    </row>
    <row r="9" spans="1:17" x14ac:dyDescent="0.25">
      <c r="N9" t="s">
        <v>71</v>
      </c>
    </row>
    <row r="15" spans="1:17" x14ac:dyDescent="0.25">
      <c r="Q15" t="s">
        <v>74</v>
      </c>
    </row>
    <row r="21" spans="1:19" x14ac:dyDescent="0.25">
      <c r="N21" t="s">
        <v>72</v>
      </c>
    </row>
    <row r="23" spans="1:19" ht="16.5" x14ac:dyDescent="0.25">
      <c r="J23" t="s">
        <v>75</v>
      </c>
      <c r="O23">
        <f>0.5*(33.0835+30.9512)*8.1</f>
        <v>259.34053499999999</v>
      </c>
      <c r="P23" t="s">
        <v>76</v>
      </c>
    </row>
    <row r="24" spans="1:19" ht="16.5" x14ac:dyDescent="0.25">
      <c r="B24" s="4"/>
      <c r="J24" t="s">
        <v>77</v>
      </c>
      <c r="O24" s="6">
        <f>O23*(L3/1000)</f>
        <v>23.56627441545</v>
      </c>
      <c r="P24" t="s">
        <v>80</v>
      </c>
    </row>
    <row r="26" spans="1:19" ht="18" x14ac:dyDescent="0.35">
      <c r="B26" t="s">
        <v>84</v>
      </c>
      <c r="E26" t="s">
        <v>85</v>
      </c>
    </row>
    <row r="27" spans="1:19" x14ac:dyDescent="0.25">
      <c r="A27" t="s">
        <v>86</v>
      </c>
    </row>
    <row r="28" spans="1:19" ht="16.5" x14ac:dyDescent="0.25">
      <c r="B28" t="s">
        <v>87</v>
      </c>
      <c r="E28" t="s">
        <v>88</v>
      </c>
      <c r="I28" t="s">
        <v>86</v>
      </c>
      <c r="J28" t="s">
        <v>81</v>
      </c>
      <c r="Q28" s="5">
        <f>L4-O23</f>
        <v>315.948465</v>
      </c>
      <c r="R28" t="s">
        <v>76</v>
      </c>
    </row>
    <row r="29" spans="1:19" ht="16.5" x14ac:dyDescent="0.25">
      <c r="E29" t="s">
        <v>89</v>
      </c>
      <c r="J29" t="s">
        <v>96</v>
      </c>
      <c r="P29" t="s">
        <v>94</v>
      </c>
      <c r="Q29" s="5">
        <f>Q28*(L3/1000)</f>
        <v>28.710237014550003</v>
      </c>
      <c r="R29" t="s">
        <v>80</v>
      </c>
    </row>
    <row r="30" spans="1:19" ht="16.5" x14ac:dyDescent="0.25">
      <c r="D30" t="s">
        <v>90</v>
      </c>
      <c r="E30" t="s">
        <v>91</v>
      </c>
      <c r="J30" t="s">
        <v>95</v>
      </c>
      <c r="P30" t="s">
        <v>94</v>
      </c>
      <c r="Q30" s="5">
        <f>Q29/4</f>
        <v>7.1775592536375008</v>
      </c>
      <c r="R30" t="s">
        <v>83</v>
      </c>
      <c r="S30" t="s">
        <v>92</v>
      </c>
    </row>
    <row r="31" spans="1:19" ht="16.5" x14ac:dyDescent="0.25">
      <c r="E31" t="s">
        <v>97</v>
      </c>
      <c r="P31" t="s">
        <v>94</v>
      </c>
      <c r="Q31" s="5">
        <f>Q30/3600</f>
        <v>1.9937664593437502E-3</v>
      </c>
      <c r="R31" t="s">
        <v>93</v>
      </c>
    </row>
    <row r="33" spans="2:13" x14ac:dyDescent="0.25">
      <c r="B33" t="s">
        <v>98</v>
      </c>
      <c r="E33" t="s">
        <v>99</v>
      </c>
      <c r="I33" t="s">
        <v>86</v>
      </c>
      <c r="J33" t="s">
        <v>121</v>
      </c>
      <c r="L33">
        <f>((Q31*E36)/0.312 * (E37^(0.5)))^(3/8)</f>
        <v>1.127378853439367E-2</v>
      </c>
      <c r="M33" t="s">
        <v>58</v>
      </c>
    </row>
    <row r="34" spans="2:13" x14ac:dyDescent="0.25">
      <c r="L34">
        <f>L33*1000</f>
        <v>11.27378853439367</v>
      </c>
      <c r="M34" t="s">
        <v>53</v>
      </c>
    </row>
    <row r="35" spans="2:13" x14ac:dyDescent="0.25">
      <c r="B35" t="s">
        <v>122</v>
      </c>
    </row>
    <row r="36" spans="2:13" x14ac:dyDescent="0.25">
      <c r="C36" t="s">
        <v>123</v>
      </c>
      <c r="D36" s="7" t="s">
        <v>125</v>
      </c>
      <c r="E36">
        <v>0.01</v>
      </c>
    </row>
    <row r="37" spans="2:13" x14ac:dyDescent="0.25">
      <c r="D37" s="7" t="s">
        <v>124</v>
      </c>
      <c r="E37">
        <v>0.01</v>
      </c>
      <c r="F37" s="8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BDE3-9848-4357-BBB3-FB0F98ADCA8D}">
  <dimension ref="A1:Y55"/>
  <sheetViews>
    <sheetView workbookViewId="0">
      <selection activeCell="J43" sqref="J43:O51"/>
    </sheetView>
  </sheetViews>
  <sheetFormatPr defaultRowHeight="15" x14ac:dyDescent="0.25"/>
  <cols>
    <col min="1" max="1" width="10.7109375" customWidth="1"/>
    <col min="2" max="2" width="17.140625" customWidth="1"/>
    <col min="3" max="3" width="18.140625" customWidth="1"/>
    <col min="4" max="4" width="12.5703125" customWidth="1"/>
  </cols>
  <sheetData>
    <row r="1" spans="1:21" ht="26.25" x14ac:dyDescent="0.4">
      <c r="A1" s="11" t="s">
        <v>186</v>
      </c>
    </row>
    <row r="3" spans="1:21" x14ac:dyDescent="0.25">
      <c r="A3" t="s">
        <v>100</v>
      </c>
    </row>
    <row r="4" spans="1:21" x14ac:dyDescent="0.25">
      <c r="F4" t="s">
        <v>32</v>
      </c>
      <c r="H4" t="s">
        <v>33</v>
      </c>
    </row>
    <row r="5" spans="1:21" x14ac:dyDescent="0.25">
      <c r="A5" t="s">
        <v>101</v>
      </c>
      <c r="C5" t="s">
        <v>102</v>
      </c>
      <c r="F5">
        <v>95.101270679999999</v>
      </c>
      <c r="H5">
        <v>42.411500823462212</v>
      </c>
    </row>
    <row r="6" spans="1:21" x14ac:dyDescent="0.25">
      <c r="A6" t="s">
        <v>103</v>
      </c>
      <c r="B6">
        <v>284.26499999999999</v>
      </c>
      <c r="C6" t="s">
        <v>104</v>
      </c>
    </row>
    <row r="7" spans="1:21" x14ac:dyDescent="0.25">
      <c r="A7" t="s">
        <v>105</v>
      </c>
      <c r="B7">
        <v>762.29899999999998</v>
      </c>
      <c r="C7" t="s">
        <v>104</v>
      </c>
    </row>
    <row r="8" spans="1:21" x14ac:dyDescent="0.25">
      <c r="A8" t="s">
        <v>106</v>
      </c>
      <c r="B8">
        <f>B6+B7</f>
        <v>1046.5639999999999</v>
      </c>
      <c r="C8" t="s">
        <v>104</v>
      </c>
    </row>
    <row r="9" spans="1:21" x14ac:dyDescent="0.25">
      <c r="T9" t="s">
        <v>193</v>
      </c>
    </row>
    <row r="10" spans="1:21" x14ac:dyDescent="0.25">
      <c r="A10" t="s">
        <v>3</v>
      </c>
      <c r="C10">
        <v>95.101270679999999</v>
      </c>
      <c r="U10" s="1" t="s">
        <v>115</v>
      </c>
    </row>
    <row r="13" spans="1:21" x14ac:dyDescent="0.25">
      <c r="A13" t="s">
        <v>108</v>
      </c>
    </row>
    <row r="14" spans="1:21" x14ac:dyDescent="0.25">
      <c r="A14" t="s">
        <v>109</v>
      </c>
      <c r="B14" t="s">
        <v>110</v>
      </c>
      <c r="C14" t="s">
        <v>111</v>
      </c>
      <c r="D14" t="s">
        <v>112</v>
      </c>
      <c r="E14" t="s">
        <v>116</v>
      </c>
    </row>
    <row r="15" spans="1:21" x14ac:dyDescent="0.25">
      <c r="A15">
        <v>1</v>
      </c>
      <c r="B15">
        <f>30.7003*7.5501</f>
        <v>231.79033502999997</v>
      </c>
      <c r="C15">
        <f>(B15/B8)*100</f>
        <v>22.147745864562513</v>
      </c>
      <c r="D15">
        <f>C15*(F5/100)</f>
        <v>21.062787744176099</v>
      </c>
      <c r="E15">
        <f>D15/3600</f>
        <v>5.85077437338225E-3</v>
      </c>
    </row>
    <row r="16" spans="1:21" x14ac:dyDescent="0.25">
      <c r="A16">
        <f>A15+1</f>
        <v>2</v>
      </c>
      <c r="B16">
        <f>19.27*11.833</f>
        <v>228.02190999999999</v>
      </c>
      <c r="C16">
        <f>(B16/B8)*100</f>
        <v>21.787669937051152</v>
      </c>
      <c r="D16">
        <f>C16*(F5/100)</f>
        <v>20.720350961699999</v>
      </c>
      <c r="E16">
        <f t="shared" ref="E16:E19" si="0">D16/3600</f>
        <v>5.7556530449166662E-3</v>
      </c>
    </row>
    <row r="17" spans="1:10" x14ac:dyDescent="0.25">
      <c r="A17">
        <f t="shared" ref="A17:A19" si="1">A16+1</f>
        <v>3</v>
      </c>
      <c r="B17">
        <f>A22/2</f>
        <v>107.82408398499996</v>
      </c>
      <c r="C17">
        <f>(B17/B8)*100</f>
        <v>10.302674655826111</v>
      </c>
      <c r="D17">
        <f>C17*(F5/100)</f>
        <v>9.7979745117169479</v>
      </c>
      <c r="E17">
        <f t="shared" si="0"/>
        <v>2.7216595865880411E-3</v>
      </c>
    </row>
    <row r="18" spans="1:10" x14ac:dyDescent="0.25">
      <c r="A18">
        <f t="shared" si="1"/>
        <v>4</v>
      </c>
      <c r="B18">
        <f>A22/2</f>
        <v>107.82408398499996</v>
      </c>
      <c r="C18">
        <f>(B18/B8)*100</f>
        <v>10.302674655826111</v>
      </c>
      <c r="D18">
        <f>C18*(F5/100)</f>
        <v>9.7979745117169479</v>
      </c>
      <c r="E18">
        <f t="shared" si="0"/>
        <v>2.7216595865880411E-3</v>
      </c>
    </row>
    <row r="19" spans="1:10" x14ac:dyDescent="0.25">
      <c r="A19">
        <f t="shared" si="1"/>
        <v>5</v>
      </c>
      <c r="B19">
        <f>19.27*19.2581</f>
        <v>371.10358699999995</v>
      </c>
      <c r="C19">
        <f>(B19/B8)*100</f>
        <v>35.459234886734116</v>
      </c>
      <c r="D19">
        <f>C19*(F5/100)</f>
        <v>33.722182950689998</v>
      </c>
      <c r="E19">
        <f t="shared" si="0"/>
        <v>9.3672730418583334E-3</v>
      </c>
    </row>
    <row r="20" spans="1:10" x14ac:dyDescent="0.25">
      <c r="A20" t="s">
        <v>113</v>
      </c>
      <c r="B20">
        <f>B15+B16+B17+B18+B19</f>
        <v>1046.5639999999999</v>
      </c>
      <c r="C20">
        <f>C15+C16+C17+C18+C19</f>
        <v>100</v>
      </c>
      <c r="D20">
        <f>D15+D16+D17+D18+D19</f>
        <v>95.101270679999985</v>
      </c>
    </row>
    <row r="21" spans="1:10" x14ac:dyDescent="0.25">
      <c r="A21">
        <f>B15+B16+B19</f>
        <v>830.91583202999993</v>
      </c>
    </row>
    <row r="22" spans="1:10" x14ac:dyDescent="0.25">
      <c r="A22">
        <f>B8-A21</f>
        <v>215.64816796999992</v>
      </c>
      <c r="B22" t="s">
        <v>114</v>
      </c>
    </row>
    <row r="23" spans="1:10" x14ac:dyDescent="0.25">
      <c r="A23">
        <f>A22/2</f>
        <v>107.82408398499996</v>
      </c>
      <c r="J23" t="s">
        <v>107</v>
      </c>
    </row>
    <row r="24" spans="1:10" x14ac:dyDescent="0.25">
      <c r="E24" t="s">
        <v>189</v>
      </c>
    </row>
    <row r="25" spans="1:10" x14ac:dyDescent="0.25">
      <c r="D25" t="s">
        <v>190</v>
      </c>
    </row>
    <row r="27" spans="1:10" x14ac:dyDescent="0.25">
      <c r="C27" t="s">
        <v>188</v>
      </c>
      <c r="H27" t="s">
        <v>187</v>
      </c>
    </row>
    <row r="28" spans="1:10" x14ac:dyDescent="0.25">
      <c r="C28">
        <v>7.0000000000000001E-3</v>
      </c>
      <c r="D28" t="s">
        <v>134</v>
      </c>
      <c r="H28">
        <v>6.5461873376250002E-3</v>
      </c>
      <c r="I28" t="s">
        <v>116</v>
      </c>
    </row>
    <row r="29" spans="1:10" x14ac:dyDescent="0.25">
      <c r="B29" t="s">
        <v>172</v>
      </c>
      <c r="G29" t="s">
        <v>168</v>
      </c>
    </row>
    <row r="30" spans="1:10" x14ac:dyDescent="0.25">
      <c r="B30" t="s">
        <v>173</v>
      </c>
      <c r="C30">
        <v>7.0000000000000001E-3</v>
      </c>
      <c r="D30" t="s">
        <v>116</v>
      </c>
      <c r="G30" t="s">
        <v>169</v>
      </c>
      <c r="H30">
        <v>6.5461873376250002E-3</v>
      </c>
      <c r="I30" t="s">
        <v>116</v>
      </c>
    </row>
    <row r="31" spans="1:10" x14ac:dyDescent="0.25">
      <c r="B31" t="s">
        <v>170</v>
      </c>
      <c r="C31">
        <v>1.8055261891508783E-2</v>
      </c>
      <c r="D31" t="s">
        <v>58</v>
      </c>
      <c r="G31" t="s">
        <v>170</v>
      </c>
      <c r="H31">
        <v>1.760709422512436E-2</v>
      </c>
      <c r="I31" t="s">
        <v>58</v>
      </c>
    </row>
    <row r="32" spans="1:10" x14ac:dyDescent="0.25">
      <c r="C32">
        <f>C31*1000</f>
        <v>18.055261891508781</v>
      </c>
      <c r="D32" t="s">
        <v>53</v>
      </c>
      <c r="H32">
        <f>H31*1000</f>
        <v>17.60709422512436</v>
      </c>
      <c r="I32" t="s">
        <v>53</v>
      </c>
    </row>
    <row r="35" spans="1:11" x14ac:dyDescent="0.25">
      <c r="A35" t="s">
        <v>100</v>
      </c>
    </row>
    <row r="37" spans="1:11" x14ac:dyDescent="0.25">
      <c r="C37" t="s">
        <v>84</v>
      </c>
      <c r="F37" t="s">
        <v>184</v>
      </c>
    </row>
    <row r="38" spans="1:11" x14ac:dyDescent="0.25">
      <c r="B38" t="s">
        <v>86</v>
      </c>
    </row>
    <row r="39" spans="1:11" x14ac:dyDescent="0.25">
      <c r="C39" t="s">
        <v>87</v>
      </c>
      <c r="F39" t="s">
        <v>185</v>
      </c>
    </row>
    <row r="40" spans="1:11" x14ac:dyDescent="0.25">
      <c r="F40" t="s">
        <v>89</v>
      </c>
    </row>
    <row r="41" spans="1:11" x14ac:dyDescent="0.25">
      <c r="E41" t="s">
        <v>90</v>
      </c>
      <c r="F41" t="s">
        <v>91</v>
      </c>
    </row>
    <row r="42" spans="1:11" x14ac:dyDescent="0.25">
      <c r="F42" t="s">
        <v>97</v>
      </c>
    </row>
    <row r="44" spans="1:11" x14ac:dyDescent="0.25">
      <c r="C44" t="s">
        <v>98</v>
      </c>
      <c r="F44" t="s">
        <v>99</v>
      </c>
    </row>
    <row r="46" spans="1:11" x14ac:dyDescent="0.25">
      <c r="C46" t="s">
        <v>122</v>
      </c>
      <c r="K46" s="1"/>
    </row>
    <row r="47" spans="1:11" x14ac:dyDescent="0.25">
      <c r="D47" t="s">
        <v>123</v>
      </c>
      <c r="E47" t="s">
        <v>125</v>
      </c>
      <c r="F47">
        <v>0.01</v>
      </c>
    </row>
    <row r="48" spans="1:11" x14ac:dyDescent="0.25">
      <c r="E48" t="s">
        <v>124</v>
      </c>
      <c r="F48">
        <v>0.01</v>
      </c>
    </row>
    <row r="49" spans="1:25" x14ac:dyDescent="0.25">
      <c r="Y49" s="1"/>
    </row>
    <row r="50" spans="1:25" x14ac:dyDescent="0.25">
      <c r="A50" t="s">
        <v>109</v>
      </c>
      <c r="B50" t="s">
        <v>191</v>
      </c>
      <c r="C50" t="s">
        <v>192</v>
      </c>
    </row>
    <row r="51" spans="1:25" x14ac:dyDescent="0.25">
      <c r="A51">
        <v>1</v>
      </c>
      <c r="B51">
        <v>1.6880955836267298E-2</v>
      </c>
      <c r="C51">
        <f>B51*1000</f>
        <v>16.880955836267297</v>
      </c>
    </row>
    <row r="52" spans="1:25" x14ac:dyDescent="0.25">
      <c r="A52">
        <f>A51+1</f>
        <v>2</v>
      </c>
      <c r="B52">
        <v>1.6777509935125501E-2</v>
      </c>
      <c r="C52">
        <f t="shared" ref="C52:C55" si="2">B52*1000</f>
        <v>16.777509935125501</v>
      </c>
    </row>
    <row r="53" spans="1:25" x14ac:dyDescent="0.25">
      <c r="A53">
        <f t="shared" ref="A53:A55" si="3">A52+1</f>
        <v>3</v>
      </c>
      <c r="B53">
        <v>1.2669360792360905E-2</v>
      </c>
      <c r="C53">
        <f t="shared" si="2"/>
        <v>12.669360792360905</v>
      </c>
    </row>
    <row r="54" spans="1:25" x14ac:dyDescent="0.25">
      <c r="A54">
        <f t="shared" si="3"/>
        <v>4</v>
      </c>
      <c r="B54">
        <v>1.2669360792360905E-2</v>
      </c>
      <c r="C54">
        <f t="shared" si="2"/>
        <v>12.669360792360905</v>
      </c>
    </row>
    <row r="55" spans="1:25" x14ac:dyDescent="0.25">
      <c r="A55">
        <f t="shared" si="3"/>
        <v>5</v>
      </c>
      <c r="B55">
        <v>2.0139420486338797E-2</v>
      </c>
      <c r="C55">
        <f t="shared" si="2"/>
        <v>20.139420486338796</v>
      </c>
    </row>
  </sheetData>
  <hyperlinks>
    <hyperlink ref="U10" r:id="rId1" xr:uid="{5C5A2ED5-B9CF-450F-B995-6B2BE35789AC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3131-2492-440C-9B02-07A0FF66DBFF}">
  <dimension ref="A1:G29"/>
  <sheetViews>
    <sheetView zoomScale="115" zoomScaleNormal="115" workbookViewId="0">
      <selection activeCell="G33" sqref="G33"/>
    </sheetView>
  </sheetViews>
  <sheetFormatPr defaultRowHeight="15" x14ac:dyDescent="0.25"/>
  <cols>
    <col min="2" max="2" width="13.85546875" customWidth="1"/>
    <col min="3" max="3" width="23.5703125" customWidth="1"/>
    <col min="5" max="5" width="15.7109375" customWidth="1"/>
    <col min="7" max="7" width="13" customWidth="1"/>
    <col min="8" max="8" width="10" bestFit="1" customWidth="1"/>
  </cols>
  <sheetData>
    <row r="1" spans="1:7" x14ac:dyDescent="0.25">
      <c r="A1" t="s">
        <v>56</v>
      </c>
    </row>
    <row r="2" spans="1:7" x14ac:dyDescent="0.25">
      <c r="B2" t="s">
        <v>57</v>
      </c>
      <c r="E2">
        <v>1.2</v>
      </c>
      <c r="F2" t="s">
        <v>58</v>
      </c>
      <c r="G2" t="s">
        <v>59</v>
      </c>
    </row>
    <row r="3" spans="1:7" x14ac:dyDescent="0.25">
      <c r="B3" t="s">
        <v>60</v>
      </c>
      <c r="F3" t="s">
        <v>61</v>
      </c>
    </row>
    <row r="5" spans="1:7" x14ac:dyDescent="0.25">
      <c r="B5" t="s">
        <v>62</v>
      </c>
    </row>
    <row r="6" spans="1:7" x14ac:dyDescent="0.25">
      <c r="B6" t="s">
        <v>63</v>
      </c>
    </row>
    <row r="9" spans="1:7" x14ac:dyDescent="0.25">
      <c r="B9" t="s">
        <v>213</v>
      </c>
      <c r="D9">
        <v>3965.2959999999998</v>
      </c>
    </row>
    <row r="10" spans="1:7" x14ac:dyDescent="0.25">
      <c r="B10" t="s">
        <v>214</v>
      </c>
      <c r="D10">
        <v>292.87373739000003</v>
      </c>
      <c r="E10" t="s">
        <v>134</v>
      </c>
    </row>
    <row r="11" spans="1:7" x14ac:dyDescent="0.25">
      <c r="B11" t="s">
        <v>64</v>
      </c>
      <c r="F11">
        <v>1.2</v>
      </c>
      <c r="G11" t="s">
        <v>58</v>
      </c>
    </row>
    <row r="15" spans="1:7" x14ac:dyDescent="0.25">
      <c r="B15" t="s">
        <v>215</v>
      </c>
    </row>
    <row r="16" spans="1:7" x14ac:dyDescent="0.25">
      <c r="B16" t="s">
        <v>216</v>
      </c>
    </row>
    <row r="18" spans="1:4" x14ac:dyDescent="0.25">
      <c r="B18" t="s">
        <v>128</v>
      </c>
      <c r="C18">
        <v>14</v>
      </c>
      <c r="D18" t="s">
        <v>58</v>
      </c>
    </row>
    <row r="19" spans="1:4" x14ac:dyDescent="0.25">
      <c r="B19" t="s">
        <v>217</v>
      </c>
      <c r="C19">
        <f>C18-(2*C20)</f>
        <v>3.8000000000000007</v>
      </c>
      <c r="D19" t="s">
        <v>58</v>
      </c>
    </row>
    <row r="20" spans="1:4" x14ac:dyDescent="0.25">
      <c r="B20" t="s">
        <v>218</v>
      </c>
      <c r="C20">
        <f>1.7*3</f>
        <v>5.0999999999999996</v>
      </c>
      <c r="D20" t="s">
        <v>58</v>
      </c>
    </row>
    <row r="22" spans="1:4" x14ac:dyDescent="0.25">
      <c r="B22" t="s">
        <v>14</v>
      </c>
      <c r="C22">
        <f>(1/2)*(C18+C19)*1.7</f>
        <v>15.13</v>
      </c>
      <c r="D22" t="s">
        <v>104</v>
      </c>
    </row>
    <row r="24" spans="1:4" x14ac:dyDescent="0.25">
      <c r="B24" t="s">
        <v>135</v>
      </c>
      <c r="C24">
        <f>C22*20</f>
        <v>302.60000000000002</v>
      </c>
      <c r="D24" t="s">
        <v>134</v>
      </c>
    </row>
    <row r="25" spans="1:4" x14ac:dyDescent="0.25">
      <c r="B25" t="s">
        <v>219</v>
      </c>
    </row>
    <row r="29" spans="1:4" x14ac:dyDescent="0.25">
      <c r="A29" t="s">
        <v>220</v>
      </c>
      <c r="C29">
        <f>14*14</f>
        <v>196</v>
      </c>
      <c r="D29" t="s">
        <v>104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7FC5-F8A7-429E-BF5A-14CE1FD98861}">
  <dimension ref="A1:I63"/>
  <sheetViews>
    <sheetView topLeftCell="A9" workbookViewId="0">
      <selection activeCell="L60" sqref="L60"/>
    </sheetView>
  </sheetViews>
  <sheetFormatPr defaultRowHeight="15" x14ac:dyDescent="0.25"/>
  <cols>
    <col min="2" max="2" width="12.140625" customWidth="1"/>
  </cols>
  <sheetData>
    <row r="1" spans="1:1" ht="26.25" x14ac:dyDescent="0.4">
      <c r="A1" s="11" t="s">
        <v>195</v>
      </c>
    </row>
    <row r="29" spans="3:6" x14ac:dyDescent="0.25">
      <c r="C29" t="s">
        <v>194</v>
      </c>
    </row>
    <row r="31" spans="3:6" x14ac:dyDescent="0.25">
      <c r="C31" t="s">
        <v>145</v>
      </c>
    </row>
    <row r="32" spans="3:6" x14ac:dyDescent="0.25">
      <c r="D32" t="s">
        <v>147</v>
      </c>
      <c r="E32">
        <v>22.257792999999999</v>
      </c>
      <c r="F32" t="s">
        <v>58</v>
      </c>
    </row>
    <row r="33" spans="1:9" x14ac:dyDescent="0.25">
      <c r="D33" t="s">
        <v>101</v>
      </c>
      <c r="E33">
        <v>0.72</v>
      </c>
      <c r="F33" t="s">
        <v>104</v>
      </c>
    </row>
    <row r="34" spans="1:9" x14ac:dyDescent="0.25">
      <c r="D34" t="s">
        <v>145</v>
      </c>
      <c r="E34">
        <f>E33*E32</f>
        <v>16.025610959999998</v>
      </c>
      <c r="F34" t="s">
        <v>134</v>
      </c>
    </row>
    <row r="35" spans="1:9" x14ac:dyDescent="0.25">
      <c r="A35" t="s">
        <v>196</v>
      </c>
    </row>
    <row r="38" spans="1:9" x14ac:dyDescent="0.25">
      <c r="B38" t="s">
        <v>65</v>
      </c>
    </row>
    <row r="39" spans="1:9" x14ac:dyDescent="0.25">
      <c r="C39" t="s">
        <v>146</v>
      </c>
      <c r="D39" t="s">
        <v>148</v>
      </c>
    </row>
    <row r="40" spans="1:9" x14ac:dyDescent="0.25">
      <c r="C40" t="s">
        <v>66</v>
      </c>
      <c r="D40">
        <v>1</v>
      </c>
      <c r="F40" t="s">
        <v>126</v>
      </c>
      <c r="G40">
        <v>0.4</v>
      </c>
      <c r="H40" t="s">
        <v>131</v>
      </c>
      <c r="I40">
        <f>E33</f>
        <v>0.72</v>
      </c>
    </row>
    <row r="41" spans="1:9" x14ac:dyDescent="0.25">
      <c r="C41" t="s">
        <v>67</v>
      </c>
      <c r="D41">
        <v>0.05</v>
      </c>
      <c r="F41" t="s">
        <v>128</v>
      </c>
      <c r="G41">
        <f>E32</f>
        <v>22.257792999999999</v>
      </c>
      <c r="H41" t="s">
        <v>58</v>
      </c>
    </row>
    <row r="42" spans="1:9" x14ac:dyDescent="0.25">
      <c r="C42" t="s">
        <v>68</v>
      </c>
      <c r="D42">
        <v>3.1298221279999998</v>
      </c>
      <c r="F42" t="s">
        <v>129</v>
      </c>
      <c r="G42" t="s">
        <v>130</v>
      </c>
    </row>
    <row r="43" spans="1:9" x14ac:dyDescent="0.25">
      <c r="C43" t="s">
        <v>14</v>
      </c>
      <c r="D43">
        <f>I40</f>
        <v>0.72</v>
      </c>
      <c r="F43" t="s">
        <v>133</v>
      </c>
      <c r="G43">
        <f>D43/D42</f>
        <v>0.23004502190675291</v>
      </c>
    </row>
    <row r="44" spans="1:9" x14ac:dyDescent="0.25">
      <c r="C44" t="s">
        <v>69</v>
      </c>
      <c r="D44">
        <v>0.3333333</v>
      </c>
    </row>
    <row r="45" spans="1:9" x14ac:dyDescent="0.25">
      <c r="G45" t="s">
        <v>136</v>
      </c>
      <c r="H45">
        <f>I40*G41</f>
        <v>16.025610959999998</v>
      </c>
      <c r="I45" t="s">
        <v>134</v>
      </c>
    </row>
    <row r="46" spans="1:9" x14ac:dyDescent="0.25">
      <c r="C46" t="s">
        <v>132</v>
      </c>
      <c r="D46">
        <f>(D40/D41)*(G43^(2/3))*(D44*(1/2))*D43</f>
        <v>0.90105871485557332</v>
      </c>
      <c r="E46" t="s">
        <v>116</v>
      </c>
    </row>
    <row r="49" spans="1:7" x14ac:dyDescent="0.25">
      <c r="A49" t="s">
        <v>197</v>
      </c>
    </row>
    <row r="51" spans="1:7" x14ac:dyDescent="0.25">
      <c r="B51" t="s">
        <v>198</v>
      </c>
      <c r="C51">
        <v>2E-3</v>
      </c>
      <c r="D51" t="s">
        <v>116</v>
      </c>
    </row>
    <row r="53" spans="1:7" x14ac:dyDescent="0.25">
      <c r="B53" t="s">
        <v>199</v>
      </c>
    </row>
    <row r="54" spans="1:7" x14ac:dyDescent="0.25">
      <c r="C54" t="s">
        <v>146</v>
      </c>
      <c r="D54" t="s">
        <v>149</v>
      </c>
      <c r="E54">
        <v>4.4999999999999998E-2</v>
      </c>
      <c r="F54" t="s">
        <v>58</v>
      </c>
    </row>
    <row r="55" spans="1:7" x14ac:dyDescent="0.25">
      <c r="D55" t="s">
        <v>133</v>
      </c>
      <c r="E55">
        <f>E54/2</f>
        <v>2.2499999999999999E-2</v>
      </c>
    </row>
    <row r="56" spans="1:7" x14ac:dyDescent="0.25">
      <c r="C56" t="s">
        <v>66</v>
      </c>
      <c r="D56">
        <v>1</v>
      </c>
    </row>
    <row r="57" spans="1:7" x14ac:dyDescent="0.25">
      <c r="C57" t="s">
        <v>67</v>
      </c>
      <c r="D57">
        <v>1.2E-2</v>
      </c>
    </row>
    <row r="58" spans="1:7" x14ac:dyDescent="0.25">
      <c r="C58" t="s">
        <v>68</v>
      </c>
      <c r="D58">
        <f>PI()*E54</f>
        <v>0.1413716694115407</v>
      </c>
    </row>
    <row r="59" spans="1:7" x14ac:dyDescent="0.25">
      <c r="C59" t="s">
        <v>14</v>
      </c>
      <c r="D59">
        <f>PI()*(E54/2)^2</f>
        <v>1.5904312808798326E-3</v>
      </c>
      <c r="F59" t="s">
        <v>136</v>
      </c>
      <c r="G59">
        <f>D59*E32</f>
        <v>3.539949023054817E-2</v>
      </c>
    </row>
    <row r="60" spans="1:7" x14ac:dyDescent="0.25">
      <c r="C60" t="s">
        <v>69</v>
      </c>
      <c r="D60">
        <v>0.3333333</v>
      </c>
    </row>
    <row r="62" spans="1:7" x14ac:dyDescent="0.25">
      <c r="C62" t="s">
        <v>132</v>
      </c>
      <c r="D62">
        <f>(D56/D57)*(E55^(2/3))*(D60*(1/2))*D59</f>
        <v>1.7605054794942582E-3</v>
      </c>
      <c r="E62" t="s">
        <v>116</v>
      </c>
    </row>
    <row r="63" spans="1:7" x14ac:dyDescent="0.25">
      <c r="D63" t="s">
        <v>150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443D-6AA3-4FA7-9049-8FB5ABE8EB5B}">
  <dimension ref="A1:U63"/>
  <sheetViews>
    <sheetView tabSelected="1" topLeftCell="A6" workbookViewId="0">
      <selection activeCell="AB58" sqref="AB58"/>
    </sheetView>
  </sheetViews>
  <sheetFormatPr defaultRowHeight="15" x14ac:dyDescent="0.25"/>
  <sheetData>
    <row r="1" spans="1:1" ht="26.25" x14ac:dyDescent="0.4">
      <c r="A1" s="11" t="s">
        <v>200</v>
      </c>
    </row>
    <row r="28" spans="14:20" x14ac:dyDescent="0.25">
      <c r="N28" t="s">
        <v>14</v>
      </c>
      <c r="O28" t="s">
        <v>207</v>
      </c>
    </row>
    <row r="30" spans="14:20" x14ac:dyDescent="0.25">
      <c r="N30" t="s">
        <v>66</v>
      </c>
      <c r="O30">
        <v>1</v>
      </c>
      <c r="Q30" t="s">
        <v>126</v>
      </c>
      <c r="R30" t="s">
        <v>127</v>
      </c>
      <c r="S30" t="s">
        <v>131</v>
      </c>
      <c r="T30">
        <v>0.63</v>
      </c>
    </row>
    <row r="31" spans="14:20" x14ac:dyDescent="0.25">
      <c r="N31" t="s">
        <v>67</v>
      </c>
      <c r="O31">
        <v>0.05</v>
      </c>
      <c r="Q31" t="s">
        <v>128</v>
      </c>
      <c r="R31">
        <v>173.8</v>
      </c>
      <c r="S31" t="s">
        <v>58</v>
      </c>
    </row>
    <row r="32" spans="14:20" x14ac:dyDescent="0.25">
      <c r="N32" t="s">
        <v>68</v>
      </c>
      <c r="O32">
        <v>4.7123900000000001</v>
      </c>
      <c r="Q32" t="s">
        <v>129</v>
      </c>
      <c r="R32" t="s">
        <v>130</v>
      </c>
    </row>
    <row r="33" spans="14:21" x14ac:dyDescent="0.25">
      <c r="N33" t="s">
        <v>14</v>
      </c>
      <c r="O33">
        <f>T30</f>
        <v>0.63</v>
      </c>
      <c r="Q33" t="s">
        <v>133</v>
      </c>
      <c r="R33">
        <f>O33/O32</f>
        <v>0.13369012327078192</v>
      </c>
    </row>
    <row r="34" spans="14:21" x14ac:dyDescent="0.25">
      <c r="N34" t="s">
        <v>69</v>
      </c>
      <c r="O34">
        <v>1.15E-2</v>
      </c>
    </row>
    <row r="35" spans="14:21" x14ac:dyDescent="0.25">
      <c r="R35" t="s">
        <v>136</v>
      </c>
      <c r="S35">
        <f>T30*R31</f>
        <v>109.49400000000001</v>
      </c>
      <c r="T35" t="s">
        <v>134</v>
      </c>
    </row>
    <row r="36" spans="14:21" x14ac:dyDescent="0.25">
      <c r="N36" t="s">
        <v>132</v>
      </c>
      <c r="O36">
        <f>(O30/O31)*(R33^(2/3))*(O34*(1/2))*O33</f>
        <v>1.8942528047445058E-2</v>
      </c>
      <c r="P36" t="s">
        <v>116</v>
      </c>
    </row>
    <row r="38" spans="14:21" x14ac:dyDescent="0.25">
      <c r="N38" t="s">
        <v>142</v>
      </c>
      <c r="O38" t="s">
        <v>202</v>
      </c>
    </row>
    <row r="40" spans="14:21" x14ac:dyDescent="0.25">
      <c r="N40" t="s">
        <v>138</v>
      </c>
      <c r="O40">
        <v>69.554392699999994</v>
      </c>
    </row>
    <row r="41" spans="14:21" x14ac:dyDescent="0.25">
      <c r="N41" t="s">
        <v>135</v>
      </c>
      <c r="O41">
        <f>O40*T30</f>
        <v>43.819267400999998</v>
      </c>
    </row>
    <row r="43" spans="14:21" x14ac:dyDescent="0.25">
      <c r="N43" t="s">
        <v>201</v>
      </c>
    </row>
    <row r="45" spans="14:21" x14ac:dyDescent="0.25">
      <c r="N45" t="s">
        <v>137</v>
      </c>
      <c r="O45" t="s">
        <v>203</v>
      </c>
      <c r="S45" t="s">
        <v>143</v>
      </c>
    </row>
    <row r="47" spans="14:21" x14ac:dyDescent="0.25">
      <c r="N47" t="s">
        <v>138</v>
      </c>
      <c r="O47">
        <v>53.036419000000002</v>
      </c>
      <c r="T47">
        <f>S35+O48+O53+O58+O63+O64</f>
        <v>293.97450782700002</v>
      </c>
      <c r="U47" t="s">
        <v>134</v>
      </c>
    </row>
    <row r="48" spans="14:21" x14ac:dyDescent="0.25">
      <c r="N48" t="s">
        <v>135</v>
      </c>
      <c r="O48">
        <f>T30*O47</f>
        <v>33.412943970000001</v>
      </c>
    </row>
    <row r="49" spans="14:20" x14ac:dyDescent="0.25">
      <c r="S49" t="s">
        <v>144</v>
      </c>
    </row>
    <row r="50" spans="14:20" x14ac:dyDescent="0.25">
      <c r="N50" t="s">
        <v>139</v>
      </c>
      <c r="O50" t="s">
        <v>204</v>
      </c>
      <c r="T50">
        <f>R31+O47+O52+O57+O62+O40</f>
        <v>536.18059560000006</v>
      </c>
    </row>
    <row r="52" spans="14:20" x14ac:dyDescent="0.25">
      <c r="N52" t="s">
        <v>138</v>
      </c>
      <c r="O52">
        <v>90.608439000000004</v>
      </c>
    </row>
    <row r="53" spans="14:20" x14ac:dyDescent="0.25">
      <c r="N53" t="s">
        <v>135</v>
      </c>
      <c r="O53">
        <f>O52*T30</f>
        <v>57.083316570000001</v>
      </c>
    </row>
    <row r="55" spans="14:20" x14ac:dyDescent="0.25">
      <c r="N55" t="s">
        <v>140</v>
      </c>
      <c r="O55" t="s">
        <v>205</v>
      </c>
    </row>
    <row r="57" spans="14:20" x14ac:dyDescent="0.25">
      <c r="N57" t="s">
        <v>138</v>
      </c>
      <c r="O57">
        <v>89.276521900000006</v>
      </c>
    </row>
    <row r="58" spans="14:20" x14ac:dyDescent="0.25">
      <c r="N58" t="s">
        <v>135</v>
      </c>
      <c r="O58">
        <f>O57*T30</f>
        <v>56.244208797000006</v>
      </c>
    </row>
    <row r="60" spans="14:20" x14ac:dyDescent="0.25">
      <c r="N60" t="s">
        <v>141</v>
      </c>
      <c r="O60" t="s">
        <v>206</v>
      </c>
    </row>
    <row r="62" spans="14:20" x14ac:dyDescent="0.25">
      <c r="N62" t="s">
        <v>138</v>
      </c>
      <c r="O62">
        <v>59.904823</v>
      </c>
    </row>
    <row r="63" spans="14:20" x14ac:dyDescent="0.25">
      <c r="N63" t="s">
        <v>135</v>
      </c>
      <c r="O63">
        <f>O62*T30</f>
        <v>37.740038490000003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B344-CCF3-4EBE-B6F2-E109762EA896}">
  <dimension ref="A1:H25"/>
  <sheetViews>
    <sheetView workbookViewId="0">
      <selection activeCell="G37" sqref="G37"/>
    </sheetView>
  </sheetViews>
  <sheetFormatPr defaultRowHeight="15" x14ac:dyDescent="0.25"/>
  <cols>
    <col min="2" max="2" width="12" bestFit="1" customWidth="1"/>
  </cols>
  <sheetData>
    <row r="1" spans="1:3" ht="26.25" x14ac:dyDescent="0.4">
      <c r="A1" s="11" t="s">
        <v>208</v>
      </c>
    </row>
    <row r="2" spans="1:3" x14ac:dyDescent="0.25">
      <c r="B2" t="s">
        <v>117</v>
      </c>
      <c r="C2" t="s">
        <v>118</v>
      </c>
    </row>
    <row r="3" spans="1:3" x14ac:dyDescent="0.25">
      <c r="B3">
        <v>884995679.21689999</v>
      </c>
      <c r="C3">
        <f>B3/(1000*1000)</f>
        <v>884.99567921690004</v>
      </c>
    </row>
    <row r="4" spans="1:3" x14ac:dyDescent="0.25">
      <c r="B4">
        <v>748388015.81599998</v>
      </c>
      <c r="C4">
        <f t="shared" ref="C4:C10" si="0">B4/(1000*1000)</f>
        <v>748.38801581600001</v>
      </c>
    </row>
    <row r="5" spans="1:3" x14ac:dyDescent="0.25">
      <c r="B5">
        <v>803024451.778</v>
      </c>
      <c r="C5">
        <f t="shared" si="0"/>
        <v>803.02445177799996</v>
      </c>
    </row>
    <row r="6" spans="1:3" x14ac:dyDescent="0.25">
      <c r="B6">
        <v>283019946.05830002</v>
      </c>
      <c r="C6">
        <f t="shared" si="0"/>
        <v>283.01994605830004</v>
      </c>
    </row>
    <row r="7" spans="1:3" x14ac:dyDescent="0.25">
      <c r="B7">
        <v>524393784.1645</v>
      </c>
      <c r="C7">
        <f t="shared" si="0"/>
        <v>524.39378416449995</v>
      </c>
    </row>
    <row r="8" spans="1:3" x14ac:dyDescent="0.25">
      <c r="B8">
        <v>202491360.85100001</v>
      </c>
      <c r="C8">
        <f t="shared" si="0"/>
        <v>202.49136085100002</v>
      </c>
    </row>
    <row r="9" spans="1:3" x14ac:dyDescent="0.25">
      <c r="B9">
        <v>1085556856.9531</v>
      </c>
      <c r="C9">
        <f t="shared" si="0"/>
        <v>1085.5568569530999</v>
      </c>
    </row>
    <row r="10" spans="1:3" x14ac:dyDescent="0.25">
      <c r="B10">
        <v>489668396.86610001</v>
      </c>
      <c r="C10">
        <f t="shared" si="0"/>
        <v>489.66839686610001</v>
      </c>
    </row>
    <row r="11" spans="1:3" x14ac:dyDescent="0.25">
      <c r="A11" t="s">
        <v>113</v>
      </c>
      <c r="B11">
        <f>SUM(B3,B4,B5,B6,B7,B8,B9,B10)</f>
        <v>5021538491.7039003</v>
      </c>
      <c r="C11">
        <f>SUM(C3,C4,C5,C6,C7,C8,C9,C10)</f>
        <v>5021.5384917039</v>
      </c>
    </row>
    <row r="14" spans="1:3" x14ac:dyDescent="0.25">
      <c r="A14" t="s">
        <v>65</v>
      </c>
    </row>
    <row r="17" spans="2:8" x14ac:dyDescent="0.25">
      <c r="C17" t="s">
        <v>119</v>
      </c>
      <c r="G17">
        <f>C11</f>
        <v>5021.5384917039</v>
      </c>
      <c r="H17" t="s">
        <v>104</v>
      </c>
    </row>
    <row r="19" spans="2:8" x14ac:dyDescent="0.25">
      <c r="B19" t="s">
        <v>163</v>
      </c>
    </row>
    <row r="21" spans="2:8" x14ac:dyDescent="0.25">
      <c r="B21" t="s">
        <v>17</v>
      </c>
      <c r="C21">
        <v>0.75</v>
      </c>
    </row>
    <row r="22" spans="2:8" x14ac:dyDescent="0.25">
      <c r="B22" t="s">
        <v>164</v>
      </c>
      <c r="C22">
        <v>91</v>
      </c>
    </row>
    <row r="23" spans="2:8" x14ac:dyDescent="0.25">
      <c r="B23" t="s">
        <v>14</v>
      </c>
      <c r="C23">
        <f>G17/10000</f>
        <v>0.50215384917038997</v>
      </c>
    </row>
    <row r="25" spans="2:8" x14ac:dyDescent="0.25">
      <c r="B25" t="s">
        <v>132</v>
      </c>
      <c r="C25">
        <f>0.00278*C21*C22*C23</f>
        <v>9.5276160572343949E-2</v>
      </c>
      <c r="D25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0E3E-827D-4DD4-B074-9E91B9FA48D4}">
  <dimension ref="A1:Q13"/>
  <sheetViews>
    <sheetView workbookViewId="0">
      <selection activeCell="Q4" sqref="Q4"/>
    </sheetView>
  </sheetViews>
  <sheetFormatPr defaultRowHeight="15" x14ac:dyDescent="0.25"/>
  <cols>
    <col min="2" max="2" width="17.140625" customWidth="1"/>
    <col min="3" max="3" width="11.42578125" customWidth="1"/>
  </cols>
  <sheetData>
    <row r="1" spans="1:17" ht="26.25" x14ac:dyDescent="0.4">
      <c r="A1" s="11" t="s">
        <v>209</v>
      </c>
    </row>
    <row r="3" spans="1:17" x14ac:dyDescent="0.25">
      <c r="Q3" t="s">
        <v>222</v>
      </c>
    </row>
    <row r="4" spans="1:17" x14ac:dyDescent="0.25">
      <c r="B4" t="s">
        <v>210</v>
      </c>
      <c r="C4" t="s">
        <v>211</v>
      </c>
      <c r="F4" t="s">
        <v>212</v>
      </c>
    </row>
    <row r="5" spans="1:17" x14ac:dyDescent="0.25">
      <c r="A5">
        <v>1</v>
      </c>
      <c r="B5">
        <v>3903.9214999999999</v>
      </c>
      <c r="C5">
        <f>B5/1000</f>
        <v>3.9039215</v>
      </c>
    </row>
    <row r="6" spans="1:17" x14ac:dyDescent="0.25">
      <c r="A6">
        <v>2</v>
      </c>
      <c r="B6">
        <v>4065.0074</v>
      </c>
      <c r="C6">
        <f t="shared" ref="C6:C12" si="0">B6/1000</f>
        <v>4.0650073999999998</v>
      </c>
    </row>
    <row r="7" spans="1:17" x14ac:dyDescent="0.25">
      <c r="A7">
        <v>3</v>
      </c>
      <c r="B7">
        <v>5000</v>
      </c>
      <c r="C7">
        <f t="shared" si="0"/>
        <v>5</v>
      </c>
    </row>
    <row r="8" spans="1:17" x14ac:dyDescent="0.25">
      <c r="A8">
        <v>4</v>
      </c>
      <c r="B8">
        <v>4278.0279</v>
      </c>
      <c r="C8">
        <f t="shared" si="0"/>
        <v>4.2780278999999997</v>
      </c>
    </row>
    <row r="9" spans="1:17" x14ac:dyDescent="0.25">
      <c r="A9">
        <v>5</v>
      </c>
      <c r="B9">
        <v>4786.0198</v>
      </c>
      <c r="C9">
        <f t="shared" si="0"/>
        <v>4.7860198</v>
      </c>
    </row>
    <row r="10" spans="1:17" x14ac:dyDescent="0.25">
      <c r="A10">
        <v>6</v>
      </c>
      <c r="B10">
        <v>11298.081899999999</v>
      </c>
      <c r="C10">
        <f t="shared" si="0"/>
        <v>11.2980819</v>
      </c>
    </row>
    <row r="11" spans="1:17" x14ac:dyDescent="0.25">
      <c r="A11">
        <v>7</v>
      </c>
      <c r="B11">
        <v>11340.9067</v>
      </c>
      <c r="C11">
        <f t="shared" si="0"/>
        <v>11.3409067</v>
      </c>
    </row>
    <row r="12" spans="1:17" x14ac:dyDescent="0.25">
      <c r="A12">
        <v>8</v>
      </c>
      <c r="B12">
        <v>5150.0643</v>
      </c>
      <c r="C12">
        <f t="shared" si="0"/>
        <v>5.1500643000000004</v>
      </c>
    </row>
    <row r="13" spans="1:17" x14ac:dyDescent="0.25">
      <c r="A13" t="s">
        <v>120</v>
      </c>
      <c r="C13">
        <f>SUM(C5,C6,C7,C8,C9,C10,C11,C12)</f>
        <v>49.822029499999999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CC5DA22D6B5E4880570D285C25B861" ma:contentTypeVersion="3" ma:contentTypeDescription="Create a new document." ma:contentTypeScope="" ma:versionID="8ff6dd2ee41cbe80a654d7acdfc39f11">
  <xsd:schema xmlns:xsd="http://www.w3.org/2001/XMLSchema" xmlns:xs="http://www.w3.org/2001/XMLSchema" xmlns:p="http://schemas.microsoft.com/office/2006/metadata/properties" xmlns:ns2="71c38246-07c4-4a9c-bd24-7f026960a078" targetNamespace="http://schemas.microsoft.com/office/2006/metadata/properties" ma:root="true" ma:fieldsID="e69373d2ad72061afaa7ce4f82fe8d9d" ns2:_="">
    <xsd:import namespace="71c38246-07c4-4a9c-bd24-7f026960a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38246-07c4-4a9c-bd24-7f026960a0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E85F07-0575-4C8A-8BD4-F4D5F79DF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C83838-C4F6-4085-8E90-A53756AE36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38246-07c4-4a9c-bd24-7f026960a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483AD3-DA06-4545-A8C6-F31E6B65F999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71c38246-07c4-4a9c-bd24-7f026960a07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Roof Drainage</vt:lpstr>
      <vt:lpstr>Tier 1- Blue Roof </vt:lpstr>
      <vt:lpstr> Tier 2- Siphonic</vt:lpstr>
      <vt:lpstr>Tier 3- GW + Traditional </vt:lpstr>
      <vt:lpstr> Tier 4 + 5- Siphonic</vt:lpstr>
      <vt:lpstr>Pond </vt:lpstr>
      <vt:lpstr>Swale Conyenance </vt:lpstr>
      <vt:lpstr>Infiltration Channels </vt:lpstr>
      <vt:lpstr>Upstream Area </vt:lpstr>
      <vt:lpstr>ACO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Maddy Moore (UG)</dc:creator>
  <cp:keywords/>
  <dc:description/>
  <cp:lastModifiedBy>Hannah Whitlam (UG)</cp:lastModifiedBy>
  <cp:revision/>
  <dcterms:created xsi:type="dcterms:W3CDTF">2026-02-25T16:16:00Z</dcterms:created>
  <dcterms:modified xsi:type="dcterms:W3CDTF">2026-04-24T15:02:35Z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0x010100F6CC5DA22D6B5E4880570D285C25B861</vt:lpwstr>
  </property>
</Properties>
</file>