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xana\Desktop-2\personal documents\Data Bootcamp\Assignments\"/>
    </mc:Choice>
  </mc:AlternateContent>
  <xr:revisionPtr revIDLastSave="0" documentId="8_{62C458D0-3AFE-4C07-B96C-295129D1D25F}" xr6:coauthVersionLast="36" xr6:coauthVersionMax="36" xr10:uidLastSave="{00000000-0000-0000-0000-000000000000}"/>
  <bookViews>
    <workbookView xWindow="165" yWindow="1080" windowWidth="26445" windowHeight="14475" xr2:uid="{00000000-000D-0000-FFFF-FFFF00000000}"/>
  </bookViews>
  <sheets>
    <sheet name="Crowdfunding" sheetId="1" r:id="rId1"/>
    <sheet name="Pivot-Parent category" sheetId="3" r:id="rId2"/>
    <sheet name="Pivot-subcategory" sheetId="4" r:id="rId3"/>
    <sheet name="Pivot-Monthly distribution" sheetId="8" r:id="rId4"/>
    <sheet name="Goal Analysis" sheetId="9" r:id="rId5"/>
    <sheet name="Statistical Analysis" sheetId="10" r:id="rId6"/>
  </sheets>
  <definedNames>
    <definedName name="_xlnm._FilterDatabase" localSheetId="0" hidden="1">Crowdfunding!$A$1:$T$1001</definedName>
    <definedName name="_xlnm._FilterDatabase" localSheetId="5" hidden="1">'Statistical Analysis'!$A$1:$M$1</definedName>
    <definedName name="_xlchart.v1.0" hidden="1">'Statistical Analysis'!$E$2:$E$365</definedName>
    <definedName name="_xlchart.v1.1" hidden="1">'Statistical Analysis'!$B$2:$B$566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L6" i="10" l="1"/>
  <c r="M6" i="10"/>
  <c r="L7" i="10"/>
  <c r="M7" i="10"/>
  <c r="M5" i="10"/>
  <c r="M4" i="10"/>
  <c r="M3" i="10"/>
  <c r="M2" i="10"/>
  <c r="L5" i="10"/>
  <c r="L4" i="10"/>
  <c r="L3" i="10"/>
  <c r="L2" i="10"/>
  <c r="D13" i="9"/>
  <c r="D12" i="9"/>
  <c r="D11" i="9"/>
  <c r="D10" i="9"/>
  <c r="D9" i="9"/>
  <c r="D8" i="9"/>
  <c r="D7" i="9"/>
  <c r="D6" i="9"/>
  <c r="D5" i="9"/>
  <c r="D4" i="9"/>
  <c r="C4" i="9"/>
  <c r="C13" i="9"/>
  <c r="C12" i="9"/>
  <c r="C11" i="9"/>
  <c r="C10" i="9"/>
  <c r="C9" i="9"/>
  <c r="C8" i="9"/>
  <c r="C7" i="9"/>
  <c r="C6" i="9"/>
  <c r="C5" i="9"/>
  <c r="B13" i="9"/>
  <c r="B12" i="9"/>
  <c r="B11" i="9"/>
  <c r="B10" i="9"/>
  <c r="B9" i="9"/>
  <c r="B8" i="9"/>
  <c r="B7" i="9"/>
  <c r="B6" i="9"/>
  <c r="B5" i="9"/>
  <c r="B4" i="9"/>
  <c r="B3" i="9"/>
  <c r="D3" i="9"/>
  <c r="C3" i="9"/>
  <c r="D2" i="9"/>
  <c r="C2" i="9"/>
  <c r="B2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3" i="9" l="1"/>
  <c r="F3" i="9" s="1"/>
  <c r="E2" i="9"/>
  <c r="F2" i="9" s="1"/>
  <c r="E4" i="9"/>
  <c r="F4" i="9" s="1"/>
  <c r="E9" i="9"/>
  <c r="F9" i="9" s="1"/>
  <c r="E7" i="9"/>
  <c r="F7" i="9" s="1"/>
  <c r="E6" i="9"/>
  <c r="F6" i="9" s="1"/>
  <c r="E5" i="9"/>
  <c r="F5" i="9" s="1"/>
  <c r="E8" i="9"/>
  <c r="F8" i="9" s="1"/>
  <c r="E10" i="9"/>
  <c r="F10" i="9" s="1"/>
  <c r="E11" i="9"/>
  <c r="F11" i="9" s="1"/>
  <c r="E12" i="9"/>
  <c r="F12" i="9" s="1"/>
  <c r="E13" i="9"/>
  <c r="F13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9" l="1"/>
  <c r="G8" i="9"/>
  <c r="H10" i="9"/>
  <c r="H3" i="9"/>
  <c r="H6" i="9"/>
  <c r="G6" i="9"/>
  <c r="G5" i="9"/>
  <c r="H4" i="9"/>
  <c r="H2" i="9"/>
  <c r="G2" i="9"/>
  <c r="G11" i="9"/>
  <c r="H8" i="9"/>
  <c r="G4" i="9"/>
  <c r="G13" i="9"/>
  <c r="G12" i="9"/>
  <c r="H12" i="9"/>
  <c r="G10" i="9"/>
  <c r="H9" i="9"/>
  <c r="G9" i="9"/>
  <c r="H7" i="9"/>
  <c r="G7" i="9"/>
  <c r="H5" i="9"/>
  <c r="H11" i="9"/>
  <c r="H13" i="9"/>
</calcChain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<sst xmlns="http://schemas.openxmlformats.org/spreadsheetml/2006/main" count="7060" uniqueCount="2114">
  <si>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</si>
  <si>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</si>
  <si>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</si>
  <si>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</si>
  <si>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</si>
  <si>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</si>
  <si>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</si>
  <si>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</si>
  <si>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</si>
  <si>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</si>
  <si>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</si>
  <si>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</si>
  <si>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</si>
  <si>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</si>
  <si>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</si>
  <si>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</si>
  <si>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</si>
  <si>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</si>
  <si>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</si>
  <si>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</si>
  <si>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</si>
  <si>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</si>
  <si>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</si>
  <si>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</si>
  <si>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</si>
  <si>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</si>
  <si>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</si>
  <si>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</si>
  <si>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</si>
  <si>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</si>
  <si>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</si>
  <si>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</si>
  <si>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</si>
  <si>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</si>
  <si>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</si>
  <si>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</si>
  <si>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</si>
  <si>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</si>
  <si>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</si>
  <si>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</si>
  <si>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</si>
  <si>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</si>
  <si>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</si>
  <si>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</si>
  <si>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</si>
  <si>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</si>
  <si>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</si>
  <si>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</si>
  <si>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</si>
  <si>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</si>
  <si>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</si>
  <si>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</si>
  <si>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</si>
  <si>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</si>
  <si>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</si>
  <si>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</si>
  <si>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</si>
  <si>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</si>
  <si>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</si>
  <si>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</si>
  <si>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</si>
  <si>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</si>
  <si>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</si>
  <si>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</si>
  <si>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</si>
  <si>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</si>
  <si>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</si>
  <si>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</si>
  <si>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</si>
  <si>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</si>
  <si>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</si>
  <si>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</si>
  <si>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</si>
  <si>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</si>
  <si>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</si>
  <si>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</si>
  <si>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</si>
  <si>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</si>
  <si>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</si>
  <si>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</si>
  <si>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</si>
  <si>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</si>
  <si>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</si>
  <si>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</si>
  <si>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</si>
  <si>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</si>
  <si>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</si>
  <si>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</si>
  <si>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</si>
  <si>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</si>
  <si>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</si>
  <si>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</si>
  <si>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</si>
  <si>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</si>
  <si>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</si>
  <si>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</si>
  <si>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</si>
  <si>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</si>
  <si>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</si>
  <si>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</si>
  <si>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</si>
  <si>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</si>
  <si>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</si>
  <si>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</si>
  <si>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</si>
  <si>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</si>
  <si>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</si>
  <si>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</si>
  <si>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</si>
  <si>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</si>
  <si>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</si>
  <si>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</si>
  <si>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</si>
  <si>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</si>
  <si>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</si>
  <si>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</si>
  <si>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</si>
  <si>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</si>
  <si>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</si>
  <si>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</si>
  <si>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</si>
  <si>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</si>
  <si>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</si>
  <si>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</si>
  <si>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</si>
  <si>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</si>
  <si>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</si>
  <si>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</si>
  <si>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</si>
  <si>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</si>
  <si>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</si>
  <si>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</si>
  <si>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</si>
  <si>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</si>
  <si>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</si>
  <si>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</si>
  <si>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</si>
  <si>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</si>
  <si>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</si>
  <si>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</si>
  <si>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</si>
  <si>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</si>
  <si>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</si>
  <si>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</si>
  <si>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</si>
  <si>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</si>
  <si>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</si>
  <si>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</si>
  <si>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</si>
  <si>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</si>
  <si>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</si>
  <si>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</si>
  <si>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</si>
  <si>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</si>
  <si>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</si>
  <si>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</si>
  <si>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</si>
  <si>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</si>
  <si>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</si>
  <si>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</si>
  <si>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</si>
  <si>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</si>
  <si>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</si>
  <si>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</si>
  <si>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</si>
  <si>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</si>
  <si>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</si>
  <si>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</si>
  <si>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</si>
  <si>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</si>
  <si>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</si>
  <si>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</si>
  <si>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</si>
  <si>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</si>
  <si>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</si>
  <si>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</si>
  <si>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</si>
  <si>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</si>
  <si>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</si>
  <si>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</si>
  <si>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</si>
  <si>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</si>
  <si>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</si>
  <si>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</si>
  <si>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</si>
  <si>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</si>
  <si>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</si>
  <si>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</si>
  <si>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</si>
  <si>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</si>
  <si>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</si>
  <si>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</si>
  <si>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</si>
  <si>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</si>
  <si>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</si>
  <si>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</si>
  <si>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</si>
  <si>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</si>
  <si>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</si>
  <si>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</si>
  <si>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</si>
  <si>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</si>
  <si>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</si>
  <si>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</si>
  <si>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</si>
  <si>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</si>
  <si>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</si>
  <si>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</si>
  <si>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</si>
  <si>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</si>
  <si>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</si>
  <si>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</si>
  <si>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</si>
  <si>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</si>
  <si>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</si>
  <si>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</si>
  <si>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</si>
  <si>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</si>
  <si>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</si>
  <si>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</si>
  <si>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</si>
  <si>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</si>
  <si>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</si>
  <si>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</si>
  <si>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</si>
  <si>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</si>
  <si>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</si>
  <si>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</si>
  <si>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</si>
  <si>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</si>
  <si>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</si>
  <si>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</si>
  <si>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</si>
  <si>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</si>
  <si>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</si>
  <si>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</si>
  <si>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</si>
  <si>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</si>
  <si>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</si>
  <si>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</si>
  <si>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</si>
  <si>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</si>
  <si>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</si>
  <si>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</si>
  <si>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</si>
  <si>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</si>
  <si>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</si>
  <si>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</si>
  <si>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</si>
  <si>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</si>
  <si>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</si>
  <si>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</si>
  <si>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</si>
  <si>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</si>
  <si>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</si>
  <si>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</si>
  <si>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</si>
  <si>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</si>
  <si>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</si>
  <si>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</si>
  <si>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</si>
  <si>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</si>
  <si>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</si>
  <si>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</si>
  <si>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</si>
  <si>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</si>
  <si>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</si>
  <si>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</si>
  <si>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</si>
  <si>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</si>
  <si>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</si>
  <si>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</si>
  <si>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</si>
  <si>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</si>
  <si>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</si>
  <si>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</si>
  <si>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</si>
  <si>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</si>
  <si>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</si>
  <si>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</si>
  <si>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</si>
  <si>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</si>
  <si>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</si>
  <si>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</si>
  <si>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</si>
  <si>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</si>
  <si>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</si>
  <si>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</si>
  <si>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</si>
  <si>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</si>
  <si>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</si>
  <si>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</si>
  <si>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</si>
  <si>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</si>
  <si>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</si>
  <si>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</si>
  <si>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</si>
  <si>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</si>
  <si>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</si>
  <si>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</si>
  <si>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</si>
  <si>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</si>
  <si>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</si>
  <si>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</si>
  <si>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</si>
  <si>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</si>
  <si>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</si>
  <si>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</si>
  <si>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</si>
  <si>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</si>
  <si>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</si>
  <si>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</si>
  <si>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</si>
  <si>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</si>
  <si>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</si>
  <si>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</si>
  <si>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</si>
  <si>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</si>
  <si>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</si>
  <si>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</si>
  <si>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</si>
  <si>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</si>
  <si>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</si>
  <si>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</si>
  <si>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</si>
  <si>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</si>
  <si>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</si>
  <si>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</si>
  <si>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</si>
  <si>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</si>
  <si>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</si>
  <si>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</si>
  <si>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</si>
  <si>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</si>
  <si>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</si>
  <si>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</si>
  <si>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</si>
  <si>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</si>
  <si>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</si>
  <si>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</si>
  <si>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</si>
  <si>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</si>
  <si>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</si>
  <si>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</si>
  <si>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</si>
  <si>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</si>
  <si>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</si>
  <si>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</si>
  <si>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</si>
  <si>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</si>
  <si>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</si>
  <si>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</si>
  <si>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</si>
  <si>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</si>
  <si>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</si>
  <si>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</si>
  <si>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</si>
  <si>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</si>
  <si>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</si>
  <si>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</si>
  <si>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</si>
  <si>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</si>
  <si>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</si>
  <si>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</si>
  <si>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</si>
  <si>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</si>
  <si>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</si>
  <si>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</si>
  <si>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</si>
  <si>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</si>
  <si>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</si>
  <si>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</si>
  <si>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</si>
  <si>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</si>
  <si>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</si>
  <si>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</si>
  <si>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</si>
  <si>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</si>
  <si>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</si>
  <si>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</si>
  <si>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</si>
  <si>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</si>
  <si>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</si>
  <si>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</si>
  <si>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</si>
  <si>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</si>
  <si>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</si>
  <si>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</si>
  <si>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</si>
  <si>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</si>
  <si>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</si>
  <si>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</si>
  <si>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</si>
  <si>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</si>
  <si>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</si>
  <si>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</si>
  <si>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</si>
  <si>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</si>
  <si>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</si>
  <si>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</si>
  <si>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</si>
  <si>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</si>
  <si>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</si>
  <si>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</si>
  <si>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</si>
  <si>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</si>
  <si>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</si>
  <si>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</si>
  <si>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</si>
  <si>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</si>
  <si>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</si>
  <si>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</si>
  <si>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</si>
  <si>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</si>
  <si>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</si>
  <si>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</si>
  <si>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</si>
  <si>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</si>
  <si>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</si>
  <si>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</si>
  <si>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</si>
  <si>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</si>
  <si>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</si>
  <si>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</si>
  <si>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</si>
  <si>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</si>
  <si>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</si>
  <si>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</si>
  <si>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</si>
  <si>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</si>
  <si>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</si>
  <si>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</si>
  <si>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</si>
  <si>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</si>
  <si>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</si>
  <si>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</si>
  <si>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</si>
  <si>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</si>
  <si>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</si>
  <si>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</si>
  <si>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</si>
  <si>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</si>
  <si>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</si>
  <si>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</si>
  <si>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</si>
  <si>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</si>
  <si>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</si>
  <si>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</si>
  <si>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</si>
  <si>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</si>
  <si>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</si>
  <si>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</si>
  <si>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</si>
  <si>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</si>
  <si>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</si>
  <si>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</si>
  <si>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</si>
  <si>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</si>
  <si>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</si>
  <si>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</si>
  <si>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</si>
  <si>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</si>
  <si>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</si>
  <si>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</si>
  <si>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</si>
  <si>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</si>
  <si>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</si>
  <si>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</si>
  <si>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</si>
  <si>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</si>
  <si>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</si>
  <si>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</si>
  <si>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</si>
  <si>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</si>
  <si>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</si>
  <si>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</si>
  <si>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</si>
  <si>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</si>
  <si>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</si>
  <si>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</si>
  <si>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</si>
  <si>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</si>
  <si>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</si>
  <si>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</si>
  <si>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</si>
  <si>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</si>
  <si>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</si>
  <si>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</si>
  <si>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</si>
  <si>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</si>
  <si>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</si>
  <si>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</si>
  <si>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</si>
  <si>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</si>
  <si>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</si>
  <si>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</si>
  <si>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</si>
  <si>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</si>
  <si>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</si>
  <si>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</si>
  <si>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</si>
  <si>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</si>
  <si>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</si>
  <si>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</si>
  <si>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</si>
  <si>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</si>
  <si>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</si>
  <si>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</si>
  <si>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</si>
  <si>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</si>
  <si>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</si>
  <si>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</si>
  <si>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</si>
  <si>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</si>
  <si>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</si>
  <si>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</si>
  <si>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</si>
  <si>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</si>
  <si>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</si>
  <si>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</si>
  <si>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</si>
  <si>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</si>
  <si>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</si>
  <si>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</si>
  <si>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</si>
  <si>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</si>
  <si>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</si>
  <si>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</si>
  <si>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</si>
  <si>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</si>
  <si>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</si>
  <si>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</si>
  <si>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</si>
  <si>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</si>
  <si>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</si>
  <si>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</si>
  <si>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</si>
  <si>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</si>
  <si>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</si>
  <si>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</si>
  <si>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</si>
  <si>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</si>
  <si>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</si>
  <si>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</si>
  <si>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</si>
  <si>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</si>
  <si>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</si>
  <si>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</si>
  <si>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</si>
  <si>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</si>
  <si>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</si>
  <si>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</si>
  <si>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</si>
  <si>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</si>
  <si>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</si>
  <si>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</si>
  <si>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</si>
  <si>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</si>
  <si>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</si>
  <si>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</si>
  <si>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</si>
  <si>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</si>
  <si>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</si>
  <si>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</si>
  <si>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</si>
  <si>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</si>
  <si>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</si>
  <si>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</si>
  <si>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</si>
  <si>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</si>
  <si>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</si>
  <si>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</si>
  <si>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</si>
  <si>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</si>
  <si>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</si>
  <si>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</si>
  <si>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</si>
  <si>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</si>
  <si>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</si>
  <si>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</si>
  <si>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</si>
  <si>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</si>
  <si>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</si>
  <si>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</si>
  <si>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</si>
  <si>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</si>
  <si>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</si>
  <si>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</si>
  <si>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</si>
  <si>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</si>
  <si>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</si>
  <si>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</si>
  <si>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</si>
  <si>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</si>
  <si>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</si>
  <si>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</si>
  <si>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</si>
  <si>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</si>
  <si>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</si>
  <si>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</si>
  <si>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</si>
  <si>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</si>
  <si>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</si>
  <si>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</si>
  <si>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</si>
  <si>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</si>
  <si>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</si>
  <si>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</si>
  <si>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</si>
  <si>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</si>
  <si>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</si>
  <si>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</si>
  <si>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</si>
  <si>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</si>
  <si>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</si>
  <si>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</si>
  <si>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</si>
  <si>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</si>
  <si>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</si>
  <si>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</si>
  <si>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</si>
  <si>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</si>
  <si>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</si>
  <si>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</si>
  <si>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</si>
  <si>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</si>
  <si>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</si>
  <si>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</si>
  <si>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</si>
  <si>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</si>
  <si>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</si>
  <si>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</si>
  <si>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</si>
  <si>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</si>
  <si>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</si>
  <si>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</si>
  <si>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</si>
  <si>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</si>
  <si>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</si>
  <si>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</si>
  <si>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</si>
  <si>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</si>
  <si>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</si>
  <si>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</si>
  <si>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</si>
  <si>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</si>
  <si>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</si>
  <si>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</si>
  <si>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</si>
  <si>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</si>
  <si>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</si>
  <si>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</si>
  <si>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</si>
  <si>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</si>
  <si>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</si>
  <si>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</si>
  <si>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</si>
  <si>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</si>
  <si>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</si>
  <si>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</si>
  <si>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</si>
  <si>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</si>
  <si>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</si>
  <si>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</si>
  <si>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</si>
  <si>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</si>
  <si>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</si>
  <si>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</si>
  <si>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</si>
  <si>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</si>
  <si>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</si>
  <si>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</si>
  <si>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</si>
  <si>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</si>
  <si>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</si>
  <si>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</si>
  <si>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</si>
  <si>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</si>
  <si>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</si>
  <si>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</si>
  <si>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</si>
  <si>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</si>
  <si>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</si>
  <si>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</si>
  <si>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</si>
  <si>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</si>
  <si>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</si>
  <si>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</si>
  <si>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</si>
  <si>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</si>
  <si>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</si>
  <si>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</si>
  <si>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</si>
  <si>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</si>
  <si>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</si>
  <si>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</si>
  <si>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</si>
  <si>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</si>
  <si>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</si>
  <si>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</si>
  <si>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</si>
  <si>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</si>
  <si>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</si>
  <si>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</si>
  <si>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</si>
  <si>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</si>
  <si>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</si>
  <si>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</si>
  <si>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</si>
  <si>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</si>
  <si>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</si>
  <si>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</si>
  <si>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</si>
  <si>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</si>
  <si>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</si>
  <si>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</si>
  <si>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</si>
  <si>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</si>
  <si>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</si>
  <si>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</si>
  <si>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</si>
  <si>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</si>
  <si>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</si>
  <si>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</si>
  <si>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</si>
  <si>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</si>
  <si>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</si>
  <si>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</si>
  <si>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</si>
  <si>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</si>
  <si>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</si>
  <si>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</si>
  <si>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</si>
  <si>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</si>
  <si>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</si>
  <si>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</si>
  <si>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</si>
  <si>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</si>
  <si>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</si>
  <si>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</si>
  <si>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</si>
  <si>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</si>
  <si>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</si>
  <si>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</si>
  <si>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</si>
  <si>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</si>
  <si>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</si>
  <si>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</si>
  <si>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</si>
  <si>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</si>
  <si>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</si>
  <si>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</si>
  <si>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</si>
  <si>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</si>
  <si>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</si>
  <si>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</si>
  <si>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</si>
  <si>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</si>
  <si>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</si>
  <si>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</si>
  <si>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</si>
  <si>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</si>
  <si>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</si>
  <si>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</si>
  <si>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</si>
  <si>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</si>
  <si>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</si>
  <si>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</si>
  <si>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</si>
  <si>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</si>
  <si>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</si>
  <si>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</si>
  <si>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</si>
  <si>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</si>
  <si>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</si>
  <si>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</si>
  <si>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</si>
  <si>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</si>
  <si>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</si>
  <si>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</si>
  <si>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</si>
  <si>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</si>
  <si>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</si>
  <si>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</si>
  <si>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</si>
  <si>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</si>
  <si>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</si>
  <si>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</si>
  <si>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</si>
  <si>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</si>
  <si>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</si>
  <si>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</si>
  <si>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</si>
  <si>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</si>
  <si>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</si>
  <si>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</si>
  <si>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</si>
  <si>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</si>
  <si>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</si>
  <si>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</si>
  <si>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</si>
  <si>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</si>
  <si>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</si>
  <si>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</si>
  <si>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</si>
  <si>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</si>
  <si>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</si>
  <si>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</si>
  <si>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</si>
  <si>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</si>
  <si>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</si>
  <si>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</si>
  <si>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</si>
  <si>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</si>
  <si>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</si>
  <si>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</si>
  <si>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</si>
  <si>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</si>
  <si>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</si>
  <si>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</si>
  <si>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</si>
  <si>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</si>
  <si>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</si>
  <si>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</si>
  <si>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</si>
  <si>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</si>
  <si>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</si>
  <si>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</si>
  <si>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</si>
  <si>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</si>
  <si>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</si>
  <si>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</si>
  <si>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</si>
  <si>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</si>
  <si>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</si>
  <si>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</si>
  <si>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</si>
  <si>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</si>
  <si>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</si>
  <si>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</si>
  <si>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</si>
  <si>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</si>
  <si>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</si>
  <si>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</si>
  <si>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</si>
  <si>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</si>
  <si>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</si>
  <si>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</si>
  <si>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</si>
  <si>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</si>
  <si>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</si>
  <si>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</si>
  <si>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</si>
  <si>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</si>
  <si>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</si>
  <si>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</si>
  <si>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</si>
  <si>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</si>
  <si>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</si>
  <si>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</si>
  <si>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</si>
  <si>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</si>
  <si>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</si>
  <si>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</si>
  <si>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</si>
  <si>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</si>
  <si>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</si>
  <si>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</si>
  <si>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</si>
  <si>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</si>
  <si>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</si>
  <si>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</si>
  <si>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</si>
  <si>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</si>
  <si>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</si>
  <si>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</si>
  <si>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</si>
  <si>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</si>
  <si>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</si>
  <si>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</si>
  <si>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</si>
  <si>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</si>
  <si>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</si>
  <si>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</si>
  <si>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</si>
  <si>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</si>
  <si>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</si>
  <si>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</si>
  <si>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</si>
  <si>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</si>
  <si>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</si>
  <si>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</si>
  <si>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</si>
  <si>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</si>
  <si>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</si>
  <si>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</si>
  <si>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</si>
  <si>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</si>
  <si>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</si>
  <si>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</si>
  <si>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</si>
  <si>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</si>
  <si>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</si>
  <si>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</si>
  <si>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</si>
  <si>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</si>
  <si>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</si>
  <si>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</si>
  <si>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</si>
  <si>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</si>
  <si>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</si>
  <si>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</si>
  <si>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</si>
  <si>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</si>
  <si>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</si>
  <si>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</si>
  <si>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</si>
  <si>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</si>
  <si>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</si>
  <si>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</si>
  <si>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</si>
  <si>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</si>
  <si>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</si>
  <si>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</si>
  <si>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</si>
  <si>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</si>
  <si>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</si>
  <si>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</si>
  <si>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</si>
  <si>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</si>
  <si>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</si>
  <si>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</si>
  <si>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</si>
  <si>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</si>
  <si>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</si>
  <si>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</si>
  <si>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</si>
  <si>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</si>
  <si>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</si>
  <si>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</si>
  <si>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</si>
  <si>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</si>
  <si>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</si>
  <si>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</si>
  <si>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</si>
  <si>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</si>
  <si>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</si>
  <si>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</si>
  <si>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</si>
  <si>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</si>
  <si>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</si>
  <si>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</si>
  <si>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</si>
  <si>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</si>
  <si>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</si>
  <si>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</si>
  <si>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</si>
  <si>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</si>
  <si>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</si>
  <si>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</si>
  <si>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</si>
  <si>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</si>
  <si>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</si>
  <si>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</si>
  <si>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</si>
  <si>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</si>
  <si>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</si>
  <si>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</si>
  <si>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</si>
  <si>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</si>
  <si>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</si>
  <si>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</si>
  <si>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</si>
  <si>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</si>
  <si>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</si>
  <si>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</si>
  <si>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</si>
  <si>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</si>
  <si>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</si>
  <si>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</si>
  <si>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</si>
  <si>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</si>
  <si>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</si>
  <si>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</si>
  <si>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</si>
  <si>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</si>
  <si>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</si>
  <si>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</si>
  <si>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</si>
  <si>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</si>
  <si>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</si>
  <si>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</si>
  <si>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</si>
  <si>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</si>
  <si>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</si>
  <si>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</si>
  <si>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</si>
  <si>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</si>
  <si>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</si>
  <si>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</si>
  <si>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</si>
  <si>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</si>
  <si>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</si>
  <si>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</si>
  <si>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</si>
  <si>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</si>
  <si>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</si>
  <si>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</si>
  <si>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</si>
  <si>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</si>
  <si>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</si>
  <si>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</si>
  <si>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</si>
  <si>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</si>
  <si>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</si>
  <si>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</si>
  <si>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</si>
  <si>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</si>
  <si>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</si>
  <si>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</si>
  <si>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</si>
  <si>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</si>
  <si>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</si>
  <si>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</si>
  <si>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</si>
  <si>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</si>
  <si>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</si>
  <si>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</si>
  <si>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</si>
  <si>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</si>
  <si>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</si>
  <si>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</si>
  <si>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</si>
  <si>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</si>
  <si>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</si>
  <si>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</si>
  <si>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</si>
  <si>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</si>
  <si>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</si>
  <si>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</si>
  <si>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</si>
  <si>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</si>
  <si>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</si>
  <si>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</si>
  <si>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</si>
  <si>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</si>
  <si>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</si>
  <si>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</si>
  <si>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</si>
  <si>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</si>
  <si>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</si>
  <si>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</si>
  <si>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</si>
  <si>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</si>
  <si>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</si>
  <si>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</si>
  <si>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</si>
  <si>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</si>
  <si>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</si>
  <si>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</si>
  <si>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</si>
  <si>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</si>
  <si>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</si>
  <si>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</si>
  <si>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</si>
  <si>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</si>
  <si>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</si>
  <si>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</si>
  <si>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</si>
  <si>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</si>
  <si>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</si>
  <si>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</si>
  <si>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</si>
  <si>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</si>
  <si>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</si>
  <si>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</si>
  <si>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</si>
  <si>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</si>
  <si>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</si>
  <si>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</si>
  <si>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</si>
  <si>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</si>
  <si>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</si>
  <si>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</si>
  <si>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</si>
  <si>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</si>
  <si>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</si>
  <si>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</si>
  <si>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</si>
  <si>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</si>
  <si>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</si>
  <si>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</si>
  <si>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</si>
  <si>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</si>
  <si>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</si>
  <si>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</si>
  <si>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</si>
  <si>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</si>
  <si>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</si>
  <si>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</si>
  <si>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</si>
  <si>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</si>
  <si>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</si>
  <si>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</si>
  <si>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</si>
  <si>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</si>
  <si>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</si>
  <si>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</si>
  <si>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</si>
  <si>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</si>
  <si>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</si>
  <si>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</si>
  <si>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</si>
  <si>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</si>
  <si>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</si>
  <si>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</si>
  <si>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</si>
  <si>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</si>
  <si>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</si>
  <si>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</si>
  <si>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</si>
  <si>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</si>
  <si>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</si>
  <si>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</si>
  <si>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</si>
  <si>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</si>
  <si>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</si>
  <si>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</si>
  <si>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</si>
  <si>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</si>
  <si>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</si>
  <si>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</si>
  <si>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</si>
  <si>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</si>
  <si>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</si>
  <si>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</si>
  <si>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</si>
  <si>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</si>
  <si>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</si>
  <si>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</si>
  <si>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</si>
  <si>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</si>
  <si>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</si>
  <si>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</si>
  <si>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</si>
  <si>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</si>
  <si>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</si>
  <si>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</si>
  <si>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</si>
  <si>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</si>
  <si>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</si>
  <si>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</si>
  <si>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</si>
  <si>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</si>
  <si>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</si>
  <si>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</si>
  <si>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</si>
  <si>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</si>
  <si>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</si>
  <si>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</si>
  <si>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</si>
  <si>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</si>
  <si>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</si>
  <si>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</si>
  <si>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</si>
  <si>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</si>
  <si>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</si>
  <si>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</si>
  <si>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</si>
  <si>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</si>
  <si>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</si>
  <si>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</si>
  <si>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</si>
  <si>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</si>
  <si>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</si>
  <si>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</si>
  <si>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</si>
  <si>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</si>
  <si>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</si>
  <si>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</si>
  <si>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</si>
  <si>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</si>
  <si>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</si>
  <si>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</si>
  <si>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</si>
  <si>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</si>
  <si>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</si>
  <si>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</si>
  <si>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</si>
  <si>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</si>
  <si>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</si>
  <si>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</si>
  <si>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</si>
  <si>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</si>
  <si>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</si>
  <si>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</si>
  <si>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</si>
  <si>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</si>
  <si>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</si>
  <si>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</si>
  <si>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</si>
  <si>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</si>
  <si>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</si>
  <si>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</si>
  <si>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</si>
  <si>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</si>
  <si>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</si>
  <si>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</si>
  <si>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</si>
  <si>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</si>
  <si>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</si>
  <si>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</si>
  <si>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</si>
  <si>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</si>
  <si>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</si>
  <si>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</si>
  <si>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</si>
  <si>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</si>
  <si>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</si>
  <si>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</si>
  <si>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</si>
  <si>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</si>
  <si>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</si>
  <si>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</si>
  <si>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</si>
  <si>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</si>
  <si>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</si>
  <si>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</si>
  <si>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</si>
  <si>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</si>
  <si>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</si>
  <si>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</si>
  <si>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</si>
  <si>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</si>
  <si>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</si>
  <si>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</si>
  <si>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</si>
  <si>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</si>
  <si>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</si>
  <si>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</si>
  <si>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</si>
  <si>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</si>
  <si>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</si>
  <si>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</si>
  <si>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</si>
  <si>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</si>
  <si>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</si>
  <si>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</si>
  <si>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</si>
  <si>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</si>
  <si>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</si>
  <si>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</si>
  <si>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</si>
  <si>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</si>
  <si>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</si>
  <si>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</si>
  <si>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</si>
  <si>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</si>
  <si>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</si>
  <si>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</si>
  <si>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</si>
  <si>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</si>
  <si>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</si>
  <si>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</si>
  <si>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</si>
  <si>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</si>
  <si>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</si>
  <si>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</si>
  <si>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</si>
  <si>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</si>
  <si>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</si>
  <si>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</si>
  <si>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</si>
  <si>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</si>
  <si>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</si>
  <si>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</si>
  <si>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</si>
  <si>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</si>
  <si>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</si>
  <si>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</si>
  <si>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</si>
  <si>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</si>
  <si>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</si>
  <si>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</si>
  <si>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</si>
  <si>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</si>
  <si>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</si>
  <si>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</si>
  <si>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</si>
  <si>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</si>
  <si>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</si>
  <si>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</si>
  <si>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</si>
  <si>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</si>
  <si>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</si>
  <si>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</si>
  <si>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</si>
  <si>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</si>
  <si>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</si>
  <si>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</si>
  <si>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</si>
  <si>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</si>
  <si>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</si>
  <si>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</si>
  <si>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</si>
  <si>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</si>
  <si>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</si>
  <si>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</si>
  <si>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</si>
  <si>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</si>
  <si>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</si>
  <si>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</si>
  <si>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</si>
  <si>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</si>
  <si>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</si>
  <si>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</si>
  <si>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</si>
  <si>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</si>
  <si>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</si>
  <si>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</si>
  <si>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</si>
  <si>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</si>
  <si>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</si>
  <si>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</si>
  <si>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</si>
  <si>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</si>
  <si>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</si>
  <si>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</si>
  <si>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</si>
  <si>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</si>
  <si>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</si>
  <si>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</si>
  <si>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</si>
  <si>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</si>
  <si>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</si>
  <si>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</si>
  <si>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</si>
  <si>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</si>
  <si>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</si>
  <si>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</si>
  <si>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</si>
  <si>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</si>
  <si>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</si>
  <si>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</si>
  <si>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</si>
  <si>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</si>
  <si>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</si>
  <si>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</si>
  <si>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</si>
  <si>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</si>
  <si>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</si>
  <si>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</si>
  <si>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</si>
  <si>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</si>
  <si>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</si>
  <si>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</si>
  <si>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</si>
  <si>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</si>
  <si>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</si>
  <si>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</si>
  <si>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</si>
  <si>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</si>
  <si>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</si>
  <si>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</si>
  <si>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</si>
  <si>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</si>
  <si>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</si>
  <si>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</si>
  <si>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</si>
  <si>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</si>
  <si>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</si>
  <si>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</si>
  <si>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</si>
  <si>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</si>
  <si>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</si>
  <si>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</si>
  <si>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</si>
  <si>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</si>
  <si>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</si>
  <si>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</si>
  <si>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</si>
  <si>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</si>
  <si>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</si>
  <si>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</si>
  <si>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</si>
  <si>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</si>
  <si>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</si>
  <si>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</si>
  <si>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</si>
  <si>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</si>
  <si>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</si>
  <si>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</si>
  <si>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</si>
  <si>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</si>
  <si>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</si>
  <si>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</si>
  <si>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</si>
  <si>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</si>
  <si>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</si>
  <si>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</si>
  <si>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</si>
  <si>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</si>
  <si>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</si>
  <si>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</si>
  <si>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</si>
  <si>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</si>
  <si>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</si>
  <si>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</si>
  <si>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</si>
  <si>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</si>
  <si>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</si>
  <si>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</si>
  <si>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</si>
  <si>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</si>
  <si>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</si>
  <si>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</si>
  <si>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</si>
  <si>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</si>
  <si>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</si>
  <si>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</si>
  <si>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</si>
  <si>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</si>
  <si>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</si>
  <si>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</si>
  <si>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</si>
  <si>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</si>
  <si>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</si>
  <si>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</si>
  <si>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</si>
  <si>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</si>
  <si>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</si>
  <si>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</si>
  <si>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</si>
  <si>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</si>
  <si>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</si>
  <si>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</si>
  <si>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</si>
  <si>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</si>
  <si>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</si>
  <si>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</si>
  <si>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</si>
  <si>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</si>
  <si>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</si>
  <si>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</si>
  <si>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</si>
  <si>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</si>
  <si>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</si>
  <si>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</si>
  <si>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</si>
  <si>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</si>
  <si>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</si>
  <si>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</si>
  <si>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</si>
  <si>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</si>
  <si>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</si>
  <si>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</si>
  <si>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</si>
  <si>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</si>
  <si>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</si>
  <si>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</si>
  <si>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</si>
  <si>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</si>
  <si>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</si>
  <si>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</si>
  <si>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</si>
  <si>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</si>
  <si>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</si>
  <si>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</si>
  <si>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</si>
  <si>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</si>
  <si>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</si>
  <si>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</si>
  <si>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</si>
  <si>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</si>
  <si>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</si>
  <si>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</si>
  <si>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</si>
  <si>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</si>
  <si>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</si>
  <si>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</si>
  <si>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</si>
  <si>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</si>
  <si>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</si>
  <si>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</si>
  <si>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</si>
  <si>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</si>
  <si>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</si>
  <si>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</si>
  <si>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</si>
  <si>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</si>
  <si>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</si>
  <si>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</si>
  <si>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</si>
  <si>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</si>
  <si>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</si>
  <si>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</si>
  <si>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</si>
  <si>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</si>
  <si>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</si>
  <si>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</si>
  <si>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</si>
  <si>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</si>
  <si>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</si>
  <si>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</si>
  <si>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</si>
  <si>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</si>
  <si>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</si>
  <si>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</si>
  <si>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</si>
  <si>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</si>
  <si>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</si>
  <si>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</si>
  <si>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</si>
  <si>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</si>
  <si>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</si>
  <si>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</si>
  <si>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</si>
  <si>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</si>
  <si>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</si>
  <si>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</si>
  <si>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</si>
  <si>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</si>
  <si>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</si>
  <si>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</si>
  <si>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</si>
  <si>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</si>
  <si>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</si>
  <si>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</si>
  <si>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</si>
  <si>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</si>
  <si>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</si>
  <si>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</si>
  <si>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</si>
  <si>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</si>
  <si>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</si>
  <si>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</si>
  <si>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</si>
  <si>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</si>
  <si>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</si>
  <si>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</si>
  <si>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</si>
  <si>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</si>
  <si>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</si>
  <si>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</si>
  <si>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</si>
  <si>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</si>
  <si>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</si>
  <si>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</si>
  <si>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</si>
  <si>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</si>
  <si>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</si>
  <si>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</si>
  <si>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</si>
  <si>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</si>
  <si>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</si>
  <si>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</si>
  <si>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</si>
  <si>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</si>
  <si>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</si>
  <si>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</si>
  <si>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</si>
  <si>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</si>
  <si>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</si>
  <si>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</si>
  <si>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</si>
  <si>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</si>
  <si>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</si>
  <si>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</si>
  <si>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</si>
  <si>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</si>
  <si>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</si>
  <si>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</si>
  <si>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</si>
  <si>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</si>
  <si>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</si>
  <si>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</si>
  <si>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</si>
  <si>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</si>
  <si>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</si>
  <si>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</si>
  <si>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</si>
  <si>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</si>
  <si>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</si>
  <si>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</si>
  <si>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</si>
  <si>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</si>
  <si>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</si>
  <si>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</si>
  <si>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</si>
  <si>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</si>
  <si>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</si>
  <si>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</si>
  <si>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</si>
  <si>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</si>
  <si>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</si>
  <si>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</si>
  <si>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</si>
  <si>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</si>
  <si>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</si>
  <si>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</si>
  <si>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</si>
  <si>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</si>
  <si>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</si>
  <si>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</si>
  <si>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</si>
  <si>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</si>
  <si>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</si>
  <si>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</si>
  <si>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</si>
  <si>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</si>
  <si>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</si>
  <si>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</si>
  <si>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</si>
  <si>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</si>
  <si>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</si>
  <si>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</si>
  <si>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</si>
  <si>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</si>
  <si>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</si>
  <si>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</si>
  <si>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</si>
  <si>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</si>
  <si>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</si>
  <si>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</si>
  <si>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</si>
  <si>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</si>
  <si>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</si>
  <si>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</si>
  <si>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</si>
  <si>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</si>
  <si>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</si>
  <si>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</si>
  <si>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</si>
  <si>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</si>
  <si>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</si>
  <si>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</si>
  <si>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</si>
  <si>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</si>
  <si>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</si>
  <si>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</si>
  <si>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</si>
  <si>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</si>
  <si>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</si>
  <si>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</si>
  <si>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</si>
  <si>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</si>
  <si>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</si>
  <si>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</si>
  <si>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</si>
  <si>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</si>
  <si>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</si>
  <si>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</si>
  <si>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</si>
  <si>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</si>
  <si>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</si>
  <si>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</si>
  <si>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</si>
  <si>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</si>
  <si>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</si>
  <si>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</si>
  <si>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</si>
  <si>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</si>
  <si>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</si>
  <si>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</si>
  <si>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</si>
  <si>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</si>
  <si>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</si>
  <si>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</si>
  <si>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</si>
  <si>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</si>
  <si>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</si>
  <si>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</si>
  <si>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</si>
  <si>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</si>
  <si>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</si>
  <si>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</si>
  <si>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</si>
  <si>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</si>
  <si>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</si>
  <si>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</si>
  <si>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</si>
  <si>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</si>
  <si>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</si>
  <si>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</si>
  <si>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</si>
  <si>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</si>
  <si>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</si>
  <si>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</si>
  <si>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</si>
  <si>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</si>
  <si>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</si>
  <si>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</si>
  <si>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</si>
  <si>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</si>
  <si>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</si>
  <si>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</si>
  <si>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</si>
  <si>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</si>
  <si>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</si>
  <si>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</si>
  <si>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</si>
  <si>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</si>
  <si>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</si>
  <si>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</si>
  <si>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</si>
  <si>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</si>
  <si>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</si>
  <si>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</si>
  <si>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</si>
  <si>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</si>
  <si>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</si>
  <si>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</si>
  <si>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</si>
  <si>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</si>
  <si>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</si>
  <si>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</si>
  <si>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</si>
  <si>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</si>
  <si>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</si>
  <si>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</si>
  <si>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</si>
  <si>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</si>
  <si>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</si>
  <si>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</si>
  <si>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</si>
  <si>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</si>
  <si>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</si>
  <si>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</si>
  <si>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</si>
  <si>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</si>
  <si>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</si>
  <si>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</si>
  <si>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</si>
  <si>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</si>
  <si>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</si>
  <si>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</si>
  <si>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</si>
  <si>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</si>
  <si>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</si>
  <si>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</si>
  <si>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</si>
  <si>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</si>
  <si>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</si>
  <si>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</si>
  <si>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</si>
  <si>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</si>
  <si>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</si>
  <si>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</si>
  <si>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</si>
  <si>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</si>
  <si>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</si>
  <si>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</si>
  <si>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</si>
  <si>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</si>
  <si>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</si>
  <si>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</si>
  <si>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</si>
  <si>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</si>
  <si>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</si>
  <si>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</si>
  <si>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</si>
  <si>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</si>
  <si>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</si>
  <si>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</si>
  <si>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</si>
  <si>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</si>
  <si>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</si>
  <si>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</si>
  <si>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</si>
  <si>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</si>
  <si>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</si>
  <si>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</si>
  <si>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</si>
  <si>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</si>
  <si>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</si>
  <si>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</si>
  <si>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</si>
  <si>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</si>
  <si>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</si>
  <si>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</si>
  <si>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</si>
  <si>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</si>
  <si>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</si>
  <si>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</si>
  <si>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</si>
  <si>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</si>
  <si>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</si>
  <si>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</si>
  <si>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</si>
  <si>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</si>
  <si>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</si>
  <si>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</si>
  <si>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</si>
  <si>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</si>
  <si>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</si>
  <si>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</si>
  <si>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</si>
  <si>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</si>
  <si>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</si>
  <si>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</si>
  <si>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</si>
  <si>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</si>
  <si>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</si>
  <si>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</si>
  <si>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</si>
  <si>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</si>
  <si>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</si>
  <si>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</si>
  <si>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</si>
  <si>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</si>
  <si>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</si>
  <si>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</si>
  <si>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</si>
  <si>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</si>
  <si>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</si>
  <si>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</si>
  <si>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</si>
  <si>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</si>
  <si>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</si>
  <si>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</si>
  <si>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</si>
  <si>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</si>
  <si>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</si>
  <si>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</si>
  <si>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</si>
  <si>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</si>
  <si>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</si>
  <si>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</si>
  <si>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</si>
  <si>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</si>
  <si>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</si>
  <si>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</si>
  <si>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</si>
  <si>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</si>
  <si>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</si>
  <si>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</si>
  <si>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</si>
  <si>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</si>
  <si>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</si>
  <si>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</si>
  <si>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</si>
  <si>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</si>
  <si>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</si>
  <si>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</si>
  <si>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</si>
  <si>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</si>
  <si>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</si>
  <si>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</si>
  <si>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</si>
  <si>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</si>
  <si>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</si>
  <si>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</si>
  <si>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</si>
  <si>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</si>
  <si>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</si>
  <si>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</si>
  <si>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</si>
  <si>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</si>
  <si>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</si>
  <si>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</si>
  <si>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</si>
  <si>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</si>
  <si>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</si>
  <si>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</si>
  <si>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</si>
  <si>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</si>
  <si>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</si>
  <si>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</si>
  <si>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</si>
  <si>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</si>
  <si>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</si>
  <si>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</si>
  <si>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</si>
  <si>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</si>
  <si>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</si>
  <si>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</si>
  <si>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</si>
  <si>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</si>
  <si>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</si>
  <si>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</si>
  <si>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</si>
  <si>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</si>
  <si>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</si>
  <si>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</si>
  <si>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</si>
  <si>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</si>
  <si>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</si>
  <si>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</si>
  <si>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</si>
  <si>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</si>
  <si>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</si>
  <si>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</si>
  <si>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</si>
  <si>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</si>
  <si>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</si>
  <si>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</si>
  <si>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</si>
  <si>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</si>
  <si>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</si>
  <si>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</si>
  <si>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</si>
  <si>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</si>
  <si>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</si>
  <si>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</si>
  <si>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</si>
  <si>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</si>
  <si>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</si>
  <si>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</si>
  <si>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</si>
  <si>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</si>
  <si>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</si>
  <si>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</si>
  <si>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</si>
  <si>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</si>
  <si>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</si>
  <si>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</si>
  <si>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</si>
  <si>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</si>
  <si>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</si>
  <si>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</si>
  <si>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</si>
  <si>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</si>
  <si>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</si>
  <si>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</si>
  <si>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</si>
  <si>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</si>
  <si>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</si>
  <si>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</si>
  <si>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</si>
  <si>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</si>
  <si>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</si>
  <si>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</si>
  <si>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</si>
  <si>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</si>
  <si>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</si>
  <si>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</si>
  <si>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</si>
  <si>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</si>
  <si>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</si>
  <si>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</si>
  <si>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</si>
  <si>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</si>
  <si>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</si>
  <si>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</si>
  <si>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</si>
  <si>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</si>
  <si>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</si>
  <si>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</si>
  <si>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</si>
  <si>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</si>
  <si>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</si>
  <si>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</si>
  <si>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</si>
  <si>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</si>
  <si>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</si>
  <si>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</si>
  <si>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</si>
  <si>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</si>
  <si>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</si>
  <si>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</si>
  <si>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</si>
  <si>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</si>
  <si>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</si>
  <si>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</si>
  <si>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</si>
  <si>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</si>
  <si>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</si>
  <si>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</si>
  <si>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</si>
  <si>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</si>
  <si>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</si>
  <si>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</si>
  <si>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</si>
  <si>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</si>
  <si>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</si>
  <si>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</si>
  <si>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</si>
  <si>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</si>
  <si>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</si>
  <si>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</si>
  <si>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</si>
  <si>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</si>
  <si>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</si>
  <si>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</si>
  <si>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</si>
  <si>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</si>
  <si>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</si>
  <si>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</si>
  <si>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</si>
  <si>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</si>
  <si>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</si>
  <si>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</si>
  <si>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</si>
  <si>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</si>
  <si>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</si>
  <si>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</si>
  <si>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</si>
  <si>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</si>
  <si>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</si>
  <si>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</si>
  <si>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</si>
  <si>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</si>
  <si>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</si>
  <si>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</si>
  <si>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</si>
  <si>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</si>
  <si>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</si>
  <si>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</si>
  <si>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</si>
  <si>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</si>
  <si>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</si>
  <si>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</si>
  <si>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</si>
  <si>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</si>
  <si>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</si>
  <si>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</si>
  <si>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</si>
  <si>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</si>
  <si>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</si>
  <si>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</si>
  <si>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</si>
  <si>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</si>
  <si>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</si>
  <si>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</si>
  <si>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</si>
  <si>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</si>
  <si>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</si>
  <si>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</si>
  <si>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</si>
  <si>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</si>
  <si>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</si>
  <si>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</si>
  <si>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</si>
  <si>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</si>
  <si>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</si>
  <si>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</si>
  <si>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</si>
  <si>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</si>
  <si>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</si>
  <si>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</si>
  <si>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</si>
  <si>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</si>
  <si>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</si>
  <si>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</si>
  <si>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</si>
  <si>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</si>
  <si>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</si>
  <si>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</si>
  <si>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</si>
  <si>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</si>
  <si>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</si>
  <si>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</si>
  <si>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</si>
  <si>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</si>
  <si>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</si>
  <si>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</si>
  <si>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</si>
  <si>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</si>
  <si>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</si>
  <si>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</si>
  <si>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</si>
  <si>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</si>
  <si>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</si>
  <si>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</si>
  <si>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</si>
  <si>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</si>
  <si>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</si>
  <si>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</si>
  <si>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</si>
  <si>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</si>
  <si>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</si>
  <si>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</si>
  <si>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</si>
  <si>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</si>
  <si>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</si>
  <si>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</si>
  <si>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</si>
  <si>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</si>
  <si>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</si>
  <si>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</si>
  <si>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</si>
  <si>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</si>
  <si>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</si>
  <si>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</si>
  <si>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</si>
  <si>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</si>
  <si>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</si>
  <si>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</si>
  <si>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</si>
  <si>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</si>
  <si>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</si>
  <si>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</si>
  <si>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</si>
  <si>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</si>
  <si>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</si>
  <si>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</si>
  <si>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</si>
  <si>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</si>
  <si>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</si>
  <si>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</si>
  <si>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</si>
  <si>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</si>
  <si>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</si>
  <si>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</si>
  <si>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</si>
  <si>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 50000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</si>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</sst>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16" fillId="0" borderId="0" xfId="0" applyFont="1" applyAlignment="1">
      <alignment wrapText="1"/>
    </xf>
    <xf numFmtId="0" fontId="18" fillId="0" borderId="11" xfId="0" applyFont="1" applyBorder="1"/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9" fillId="0" borderId="14" xfId="0" applyFont="1" applyBorder="1"/>
    <xf numFmtId="2" fontId="18" fillId="0" borderId="10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64" fontId="18" fillId="0" borderId="10" xfId="42" applyNumberFormat="1" applyFont="1" applyBorder="1" applyAlignment="1">
      <alignment horizontal="center" vertical="center"/>
    </xf>
    <xf numFmtId="164" fontId="18" fillId="0" borderId="15" xfId="42" applyNumberFormat="1" applyFont="1" applyBorder="1" applyAlignment="1">
      <alignment horizontal="center" vertical="center"/>
    </xf>
    <xf numFmtId="43" fontId="18" fillId="0" borderId="10" xfId="42" applyFont="1" applyBorder="1" applyAlignment="1">
      <alignment horizontal="center" vertical="center"/>
    </xf>
    <xf numFmtId="43" fontId="18" fillId="0" borderId="15" xfId="42" applyFont="1" applyBorder="1" applyAlignment="1">
      <alignment horizontal="center" vertical="center"/>
    </xf>
    <xf numFmtId="0" fontId="19" fillId="0" borderId="16" xfId="0" applyFont="1" applyBorder="1"/>
    <xf numFmtId="43" fontId="18" fillId="0" borderId="17" xfId="42" applyFont="1" applyBorder="1" applyAlignment="1">
      <alignment horizontal="center" vertical="center"/>
    </xf>
    <xf numFmtId="43" fontId="18" fillId="0" borderId="18" xfId="42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  <color rgb="FFFF7C80"/>
      <color rgb="FF6DA945"/>
      <color rgb="FFCC0000"/>
      <color rgb="FFBC003F"/>
      <color rgb="FF9900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[CrowdfundingBook_RoxanaDarvari.xlsx]Pivot-Parent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E-4C22-B8ED-60BB1B604F98}"/>
            </c:ext>
          </c:extLst>
        </c:ser>
        <c:ser>
          <c:idx val="1"/>
          <c:order val="1"/>
          <c:tx>
            <c:strRef>
              <c:f>'Pivot-Parent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E-4C22-B8ED-60BB1B604F98}"/>
            </c:ext>
          </c:extLst>
        </c:ser>
        <c:ser>
          <c:idx val="2"/>
          <c:order val="2"/>
          <c:tx>
            <c:strRef>
              <c:f>'Pivot-Parent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E-4C22-B8ED-60BB1B604F98}"/>
            </c:ext>
          </c:extLst>
        </c:ser>
        <c:ser>
          <c:idx val="3"/>
          <c:order val="3"/>
          <c:tx>
            <c:strRef>
              <c:f>'Pivot-Parent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E-4C22-B8ED-60BB1B60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571583"/>
        <c:axId val="1198151055"/>
      </c:barChart>
      <c:catAx>
        <c:axId val="10995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51055"/>
        <c:crosses val="autoZero"/>
        <c:auto val="1"/>
        <c:lblAlgn val="ctr"/>
        <c:lblOffset val="100"/>
        <c:noMultiLvlLbl val="0"/>
      </c:catAx>
      <c:valAx>
        <c:axId val="11981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[CrowdfundingBook_RoxanaDarvari.xlsx]Pivot-subcategory!PivotTable3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0-4574-A999-CA278ED02FAA}"/>
            </c:ext>
          </c:extLst>
        </c:ser>
        <c:ser>
          <c:idx val="1"/>
          <c:order val="1"/>
          <c:tx>
            <c:strRef>
              <c:f>'Pivot-subcategory'!$C$3:$C$4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0-4574-A999-CA278ED02FAA}"/>
            </c:ext>
          </c:extLst>
        </c:ser>
        <c:ser>
          <c:idx val="2"/>
          <c:order val="2"/>
          <c:tx>
            <c:strRef>
              <c:f>'Pivot-subcategory'!$D$3:$D$4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0-4574-A999-CA278ED02FAA}"/>
            </c:ext>
          </c:extLst>
        </c:ser>
        <c:ser>
          <c:idx val="3"/>
          <c:order val="3"/>
          <c:tx>
            <c:strRef>
              <c:f>'Pivot-subcategory'!$E$3:$E$4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0-4574-A999-CA278ED0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479199"/>
        <c:axId val="1190115999"/>
      </c:barChart>
      <c:catAx>
        <c:axId val="120247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15999"/>
        <c:crosses val="autoZero"/>
        <c:auto val="1"/>
        <c:lblAlgn val="ctr"/>
        <c:lblOffset val="100"/>
        <c:noMultiLvlLbl val="0"/>
      </c:catAx>
      <c:valAx>
        <c:axId val="11901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7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[CrowdfundingBook_RoxanaDarvari.xlsx]Pivot-Monthly distribution!PivotTable7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pPr>
            <a:noFill/>
            <a:ln w="9525">
              <a:solidFill>
                <a:srgbClr val="FFC000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'Pivot-Monthly distribution'!$B$4:$B$5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'Pivot-Monthly distribution'!$A$6:$A$18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'Pivot-Monthly distribution'!$B$6:$B$18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A-4D4A-B98D-1D4F75D47A76}"/>
            </c:ext>
          </c:extLst>
        </c:ser>
        <c:ser>
          <c:idx val="1"/>
          <c:order val="1"/>
          <c:tx>
            <c:strRef>
              <c:f>'Pivot-Monthly distribution'!$C$4:$C$5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'Pivot-Monthly distribution'!$A$6:$A$18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'Pivot-Monthly distribution'!$C$6:$C$18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A-4D4A-B98D-1D4F75D47A76}"/>
            </c:ext>
          </c:extLst>
        </c:ser>
        <c:ser>
          <c:idx val="2"/>
          <c:order val="2"/>
          <c:tx>
            <c:strRef>
              <c:f>'Pivot-Monthly distribution'!$D$4:$D$5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'Pivot-Monthly distribution'!$A$6:$A$18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'Pivot-Monthly distribution'!$D$6:$D$18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A-4D4A-B98D-1D4F75D4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678271"/>
        <c:axId val="1906678639"/>
      </c:lineChart>
      <c:catAx>
        <c:axId val="19056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78639"/>
        <c:crosses val="autoZero"/>
        <c:auto val="1"/>
        <c:lblAlgn val="ctr"/>
        <c:lblOffset val="100"/>
        <c:noMultiLvlLbl val="0"/>
      </c:catAx>
      <c:valAx>
        <c:axId val="19066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1-4AD2-A669-37028192AED1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1-4AD2-A669-37028192AED1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1-4AD2-A669-37028192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1423"/>
        <c:axId val="1572981455"/>
      </c:lineChart>
      <c:catAx>
        <c:axId val="192187142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81455"/>
        <c:crosses val="autoZero"/>
        <c:auto val="1"/>
        <c:lblAlgn val="ctr"/>
        <c:lblOffset val="100"/>
        <c:noMultiLvlLbl val="0"/>
      </c:catAx>
      <c:valAx>
        <c:axId val="15729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clusteredColumn" uniqueId="{76BFFD0A-29FC-4C34-BA50-7DAAA453E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26B7B5C7-E12E-4955-9B3A-EFDB4B9C8D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481011</xdr:colOff>
      <xdr:row>0</xdr:row>
      <xdr:rowOff>138112</xdr:rowOff>
    </xdr:from>
    <xdr:to>
      <xdr:col>17</xdr:col>
      <xdr:colOff>66674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CC611-3024-487C-9271-C11AA0253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0</xdr:rowOff>
    </xdr:from>
    <xdr:to>
      <xdr:col>18</xdr:col>
      <xdr:colOff>228600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8CD5F-8986-4093-A1B8-37179A213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47625</xdr:rowOff>
    </xdr:from>
    <xdr:to>
      <xdr:col>14</xdr:col>
      <xdr:colOff>95250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9969B-D5EB-4239-8881-9A2C6CEAA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195262</xdr:rowOff>
    </xdr:from>
    <xdr:to>
      <xdr:col>8</xdr:col>
      <xdr:colOff>9525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3600D-BBEA-4500-9B61-75228C277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1881187</xdr:colOff>
      <xdr:row>9</xdr:row>
      <xdr:rowOff>14287</xdr:rowOff>
    </xdr:from>
    <xdr:to>
      <xdr:col>15</xdr:col>
      <xdr:colOff>366712</xdr:colOff>
      <xdr:row>22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0865F5-4BE8-4886-AB27-B8C6302681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3562" y="1824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9</xdr:row>
      <xdr:rowOff>0</xdr:rowOff>
    </xdr:from>
    <xdr:to>
      <xdr:col>10</xdr:col>
      <xdr:colOff>1828800</xdr:colOff>
      <xdr:row>22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08B9A8-3BB9-43AC-A025-DABA6A14C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9175" y="1809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a Darvari" refreshedDate="45229.695281712964" createdVersion="6" refreshedVersion="6" minRefreshableVersion="3" recordCount="1000" xr:uid="{64E56D2A-7037-4CA4-B975-D7BF38BFC504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a Darvari" refreshedDate="45229.706301388891" createdVersion="6" refreshedVersion="6" minRefreshableVersion="3" recordCount="1000" xr:uid="{F942DFF9-8F13-4D87-B2A9-18A42D83FBA4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28"/>
    <x v="1"/>
    <n v="16"/>
    <n v="68.8125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58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55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8.702380952380949"/>
    <x v="3"/>
    <n v="64"/>
    <n v="50.796875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6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"/>
    <x v="0"/>
    <n v="62"/>
    <n v="111.6774193548387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"/>
    <x v="0"/>
    <n v="80"/>
    <n v="90.337500000000006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"/>
    <x v="3"/>
    <n v="94"/>
    <n v="52.085106382978722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7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7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200BC-C743-452B-B83B-A3867E0D249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formats count="12">
    <format dxfId="27">
      <pivotArea collapsedLevelsAreSubtotals="1" fieldPosition="0">
        <references count="1">
          <reference field="15" count="0"/>
        </references>
      </pivotArea>
    </format>
    <format dxfId="26">
      <pivotArea collapsedLevelsAreSubtotals="1" fieldPosition="0">
        <references count="1">
          <reference field="15" count="0"/>
        </references>
      </pivotArea>
    </format>
    <format dxfId="25">
      <pivotArea grandRow="1" outline="0" collapsedLevelsAreSubtotals="1" fieldPosition="0"/>
    </format>
    <format dxfId="24">
      <pivotArea grandRow="1" outline="0" collapsedLevelsAreSubtotals="1" fieldPosition="0"/>
    </format>
    <format dxfId="23">
      <pivotArea field="5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field="5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Col="1" outline="0" fieldPosition="0"/>
    </format>
  </formats>
  <chartFormats count="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24504-9DE3-4CB8-ABE9-EDAB492A887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29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8014-97B7-4425-AFED-1BC689B36095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16">
    <pivotField axis="axisCol" dataField="1" showAll="0" productSubtotal="1">
      <items count="5">
        <item x="3"/>
        <item x="0"/>
        <item h="1" x="2"/>
        <item x="1"/>
        <item t="produc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0" zoomScaleNormal="80" workbookViewId="0">
      <selection activeCell="B1" sqref="B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9.875" bestFit="1" customWidth="1"/>
    <col min="8" max="8" width="13" bestFit="1" customWidth="1"/>
    <col min="9" max="9" width="13" customWidth="1"/>
    <col min="12" max="12" width="16.375" bestFit="1" customWidth="1"/>
    <col min="13" max="13" width="13.375" bestFit="1" customWidth="1"/>
    <col min="14" max="14" width="27" bestFit="1" customWidth="1"/>
    <col min="15" max="15" width="25.875" bestFit="1" customWidth="1"/>
    <col min="18" max="18" width="28" bestFit="1" customWidth="1"/>
    <col min="19" max="19" width="14.75" bestFit="1" customWidth="1"/>
    <col min="20" max="20" width="11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E2*100/D2</f>
        <v>0</v>
      </c>
      <c r="G2" t="s">
        <v>14</v>
      </c>
      <c r="H2">
        <v>0</v>
      </c>
      <c r="I2" s="5" t="str">
        <f>IF(H2=0,"",E2/H2)</f>
        <v/>
      </c>
      <c r="J2" t="s">
        <v>15</v>
      </c>
      <c r="K2" t="s">
        <v>16</v>
      </c>
      <c r="L2">
        <v>1448690400</v>
      </c>
      <c r="M2">
        <v>1450159200</v>
      </c>
      <c r="N2" s="10">
        <f>(L2/86400)+DATE(1970,1,1)</f>
        <v>42336.25</v>
      </c>
      <c r="O2" s="10">
        <f>(M2/86400)+DATE(1970,1,1)</f>
        <v>42353.25</v>
      </c>
      <c r="P2" t="b">
        <v>0</v>
      </c>
      <c r="Q2" t="b">
        <v>0</v>
      </c>
      <c r="R2" t="s">
        <v>17</v>
      </c>
      <c r="S2" t="str">
        <f>TRIM(LEFT(R2,SEARCH("/",R2)-1))</f>
        <v>food</v>
      </c>
      <c r="T2" t="str">
        <f>TRIM(RIGHT(R2,LEN(R2)-SEARCH("/",R2)))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E3*100/D3</f>
        <v>1040</v>
      </c>
      <c r="G3" t="s">
        <v>20</v>
      </c>
      <c r="H3">
        <v>158</v>
      </c>
      <c r="I3" s="5">
        <f t="shared" ref="I3:I66" si="1">IF(H3=0,"",E3/H3)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(L3/86400)+DATE(1970,1,1)</f>
        <v>41870.208333333336</v>
      </c>
      <c r="O3" s="10">
        <f t="shared" ref="O3:O66" si="3">(M3/86400)+DATE(1970,1,1)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TRIM(LEFT(R3,SEARCH("/",R3)-1))</f>
        <v>music</v>
      </c>
      <c r="T3" t="str">
        <f t="shared" ref="T3:T66" si="5">TRIM(RIGHT(R3,LEN(R3)-SEARCH("/",R3)))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131.47878228782287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58.976190476190474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89.349206349206355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245.11904761904762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66.769503546099287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47.307881773399018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332.04444444444442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105.22553516819572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328.89978213507624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157.28571428571428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212.92857142857142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114.78378378378379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227.11111111111111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275.07142857142856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E67*100/D67</f>
        <v>236.14754098360655</v>
      </c>
      <c r="G67" t="s">
        <v>20</v>
      </c>
      <c r="H67">
        <v>236</v>
      </c>
      <c r="I67" s="5">
        <f t="shared" ref="I67:I130" si="7">IF(H67=0,"",E67/H67)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(L67/86400)+DATE(1970,1,1)</f>
        <v>40570.25</v>
      </c>
      <c r="O67" s="10">
        <f t="shared" ref="O67:O130" si="9">(M67/86400)+DATE(1970,1,1)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TRIM(LEFT(R67,SEARCH("/",R67)-1))</f>
        <v>theater</v>
      </c>
      <c r="T67" t="str">
        <f t="shared" ref="T67:T130" si="11">TRIM(RIGHT(R67,LEN(R67)-SEARCH("/",R67)))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670.33333333333337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78.106590724165983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69.598615916955012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225.33928571428572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61.984886649874056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926.69230769230774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144.54411764705881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186.48571428571429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87.211757648470311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149.49667110519309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64.367690058479539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51.421511627906973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60.334277620396598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E131*100/D131</f>
        <v>3.2026936026936026</v>
      </c>
      <c r="G131" t="s">
        <v>74</v>
      </c>
      <c r="H131">
        <v>55</v>
      </c>
      <c r="I131" s="5">
        <f t="shared" ref="I131:I194" si="13">IF(H131=0,"",E131/H131)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(L131/86400)+DATE(1970,1,1)</f>
        <v>42038.25</v>
      </c>
      <c r="O131" s="10">
        <f t="shared" ref="O131:O194" si="15">(M131/86400)+DATE(1970,1,1)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TRIM(LEFT(R131,SEARCH("/",R131)-1))</f>
        <v>food</v>
      </c>
      <c r="T131" t="str">
        <f t="shared" ref="T131:T194" si="17">TRIM(RIGHT(R131,LEN(R131)-SEARCH("/",R131)))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71.272727272727266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230.04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135.59259259259258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58.75656742556918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253.25714285714287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100.16943521594685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415.53846153846155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894.66666666666663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357.71910112359552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61.802325581395351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69.117647058823536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37.952380952380949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E195*100/D195</f>
        <v>45.636363636363633</v>
      </c>
      <c r="G195" t="s">
        <v>14</v>
      </c>
      <c r="H195">
        <v>65</v>
      </c>
      <c r="I195" s="5">
        <f t="shared" ref="I195:I258" si="19">IF(H195=0,"",E195/H195)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(L195/86400)+DATE(1970,1,1)</f>
        <v>43198.208333333328</v>
      </c>
      <c r="O195" s="10">
        <f t="shared" ref="O195:O258" si="21">(M195/86400)+DATE(1970,1,1)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TRIM(LEFT(R195,SEARCH("/",R195)-1))</f>
        <v>music</v>
      </c>
      <c r="T195" t="str">
        <f t="shared" ref="T195:T258" si="23">TRIM(RIGHT(R195,LEN(R195)-SEARCH("/",R195)))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78.831325301204814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67.425531914893611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3.8418367346938775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332.12709832134294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137.97916666666666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119.90717911530095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127.72619047619048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569.71428571428567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509.34482758620692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325.53333333333336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211.33870967741936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54.08450704225352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E259*100/D259</f>
        <v>146</v>
      </c>
      <c r="G259" t="s">
        <v>20</v>
      </c>
      <c r="H259">
        <v>92</v>
      </c>
      <c r="I259" s="5">
        <f t="shared" ref="I259:I322" si="25">IF(H259=0,"",E259/H259)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(L259/86400)+DATE(1970,1,1)</f>
        <v>41338.25</v>
      </c>
      <c r="O259" s="10">
        <f t="shared" ref="O259:O322" si="27">(M259/86400)+DATE(1970,1,1)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TRIM(LEFT(R259,SEARCH("/",R259)-1))</f>
        <v>theater</v>
      </c>
      <c r="T259" t="str">
        <f t="shared" ref="T259:T322" si="29">TRIM(RIGHT(R259,LEN(R259)-SEARCH("/",R259)))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157.69841269841271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31.201660735468565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233.62012987012986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27.176538240368028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304.00978473581216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1066.4285714285713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108.04761904761905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31.844940867279895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546.14285714285711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7.907692307692308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15.842105263157896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38.702380952380949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E323*100/D323</f>
        <v>94.144366197183103</v>
      </c>
      <c r="G323" t="s">
        <v>14</v>
      </c>
      <c r="H323">
        <v>2468</v>
      </c>
      <c r="I323" s="5">
        <f t="shared" ref="I323:I386" si="31">IF(H323=0,"",E323/H323)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(L323/86400)+DATE(1970,1,1)</f>
        <v>40634.208333333336</v>
      </c>
      <c r="O323" s="10">
        <f t="shared" ref="O323:O386" si="33">(M323/86400)+DATE(1970,1,1)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TRIM(LEFT(R323,SEARCH("/",R323)-1))</f>
        <v>film &amp; video</v>
      </c>
      <c r="T323" t="str">
        <f t="shared" ref="T323:T386" si="35">TRIM(RIGHT(R323,LEN(R323)-SEARCH("/",R323)))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166.56234096692111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90.723076923076917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199.98067632850243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114.28538550057537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97.032531824611027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179.14326647564471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53.07411504424779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34.892857142857146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123.73770491803279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160.19230769230768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1616.3333333333333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273.01851851851853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1591.5555555555557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13.185782556750299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361.02941176470586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E387*100/D387</f>
        <v>146.16709511568124</v>
      </c>
      <c r="G387" t="s">
        <v>20</v>
      </c>
      <c r="H387">
        <v>1137</v>
      </c>
      <c r="I387" s="5">
        <f t="shared" ref="I387:I450" si="37">IF(H387=0,"",E387/H387)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(L387/86400)+DATE(1970,1,1)</f>
        <v>43553.208333333328</v>
      </c>
      <c r="O387" s="10">
        <f t="shared" ref="O387:O450" si="39">(M387/86400)+DATE(1970,1,1)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TRIM(LEFT(R387,SEARCH("/",R387)-1))</f>
        <v>publishing</v>
      </c>
      <c r="T387" t="str">
        <f t="shared" ref="T387:T450" si="41">TRIM(RIGHT(R387,LEN(R387)-SEARCH("/",R387)))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39.261467889908253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11.270034843205575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186.54166666666666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65.642371234207971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228.96178343949043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469.375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123.43497363796133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287.66666666666669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112.90429799426934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192.49019607843138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82.714285714285708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54.163920922570014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116.87664041994751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511.38095238095241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E451*100/D451</f>
        <v>967</v>
      </c>
      <c r="G451" t="s">
        <v>20</v>
      </c>
      <c r="H451">
        <v>86</v>
      </c>
      <c r="I451" s="5">
        <f t="shared" ref="I451:I514" si="43">IF(H451=0,"",E451/H451)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(L451/86400)+DATE(1970,1,1)</f>
        <v>43530.25</v>
      </c>
      <c r="O451" s="10">
        <f t="shared" ref="O451:O514" si="45">(M451/86400)+DATE(1970,1,1)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TRIM(LEFT(R451,SEARCH("/",R451)-1))</f>
        <v>games</v>
      </c>
      <c r="T451" t="str">
        <f t="shared" ref="T451:T514" si="47">TRIM(RIGHT(R451,LEN(R451)-SEARCH("/",R451)))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122.84501347708895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44.075000000000003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30.579449152542374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575.21428571428567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184.42857142857142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113.94594594594595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29.828720626631853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54.27058823529412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100.65116279069767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101.51086956521739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305.34683098591552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23.995287958115185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723.77777777777783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414.5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34.173469387755105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 t="str">
        <f t="shared" si="43"/>
        <v/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70.145182291666671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180.32549019607842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13.901001112347052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927.07777777777778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39.857142857142854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119.08974358974359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E515*100/D515</f>
        <v>39.277108433734938</v>
      </c>
      <c r="G515" t="s">
        <v>74</v>
      </c>
      <c r="H515">
        <v>35</v>
      </c>
      <c r="I515" s="5">
        <f t="shared" ref="I515:I578" si="49">IF(H515=0,"",E515/H515)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(L515/86400)+DATE(1970,1,1)</f>
        <v>40430.208333333336</v>
      </c>
      <c r="O515" s="10">
        <f t="shared" ref="O515:O578" si="51">(M515/86400)+DATE(1970,1,1)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TRIM(LEFT(R515,SEARCH("/",R515)-1))</f>
        <v>film &amp; video</v>
      </c>
      <c r="T515" t="str">
        <f t="shared" ref="T515:T578" si="53">TRIM(RIGHT(R515,LEN(R515)-SEARCH("/",R515)))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22.439077144917086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101.74563871693866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700.33333333333337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83.904860392967947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11.254901960784315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95.521156936261377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502.875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159.24394463667821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482.03846153846155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117.22156398104265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72.65306122448979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163.57142857142858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98.511111111111106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151.66315789473686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100.96961063627731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12.818181818181818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E579*100/D579</f>
        <v>18.853658536585368</v>
      </c>
      <c r="G579" t="s">
        <v>74</v>
      </c>
      <c r="H579">
        <v>37</v>
      </c>
      <c r="I579" s="5">
        <f t="shared" ref="I579:I642" si="55">IF(H579=0,"",E579/H579)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(L579/86400)+DATE(1970,1,1)</f>
        <v>40613.25</v>
      </c>
      <c r="O579" s="10">
        <f t="shared" ref="O579:O642" si="57">(M579/86400)+DATE(1970,1,1)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TRIM(LEFT(R579,SEARCH("/",R579)-1))</f>
        <v>music</v>
      </c>
      <c r="T579" t="str">
        <f t="shared" ref="T579:T642" si="59">TRIM(RIGHT(R579,LEN(R579)-SEARCH("/",R579)))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101.11290322580645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341.50228310502285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119.50810185185185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64.721518987341767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7.0991735537190079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201.59756097560975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3.6436208125445475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283.97435897435895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120.42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419.05607476635515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13.853658536585366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48.86052366565962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159.92152704135736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64.582072176949936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42.859916782246877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78.531302876480538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E643*100/D643</f>
        <v>119.96808510638297</v>
      </c>
      <c r="G643" t="s">
        <v>20</v>
      </c>
      <c r="H643">
        <v>194</v>
      </c>
      <c r="I643" s="5">
        <f t="shared" ref="I643:I706" si="61">IF(H643=0,"",E643/H643)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(L643/86400)+DATE(1970,1,1)</f>
        <v>42786.25</v>
      </c>
      <c r="O643" s="10">
        <f t="shared" ref="O643:O706" si="63">(M643/86400)+DATE(1970,1,1)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TRIM(LEFT(R643,SEARCH("/",R643)-1))</f>
        <v>theater</v>
      </c>
      <c r="T643" t="str">
        <f t="shared" ref="T643:T706" si="65">TRIM(RIGHT(R643,LEN(R643)-SEARCH("/",R643)))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88.59979736575481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63.056795131845838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48.482333607230899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2338.8333333333335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508.38857142857142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47.232808616404306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54.187265917602993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33.538371411833623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100.65753424657534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90.63333333333334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59.042047531992687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446.69121140142516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54.137931034482762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E707*100/D707</f>
        <v>99.026517383618156</v>
      </c>
      <c r="G707" t="s">
        <v>14</v>
      </c>
      <c r="H707">
        <v>2025</v>
      </c>
      <c r="I707" s="5">
        <f t="shared" ref="I707:I770" si="67">IF(H707=0,"",E707/H707)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(L707/86400)+DATE(1970,1,1)</f>
        <v>41619.25</v>
      </c>
      <c r="O707" s="10">
        <f t="shared" ref="O707:O770" si="69">(M707/86400)+DATE(1970,1,1)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TRIM(LEFT(R707,SEARCH("/",R707)-1))</f>
        <v>publishing</v>
      </c>
      <c r="T707" t="str">
        <f t="shared" ref="T707:T770" si="71">TRIM(RIGHT(R707,LEN(R707)-SEARCH("/",R707)))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127.84686346863468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20.322580645161292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4.3923948220064721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270.40816326530614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412.66319444444446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319.14285714285717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1179.1666666666667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1126.0833333333333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564.20608108108104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177.25714285714287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113.17857142857143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728.18181818181813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31.171232876712327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56.967078189300409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E771*100/D771</f>
        <v>86.867834394904463</v>
      </c>
      <c r="G771" t="s">
        <v>14</v>
      </c>
      <c r="H771">
        <v>3410</v>
      </c>
      <c r="I771" s="5">
        <f t="shared" ref="I771:I834" si="73">IF(H771=0,"",E771/H771)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(L771/86400)+DATE(1970,1,1)</f>
        <v>41501.208333333336</v>
      </c>
      <c r="O771" s="10">
        <f t="shared" ref="O771:O834" si="75">(M771/86400)+DATE(1970,1,1)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TRIM(LEFT(R771,SEARCH("/",R771)-1))</f>
        <v>games</v>
      </c>
      <c r="T771" t="str">
        <f t="shared" ref="T771:T834" si="77">TRIM(RIGHT(R771,LEN(R771)-SEARCH("/",R771)))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50.735632183908045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215.31372549019608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115.33745781777277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25.714285714285715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54.807692307692307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109.63157894736842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202.91304347826087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50.845360824742265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30.442307692307693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62.88068181818182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130.23333333333332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349.96666666666664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E835*100/D835</f>
        <v>157.69117647058823</v>
      </c>
      <c r="G835" t="s">
        <v>20</v>
      </c>
      <c r="H835">
        <v>165</v>
      </c>
      <c r="I835" s="5">
        <f t="shared" ref="I835:I898" si="79">IF(H835=0,"",E835/H835)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(L835/86400)+DATE(1970,1,1)</f>
        <v>40588.25</v>
      </c>
      <c r="O835" s="10">
        <f t="shared" ref="O835:O898" si="81">(M835/86400)+DATE(1970,1,1)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TRIM(LEFT(R835,SEARCH("/",R835)-1))</f>
        <v>publishing</v>
      </c>
      <c r="T835" t="str">
        <f t="shared" ref="T835:T898" si="83">TRIM(RIGHT(R835,LEN(R835)-SEARCH("/",R835)))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30.71590909090909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99.397727272727266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102.37606837606837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139.8679245283019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187.42857142857142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237.91176470588235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64.036299765807968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29.346153846153847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169.78571428571428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115.95907738095238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258.60000000000002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230.58333333333334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188.70588235294119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E899*100/D899</f>
        <v>27.693181818181817</v>
      </c>
      <c r="G899" t="s">
        <v>14</v>
      </c>
      <c r="H899">
        <v>27</v>
      </c>
      <c r="I899" s="5">
        <f t="shared" ref="I899:I962" si="85">IF(H899=0,"",E899/H899)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(L899/86400)+DATE(1970,1,1)</f>
        <v>43583.208333333328</v>
      </c>
      <c r="O899" s="10">
        <f t="shared" ref="O899:O962" si="87">(M899/86400)+DATE(1970,1,1)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TRIM(LEFT(R899,SEARCH("/",R899)-1))</f>
        <v>theater</v>
      </c>
      <c r="T899" t="str">
        <f t="shared" ref="T899:T962" si="89">TRIM(RIGHT(R899,LEN(R899)-SEARCH("/",R899)))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52.479620323841431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156.17857142857142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252.42857142857142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1.7292682926829268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19.556634304207119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224.06666666666666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217.30909090909091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112.28571428571429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72.518987341772146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239.74657534246575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109.70652173913044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62.232323232323232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367.09859154929575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E963*100/D963</f>
        <v>119.29824561403508</v>
      </c>
      <c r="G963" t="s">
        <v>20</v>
      </c>
      <c r="H963">
        <v>155</v>
      </c>
      <c r="I963" s="5">
        <f t="shared" ref="I963:I1001" si="91">IF(H963=0,"",E963/H963)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(L963/86400)+DATE(1970,1,1)</f>
        <v>40591.25</v>
      </c>
      <c r="O963" s="10">
        <f t="shared" ref="O963:O1001" si="93">(M963/86400)+DATE(1970,1,1)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TRIM(LEFT(R963,SEARCH("/",R963)-1))</f>
        <v>publishing</v>
      </c>
      <c r="T963" t="str">
        <f t="shared" ref="T963:T1001" si="95">TRIM(RIGHT(R963,LEN(R963)-SEARCH("/",R963)))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338.20833333333331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60.757639620653322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228.39344262295083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152.46153846153845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67.129542790152399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216.79032258064515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499.58333333333331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52.496810772501775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157.46762589928056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60.565789473684212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56.791291291291294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B4665D98-47B0-4E5B-8D48-E7BF2ADD6BF8}"/>
  <conditionalFormatting sqref="F2:F1001">
    <cfRule type="colorScale" priority="5">
      <colorScale>
        <cfvo type="num" val="0"/>
        <cfvo type="num" val="100"/>
        <cfvo type="num" val="200"/>
        <color rgb="FFF8696B"/>
        <color rgb="FF6DA945"/>
        <color theme="4" tint="0.39997558519241921"/>
      </colorScale>
    </cfRule>
  </conditionalFormatting>
  <conditionalFormatting sqref="G2:G1001">
    <cfRule type="cellIs" dxfId="31" priority="1" operator="equal">
      <formula>"canceled"</formula>
    </cfRule>
    <cfRule type="cellIs" dxfId="30" priority="2" operator="equal">
      <formula>"live"</formula>
    </cfRule>
    <cfRule type="cellIs" dxfId="29" priority="3" operator="equal">
      <formula>"failed"</formula>
    </cfRule>
    <cfRule type="cellIs" dxfId="28" priority="4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7A26-023F-4C4D-B30C-D96DC2825D2D}">
  <dimension ref="A1:F14"/>
  <sheetViews>
    <sheetView workbookViewId="0">
      <selection activeCell="A7" sqref="A7"/>
    </sheetView>
  </sheetViews>
  <sheetFormatPr defaultRowHeight="15.75" x14ac:dyDescent="0.25"/>
  <cols>
    <col min="1" max="1" width="16.5" bestFit="1" customWidth="1"/>
    <col min="2" max="2" width="17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3" spans="1:6" x14ac:dyDescent="0.25">
      <c r="A3" s="7" t="s">
        <v>2085</v>
      </c>
      <c r="B3" s="13" t="s">
        <v>2045</v>
      </c>
      <c r="C3" s="14"/>
      <c r="D3" s="14"/>
      <c r="E3" s="14"/>
      <c r="F3" s="14"/>
    </row>
    <row r="4" spans="1:6" x14ac:dyDescent="0.25">
      <c r="A4" s="7" t="s">
        <v>2033</v>
      </c>
      <c r="B4" s="14" t="s">
        <v>74</v>
      </c>
      <c r="C4" s="14" t="s">
        <v>14</v>
      </c>
      <c r="D4" s="14" t="s">
        <v>47</v>
      </c>
      <c r="E4" s="14" t="s">
        <v>20</v>
      </c>
      <c r="F4" s="14" t="s">
        <v>2043</v>
      </c>
    </row>
    <row r="5" spans="1:6" x14ac:dyDescent="0.25">
      <c r="A5" s="8" t="s">
        <v>2034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8" t="s">
        <v>2035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8" t="s">
        <v>2036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8" t="s">
        <v>2037</v>
      </c>
      <c r="B8" s="12"/>
      <c r="C8" s="12"/>
      <c r="D8" s="12"/>
      <c r="E8" s="12">
        <v>4</v>
      </c>
      <c r="F8" s="12">
        <v>4</v>
      </c>
    </row>
    <row r="9" spans="1:6" x14ac:dyDescent="0.25">
      <c r="A9" s="8" t="s">
        <v>2038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8" t="s">
        <v>2039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8" t="s">
        <v>2040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8" t="s">
        <v>2041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8" t="s">
        <v>2042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8" t="s">
        <v>2043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342C-3A6A-42C1-B64C-5DA692D79AA8}">
  <dimension ref="A1:F29"/>
  <sheetViews>
    <sheetView workbookViewId="0">
      <selection activeCell="A25" sqref="A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3" spans="1:6" x14ac:dyDescent="0.25">
      <c r="A3" s="7" t="s">
        <v>2085</v>
      </c>
      <c r="B3" s="7" t="s">
        <v>2045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2046</v>
      </c>
      <c r="B5" s="9">
        <v>1</v>
      </c>
      <c r="C5" s="9">
        <v>10</v>
      </c>
      <c r="D5" s="9">
        <v>2</v>
      </c>
      <c r="E5" s="9">
        <v>21</v>
      </c>
      <c r="F5" s="9">
        <v>34</v>
      </c>
    </row>
    <row r="6" spans="1:6" x14ac:dyDescent="0.25">
      <c r="A6" s="8" t="s">
        <v>2047</v>
      </c>
      <c r="B6" s="9"/>
      <c r="C6" s="9"/>
      <c r="D6" s="9"/>
      <c r="E6" s="9">
        <v>4</v>
      </c>
      <c r="F6" s="9">
        <v>4</v>
      </c>
    </row>
    <row r="7" spans="1:6" x14ac:dyDescent="0.25">
      <c r="A7" s="8" t="s">
        <v>2048</v>
      </c>
      <c r="B7" s="9">
        <v>4</v>
      </c>
      <c r="C7" s="9">
        <v>21</v>
      </c>
      <c r="D7" s="9">
        <v>1</v>
      </c>
      <c r="E7" s="9">
        <v>34</v>
      </c>
      <c r="F7" s="9">
        <v>60</v>
      </c>
    </row>
    <row r="8" spans="1:6" x14ac:dyDescent="0.25">
      <c r="A8" s="8" t="s">
        <v>2049</v>
      </c>
      <c r="B8" s="9">
        <v>2</v>
      </c>
      <c r="C8" s="9">
        <v>12</v>
      </c>
      <c r="D8" s="9">
        <v>1</v>
      </c>
      <c r="E8" s="9">
        <v>22</v>
      </c>
      <c r="F8" s="9">
        <v>37</v>
      </c>
    </row>
    <row r="9" spans="1:6" x14ac:dyDescent="0.25">
      <c r="A9" s="8" t="s">
        <v>2050</v>
      </c>
      <c r="B9" s="9"/>
      <c r="C9" s="9">
        <v>8</v>
      </c>
      <c r="D9" s="9"/>
      <c r="E9" s="9">
        <v>10</v>
      </c>
      <c r="F9" s="9">
        <v>18</v>
      </c>
    </row>
    <row r="10" spans="1:6" x14ac:dyDescent="0.25">
      <c r="A10" s="8" t="s">
        <v>2051</v>
      </c>
      <c r="B10" s="9">
        <v>1</v>
      </c>
      <c r="C10" s="9">
        <v>7</v>
      </c>
      <c r="D10" s="9"/>
      <c r="E10" s="9">
        <v>9</v>
      </c>
      <c r="F10" s="9">
        <v>17</v>
      </c>
    </row>
    <row r="11" spans="1:6" x14ac:dyDescent="0.25">
      <c r="A11" s="8" t="s">
        <v>2052</v>
      </c>
      <c r="B11" s="9">
        <v>4</v>
      </c>
      <c r="C11" s="9">
        <v>20</v>
      </c>
      <c r="D11" s="9"/>
      <c r="E11" s="9">
        <v>22</v>
      </c>
      <c r="F11" s="9">
        <v>46</v>
      </c>
    </row>
    <row r="12" spans="1:6" x14ac:dyDescent="0.25">
      <c r="A12" s="8" t="s">
        <v>2053</v>
      </c>
      <c r="B12" s="9">
        <v>3</v>
      </c>
      <c r="C12" s="9">
        <v>19</v>
      </c>
      <c r="D12" s="9"/>
      <c r="E12" s="9">
        <v>23</v>
      </c>
      <c r="F12" s="9">
        <v>45</v>
      </c>
    </row>
    <row r="13" spans="1:6" x14ac:dyDescent="0.25">
      <c r="A13" s="8" t="s">
        <v>2054</v>
      </c>
      <c r="B13" s="9">
        <v>1</v>
      </c>
      <c r="C13" s="9">
        <v>6</v>
      </c>
      <c r="D13" s="9"/>
      <c r="E13" s="9">
        <v>10</v>
      </c>
      <c r="F13" s="9">
        <v>17</v>
      </c>
    </row>
    <row r="14" spans="1:6" x14ac:dyDescent="0.25">
      <c r="A14" s="8" t="s">
        <v>2055</v>
      </c>
      <c r="B14" s="9"/>
      <c r="C14" s="9">
        <v>3</v>
      </c>
      <c r="D14" s="9"/>
      <c r="E14" s="9">
        <v>4</v>
      </c>
      <c r="F14" s="9">
        <v>7</v>
      </c>
    </row>
    <row r="15" spans="1:6" x14ac:dyDescent="0.25">
      <c r="A15" s="8" t="s">
        <v>2056</v>
      </c>
      <c r="B15" s="9"/>
      <c r="C15" s="9">
        <v>8</v>
      </c>
      <c r="D15" s="9">
        <v>1</v>
      </c>
      <c r="E15" s="9">
        <v>4</v>
      </c>
      <c r="F15" s="9">
        <v>13</v>
      </c>
    </row>
    <row r="16" spans="1:6" x14ac:dyDescent="0.25">
      <c r="A16" s="8" t="s">
        <v>2057</v>
      </c>
      <c r="B16" s="9">
        <v>1</v>
      </c>
      <c r="C16" s="9">
        <v>6</v>
      </c>
      <c r="D16" s="9">
        <v>1</v>
      </c>
      <c r="E16" s="9">
        <v>13</v>
      </c>
      <c r="F16" s="9">
        <v>21</v>
      </c>
    </row>
    <row r="17" spans="1:6" x14ac:dyDescent="0.25">
      <c r="A17" s="8" t="s">
        <v>2058</v>
      </c>
      <c r="B17" s="9">
        <v>4</v>
      </c>
      <c r="C17" s="9">
        <v>11</v>
      </c>
      <c r="D17" s="9">
        <v>1</v>
      </c>
      <c r="E17" s="9">
        <v>26</v>
      </c>
      <c r="F17" s="9">
        <v>42</v>
      </c>
    </row>
    <row r="18" spans="1:6" x14ac:dyDescent="0.25">
      <c r="A18" s="8" t="s">
        <v>2059</v>
      </c>
      <c r="B18" s="9">
        <v>23</v>
      </c>
      <c r="C18" s="9">
        <v>132</v>
      </c>
      <c r="D18" s="9">
        <v>2</v>
      </c>
      <c r="E18" s="9">
        <v>187</v>
      </c>
      <c r="F18" s="9">
        <v>344</v>
      </c>
    </row>
    <row r="19" spans="1:6" x14ac:dyDescent="0.25">
      <c r="A19" s="8" t="s">
        <v>2060</v>
      </c>
      <c r="B19" s="9"/>
      <c r="C19" s="9">
        <v>4</v>
      </c>
      <c r="D19" s="9"/>
      <c r="E19" s="9">
        <v>4</v>
      </c>
      <c r="F19" s="9">
        <v>8</v>
      </c>
    </row>
    <row r="20" spans="1:6" x14ac:dyDescent="0.25">
      <c r="A20" s="8" t="s">
        <v>2061</v>
      </c>
      <c r="B20" s="9">
        <v>6</v>
      </c>
      <c r="C20" s="9">
        <v>30</v>
      </c>
      <c r="D20" s="9"/>
      <c r="E20" s="9">
        <v>49</v>
      </c>
      <c r="F20" s="9">
        <v>85</v>
      </c>
    </row>
    <row r="21" spans="1:6" x14ac:dyDescent="0.25">
      <c r="A21" s="8" t="s">
        <v>2062</v>
      </c>
      <c r="B21" s="9"/>
      <c r="C21" s="9">
        <v>9</v>
      </c>
      <c r="D21" s="9"/>
      <c r="E21" s="9">
        <v>5</v>
      </c>
      <c r="F21" s="9">
        <v>14</v>
      </c>
    </row>
    <row r="22" spans="1:6" x14ac:dyDescent="0.25">
      <c r="A22" s="8" t="s">
        <v>2063</v>
      </c>
      <c r="B22" s="9">
        <v>1</v>
      </c>
      <c r="C22" s="9">
        <v>5</v>
      </c>
      <c r="D22" s="9">
        <v>1</v>
      </c>
      <c r="E22" s="9">
        <v>9</v>
      </c>
      <c r="F22" s="9">
        <v>16</v>
      </c>
    </row>
    <row r="23" spans="1:6" x14ac:dyDescent="0.25">
      <c r="A23" s="8" t="s">
        <v>2064</v>
      </c>
      <c r="B23" s="9">
        <v>3</v>
      </c>
      <c r="C23" s="9">
        <v>3</v>
      </c>
      <c r="D23" s="9"/>
      <c r="E23" s="9">
        <v>11</v>
      </c>
      <c r="F23" s="9">
        <v>17</v>
      </c>
    </row>
    <row r="24" spans="1:6" x14ac:dyDescent="0.25">
      <c r="A24" s="8" t="s">
        <v>2065</v>
      </c>
      <c r="B24" s="9"/>
      <c r="C24" s="9">
        <v>7</v>
      </c>
      <c r="D24" s="9"/>
      <c r="E24" s="9">
        <v>14</v>
      </c>
      <c r="F24" s="9">
        <v>21</v>
      </c>
    </row>
    <row r="25" spans="1:6" x14ac:dyDescent="0.25">
      <c r="A25" s="8" t="s">
        <v>2066</v>
      </c>
      <c r="B25" s="9">
        <v>1</v>
      </c>
      <c r="C25" s="9">
        <v>15</v>
      </c>
      <c r="D25" s="9">
        <v>2</v>
      </c>
      <c r="E25" s="9">
        <v>17</v>
      </c>
      <c r="F25" s="9">
        <v>35</v>
      </c>
    </row>
    <row r="26" spans="1:6" x14ac:dyDescent="0.25">
      <c r="A26" s="8" t="s">
        <v>2067</v>
      </c>
      <c r="B26" s="9"/>
      <c r="C26" s="9">
        <v>16</v>
      </c>
      <c r="D26" s="9">
        <v>1</v>
      </c>
      <c r="E26" s="9">
        <v>28</v>
      </c>
      <c r="F26" s="9">
        <v>45</v>
      </c>
    </row>
    <row r="27" spans="1:6" x14ac:dyDescent="0.25">
      <c r="A27" s="8" t="s">
        <v>2068</v>
      </c>
      <c r="B27" s="9">
        <v>2</v>
      </c>
      <c r="C27" s="9">
        <v>12</v>
      </c>
      <c r="D27" s="9">
        <v>1</v>
      </c>
      <c r="E27" s="9">
        <v>36</v>
      </c>
      <c r="F27" s="9">
        <v>51</v>
      </c>
    </row>
    <row r="28" spans="1:6" x14ac:dyDescent="0.25">
      <c r="A28" s="8" t="s">
        <v>2069</v>
      </c>
      <c r="B28" s="9"/>
      <c r="C28" s="9"/>
      <c r="D28" s="9"/>
      <c r="E28" s="9">
        <v>3</v>
      </c>
      <c r="F28" s="9">
        <v>3</v>
      </c>
    </row>
    <row r="29" spans="1:6" x14ac:dyDescent="0.25">
      <c r="A29" s="8" t="s">
        <v>2043</v>
      </c>
      <c r="B29" s="9">
        <v>57</v>
      </c>
      <c r="C29" s="9">
        <v>364</v>
      </c>
      <c r="D29" s="9">
        <v>14</v>
      </c>
      <c r="E29" s="9">
        <v>565</v>
      </c>
      <c r="F2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E5C5-C5C2-4AD3-8698-23569B6683E2}">
  <dimension ref="A1:E18"/>
  <sheetViews>
    <sheetView workbookViewId="0">
      <selection activeCell="E18" sqref="E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2044</v>
      </c>
    </row>
    <row r="2" spans="1:5" x14ac:dyDescent="0.25">
      <c r="A2" s="7" t="s">
        <v>2084</v>
      </c>
      <c r="B2" t="s">
        <v>2044</v>
      </c>
    </row>
    <row r="4" spans="1:5" x14ac:dyDescent="0.25">
      <c r="A4" s="7" t="s">
        <v>2085</v>
      </c>
      <c r="B4" s="7" t="s">
        <v>2045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1" t="s">
        <v>2072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2073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2074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2075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2076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2077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2078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2079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2080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2081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2082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2083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8AC1-DEFB-48B5-8F0E-9F0C5D318CC6}">
  <dimension ref="A1:H13"/>
  <sheetViews>
    <sheetView workbookViewId="0">
      <selection activeCell="L27" sqref="L27"/>
    </sheetView>
  </sheetViews>
  <sheetFormatPr defaultRowHeight="15.75" x14ac:dyDescent="0.25"/>
  <cols>
    <col min="1" max="1" width="17.375" customWidth="1"/>
    <col min="2" max="2" width="9.5" bestFit="1" customWidth="1"/>
    <col min="3" max="3" width="7.875" bestFit="1" customWidth="1"/>
    <col min="4" max="4" width="8.5" bestFit="1" customWidth="1"/>
    <col min="5" max="5" width="7.75" bestFit="1" customWidth="1"/>
    <col min="6" max="8" width="10.5" bestFit="1" customWidth="1"/>
  </cols>
  <sheetData>
    <row r="1" spans="1:8" s="16" customFormat="1" ht="31.5" x14ac:dyDescent="0.25">
      <c r="A1" s="16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5">
      <c r="A3" t="s">
        <v>2095</v>
      </c>
      <c r="B3">
        <f>COUNTIFS(Crowdfunding!$D:$D,"&gt;1000",Crowdfunding!$D:$D,"&lt;=4999",Crowdfunding!$G:$G,"successful")</f>
        <v>185</v>
      </c>
      <c r="C3">
        <f>COUNTIFS(Crowdfunding!$D:$D,"&gt;1000",Crowdfunding!$D:$D,"&lt;=4999",Crowdfunding!$G:$G,"failed")</f>
        <v>37</v>
      </c>
      <c r="D3">
        <f>COUNTIFS(Crowdfunding!$D:$D,"&gt;1000",Crowdfunding!$D:$D,"&lt;=4999",Crowdfunding!$G:$G,"canceled")</f>
        <v>2</v>
      </c>
      <c r="E3">
        <f t="shared" ref="E3:E13" si="0">SUM(B3:D3)</f>
        <v>224</v>
      </c>
      <c r="F3" s="15">
        <f t="shared" ref="F3:F13" si="1">B3/E3</f>
        <v>0.8258928571428571</v>
      </c>
      <c r="G3" s="15">
        <f t="shared" ref="G3:G13" si="2">C3/E3</f>
        <v>0.16517857142857142</v>
      </c>
      <c r="H3" s="15">
        <f t="shared" ref="H3:H13" si="3">D3/E3</f>
        <v>8.9285714285714281E-3</v>
      </c>
    </row>
    <row r="4" spans="1:8" x14ac:dyDescent="0.25">
      <c r="A4" t="s">
        <v>2096</v>
      </c>
      <c r="B4">
        <f>COUNTIFS(Crowdfunding!$D:$D,"&gt;5000",Crowdfunding!$D:$D,"&lt;=9999",Crowdfunding!$G:$G,"successful")</f>
        <v>157</v>
      </c>
      <c r="C4">
        <f>COUNTIFS(Crowdfunding!$D:$D,"&gt;5000",Crowdfunding!$D:$D,"&lt;=9999",Crowdfunding!$G:$G,"failed")</f>
        <v>125</v>
      </c>
      <c r="D4">
        <f>COUNTIFS(Crowdfunding!$D:$D,"&gt;5000",Crowdfunding!$D:$D,"&lt;=9999",Crowdfunding!$G:$G,"canceled")</f>
        <v>25</v>
      </c>
      <c r="E4">
        <f t="shared" si="0"/>
        <v>307</v>
      </c>
      <c r="F4" s="15">
        <f t="shared" si="1"/>
        <v>0.51140065146579805</v>
      </c>
      <c r="G4" s="15">
        <f t="shared" si="2"/>
        <v>0.40716612377850164</v>
      </c>
      <c r="H4" s="15">
        <f t="shared" si="3"/>
        <v>8.143322475570032E-2</v>
      </c>
    </row>
    <row r="5" spans="1:8" x14ac:dyDescent="0.25">
      <c r="A5" t="s">
        <v>2097</v>
      </c>
      <c r="B5">
        <f>COUNTIFS(Crowdfunding!$D:$D,"&gt;10000",Crowdfunding!$D:$D,"&lt;=14999",Crowdfunding!$G:$G,"successful")</f>
        <v>2</v>
      </c>
      <c r="C5">
        <f>COUNTIFS(Crowdfunding!$D:$D,"&gt;10000",Crowdfunding!$D:$D,"&lt;=14999",Crowdfunding!$G:$G,"failed")</f>
        <v>0</v>
      </c>
      <c r="D5">
        <f>COUNTIFS(Crowdfunding!$D:$D,"&gt;10000",Crowdfunding!$D:$D,"&lt;=14999",Crowdfunding!$G:$G,"canceled")</f>
        <v>0</v>
      </c>
      <c r="E5">
        <f t="shared" si="0"/>
        <v>2</v>
      </c>
      <c r="F5" s="15">
        <f t="shared" si="1"/>
        <v>1</v>
      </c>
      <c r="G5" s="15">
        <f t="shared" si="2"/>
        <v>0</v>
      </c>
      <c r="H5" s="15">
        <f t="shared" si="3"/>
        <v>0</v>
      </c>
    </row>
    <row r="6" spans="1:8" x14ac:dyDescent="0.25">
      <c r="A6" t="s">
        <v>2098</v>
      </c>
      <c r="B6">
        <f>COUNTIFS(Crowdfunding!$D:$D,"&gt;15000",Crowdfunding!$D:$D,"&lt;=19999",Crowdfunding!$G:$G,"successful")</f>
        <v>10</v>
      </c>
      <c r="C6">
        <f>COUNTIFS(Crowdfunding!$D:$D,"&gt;15000",Crowdfunding!$D:$D,"&lt;=19999",Crowdfunding!$G:$G,"failed")</f>
        <v>0</v>
      </c>
      <c r="D6">
        <f>COUNTIFS(Crowdfunding!$D:$D,"&gt;15000",Crowdfunding!$D:$D,"&lt;=19999",Crowdfunding!$G:$G,"canceled")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2099</v>
      </c>
      <c r="B7">
        <f>COUNTIFS(Crowdfunding!$D:$D,"&gt;20000",Crowdfunding!$D:$D,"&lt;=24999",Crowdfunding!$G:$G,"successful")</f>
        <v>5</v>
      </c>
      <c r="C7">
        <f>COUNTIFS(Crowdfunding!$D:$D,"&gt;20000",Crowdfunding!$D:$D,"&lt;=24999",Crowdfunding!$G:$G,"failed")</f>
        <v>0</v>
      </c>
      <c r="D7">
        <f>COUNTIFS(Crowdfunding!$D:$D,"&gt;20000",Crowdfunding!$D:$D,"&lt;=24999",Crowdfunding!$G:$G,"canceled")</f>
        <v>0</v>
      </c>
      <c r="E7">
        <f t="shared" si="0"/>
        <v>5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2100</v>
      </c>
      <c r="B8">
        <f>COUNTIFS(Crowdfunding!$D:$D,"&gt;25000",Crowdfunding!$D:$D,"&lt;=29999",Crowdfunding!$G:$G,"successful")</f>
        <v>10</v>
      </c>
      <c r="C8">
        <f>COUNTIFS(Crowdfunding!$D:$D,"&gt;25000",Crowdfunding!$D:$D,"&lt;=29999",Crowdfunding!$G:$G,"failed")</f>
        <v>3</v>
      </c>
      <c r="D8">
        <f>COUNTIFS(Crowdfunding!$D:$D,"&gt;25000",Crowdfunding!$D:$D,"&lt;=29999",Crowdfunding!$G:$G,"canceled")</f>
        <v>0</v>
      </c>
      <c r="E8">
        <f t="shared" si="0"/>
        <v>13</v>
      </c>
      <c r="F8" s="15">
        <f t="shared" si="1"/>
        <v>0.76923076923076927</v>
      </c>
      <c r="G8" s="15">
        <f t="shared" si="2"/>
        <v>0.23076923076923078</v>
      </c>
      <c r="H8" s="15">
        <f t="shared" si="3"/>
        <v>0</v>
      </c>
    </row>
    <row r="9" spans="1:8" x14ac:dyDescent="0.25">
      <c r="A9" t="s">
        <v>2101</v>
      </c>
      <c r="B9">
        <f>COUNTIFS(Crowdfunding!$D:$D,"&gt;30000",Crowdfunding!$D:$D,"&lt;=34999",Crowdfunding!$G:$G,"successful")</f>
        <v>7</v>
      </c>
      <c r="C9">
        <f>COUNTIFS(Crowdfunding!$D:$D,"&gt;30000",Crowdfunding!$D:$D,"&lt;=34999",Crowdfunding!$G:$G,"failed")</f>
        <v>0</v>
      </c>
      <c r="D9">
        <f>COUNTIFS(Crowdfunding!$D:$D,"&gt;30000",Crowdfunding!$D:$D,"&lt;=34999",Crowdfunding!$G:$G,"canceled")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2102</v>
      </c>
      <c r="B10">
        <f>COUNTIFS(Crowdfunding!$D:$D,"&gt;35000",Crowdfunding!$D:$D,"&lt;=39999",Crowdfunding!$G:$G,"successful")</f>
        <v>7</v>
      </c>
      <c r="C10">
        <f>COUNTIFS(Crowdfunding!$D:$D,"&gt;35000",Crowdfunding!$D:$D,"&lt;=39999",Crowdfunding!$G:$G,"failed")</f>
        <v>3</v>
      </c>
      <c r="D10">
        <f>COUNTIFS(Crowdfunding!$D:$D,"&gt;35000",Crowdfunding!$D:$D,"&lt;=39999",Crowdfunding!$G:$G,"canceled")</f>
        <v>1</v>
      </c>
      <c r="E10">
        <f t="shared" si="0"/>
        <v>11</v>
      </c>
      <c r="F10" s="15">
        <f t="shared" si="1"/>
        <v>0.63636363636363635</v>
      </c>
      <c r="G10" s="15">
        <f t="shared" si="2"/>
        <v>0.27272727272727271</v>
      </c>
      <c r="H10" s="15">
        <f t="shared" si="3"/>
        <v>9.0909090909090912E-2</v>
      </c>
    </row>
    <row r="11" spans="1:8" x14ac:dyDescent="0.25">
      <c r="A11" t="s">
        <v>2103</v>
      </c>
      <c r="B11">
        <f>COUNTIFS(Crowdfunding!$D:$D,"&gt;40000",Crowdfunding!$D:$D,"&lt;=44999",Crowdfunding!$G:$G,"successful")</f>
        <v>11</v>
      </c>
      <c r="C11">
        <f>COUNTIFS(Crowdfunding!$D:$D,"&gt;40000",Crowdfunding!$D:$D,"&lt;=44999",Crowdfunding!$G:$G,"failed")</f>
        <v>3</v>
      </c>
      <c r="D11">
        <f>COUNTIFS(Crowdfunding!$D:$D,"&gt;40000",Crowdfunding!$D:$D,"&lt;=44999",Crowdfunding!$G:$G,"canceled")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2104</v>
      </c>
      <c r="B12">
        <f>COUNTIFS(Crowdfunding!$D:$D,"&gt;45000",Crowdfunding!$D:$D,"&lt;=49999",Crowdfunding!$G:$G,"successful")</f>
        <v>8</v>
      </c>
      <c r="C12">
        <f>COUNTIFS(Crowdfunding!$D:$D,"&gt;45000",Crowdfunding!$D:$D,"&lt;=49999",Crowdfunding!$G:$G,"failed")</f>
        <v>3</v>
      </c>
      <c r="D12">
        <f>COUNTIFS(Crowdfunding!$D:$D,"&gt;45000",Crowdfunding!$D:$D,"&lt;=49999",Crowdfunding!$G:$G,"canceled")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0FE5-24AE-495F-BEBE-2BDBF786662F}">
  <dimension ref="A1:M566"/>
  <sheetViews>
    <sheetView workbookViewId="0">
      <selection activeCell="K1" sqref="K1:M7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11" max="11" width="37.25" bestFit="1" customWidth="1"/>
    <col min="12" max="12" width="13.5" bestFit="1" customWidth="1"/>
    <col min="13" max="13" width="11.125" bestFit="1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  <c r="K1" s="17"/>
      <c r="L1" s="18" t="s">
        <v>2112</v>
      </c>
      <c r="M1" s="19" t="s">
        <v>2113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K2" s="20" t="s">
        <v>2106</v>
      </c>
      <c r="L2" s="21">
        <f>AVERAGE($B$2:$B$566)</f>
        <v>851.14690265486729</v>
      </c>
      <c r="M2" s="22">
        <f>AVERAGE($E$2:$E$365)</f>
        <v>585.61538461538464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K3" s="20" t="s">
        <v>2107</v>
      </c>
      <c r="L3" s="23">
        <f>MEDIAN($B$2:$B$566)</f>
        <v>201</v>
      </c>
      <c r="M3" s="24">
        <f>MEDIAN($E$2:$E$365)</f>
        <v>114.5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K4" s="20" t="s">
        <v>2108</v>
      </c>
      <c r="L4" s="23">
        <f>MIN($B$2:$B$566)</f>
        <v>16</v>
      </c>
      <c r="M4" s="24">
        <f>MIN($E$2:$E$365)</f>
        <v>0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K5" s="20" t="s">
        <v>2109</v>
      </c>
      <c r="L5" s="25">
        <f>MAX($B$2:$B$566)</f>
        <v>7295</v>
      </c>
      <c r="M5" s="26">
        <f>MAX($E$2:$E$365)</f>
        <v>6080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K6" s="20" t="s">
        <v>2110</v>
      </c>
      <c r="L6" s="27">
        <f>_xlfn.VAR.P($B$2:$B$566)</f>
        <v>1603373.7324019109</v>
      </c>
      <c r="M6" s="28">
        <f>_xlfn.VAR.P($E$2:$E$365)</f>
        <v>921574.68174133555</v>
      </c>
    </row>
    <row r="7" spans="1:13" ht="16.5" thickBot="1" x14ac:dyDescent="0.3">
      <c r="A7" t="s">
        <v>20</v>
      </c>
      <c r="B7">
        <v>98</v>
      </c>
      <c r="D7" t="s">
        <v>14</v>
      </c>
      <c r="E7">
        <v>27</v>
      </c>
      <c r="K7" s="29" t="s">
        <v>2111</v>
      </c>
      <c r="L7" s="30">
        <f>_xlfn.STDEV.P($B$2:$B$566)</f>
        <v>1266.2439466397898</v>
      </c>
      <c r="M7" s="31">
        <f>_xlfn.STDEV.P($E$2:$E$365)</f>
        <v>959.98681331637863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M1" xr:uid="{892FE78C-5EB2-46E1-87C2-841B70C820A7}"/>
  <conditionalFormatting sqref="A2:A566">
    <cfRule type="cellIs" dxfId="15" priority="13" operator="equal">
      <formula>"canceled"</formula>
    </cfRule>
    <cfRule type="cellIs" dxfId="14" priority="14" operator="equal">
      <formula>"live"</formula>
    </cfRule>
    <cfRule type="cellIs" dxfId="13" priority="15" operator="equal">
      <formula>"failed"</formula>
    </cfRule>
    <cfRule type="cellIs" dxfId="12" priority="16" operator="equal">
      <formula>"successful"</formula>
    </cfRule>
  </conditionalFormatting>
  <conditionalFormatting sqref="D2:D365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"failed"</formula>
    </cfRule>
    <cfRule type="cellIs" dxfId="8" priority="12" operator="equal">
      <formula>"successful"</formula>
    </cfRule>
  </conditionalFormatting>
  <conditionalFormatting sqref="L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M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Pivot-Parent category</vt:lpstr>
      <vt:lpstr>Pivot-subcategory</vt:lpstr>
      <vt:lpstr>Pivot-Monthly distribution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Darvari, Roxana</cp:lastModifiedBy>
  <dcterms:created xsi:type="dcterms:W3CDTF">2021-09-29T18:52:28Z</dcterms:created>
  <dcterms:modified xsi:type="dcterms:W3CDTF">2023-11-01T23:08:21Z</dcterms:modified>
</cp:coreProperties>
</file>